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2020-1.1.2-PIACI-KFI-2021-00219_Smartek\"/>
    </mc:Choice>
  </mc:AlternateContent>
  <xr:revisionPtr revIDLastSave="0" documentId="13_ncr:1_{9833842F-D05C-4619-AA56-6D400C451994}" xr6:coauthVersionLast="47" xr6:coauthVersionMax="47" xr10:uidLastSave="{00000000-0000-0000-0000-000000000000}"/>
  <bookViews>
    <workbookView xWindow="-120" yWindow="-120" windowWidth="29040" windowHeight="15840" tabRatio="590" activeTab="1" xr2:uid="{00000000-000D-0000-FFFF-FFFF00000000}"/>
  </bookViews>
  <sheets>
    <sheet name="Összesítő_Terv-tény" sheetId="2" r:id="rId1"/>
    <sheet name="Bérköltség" sheetId="11" r:id="rId2"/>
    <sheet name="Dologi_felhalm." sheetId="13" r:id="rId3"/>
    <sheet name="EPTK költségvetés export fájl" sheetId="18" r:id="rId4"/>
    <sheet name="Hónapok" sheetId="16" r:id="rId5"/>
    <sheet name="Admin" sheetId="17" r:id="rId6"/>
    <sheet name="Havi béradatok" sheetId="19" r:id="rId7"/>
  </sheets>
  <definedNames>
    <definedName name="_xlnm._FilterDatabase" localSheetId="1" hidden="1">Bérköltség!$A$5:$AS$251</definedName>
    <definedName name="_xlnm._FilterDatabase" localSheetId="2" hidden="1">Dologi_felhalm.!$A$2:$P$3</definedName>
    <definedName name="_xlnm._FilterDatabase" localSheetId="0" hidden="1">'Összesítő_Terv-tény'!$A$2:$Q$23</definedName>
    <definedName name="Z_B3053EE5_F487_4331_B4B6_28A1F2EF1617_.wvu.Cols" localSheetId="1" hidden="1">Bérköltség!#REF!,Bérköltség!#REF!,Bérköltség!$S:$T,Bérköltség!$X:$X,Bérköltség!$AA:$AA</definedName>
    <definedName name="Z_B3053EE5_F487_4331_B4B6_28A1F2EF1617_.wvu.FilterData" localSheetId="1" hidden="1">Bérköltség!$B$5:$AS$253</definedName>
    <definedName name="Z_B3053EE5_F487_4331_B4B6_28A1F2EF1617_.wvu.FilterData" localSheetId="2" hidden="1">Dologi_felhalm.!$A$2:$P$3</definedName>
    <definedName name="Z_B3053EE5_F487_4331_B4B6_28A1F2EF1617_.wvu.FilterData" localSheetId="0" hidden="1">'Összesítő_Terv-tény'!$C$3:$I$17</definedName>
    <definedName name="Z_B3053EE5_F487_4331_B4B6_28A1F2EF1617_.wvu.Rows" localSheetId="1" hidden="1">Bérköltség!#REF!</definedName>
    <definedName name="Z_B3053EE5_F487_4331_B4B6_28A1F2EF1617_.wvu.Rows" localSheetId="2" hidden="1">Dologi_felhalm.!#REF!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89" i="11" l="1"/>
  <c r="U189" i="11" s="1"/>
  <c r="R189" i="11"/>
  <c r="O189" i="11"/>
  <c r="AD238" i="11"/>
  <c r="AC238" i="11"/>
  <c r="AD216" i="11"/>
  <c r="AC216" i="11"/>
  <c r="AD196" i="11"/>
  <c r="AC196" i="11"/>
  <c r="AD186" i="11"/>
  <c r="AC186" i="11"/>
  <c r="AD169" i="11"/>
  <c r="AC169" i="11"/>
  <c r="AD157" i="11"/>
  <c r="AC157" i="11"/>
  <c r="AD142" i="11"/>
  <c r="AC142" i="11"/>
  <c r="AD116" i="11"/>
  <c r="AC116" i="11"/>
  <c r="AD101" i="11"/>
  <c r="AC101" i="11"/>
  <c r="AD84" i="11"/>
  <c r="AC84" i="11"/>
  <c r="AD63" i="11"/>
  <c r="AC63" i="11"/>
  <c r="AD40" i="11"/>
  <c r="AC40" i="11"/>
  <c r="AD25" i="11"/>
  <c r="AC25" i="11"/>
  <c r="AD11" i="11"/>
  <c r="AC11" i="11"/>
  <c r="S174" i="11"/>
  <c r="U174" i="11" s="1"/>
  <c r="R174" i="11"/>
  <c r="O174" i="11"/>
  <c r="S173" i="11"/>
  <c r="U173" i="11" s="1"/>
  <c r="R173" i="11"/>
  <c r="O173" i="11"/>
  <c r="S172" i="11"/>
  <c r="U172" i="11" s="1"/>
  <c r="R172" i="11"/>
  <c r="O172" i="11"/>
  <c r="S171" i="11"/>
  <c r="U171" i="11" s="1"/>
  <c r="R171" i="11"/>
  <c r="O171" i="11"/>
  <c r="K174" i="11"/>
  <c r="I174" i="11"/>
  <c r="E174" i="11"/>
  <c r="C174" i="11"/>
  <c r="K173" i="11"/>
  <c r="I173" i="11"/>
  <c r="E173" i="11"/>
  <c r="C173" i="11"/>
  <c r="K172" i="11"/>
  <c r="I172" i="11"/>
  <c r="E172" i="11"/>
  <c r="C172" i="11"/>
  <c r="K171" i="11"/>
  <c r="I171" i="11"/>
  <c r="E171" i="11"/>
  <c r="C171" i="11"/>
  <c r="S170" i="11"/>
  <c r="U170" i="11" s="1"/>
  <c r="R170" i="11"/>
  <c r="O170" i="11"/>
  <c r="K170" i="11"/>
  <c r="I170" i="11"/>
  <c r="E170" i="11"/>
  <c r="C170" i="11"/>
  <c r="S104" i="11"/>
  <c r="U104" i="11" s="1"/>
  <c r="R104" i="11"/>
  <c r="O104" i="11"/>
  <c r="S103" i="11"/>
  <c r="U103" i="11" s="1"/>
  <c r="R103" i="11"/>
  <c r="O103" i="11"/>
  <c r="K104" i="11"/>
  <c r="I104" i="11"/>
  <c r="E104" i="11"/>
  <c r="C104" i="11"/>
  <c r="K103" i="11"/>
  <c r="I103" i="11"/>
  <c r="E103" i="11"/>
  <c r="C103" i="11"/>
  <c r="S102" i="11"/>
  <c r="U102" i="11" s="1"/>
  <c r="R102" i="11"/>
  <c r="O102" i="11"/>
  <c r="K102" i="11"/>
  <c r="I102" i="11"/>
  <c r="E102" i="11"/>
  <c r="C102" i="11"/>
  <c r="S66" i="11"/>
  <c r="U66" i="11" s="1"/>
  <c r="R66" i="11"/>
  <c r="O66" i="11"/>
  <c r="S65" i="11"/>
  <c r="U65" i="11" s="1"/>
  <c r="R65" i="11"/>
  <c r="O65" i="11"/>
  <c r="K66" i="11"/>
  <c r="I66" i="11"/>
  <c r="E66" i="11"/>
  <c r="C66" i="11"/>
  <c r="K65" i="11"/>
  <c r="I65" i="11"/>
  <c r="E65" i="11"/>
  <c r="C65" i="11"/>
  <c r="S64" i="11"/>
  <c r="T64" i="11" s="1"/>
  <c r="R64" i="11"/>
  <c r="O64" i="11"/>
  <c r="K64" i="11"/>
  <c r="I64" i="11"/>
  <c r="E64" i="11"/>
  <c r="C64" i="11"/>
  <c r="S9" i="11"/>
  <c r="U9" i="11" s="1"/>
  <c r="R9" i="11"/>
  <c r="O9" i="11"/>
  <c r="K9" i="11"/>
  <c r="E9" i="11"/>
  <c r="C9" i="11"/>
  <c r="S8" i="11"/>
  <c r="U8" i="11" s="1"/>
  <c r="R8" i="11"/>
  <c r="O8" i="11"/>
  <c r="K8" i="11"/>
  <c r="E8" i="11"/>
  <c r="C8" i="11"/>
  <c r="S7" i="11"/>
  <c r="T7" i="11" s="1"/>
  <c r="R7" i="11"/>
  <c r="O7" i="11"/>
  <c r="K7" i="11"/>
  <c r="E7" i="11"/>
  <c r="C7" i="11"/>
  <c r="S199" i="11"/>
  <c r="U199" i="11" s="1"/>
  <c r="R199" i="11"/>
  <c r="O199" i="11"/>
  <c r="S198" i="11"/>
  <c r="U198" i="11" s="1"/>
  <c r="R198" i="11"/>
  <c r="O198" i="11"/>
  <c r="K199" i="11"/>
  <c r="I199" i="11"/>
  <c r="E199" i="11"/>
  <c r="C199" i="11"/>
  <c r="K198" i="11"/>
  <c r="I198" i="11"/>
  <c r="E198" i="11"/>
  <c r="C198" i="11"/>
  <c r="S197" i="11"/>
  <c r="U197" i="11" s="1"/>
  <c r="R197" i="11"/>
  <c r="O197" i="11"/>
  <c r="K197" i="11"/>
  <c r="I197" i="11"/>
  <c r="E197" i="11"/>
  <c r="C197" i="11"/>
  <c r="S119" i="11"/>
  <c r="T119" i="11" s="1"/>
  <c r="R119" i="11"/>
  <c r="O119" i="11"/>
  <c r="S118" i="11"/>
  <c r="U118" i="11" s="1"/>
  <c r="R118" i="11"/>
  <c r="O118" i="11"/>
  <c r="T189" i="11" l="1"/>
  <c r="T171" i="11"/>
  <c r="T172" i="11"/>
  <c r="T173" i="11"/>
  <c r="T174" i="11"/>
  <c r="T170" i="11"/>
  <c r="T103" i="11"/>
  <c r="T104" i="11"/>
  <c r="T102" i="11"/>
  <c r="T66" i="11"/>
  <c r="T65" i="11"/>
  <c r="U64" i="11"/>
  <c r="T8" i="11"/>
  <c r="U7" i="11"/>
  <c r="T9" i="11"/>
  <c r="T198" i="11"/>
  <c r="T199" i="11"/>
  <c r="T197" i="11"/>
  <c r="U119" i="11"/>
  <c r="T118" i="11"/>
  <c r="K119" i="11"/>
  <c r="I119" i="11"/>
  <c r="E119" i="11"/>
  <c r="C119" i="11"/>
  <c r="K118" i="11"/>
  <c r="I118" i="11"/>
  <c r="E118" i="11"/>
  <c r="C118" i="11"/>
  <c r="S117" i="11"/>
  <c r="T117" i="11" s="1"/>
  <c r="R117" i="11"/>
  <c r="O117" i="11"/>
  <c r="K117" i="11"/>
  <c r="I117" i="11"/>
  <c r="E117" i="11"/>
  <c r="C117" i="11"/>
  <c r="AD237" i="11"/>
  <c r="AC237" i="11"/>
  <c r="AD215" i="11"/>
  <c r="AC215" i="11"/>
  <c r="AD195" i="11"/>
  <c r="AC195" i="11"/>
  <c r="AD185" i="11"/>
  <c r="AC185" i="11"/>
  <c r="AD168" i="11"/>
  <c r="AC168" i="11"/>
  <c r="AD156" i="11"/>
  <c r="AC156" i="11"/>
  <c r="AD141" i="11"/>
  <c r="AC141" i="11"/>
  <c r="AD115" i="11"/>
  <c r="AC115" i="11"/>
  <c r="AD100" i="11"/>
  <c r="AC100" i="11"/>
  <c r="AD83" i="11"/>
  <c r="AC83" i="11"/>
  <c r="AD62" i="11"/>
  <c r="AC62" i="11"/>
  <c r="AD39" i="11"/>
  <c r="AC39" i="11"/>
  <c r="AD24" i="11"/>
  <c r="AC24" i="11"/>
  <c r="AE10" i="11"/>
  <c r="AD10" i="11"/>
  <c r="AC10" i="11"/>
  <c r="U117" i="11" l="1"/>
  <c r="S101" i="11"/>
  <c r="U101" i="11" s="1"/>
  <c r="R101" i="11"/>
  <c r="O101" i="11"/>
  <c r="AE101" i="11" s="1"/>
  <c r="K101" i="11"/>
  <c r="I101" i="11"/>
  <c r="E101" i="11"/>
  <c r="C101" i="11"/>
  <c r="S28" i="11"/>
  <c r="U28" i="11" s="1"/>
  <c r="R28" i="11"/>
  <c r="O28" i="11"/>
  <c r="S27" i="11"/>
  <c r="U27" i="11" s="1"/>
  <c r="R27" i="11"/>
  <c r="O27" i="11"/>
  <c r="S26" i="11"/>
  <c r="U26" i="11" s="1"/>
  <c r="R26" i="11"/>
  <c r="O26" i="11"/>
  <c r="K28" i="11"/>
  <c r="I28" i="11"/>
  <c r="E28" i="11"/>
  <c r="C28" i="11"/>
  <c r="K27" i="11"/>
  <c r="I27" i="11"/>
  <c r="E27" i="11"/>
  <c r="C27" i="11"/>
  <c r="K26" i="11"/>
  <c r="I26" i="11"/>
  <c r="E26" i="11"/>
  <c r="C26" i="11"/>
  <c r="S188" i="11"/>
  <c r="U188" i="11" s="1"/>
  <c r="R188" i="11"/>
  <c r="O188" i="11"/>
  <c r="S187" i="11"/>
  <c r="U187" i="11" s="1"/>
  <c r="R187" i="11"/>
  <c r="O187" i="11"/>
  <c r="K189" i="11"/>
  <c r="I189" i="11"/>
  <c r="E189" i="11"/>
  <c r="C189" i="11"/>
  <c r="K188" i="11"/>
  <c r="I188" i="11"/>
  <c r="E188" i="11"/>
  <c r="C188" i="11"/>
  <c r="K187" i="11"/>
  <c r="I187" i="11"/>
  <c r="E187" i="11"/>
  <c r="C187" i="11"/>
  <c r="S89" i="11"/>
  <c r="U89" i="11" s="1"/>
  <c r="R89" i="11"/>
  <c r="O89" i="11"/>
  <c r="S88" i="11"/>
  <c r="U88" i="11" s="1"/>
  <c r="R88" i="11"/>
  <c r="O88" i="11"/>
  <c r="S87" i="11"/>
  <c r="U87" i="11" s="1"/>
  <c r="R87" i="11"/>
  <c r="O87" i="11"/>
  <c r="S86" i="11"/>
  <c r="U86" i="11" s="1"/>
  <c r="R86" i="11"/>
  <c r="O86" i="11"/>
  <c r="S85" i="11"/>
  <c r="U85" i="11" s="1"/>
  <c r="R85" i="11"/>
  <c r="O85" i="11"/>
  <c r="K89" i="11"/>
  <c r="I89" i="11"/>
  <c r="E89" i="11"/>
  <c r="C89" i="11"/>
  <c r="K88" i="11"/>
  <c r="I88" i="11"/>
  <c r="E88" i="11"/>
  <c r="C88" i="11"/>
  <c r="K87" i="11"/>
  <c r="I87" i="11"/>
  <c r="E87" i="11"/>
  <c r="C87" i="11"/>
  <c r="K86" i="11"/>
  <c r="I86" i="11"/>
  <c r="E86" i="11"/>
  <c r="C86" i="11"/>
  <c r="K85" i="11"/>
  <c r="I85" i="11"/>
  <c r="E85" i="11"/>
  <c r="C85" i="11"/>
  <c r="S46" i="11"/>
  <c r="U46" i="11" s="1"/>
  <c r="R46" i="11"/>
  <c r="O46" i="11"/>
  <c r="S45" i="11"/>
  <c r="U45" i="11" s="1"/>
  <c r="R45" i="11"/>
  <c r="O45" i="11"/>
  <c r="S44" i="11"/>
  <c r="U44" i="11" s="1"/>
  <c r="R44" i="11"/>
  <c r="O44" i="11"/>
  <c r="S43" i="11"/>
  <c r="U43" i="11" s="1"/>
  <c r="R43" i="11"/>
  <c r="O43" i="11"/>
  <c r="S42" i="11"/>
  <c r="U42" i="11" s="1"/>
  <c r="R42" i="11"/>
  <c r="O42" i="11"/>
  <c r="S41" i="11"/>
  <c r="U41" i="11" s="1"/>
  <c r="R41" i="11"/>
  <c r="O41" i="11"/>
  <c r="K46" i="11"/>
  <c r="I46" i="11"/>
  <c r="E46" i="11"/>
  <c r="C46" i="11"/>
  <c r="K45" i="11"/>
  <c r="I45" i="11"/>
  <c r="E45" i="11"/>
  <c r="C45" i="11"/>
  <c r="K44" i="11"/>
  <c r="I44" i="11"/>
  <c r="E44" i="11"/>
  <c r="C44" i="11"/>
  <c r="K43" i="11"/>
  <c r="I43" i="11"/>
  <c r="E43" i="11"/>
  <c r="C43" i="11"/>
  <c r="K42" i="11"/>
  <c r="I42" i="11"/>
  <c r="E42" i="11"/>
  <c r="C42" i="11"/>
  <c r="K41" i="11"/>
  <c r="I41" i="11"/>
  <c r="E41" i="11"/>
  <c r="C41" i="11"/>
  <c r="I145" i="11"/>
  <c r="I144" i="11"/>
  <c r="I143" i="11"/>
  <c r="I142" i="11"/>
  <c r="S145" i="11"/>
  <c r="U145" i="11" s="1"/>
  <c r="R145" i="11"/>
  <c r="O145" i="11"/>
  <c r="S144" i="11"/>
  <c r="U144" i="11" s="1"/>
  <c r="R144" i="11"/>
  <c r="O144" i="11"/>
  <c r="S143" i="11"/>
  <c r="U143" i="11" s="1"/>
  <c r="R143" i="11"/>
  <c r="O143" i="11"/>
  <c r="K145" i="11"/>
  <c r="E145" i="11"/>
  <c r="C145" i="11"/>
  <c r="K144" i="11"/>
  <c r="E144" i="11"/>
  <c r="C144" i="11"/>
  <c r="K143" i="11"/>
  <c r="E143" i="11"/>
  <c r="C143" i="11"/>
  <c r="S142" i="11"/>
  <c r="U142" i="11" s="1"/>
  <c r="R142" i="11"/>
  <c r="AE142" i="11"/>
  <c r="E142" i="11"/>
  <c r="C142" i="11"/>
  <c r="AE2" i="11"/>
  <c r="AD2" i="11"/>
  <c r="S242" i="11"/>
  <c r="U242" i="11" s="1"/>
  <c r="R242" i="11"/>
  <c r="O242" i="11"/>
  <c r="S241" i="11"/>
  <c r="T241" i="11" s="1"/>
  <c r="R241" i="11"/>
  <c r="O241" i="11"/>
  <c r="S240" i="11"/>
  <c r="U240" i="11" s="1"/>
  <c r="R240" i="11"/>
  <c r="O240" i="11"/>
  <c r="S239" i="11"/>
  <c r="U239" i="11" s="1"/>
  <c r="R239" i="11"/>
  <c r="O239" i="11"/>
  <c r="S238" i="11"/>
  <c r="U238" i="11" s="1"/>
  <c r="R238" i="11"/>
  <c r="O238" i="11"/>
  <c r="AE238" i="11" s="1"/>
  <c r="S237" i="11"/>
  <c r="U237" i="11" s="1"/>
  <c r="R237" i="11"/>
  <c r="O237" i="11"/>
  <c r="AE237" i="11" s="1"/>
  <c r="S157" i="11"/>
  <c r="U157" i="11" s="1"/>
  <c r="R157" i="11"/>
  <c r="O157" i="11"/>
  <c r="AE157" i="11" s="1"/>
  <c r="S156" i="11"/>
  <c r="T156" i="11" s="1"/>
  <c r="R156" i="11"/>
  <c r="O156" i="11"/>
  <c r="AE156" i="11" s="1"/>
  <c r="S100" i="11"/>
  <c r="U100" i="11" s="1"/>
  <c r="R100" i="11"/>
  <c r="O100" i="11"/>
  <c r="AE100" i="11" s="1"/>
  <c r="K100" i="11"/>
  <c r="I100" i="11"/>
  <c r="E100" i="11"/>
  <c r="C100" i="11"/>
  <c r="S99" i="11"/>
  <c r="U99" i="11" s="1"/>
  <c r="R99" i="11"/>
  <c r="O99" i="11"/>
  <c r="K99" i="11"/>
  <c r="I99" i="11"/>
  <c r="E99" i="11"/>
  <c r="C99" i="11"/>
  <c r="S186" i="11"/>
  <c r="U186" i="11" s="1"/>
  <c r="R186" i="11"/>
  <c r="O186" i="11"/>
  <c r="AE186" i="11" s="1"/>
  <c r="S185" i="11"/>
  <c r="U185" i="11" s="1"/>
  <c r="R185" i="11"/>
  <c r="O185" i="11"/>
  <c r="AE185" i="11" s="1"/>
  <c r="K186" i="11"/>
  <c r="I186" i="11"/>
  <c r="E186" i="11"/>
  <c r="C186" i="11"/>
  <c r="K185" i="11"/>
  <c r="I185" i="11"/>
  <c r="E185" i="11"/>
  <c r="C185" i="11"/>
  <c r="S184" i="11"/>
  <c r="U184" i="11" s="1"/>
  <c r="R184" i="11"/>
  <c r="O184" i="11"/>
  <c r="K184" i="11"/>
  <c r="I184" i="11"/>
  <c r="E184" i="11"/>
  <c r="C184" i="11"/>
  <c r="S84" i="11"/>
  <c r="U84" i="11" s="1"/>
  <c r="R84" i="11"/>
  <c r="O84" i="11"/>
  <c r="AE84" i="11" s="1"/>
  <c r="S83" i="11"/>
  <c r="U83" i="11" s="1"/>
  <c r="R83" i="11"/>
  <c r="O83" i="11"/>
  <c r="AE83" i="11" s="1"/>
  <c r="K84" i="11"/>
  <c r="I84" i="11"/>
  <c r="E84" i="11"/>
  <c r="C84" i="11"/>
  <c r="K83" i="11"/>
  <c r="I83" i="11"/>
  <c r="E83" i="11"/>
  <c r="C83" i="11"/>
  <c r="S82" i="11"/>
  <c r="U82" i="11" s="1"/>
  <c r="R82" i="11"/>
  <c r="O82" i="11"/>
  <c r="K82" i="11"/>
  <c r="I82" i="11"/>
  <c r="E82" i="11"/>
  <c r="C82" i="11"/>
  <c r="S25" i="11"/>
  <c r="U25" i="11" s="1"/>
  <c r="R25" i="11"/>
  <c r="O25" i="11"/>
  <c r="AE25" i="11" s="1"/>
  <c r="S24" i="11"/>
  <c r="U24" i="11" s="1"/>
  <c r="R24" i="11"/>
  <c r="O24" i="11"/>
  <c r="AE24" i="11" s="1"/>
  <c r="K25" i="11"/>
  <c r="I25" i="11"/>
  <c r="E25" i="11"/>
  <c r="C25" i="11"/>
  <c r="K24" i="11"/>
  <c r="I24" i="11"/>
  <c r="E24" i="11"/>
  <c r="C24" i="11"/>
  <c r="S23" i="11"/>
  <c r="T23" i="11" s="1"/>
  <c r="R23" i="11"/>
  <c r="O23" i="11"/>
  <c r="K23" i="11"/>
  <c r="I23" i="11"/>
  <c r="E23" i="11"/>
  <c r="C23" i="11"/>
  <c r="S13" i="11"/>
  <c r="U13" i="11" s="1"/>
  <c r="R13" i="11"/>
  <c r="O13" i="11"/>
  <c r="I13" i="11"/>
  <c r="E13" i="11"/>
  <c r="C13" i="11"/>
  <c r="S12" i="11"/>
  <c r="U12" i="11" s="1"/>
  <c r="R12" i="11"/>
  <c r="O12" i="11"/>
  <c r="K12" i="11"/>
  <c r="I12" i="11"/>
  <c r="E12" i="11"/>
  <c r="C12" i="11"/>
  <c r="S11" i="11"/>
  <c r="U11" i="11" s="1"/>
  <c r="R11" i="11"/>
  <c r="AE11" i="11"/>
  <c r="K11" i="11"/>
  <c r="I11" i="11"/>
  <c r="E11" i="11"/>
  <c r="C11" i="11"/>
  <c r="S10" i="11"/>
  <c r="R10" i="11"/>
  <c r="K10" i="11"/>
  <c r="I10" i="11"/>
  <c r="E10" i="11"/>
  <c r="C10" i="11"/>
  <c r="C34" i="11"/>
  <c r="S116" i="11"/>
  <c r="U116" i="11" s="1"/>
  <c r="R116" i="11"/>
  <c r="O116" i="11"/>
  <c r="AE116" i="11" s="1"/>
  <c r="S115" i="11"/>
  <c r="U115" i="11" s="1"/>
  <c r="R115" i="11"/>
  <c r="O115" i="11"/>
  <c r="AE115" i="11" s="1"/>
  <c r="K116" i="11"/>
  <c r="I116" i="11"/>
  <c r="E116" i="11"/>
  <c r="C116" i="11"/>
  <c r="K115" i="11"/>
  <c r="I115" i="11"/>
  <c r="E115" i="11"/>
  <c r="C115" i="11"/>
  <c r="S114" i="11"/>
  <c r="U114" i="11" s="1"/>
  <c r="R114" i="11"/>
  <c r="O114" i="11"/>
  <c r="K114" i="11"/>
  <c r="I114" i="11"/>
  <c r="E114" i="11"/>
  <c r="C114" i="11"/>
  <c r="T139" i="11"/>
  <c r="T101" i="11" l="1"/>
  <c r="T26" i="11"/>
  <c r="T27" i="11"/>
  <c r="T28" i="11"/>
  <c r="T187" i="11"/>
  <c r="T188" i="11"/>
  <c r="T88" i="11"/>
  <c r="T85" i="11"/>
  <c r="T87" i="11"/>
  <c r="T86" i="11"/>
  <c r="T89" i="11"/>
  <c r="T43" i="11"/>
  <c r="T42" i="11"/>
  <c r="T143" i="11"/>
  <c r="T41" i="11"/>
  <c r="T44" i="11"/>
  <c r="T45" i="11"/>
  <c r="T46" i="11"/>
  <c r="T144" i="11"/>
  <c r="T145" i="11"/>
  <c r="U241" i="11"/>
  <c r="T100" i="11"/>
  <c r="T240" i="11"/>
  <c r="T242" i="11"/>
  <c r="T238" i="11"/>
  <c r="T239" i="11"/>
  <c r="T237" i="11"/>
  <c r="T157" i="11"/>
  <c r="U156" i="11"/>
  <c r="T99" i="11"/>
  <c r="T185" i="11"/>
  <c r="T186" i="11"/>
  <c r="T184" i="11"/>
  <c r="T84" i="11"/>
  <c r="T83" i="11"/>
  <c r="T82" i="11"/>
  <c r="T24" i="11"/>
  <c r="T25" i="11"/>
  <c r="U23" i="11"/>
  <c r="T12" i="11"/>
  <c r="T13" i="11"/>
  <c r="U10" i="11"/>
  <c r="T115" i="11"/>
  <c r="T116" i="11"/>
  <c r="T114" i="11"/>
  <c r="AC2" i="11"/>
  <c r="S169" i="11" l="1"/>
  <c r="U169" i="11" s="1"/>
  <c r="R169" i="11"/>
  <c r="O169" i="11"/>
  <c r="AE169" i="11" s="1"/>
  <c r="S168" i="11"/>
  <c r="U168" i="11" s="1"/>
  <c r="R168" i="11"/>
  <c r="O168" i="11"/>
  <c r="AE168" i="11" s="1"/>
  <c r="K169" i="11"/>
  <c r="I169" i="11"/>
  <c r="E169" i="11"/>
  <c r="C169" i="11"/>
  <c r="K168" i="11"/>
  <c r="I168" i="11"/>
  <c r="E168" i="11"/>
  <c r="C168" i="11"/>
  <c r="S167" i="11"/>
  <c r="U167" i="11" s="1"/>
  <c r="R167" i="11"/>
  <c r="O167" i="11"/>
  <c r="K167" i="11"/>
  <c r="I167" i="11"/>
  <c r="E167" i="11"/>
  <c r="C167" i="11"/>
  <c r="S196" i="11"/>
  <c r="U196" i="11" s="1"/>
  <c r="R196" i="11"/>
  <c r="O196" i="11"/>
  <c r="AE196" i="11" s="1"/>
  <c r="S195" i="11"/>
  <c r="U195" i="11" s="1"/>
  <c r="R195" i="11"/>
  <c r="O195" i="11"/>
  <c r="AE195" i="11" s="1"/>
  <c r="K196" i="11"/>
  <c r="I196" i="11"/>
  <c r="E196" i="11"/>
  <c r="C196" i="11"/>
  <c r="K195" i="11"/>
  <c r="I195" i="11"/>
  <c r="E195" i="11"/>
  <c r="C195" i="11"/>
  <c r="S194" i="11"/>
  <c r="U194" i="11" s="1"/>
  <c r="R194" i="11"/>
  <c r="O194" i="11"/>
  <c r="K194" i="11"/>
  <c r="I194" i="11"/>
  <c r="E194" i="11"/>
  <c r="C194" i="11"/>
  <c r="S141" i="11"/>
  <c r="U141" i="11" s="1"/>
  <c r="R141" i="11"/>
  <c r="AE141" i="11"/>
  <c r="K141" i="11"/>
  <c r="I141" i="11"/>
  <c r="E141" i="11"/>
  <c r="C141" i="11"/>
  <c r="S140" i="11"/>
  <c r="R140" i="11"/>
  <c r="K140" i="11"/>
  <c r="I140" i="11"/>
  <c r="E140" i="11"/>
  <c r="C140" i="11"/>
  <c r="S63" i="11"/>
  <c r="U63" i="11" s="1"/>
  <c r="R63" i="11"/>
  <c r="O63" i="11"/>
  <c r="AE63" i="11" s="1"/>
  <c r="S62" i="11"/>
  <c r="U62" i="11" s="1"/>
  <c r="R62" i="11"/>
  <c r="O62" i="11"/>
  <c r="AE62" i="11" s="1"/>
  <c r="S219" i="11"/>
  <c r="U219" i="11" s="1"/>
  <c r="R219" i="11"/>
  <c r="O219" i="11"/>
  <c r="S218" i="11"/>
  <c r="U218" i="11" s="1"/>
  <c r="R218" i="11"/>
  <c r="O218" i="11"/>
  <c r="S217" i="11"/>
  <c r="T217" i="11" s="1"/>
  <c r="R217" i="11"/>
  <c r="O217" i="11"/>
  <c r="S216" i="11"/>
  <c r="U216" i="11" s="1"/>
  <c r="R216" i="11"/>
  <c r="O216" i="11"/>
  <c r="AE216" i="11" s="1"/>
  <c r="S215" i="11"/>
  <c r="U215" i="11" s="1"/>
  <c r="R215" i="11"/>
  <c r="O215" i="11"/>
  <c r="AE215" i="11" s="1"/>
  <c r="S40" i="11"/>
  <c r="U40" i="11" s="1"/>
  <c r="R40" i="11"/>
  <c r="O40" i="11"/>
  <c r="AE40" i="11" s="1"/>
  <c r="S39" i="11"/>
  <c r="U39" i="11" s="1"/>
  <c r="R39" i="11"/>
  <c r="O39" i="11"/>
  <c r="AE39" i="11" s="1"/>
  <c r="K40" i="11"/>
  <c r="I40" i="11"/>
  <c r="E40" i="11"/>
  <c r="C40" i="11"/>
  <c r="K39" i="11"/>
  <c r="I39" i="11"/>
  <c r="E39" i="11"/>
  <c r="C39" i="11"/>
  <c r="S38" i="11"/>
  <c r="U38" i="11" s="1"/>
  <c r="R38" i="11"/>
  <c r="O38" i="11"/>
  <c r="K38" i="11"/>
  <c r="I38" i="11"/>
  <c r="E38" i="11"/>
  <c r="C38" i="11"/>
  <c r="T169" i="11" l="1"/>
  <c r="T168" i="11"/>
  <c r="T167" i="11"/>
  <c r="T195" i="11"/>
  <c r="T196" i="11"/>
  <c r="T194" i="11"/>
  <c r="U217" i="11"/>
  <c r="T141" i="11"/>
  <c r="U140" i="11"/>
  <c r="T216" i="11"/>
  <c r="T62" i="11"/>
  <c r="T63" i="11"/>
  <c r="T215" i="11"/>
  <c r="T218" i="11"/>
  <c r="T219" i="11"/>
  <c r="T40" i="11"/>
  <c r="T39" i="11"/>
  <c r="T38" i="11"/>
  <c r="K219" i="11"/>
  <c r="I219" i="11"/>
  <c r="E219" i="11"/>
  <c r="C219" i="11"/>
  <c r="K218" i="11"/>
  <c r="I218" i="11"/>
  <c r="E218" i="11"/>
  <c r="C218" i="11"/>
  <c r="K217" i="11"/>
  <c r="I217" i="11"/>
  <c r="E217" i="11"/>
  <c r="C217" i="11"/>
  <c r="K216" i="11"/>
  <c r="I216" i="11"/>
  <c r="E216" i="11"/>
  <c r="C216" i="11"/>
  <c r="K215" i="11"/>
  <c r="I215" i="11"/>
  <c r="E215" i="11"/>
  <c r="C215" i="11"/>
  <c r="S214" i="11"/>
  <c r="T214" i="11" s="1"/>
  <c r="R214" i="11"/>
  <c r="O214" i="11"/>
  <c r="K214" i="11"/>
  <c r="I214" i="11"/>
  <c r="E214" i="11"/>
  <c r="C214" i="11"/>
  <c r="K63" i="11"/>
  <c r="I63" i="11"/>
  <c r="E63" i="11"/>
  <c r="C63" i="11"/>
  <c r="K62" i="11"/>
  <c r="I62" i="11"/>
  <c r="E62" i="11"/>
  <c r="C62" i="11"/>
  <c r="S61" i="11"/>
  <c r="U61" i="11" s="1"/>
  <c r="R61" i="11"/>
  <c r="O61" i="11"/>
  <c r="K61" i="11"/>
  <c r="I61" i="11"/>
  <c r="E61" i="11"/>
  <c r="C61" i="11"/>
  <c r="S132" i="11"/>
  <c r="U132" i="11" s="1"/>
  <c r="R132" i="11"/>
  <c r="O132" i="11"/>
  <c r="K132" i="11"/>
  <c r="I132" i="11"/>
  <c r="E132" i="11"/>
  <c r="C132" i="11"/>
  <c r="K157" i="11"/>
  <c r="I157" i="11"/>
  <c r="E157" i="11"/>
  <c r="C157" i="11"/>
  <c r="K156" i="11"/>
  <c r="I156" i="11"/>
  <c r="E156" i="11"/>
  <c r="C156" i="11"/>
  <c r="S155" i="11"/>
  <c r="U155" i="11" s="1"/>
  <c r="R155" i="11"/>
  <c r="O155" i="11"/>
  <c r="K155" i="11"/>
  <c r="I155" i="11"/>
  <c r="E155" i="11"/>
  <c r="C155" i="11"/>
  <c r="S236" i="11"/>
  <c r="U236" i="11" s="1"/>
  <c r="R236" i="11"/>
  <c r="O236" i="11"/>
  <c r="K242" i="11"/>
  <c r="I242" i="11"/>
  <c r="E242" i="11"/>
  <c r="C242" i="11"/>
  <c r="K241" i="11"/>
  <c r="I241" i="11"/>
  <c r="E241" i="11"/>
  <c r="C241" i="11"/>
  <c r="K240" i="11"/>
  <c r="I240" i="11"/>
  <c r="E240" i="11"/>
  <c r="C240" i="11"/>
  <c r="K239" i="11"/>
  <c r="I239" i="11"/>
  <c r="E239" i="11"/>
  <c r="C239" i="11"/>
  <c r="K238" i="11"/>
  <c r="I238" i="11"/>
  <c r="E238" i="11"/>
  <c r="C238" i="11"/>
  <c r="K237" i="11"/>
  <c r="I237" i="11"/>
  <c r="E237" i="11"/>
  <c r="C237" i="11"/>
  <c r="K236" i="11"/>
  <c r="I236" i="11"/>
  <c r="E236" i="11"/>
  <c r="C236" i="11"/>
  <c r="S235" i="11"/>
  <c r="U235" i="11" s="1"/>
  <c r="R235" i="11"/>
  <c r="O235" i="11"/>
  <c r="K235" i="11"/>
  <c r="I235" i="11"/>
  <c r="E235" i="11"/>
  <c r="C235" i="11"/>
  <c r="S139" i="11"/>
  <c r="U139" i="11" s="1"/>
  <c r="R139" i="11"/>
  <c r="S98" i="11"/>
  <c r="U98" i="11" s="1"/>
  <c r="R98" i="11"/>
  <c r="O98" i="11"/>
  <c r="S220" i="11"/>
  <c r="U220" i="11" s="1"/>
  <c r="R220" i="11"/>
  <c r="O220" i="11"/>
  <c r="K220" i="11"/>
  <c r="I220" i="11"/>
  <c r="E220" i="11"/>
  <c r="C220" i="11"/>
  <c r="S60" i="11"/>
  <c r="U60" i="11" s="1"/>
  <c r="R60" i="11"/>
  <c r="O60" i="11"/>
  <c r="S59" i="11"/>
  <c r="U59" i="11" s="1"/>
  <c r="R59" i="11"/>
  <c r="O59" i="11"/>
  <c r="S138" i="11"/>
  <c r="U138" i="11" s="1"/>
  <c r="R138" i="11"/>
  <c r="K139" i="11"/>
  <c r="I139" i="11"/>
  <c r="E139" i="11"/>
  <c r="C139" i="11"/>
  <c r="K138" i="11"/>
  <c r="I138" i="11"/>
  <c r="E138" i="11"/>
  <c r="C138" i="11"/>
  <c r="S137" i="11"/>
  <c r="U137" i="11" s="1"/>
  <c r="R137" i="11"/>
  <c r="O137" i="11"/>
  <c r="K137" i="11"/>
  <c r="I137" i="11"/>
  <c r="E137" i="11"/>
  <c r="C137" i="11"/>
  <c r="S97" i="11"/>
  <c r="U97" i="11" s="1"/>
  <c r="R97" i="11"/>
  <c r="O97" i="11"/>
  <c r="K98" i="11"/>
  <c r="I98" i="11"/>
  <c r="E98" i="11"/>
  <c r="C98" i="11"/>
  <c r="K97" i="11"/>
  <c r="I97" i="11"/>
  <c r="E97" i="11"/>
  <c r="C97" i="11"/>
  <c r="S96" i="11"/>
  <c r="U96" i="11" s="1"/>
  <c r="R96" i="11"/>
  <c r="O96" i="11"/>
  <c r="K96" i="11"/>
  <c r="I96" i="11"/>
  <c r="E96" i="11"/>
  <c r="C96" i="11"/>
  <c r="S166" i="11"/>
  <c r="U166" i="11" s="1"/>
  <c r="R166" i="11"/>
  <c r="O166" i="11"/>
  <c r="S165" i="11"/>
  <c r="U165" i="11" s="1"/>
  <c r="R165" i="11"/>
  <c r="O165" i="11"/>
  <c r="K166" i="11"/>
  <c r="I166" i="11"/>
  <c r="E166" i="11"/>
  <c r="C166" i="11"/>
  <c r="K165" i="11"/>
  <c r="I165" i="11"/>
  <c r="E165" i="11"/>
  <c r="C165" i="11"/>
  <c r="S164" i="11"/>
  <c r="U164" i="11" s="1"/>
  <c r="R164" i="11"/>
  <c r="O164" i="11"/>
  <c r="K164" i="11"/>
  <c r="I164" i="11"/>
  <c r="E164" i="11"/>
  <c r="C164" i="11"/>
  <c r="S113" i="11"/>
  <c r="U113" i="11" s="1"/>
  <c r="R113" i="11"/>
  <c r="O113" i="11"/>
  <c r="S112" i="11"/>
  <c r="U112" i="11" s="1"/>
  <c r="R112" i="11"/>
  <c r="O112" i="11"/>
  <c r="K113" i="11"/>
  <c r="I113" i="11"/>
  <c r="E113" i="11"/>
  <c r="C113" i="11"/>
  <c r="K112" i="11"/>
  <c r="I112" i="11"/>
  <c r="E112" i="11"/>
  <c r="C112" i="11"/>
  <c r="S111" i="11"/>
  <c r="T111" i="11" s="1"/>
  <c r="R111" i="11"/>
  <c r="O111" i="11"/>
  <c r="K111" i="11"/>
  <c r="I111" i="11"/>
  <c r="E111" i="11"/>
  <c r="C111" i="11"/>
  <c r="S183" i="11"/>
  <c r="U183" i="11" s="1"/>
  <c r="R183" i="11"/>
  <c r="O183" i="11"/>
  <c r="S182" i="11"/>
  <c r="U182" i="11" s="1"/>
  <c r="R182" i="11"/>
  <c r="O182" i="11"/>
  <c r="K183" i="11"/>
  <c r="I183" i="11"/>
  <c r="E183" i="11"/>
  <c r="C183" i="11"/>
  <c r="K182" i="11"/>
  <c r="I182" i="11"/>
  <c r="E182" i="11"/>
  <c r="C182" i="11"/>
  <c r="S181" i="11"/>
  <c r="U181" i="11" s="1"/>
  <c r="R181" i="11"/>
  <c r="O181" i="11"/>
  <c r="K181" i="11"/>
  <c r="I181" i="11"/>
  <c r="E181" i="11"/>
  <c r="C181" i="11"/>
  <c r="S22" i="11"/>
  <c r="U22" i="11" s="1"/>
  <c r="R22" i="11"/>
  <c r="O22" i="11"/>
  <c r="S21" i="11"/>
  <c r="U21" i="11" s="1"/>
  <c r="R21" i="11"/>
  <c r="O21" i="11"/>
  <c r="K22" i="11"/>
  <c r="I22" i="11"/>
  <c r="E22" i="11"/>
  <c r="C22" i="11"/>
  <c r="K21" i="11"/>
  <c r="I21" i="11"/>
  <c r="E21" i="11"/>
  <c r="C21" i="11"/>
  <c r="S20" i="11"/>
  <c r="U20" i="11" s="1"/>
  <c r="R20" i="11"/>
  <c r="O20" i="11"/>
  <c r="K20" i="11"/>
  <c r="I20" i="11"/>
  <c r="E20" i="11"/>
  <c r="C20" i="11"/>
  <c r="S37" i="11"/>
  <c r="U37" i="11" s="1"/>
  <c r="R37" i="11"/>
  <c r="O37" i="11"/>
  <c r="S36" i="11"/>
  <c r="U36" i="11" s="1"/>
  <c r="R36" i="11"/>
  <c r="O36" i="11"/>
  <c r="K37" i="11"/>
  <c r="I37" i="11"/>
  <c r="E37" i="11"/>
  <c r="C37" i="11"/>
  <c r="K36" i="11"/>
  <c r="I36" i="11"/>
  <c r="E36" i="11"/>
  <c r="C36" i="11"/>
  <c r="S35" i="11"/>
  <c r="T35" i="11" s="1"/>
  <c r="R35" i="11"/>
  <c r="O35" i="11"/>
  <c r="K35" i="11"/>
  <c r="I35" i="11"/>
  <c r="E35" i="11"/>
  <c r="C35" i="11"/>
  <c r="S131" i="11"/>
  <c r="U131" i="11" s="1"/>
  <c r="R131" i="11"/>
  <c r="O131" i="11"/>
  <c r="S130" i="11"/>
  <c r="U130" i="11" s="1"/>
  <c r="R130" i="11"/>
  <c r="O130" i="11"/>
  <c r="K131" i="11"/>
  <c r="I131" i="11"/>
  <c r="E131" i="11"/>
  <c r="C131" i="11"/>
  <c r="K130" i="11"/>
  <c r="I130" i="11"/>
  <c r="E130" i="11"/>
  <c r="C130" i="11"/>
  <c r="S129" i="11"/>
  <c r="U129" i="11" s="1"/>
  <c r="R129" i="11"/>
  <c r="O129" i="11"/>
  <c r="K129" i="11"/>
  <c r="I129" i="11"/>
  <c r="E129" i="11"/>
  <c r="C129" i="11"/>
  <c r="S81" i="11"/>
  <c r="U81" i="11" s="1"/>
  <c r="R81" i="11"/>
  <c r="O81" i="11"/>
  <c r="S80" i="11"/>
  <c r="U80" i="11" s="1"/>
  <c r="R80" i="11"/>
  <c r="O80" i="11"/>
  <c r="K81" i="11"/>
  <c r="I81" i="11"/>
  <c r="E81" i="11"/>
  <c r="C81" i="11"/>
  <c r="K80" i="11"/>
  <c r="I80" i="11"/>
  <c r="E80" i="11"/>
  <c r="C80" i="11"/>
  <c r="S79" i="11"/>
  <c r="U79" i="11" s="1"/>
  <c r="R79" i="11"/>
  <c r="O79" i="11"/>
  <c r="K79" i="11"/>
  <c r="I79" i="11"/>
  <c r="E79" i="11"/>
  <c r="C79" i="11"/>
  <c r="S193" i="11"/>
  <c r="U193" i="11" s="1"/>
  <c r="R193" i="11"/>
  <c r="O193" i="11"/>
  <c r="S192" i="11"/>
  <c r="U192" i="11" s="1"/>
  <c r="R192" i="11"/>
  <c r="O192" i="11"/>
  <c r="K193" i="11"/>
  <c r="I193" i="11"/>
  <c r="E193" i="11"/>
  <c r="C193" i="11"/>
  <c r="K192" i="11"/>
  <c r="I192" i="11"/>
  <c r="E192" i="11"/>
  <c r="C192" i="11"/>
  <c r="S191" i="11"/>
  <c r="T191" i="11" s="1"/>
  <c r="R191" i="11"/>
  <c r="O191" i="11"/>
  <c r="K191" i="11"/>
  <c r="I191" i="11"/>
  <c r="E191" i="11"/>
  <c r="C191" i="11"/>
  <c r="O78" i="11"/>
  <c r="O77" i="11"/>
  <c r="S58" i="11"/>
  <c r="U58" i="11" s="1"/>
  <c r="R58" i="11"/>
  <c r="O58" i="11"/>
  <c r="K60" i="11"/>
  <c r="I60" i="11"/>
  <c r="E60" i="11"/>
  <c r="C60" i="11"/>
  <c r="K59" i="11"/>
  <c r="I59" i="11"/>
  <c r="E59" i="11"/>
  <c r="C59" i="11"/>
  <c r="K58" i="11"/>
  <c r="I58" i="11"/>
  <c r="E58" i="11"/>
  <c r="C58" i="11"/>
  <c r="S57" i="11"/>
  <c r="T57" i="11" s="1"/>
  <c r="R57" i="11"/>
  <c r="O57" i="11"/>
  <c r="K57" i="11"/>
  <c r="I57" i="11"/>
  <c r="E57" i="11"/>
  <c r="C57" i="11"/>
  <c r="S154" i="11"/>
  <c r="U154" i="11" s="1"/>
  <c r="R154" i="11"/>
  <c r="O154" i="11"/>
  <c r="S153" i="11"/>
  <c r="U153" i="11" s="1"/>
  <c r="R153" i="11"/>
  <c r="O153" i="11"/>
  <c r="S152" i="11"/>
  <c r="U152" i="11" s="1"/>
  <c r="R152" i="11"/>
  <c r="O152" i="11"/>
  <c r="K154" i="11"/>
  <c r="I154" i="11"/>
  <c r="E154" i="11"/>
  <c r="C154" i="11"/>
  <c r="K153" i="11"/>
  <c r="I153" i="11"/>
  <c r="E153" i="11"/>
  <c r="C153" i="11"/>
  <c r="K152" i="11"/>
  <c r="I152" i="11"/>
  <c r="E152" i="11"/>
  <c r="C152" i="11"/>
  <c r="S151" i="11"/>
  <c r="U151" i="11" s="1"/>
  <c r="R151" i="11"/>
  <c r="O151" i="11"/>
  <c r="K151" i="11"/>
  <c r="I151" i="11"/>
  <c r="E151" i="11"/>
  <c r="C151" i="11"/>
  <c r="R190" i="11"/>
  <c r="S190" i="11"/>
  <c r="T190" i="11" s="1"/>
  <c r="O190" i="11"/>
  <c r="K190" i="11"/>
  <c r="I190" i="11"/>
  <c r="E190" i="11"/>
  <c r="C190" i="11"/>
  <c r="S136" i="11"/>
  <c r="U136" i="11" s="1"/>
  <c r="R136" i="11"/>
  <c r="O136" i="11"/>
  <c r="K136" i="11"/>
  <c r="I136" i="11"/>
  <c r="E136" i="11"/>
  <c r="C136" i="11"/>
  <c r="S180" i="11"/>
  <c r="U180" i="11" s="1"/>
  <c r="R180" i="11"/>
  <c r="O180" i="11"/>
  <c r="S179" i="11"/>
  <c r="U179" i="11" s="1"/>
  <c r="R179" i="11"/>
  <c r="O179" i="11"/>
  <c r="K180" i="11"/>
  <c r="I180" i="11"/>
  <c r="E180" i="11"/>
  <c r="C180" i="11"/>
  <c r="K179" i="11"/>
  <c r="I179" i="11"/>
  <c r="E179" i="11"/>
  <c r="C179" i="11"/>
  <c r="S178" i="11"/>
  <c r="U178" i="11" s="1"/>
  <c r="R178" i="11"/>
  <c r="O178" i="11"/>
  <c r="K178" i="11"/>
  <c r="I178" i="11"/>
  <c r="E178" i="11"/>
  <c r="C178" i="11"/>
  <c r="S19" i="11"/>
  <c r="T19" i="11" s="1"/>
  <c r="R19" i="11"/>
  <c r="O19" i="11"/>
  <c r="S18" i="11"/>
  <c r="U18" i="11" s="1"/>
  <c r="R18" i="11"/>
  <c r="O18" i="11"/>
  <c r="K19" i="11"/>
  <c r="I19" i="11"/>
  <c r="E19" i="11"/>
  <c r="C19" i="11"/>
  <c r="K18" i="11"/>
  <c r="I18" i="11"/>
  <c r="E18" i="11"/>
  <c r="C18" i="11"/>
  <c r="S17" i="11"/>
  <c r="U17" i="11" s="1"/>
  <c r="R17" i="11"/>
  <c r="O17" i="11"/>
  <c r="K17" i="11"/>
  <c r="I17" i="11"/>
  <c r="E17" i="11"/>
  <c r="C17" i="11"/>
  <c r="S34" i="11"/>
  <c r="U34" i="11" s="1"/>
  <c r="R34" i="11"/>
  <c r="O34" i="11"/>
  <c r="S33" i="11"/>
  <c r="U33" i="11" s="1"/>
  <c r="R33" i="11"/>
  <c r="O33" i="11"/>
  <c r="K34" i="11"/>
  <c r="I34" i="11"/>
  <c r="E34" i="11"/>
  <c r="K33" i="11"/>
  <c r="I33" i="11"/>
  <c r="E33" i="11"/>
  <c r="C33" i="11"/>
  <c r="S32" i="11"/>
  <c r="U32" i="11" s="1"/>
  <c r="R32" i="11"/>
  <c r="O32" i="11"/>
  <c r="K32" i="11"/>
  <c r="I32" i="11"/>
  <c r="E32" i="11"/>
  <c r="C32" i="11"/>
  <c r="S56" i="11"/>
  <c r="U56" i="11" s="1"/>
  <c r="R56" i="11"/>
  <c r="O56" i="11"/>
  <c r="K56" i="11"/>
  <c r="I56" i="11"/>
  <c r="E56" i="11"/>
  <c r="C56" i="11"/>
  <c r="S55" i="11"/>
  <c r="U55" i="11" s="1"/>
  <c r="R55" i="11"/>
  <c r="O55" i="11"/>
  <c r="K55" i="11"/>
  <c r="I55" i="11"/>
  <c r="E55" i="11"/>
  <c r="C55" i="11"/>
  <c r="S163" i="11"/>
  <c r="U163" i="11" s="1"/>
  <c r="R163" i="11"/>
  <c r="O163" i="11"/>
  <c r="S162" i="11"/>
  <c r="U162" i="11" s="1"/>
  <c r="R162" i="11"/>
  <c r="O162" i="11"/>
  <c r="K163" i="11"/>
  <c r="I163" i="11"/>
  <c r="E163" i="11"/>
  <c r="C163" i="11"/>
  <c r="K162" i="11"/>
  <c r="I162" i="11"/>
  <c r="E162" i="11"/>
  <c r="C162" i="11"/>
  <c r="S161" i="11"/>
  <c r="U161" i="11" s="1"/>
  <c r="R161" i="11"/>
  <c r="O161" i="11"/>
  <c r="K161" i="11"/>
  <c r="I161" i="11"/>
  <c r="E161" i="11"/>
  <c r="C161" i="11"/>
  <c r="S95" i="11"/>
  <c r="T95" i="11" s="1"/>
  <c r="R95" i="11"/>
  <c r="O95" i="11"/>
  <c r="S94" i="11"/>
  <c r="U94" i="11" s="1"/>
  <c r="R94" i="11"/>
  <c r="O94" i="11"/>
  <c r="K95" i="11"/>
  <c r="I95" i="11"/>
  <c r="E95" i="11"/>
  <c r="C95" i="11"/>
  <c r="K94" i="11"/>
  <c r="I94" i="11"/>
  <c r="E94" i="11"/>
  <c r="C94" i="11"/>
  <c r="S93" i="11"/>
  <c r="U93" i="11" s="1"/>
  <c r="R93" i="11"/>
  <c r="O93" i="11"/>
  <c r="K93" i="11"/>
  <c r="I93" i="11"/>
  <c r="E93" i="11"/>
  <c r="C93" i="11"/>
  <c r="S213" i="11"/>
  <c r="U213" i="11" s="1"/>
  <c r="R213" i="11"/>
  <c r="O213" i="11"/>
  <c r="S212" i="11"/>
  <c r="U212" i="11" s="1"/>
  <c r="R212" i="11"/>
  <c r="O212" i="11"/>
  <c r="S211" i="11"/>
  <c r="T211" i="11" s="1"/>
  <c r="R211" i="11"/>
  <c r="O211" i="11"/>
  <c r="S210" i="11"/>
  <c r="T210" i="11" s="1"/>
  <c r="R210" i="11"/>
  <c r="O210" i="11"/>
  <c r="S209" i="11"/>
  <c r="U209" i="11" s="1"/>
  <c r="R209" i="11"/>
  <c r="O209" i="11"/>
  <c r="K213" i="11"/>
  <c r="I213" i="11"/>
  <c r="E213" i="11"/>
  <c r="C213" i="11"/>
  <c r="K212" i="11"/>
  <c r="I212" i="11"/>
  <c r="E212" i="11"/>
  <c r="C212" i="11"/>
  <c r="K211" i="11"/>
  <c r="I211" i="11"/>
  <c r="E211" i="11"/>
  <c r="C211" i="11"/>
  <c r="K210" i="11"/>
  <c r="I210" i="11"/>
  <c r="E210" i="11"/>
  <c r="C210" i="11"/>
  <c r="K209" i="11"/>
  <c r="I209" i="11"/>
  <c r="E209" i="11"/>
  <c r="C209" i="11"/>
  <c r="S208" i="11"/>
  <c r="U208" i="11" s="1"/>
  <c r="R208" i="11"/>
  <c r="O208" i="11"/>
  <c r="K208" i="11"/>
  <c r="I208" i="11"/>
  <c r="E208" i="11"/>
  <c r="C208" i="11"/>
  <c r="S78" i="11"/>
  <c r="U78" i="11" s="1"/>
  <c r="R78" i="11"/>
  <c r="K78" i="11"/>
  <c r="I78" i="11"/>
  <c r="E78" i="11"/>
  <c r="C78" i="11"/>
  <c r="S77" i="11"/>
  <c r="T77" i="11" s="1"/>
  <c r="R77" i="11"/>
  <c r="K77" i="11"/>
  <c r="I77" i="11"/>
  <c r="E77" i="11"/>
  <c r="C77" i="11"/>
  <c r="S76" i="11"/>
  <c r="T76" i="11" s="1"/>
  <c r="R76" i="11"/>
  <c r="O76" i="11"/>
  <c r="K76" i="11"/>
  <c r="I76" i="11"/>
  <c r="E76" i="11"/>
  <c r="C76" i="11"/>
  <c r="S110" i="11"/>
  <c r="U110" i="11" s="1"/>
  <c r="R110" i="11"/>
  <c r="O110" i="11"/>
  <c r="S109" i="11"/>
  <c r="U109" i="11" s="1"/>
  <c r="R109" i="11"/>
  <c r="O109" i="11"/>
  <c r="K110" i="11"/>
  <c r="I110" i="11"/>
  <c r="E110" i="11"/>
  <c r="C110" i="11"/>
  <c r="K109" i="11"/>
  <c r="I109" i="11"/>
  <c r="E109" i="11"/>
  <c r="C109" i="11"/>
  <c r="S108" i="11"/>
  <c r="U108" i="11" s="1"/>
  <c r="R108" i="11"/>
  <c r="O108" i="11"/>
  <c r="K108" i="11"/>
  <c r="I108" i="11"/>
  <c r="E108" i="11"/>
  <c r="C108" i="11"/>
  <c r="S128" i="11"/>
  <c r="U128" i="11" s="1"/>
  <c r="R128" i="11"/>
  <c r="O128" i="11"/>
  <c r="S127" i="11"/>
  <c r="U127" i="11" s="1"/>
  <c r="R127" i="11"/>
  <c r="O127" i="11"/>
  <c r="K128" i="11"/>
  <c r="I128" i="11"/>
  <c r="E128" i="11"/>
  <c r="C128" i="11"/>
  <c r="K127" i="11"/>
  <c r="I127" i="11"/>
  <c r="E127" i="11"/>
  <c r="C127" i="11"/>
  <c r="S126" i="11"/>
  <c r="U126" i="11" s="1"/>
  <c r="R126" i="11"/>
  <c r="O126" i="11"/>
  <c r="K126" i="11"/>
  <c r="I126" i="11"/>
  <c r="E126" i="11"/>
  <c r="C126" i="11"/>
  <c r="S234" i="11"/>
  <c r="U234" i="11" s="1"/>
  <c r="R234" i="11"/>
  <c r="O234" i="11"/>
  <c r="S233" i="11"/>
  <c r="U233" i="11" s="1"/>
  <c r="R233" i="11"/>
  <c r="O233" i="11"/>
  <c r="S232" i="11"/>
  <c r="U232" i="11" s="1"/>
  <c r="R232" i="11"/>
  <c r="O232" i="11"/>
  <c r="S231" i="11"/>
  <c r="T231" i="11" s="1"/>
  <c r="R231" i="11"/>
  <c r="O231" i="11"/>
  <c r="S230" i="11"/>
  <c r="T230" i="11" s="1"/>
  <c r="R230" i="11"/>
  <c r="O230" i="11"/>
  <c r="S135" i="11"/>
  <c r="U135" i="11" s="1"/>
  <c r="R135" i="11"/>
  <c r="S134" i="11"/>
  <c r="U134" i="11" s="1"/>
  <c r="R134" i="11"/>
  <c r="O134" i="11"/>
  <c r="I135" i="11"/>
  <c r="E135" i="11"/>
  <c r="C135" i="11"/>
  <c r="I134" i="11"/>
  <c r="E134" i="11"/>
  <c r="C134" i="11"/>
  <c r="K135" i="11"/>
  <c r="K134" i="11"/>
  <c r="S133" i="11"/>
  <c r="U133" i="11" s="1"/>
  <c r="R133" i="11"/>
  <c r="O133" i="11"/>
  <c r="K133" i="11"/>
  <c r="I133" i="11"/>
  <c r="E133" i="11"/>
  <c r="C133" i="11"/>
  <c r="S92" i="11"/>
  <c r="T92" i="11" s="1"/>
  <c r="S75" i="11"/>
  <c r="T75" i="11" s="1"/>
  <c r="R75" i="11"/>
  <c r="O75" i="11"/>
  <c r="S74" i="11"/>
  <c r="U74" i="11" s="1"/>
  <c r="R74" i="11"/>
  <c r="O74" i="11"/>
  <c r="K75" i="11"/>
  <c r="I75" i="11"/>
  <c r="E75" i="11"/>
  <c r="C75" i="11"/>
  <c r="K74" i="11"/>
  <c r="I74" i="11"/>
  <c r="E74" i="11"/>
  <c r="C74" i="11"/>
  <c r="S73" i="11"/>
  <c r="U73" i="11" s="1"/>
  <c r="R73" i="11"/>
  <c r="O73" i="11"/>
  <c r="K73" i="11"/>
  <c r="I73" i="11"/>
  <c r="E73" i="11"/>
  <c r="C73" i="11"/>
  <c r="R92" i="11"/>
  <c r="O92" i="11"/>
  <c r="K92" i="11"/>
  <c r="I92" i="11"/>
  <c r="E92" i="11"/>
  <c r="C92" i="11"/>
  <c r="U91" i="11"/>
  <c r="T91" i="11"/>
  <c r="R91" i="11"/>
  <c r="O91" i="11"/>
  <c r="K91" i="11"/>
  <c r="I91" i="11"/>
  <c r="E91" i="11"/>
  <c r="C91" i="11"/>
  <c r="U90" i="11"/>
  <c r="R90" i="11"/>
  <c r="O90" i="11"/>
  <c r="K90" i="11"/>
  <c r="I90" i="11"/>
  <c r="E90" i="11"/>
  <c r="C90" i="11"/>
  <c r="S160" i="11"/>
  <c r="U160" i="11" s="1"/>
  <c r="R160" i="11"/>
  <c r="O160" i="11"/>
  <c r="K160" i="11"/>
  <c r="I160" i="11"/>
  <c r="E160" i="11"/>
  <c r="C160" i="11"/>
  <c r="S159" i="11"/>
  <c r="U159" i="11" s="1"/>
  <c r="R159" i="11"/>
  <c r="O159" i="11"/>
  <c r="K159" i="11"/>
  <c r="I159" i="11"/>
  <c r="E159" i="11"/>
  <c r="C159" i="11"/>
  <c r="S158" i="11"/>
  <c r="U158" i="11" s="1"/>
  <c r="R158" i="11"/>
  <c r="O158" i="11"/>
  <c r="K158" i="11"/>
  <c r="I158" i="11"/>
  <c r="E158" i="11"/>
  <c r="C158" i="11"/>
  <c r="S177" i="11"/>
  <c r="U177" i="11" s="1"/>
  <c r="R177" i="11"/>
  <c r="O177" i="11"/>
  <c r="K177" i="11"/>
  <c r="I177" i="11"/>
  <c r="E177" i="11"/>
  <c r="C177" i="11"/>
  <c r="S176" i="11"/>
  <c r="U176" i="11" s="1"/>
  <c r="R176" i="11"/>
  <c r="O176" i="11"/>
  <c r="K176" i="11"/>
  <c r="I176" i="11"/>
  <c r="E176" i="11"/>
  <c r="C176" i="11"/>
  <c r="S175" i="11"/>
  <c r="T175" i="11" s="1"/>
  <c r="R175" i="11"/>
  <c r="O175" i="11"/>
  <c r="K175" i="11"/>
  <c r="I175" i="11"/>
  <c r="E175" i="11"/>
  <c r="C175" i="11"/>
  <c r="S107" i="11"/>
  <c r="U107" i="11" s="1"/>
  <c r="R107" i="11"/>
  <c r="O107" i="11"/>
  <c r="S106" i="11"/>
  <c r="T106" i="11" s="1"/>
  <c r="R106" i="11"/>
  <c r="O106" i="11"/>
  <c r="K107" i="11"/>
  <c r="I107" i="11"/>
  <c r="E107" i="11"/>
  <c r="C107" i="11"/>
  <c r="K106" i="11"/>
  <c r="I106" i="11"/>
  <c r="E106" i="11"/>
  <c r="C106" i="11"/>
  <c r="S105" i="11"/>
  <c r="T105" i="11" s="1"/>
  <c r="R105" i="11"/>
  <c r="O105" i="11"/>
  <c r="K105" i="11"/>
  <c r="I105" i="11"/>
  <c r="E105" i="11"/>
  <c r="C105" i="11"/>
  <c r="S16" i="11"/>
  <c r="U16" i="11" s="1"/>
  <c r="R16" i="11"/>
  <c r="O16" i="11"/>
  <c r="K16" i="11"/>
  <c r="I16" i="11"/>
  <c r="E16" i="11"/>
  <c r="C16" i="11"/>
  <c r="S15" i="11"/>
  <c r="U15" i="11" s="1"/>
  <c r="R15" i="11"/>
  <c r="O15" i="11"/>
  <c r="K15" i="11"/>
  <c r="I15" i="11"/>
  <c r="E15" i="11"/>
  <c r="C15" i="11"/>
  <c r="U214" i="11" l="1"/>
  <c r="T61" i="11"/>
  <c r="T132" i="11"/>
  <c r="T155" i="11"/>
  <c r="T236" i="11"/>
  <c r="T235" i="11"/>
  <c r="T98" i="11"/>
  <c r="T220" i="11"/>
  <c r="T59" i="11"/>
  <c r="T60" i="11"/>
  <c r="T137" i="11"/>
  <c r="T97" i="11"/>
  <c r="T96" i="11"/>
  <c r="T165" i="11"/>
  <c r="T166" i="11"/>
  <c r="T164" i="11"/>
  <c r="U111" i="11"/>
  <c r="T112" i="11"/>
  <c r="T113" i="11"/>
  <c r="T182" i="11"/>
  <c r="T183" i="11"/>
  <c r="T181" i="11"/>
  <c r="T21" i="11"/>
  <c r="T22" i="11"/>
  <c r="T20" i="11"/>
  <c r="T36" i="11"/>
  <c r="T37" i="11"/>
  <c r="U35" i="11"/>
  <c r="T130" i="11"/>
  <c r="T131" i="11"/>
  <c r="T129" i="11"/>
  <c r="T80" i="11"/>
  <c r="T81" i="11"/>
  <c r="T79" i="11"/>
  <c r="T193" i="11"/>
  <c r="T192" i="11"/>
  <c r="U191" i="11"/>
  <c r="T58" i="11"/>
  <c r="U57" i="11"/>
  <c r="T152" i="11"/>
  <c r="T154" i="11"/>
  <c r="T153" i="11"/>
  <c r="T151" i="11"/>
  <c r="U190" i="11"/>
  <c r="T136" i="11"/>
  <c r="T180" i="11"/>
  <c r="T179" i="11"/>
  <c r="T178" i="11"/>
  <c r="T18" i="11"/>
  <c r="U19" i="11"/>
  <c r="T17" i="11"/>
  <c r="T32" i="11"/>
  <c r="T33" i="11"/>
  <c r="T34" i="11"/>
  <c r="T56" i="11"/>
  <c r="T55" i="11"/>
  <c r="T162" i="11"/>
  <c r="T163" i="11"/>
  <c r="T161" i="11"/>
  <c r="U95" i="11"/>
  <c r="T94" i="11"/>
  <c r="T93" i="11"/>
  <c r="U210" i="11"/>
  <c r="T208" i="11"/>
  <c r="U211" i="11"/>
  <c r="T213" i="11"/>
  <c r="T209" i="11"/>
  <c r="T212" i="11"/>
  <c r="U77" i="11"/>
  <c r="U76" i="11"/>
  <c r="T78" i="11"/>
  <c r="T110" i="11"/>
  <c r="T109" i="11"/>
  <c r="T108" i="11"/>
  <c r="T128" i="11"/>
  <c r="T127" i="11"/>
  <c r="T126" i="11"/>
  <c r="U231" i="11"/>
  <c r="T232" i="11"/>
  <c r="U230" i="11"/>
  <c r="T233" i="11"/>
  <c r="T234" i="11"/>
  <c r="T134" i="11"/>
  <c r="T133" i="11"/>
  <c r="U92" i="11"/>
  <c r="U75" i="11"/>
  <c r="T74" i="11"/>
  <c r="T73" i="11"/>
  <c r="T90" i="11"/>
  <c r="T159" i="11"/>
  <c r="T160" i="11"/>
  <c r="T158" i="11"/>
  <c r="T176" i="11"/>
  <c r="T177" i="11"/>
  <c r="U175" i="11"/>
  <c r="T107" i="11"/>
  <c r="U106" i="11"/>
  <c r="U105" i="11"/>
  <c r="T15" i="11"/>
  <c r="T16" i="11"/>
  <c r="S14" i="11"/>
  <c r="T14" i="11" s="1"/>
  <c r="R14" i="11"/>
  <c r="O14" i="11"/>
  <c r="K14" i="11"/>
  <c r="I14" i="11"/>
  <c r="E14" i="11"/>
  <c r="C14" i="11"/>
  <c r="S31" i="11"/>
  <c r="U31" i="11" s="1"/>
  <c r="R31" i="11"/>
  <c r="O31" i="11"/>
  <c r="S30" i="11"/>
  <c r="U30" i="11" s="1"/>
  <c r="R30" i="11"/>
  <c r="O30" i="11"/>
  <c r="S29" i="11"/>
  <c r="U29" i="11" s="1"/>
  <c r="R29" i="11"/>
  <c r="O29" i="11"/>
  <c r="I31" i="11"/>
  <c r="E31" i="11"/>
  <c r="C31" i="11"/>
  <c r="I30" i="11"/>
  <c r="E30" i="11"/>
  <c r="C30" i="11"/>
  <c r="K31" i="11"/>
  <c r="K30" i="11"/>
  <c r="K29" i="11"/>
  <c r="I29" i="11"/>
  <c r="E29" i="11"/>
  <c r="C29" i="11"/>
  <c r="S47" i="11"/>
  <c r="U47" i="11" s="1"/>
  <c r="R47" i="11"/>
  <c r="O47" i="11"/>
  <c r="K47" i="11"/>
  <c r="I47" i="11"/>
  <c r="E47" i="11"/>
  <c r="C47" i="11"/>
  <c r="I223" i="11"/>
  <c r="K54" i="11"/>
  <c r="K53" i="11"/>
  <c r="K52" i="11"/>
  <c r="S54" i="11"/>
  <c r="T54" i="11" s="1"/>
  <c r="R54" i="11"/>
  <c r="O54" i="11"/>
  <c r="I54" i="11"/>
  <c r="E54" i="11"/>
  <c r="C54" i="11"/>
  <c r="S53" i="11"/>
  <c r="U53" i="11" s="1"/>
  <c r="R53" i="11"/>
  <c r="O53" i="11"/>
  <c r="I53" i="11"/>
  <c r="E53" i="11"/>
  <c r="C53" i="11"/>
  <c r="S52" i="11"/>
  <c r="U52" i="11" s="1"/>
  <c r="R52" i="11"/>
  <c r="O52" i="11"/>
  <c r="I52" i="11"/>
  <c r="E52" i="11"/>
  <c r="C52" i="11"/>
  <c r="K150" i="11"/>
  <c r="K149" i="11"/>
  <c r="K148" i="11"/>
  <c r="K147" i="11"/>
  <c r="K146" i="11"/>
  <c r="S150" i="11"/>
  <c r="U150" i="11" s="1"/>
  <c r="R150" i="11"/>
  <c r="O150" i="11"/>
  <c r="I150" i="11"/>
  <c r="E150" i="11"/>
  <c r="C150" i="11"/>
  <c r="S149" i="11"/>
  <c r="T149" i="11" s="1"/>
  <c r="R149" i="11"/>
  <c r="O149" i="11"/>
  <c r="I149" i="11"/>
  <c r="E149" i="11"/>
  <c r="C149" i="11"/>
  <c r="S148" i="11"/>
  <c r="U148" i="11" s="1"/>
  <c r="R148" i="11"/>
  <c r="O148" i="11"/>
  <c r="I148" i="11"/>
  <c r="E148" i="11"/>
  <c r="C148" i="11"/>
  <c r="S147" i="11"/>
  <c r="U147" i="11" s="1"/>
  <c r="R147" i="11"/>
  <c r="O147" i="11"/>
  <c r="I147" i="11"/>
  <c r="E147" i="11"/>
  <c r="C147" i="11"/>
  <c r="S146" i="11"/>
  <c r="U146" i="11" s="1"/>
  <c r="R146" i="11"/>
  <c r="O146" i="11"/>
  <c r="I146" i="11"/>
  <c r="E146" i="11"/>
  <c r="C146" i="11"/>
  <c r="L14" i="2"/>
  <c r="U14" i="11" l="1"/>
  <c r="T30" i="11"/>
  <c r="T31" i="11"/>
  <c r="T29" i="11"/>
  <c r="T47" i="11"/>
  <c r="U54" i="11"/>
  <c r="T53" i="11"/>
  <c r="T52" i="11"/>
  <c r="U149" i="11"/>
  <c r="T148" i="11"/>
  <c r="T147" i="11"/>
  <c r="T150" i="11"/>
  <c r="T146" i="11"/>
  <c r="S229" i="11"/>
  <c r="U229" i="11" s="1"/>
  <c r="S228" i="11"/>
  <c r="T228" i="11" s="1"/>
  <c r="S227" i="11"/>
  <c r="T227" i="11" s="1"/>
  <c r="S226" i="11"/>
  <c r="T226" i="11" s="1"/>
  <c r="S225" i="11"/>
  <c r="T225" i="11" s="1"/>
  <c r="S224" i="11"/>
  <c r="U224" i="11" s="1"/>
  <c r="S223" i="11"/>
  <c r="T223" i="11" s="1"/>
  <c r="S222" i="11"/>
  <c r="T222" i="11" s="1"/>
  <c r="S221" i="11"/>
  <c r="U221" i="11" s="1"/>
  <c r="S207" i="11"/>
  <c r="T207" i="11" s="1"/>
  <c r="S206" i="11"/>
  <c r="U206" i="11" s="1"/>
  <c r="S205" i="11"/>
  <c r="U205" i="11" s="1"/>
  <c r="S204" i="11"/>
  <c r="U204" i="11" s="1"/>
  <c r="S203" i="11"/>
  <c r="T203" i="11" s="1"/>
  <c r="S202" i="11"/>
  <c r="U202" i="11" s="1"/>
  <c r="S201" i="11"/>
  <c r="T201" i="11" s="1"/>
  <c r="S200" i="11"/>
  <c r="T200" i="11" s="1"/>
  <c r="S125" i="11"/>
  <c r="T125" i="11" s="1"/>
  <c r="S124" i="11"/>
  <c r="T124" i="11" s="1"/>
  <c r="S123" i="11"/>
  <c r="T123" i="11" s="1"/>
  <c r="S122" i="11"/>
  <c r="U122" i="11" s="1"/>
  <c r="S121" i="11"/>
  <c r="T121" i="11" s="1"/>
  <c r="S120" i="11"/>
  <c r="U120" i="11" s="1"/>
  <c r="S72" i="11"/>
  <c r="U72" i="11" s="1"/>
  <c r="S71" i="11"/>
  <c r="T71" i="11" s="1"/>
  <c r="S70" i="11"/>
  <c r="T70" i="11" s="1"/>
  <c r="U69" i="11"/>
  <c r="T68" i="11"/>
  <c r="S67" i="11"/>
  <c r="T67" i="11" s="1"/>
  <c r="S51" i="11"/>
  <c r="U51" i="11" s="1"/>
  <c r="S50" i="11"/>
  <c r="U50" i="11" s="1"/>
  <c r="S49" i="11"/>
  <c r="T49" i="11" s="1"/>
  <c r="S48" i="11"/>
  <c r="R229" i="11"/>
  <c r="R228" i="11"/>
  <c r="R227" i="11"/>
  <c r="R226" i="11"/>
  <c r="R225" i="11"/>
  <c r="R224" i="11"/>
  <c r="R223" i="11"/>
  <c r="R222" i="11"/>
  <c r="R221" i="11"/>
  <c r="R207" i="11"/>
  <c r="R206" i="11"/>
  <c r="R205" i="11"/>
  <c r="R204" i="11"/>
  <c r="R203" i="11"/>
  <c r="R202" i="11"/>
  <c r="R201" i="11"/>
  <c r="R200" i="11"/>
  <c r="R125" i="11"/>
  <c r="R124" i="11"/>
  <c r="R123" i="11"/>
  <c r="R122" i="11"/>
  <c r="R121" i="11"/>
  <c r="R120" i="11"/>
  <c r="R72" i="11"/>
  <c r="R71" i="11"/>
  <c r="R70" i="11"/>
  <c r="R69" i="11"/>
  <c r="R68" i="11"/>
  <c r="R67" i="11"/>
  <c r="R51" i="11"/>
  <c r="R50" i="11"/>
  <c r="R49" i="11"/>
  <c r="R48" i="11"/>
  <c r="O229" i="11"/>
  <c r="O228" i="11"/>
  <c r="O227" i="11"/>
  <c r="O226" i="11"/>
  <c r="O225" i="11"/>
  <c r="O224" i="11"/>
  <c r="O223" i="11"/>
  <c r="O222" i="11"/>
  <c r="O221" i="11"/>
  <c r="O207" i="11"/>
  <c r="O206" i="11"/>
  <c r="O205" i="11"/>
  <c r="O204" i="11"/>
  <c r="O203" i="11"/>
  <c r="O202" i="11"/>
  <c r="O201" i="11"/>
  <c r="O200" i="11"/>
  <c r="O125" i="11"/>
  <c r="O124" i="11"/>
  <c r="O123" i="11"/>
  <c r="O122" i="11"/>
  <c r="O121" i="11"/>
  <c r="O120" i="11"/>
  <c r="O72" i="11"/>
  <c r="O71" i="11"/>
  <c r="O70" i="11"/>
  <c r="O69" i="11"/>
  <c r="O68" i="11"/>
  <c r="O67" i="11"/>
  <c r="O51" i="11"/>
  <c r="O50" i="11"/>
  <c r="O49" i="11"/>
  <c r="O48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07" i="11"/>
  <c r="K206" i="11"/>
  <c r="K205" i="11"/>
  <c r="K204" i="11"/>
  <c r="K203" i="11"/>
  <c r="K202" i="11"/>
  <c r="K201" i="11"/>
  <c r="K200" i="11"/>
  <c r="K125" i="11"/>
  <c r="K124" i="11"/>
  <c r="K123" i="11"/>
  <c r="K122" i="11"/>
  <c r="K121" i="11"/>
  <c r="K72" i="11"/>
  <c r="K71" i="11"/>
  <c r="K70" i="11"/>
  <c r="K69" i="11"/>
  <c r="K68" i="11"/>
  <c r="K67" i="11"/>
  <c r="K51" i="11"/>
  <c r="K50" i="11"/>
  <c r="K49" i="11"/>
  <c r="K48" i="11"/>
  <c r="I234" i="11"/>
  <c r="I233" i="11"/>
  <c r="I232" i="11"/>
  <c r="I231" i="11"/>
  <c r="I230" i="11"/>
  <c r="I229" i="11"/>
  <c r="I228" i="11"/>
  <c r="I227" i="11"/>
  <c r="I226" i="11"/>
  <c r="I225" i="11"/>
  <c r="I224" i="11"/>
  <c r="I222" i="11"/>
  <c r="I221" i="11"/>
  <c r="I207" i="11"/>
  <c r="I206" i="11"/>
  <c r="I205" i="11"/>
  <c r="I204" i="11"/>
  <c r="I203" i="11"/>
  <c r="I202" i="11"/>
  <c r="I201" i="11"/>
  <c r="I200" i="11"/>
  <c r="I125" i="11"/>
  <c r="I124" i="11"/>
  <c r="I123" i="11"/>
  <c r="I122" i="11"/>
  <c r="I121" i="11"/>
  <c r="I120" i="11"/>
  <c r="I72" i="11"/>
  <c r="I71" i="11"/>
  <c r="I70" i="11"/>
  <c r="I69" i="11"/>
  <c r="I68" i="11"/>
  <c r="I67" i="11"/>
  <c r="I51" i="11"/>
  <c r="I50" i="11"/>
  <c r="I49" i="11"/>
  <c r="I48" i="11"/>
  <c r="E234" i="11"/>
  <c r="C234" i="11"/>
  <c r="E233" i="11"/>
  <c r="C233" i="11"/>
  <c r="E232" i="11"/>
  <c r="C232" i="11"/>
  <c r="E231" i="11"/>
  <c r="C231" i="11"/>
  <c r="E230" i="11"/>
  <c r="C230" i="11"/>
  <c r="E229" i="11"/>
  <c r="C229" i="11"/>
  <c r="E228" i="11"/>
  <c r="C228" i="11"/>
  <c r="E227" i="11"/>
  <c r="C227" i="11"/>
  <c r="E226" i="11"/>
  <c r="C226" i="11"/>
  <c r="E225" i="11"/>
  <c r="C225" i="11"/>
  <c r="E224" i="11"/>
  <c r="C224" i="11"/>
  <c r="E223" i="11"/>
  <c r="C223" i="11"/>
  <c r="E222" i="11"/>
  <c r="C222" i="11"/>
  <c r="E221" i="11"/>
  <c r="C221" i="11"/>
  <c r="E207" i="11"/>
  <c r="C207" i="11"/>
  <c r="E206" i="11"/>
  <c r="C206" i="11"/>
  <c r="E205" i="11"/>
  <c r="C205" i="11"/>
  <c r="E204" i="11"/>
  <c r="C204" i="11"/>
  <c r="E203" i="11"/>
  <c r="C203" i="11"/>
  <c r="E202" i="11"/>
  <c r="C202" i="11"/>
  <c r="E201" i="11"/>
  <c r="C201" i="11"/>
  <c r="E200" i="11"/>
  <c r="C200" i="11"/>
  <c r="E125" i="11"/>
  <c r="C125" i="11"/>
  <c r="E124" i="11"/>
  <c r="C124" i="11"/>
  <c r="E123" i="11"/>
  <c r="C123" i="11"/>
  <c r="E122" i="11"/>
  <c r="C122" i="11"/>
  <c r="E121" i="11"/>
  <c r="C121" i="11"/>
  <c r="E120" i="11"/>
  <c r="C120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51" i="11"/>
  <c r="C51" i="11"/>
  <c r="E50" i="11"/>
  <c r="C50" i="11"/>
  <c r="E49" i="11"/>
  <c r="C49" i="11"/>
  <c r="E48" i="11"/>
  <c r="C48" i="11"/>
  <c r="P4" i="2" l="1"/>
  <c r="U48" i="11"/>
  <c r="N4" i="2"/>
  <c r="T51" i="11"/>
  <c r="T72" i="11"/>
  <c r="T204" i="11"/>
  <c r="T120" i="11"/>
  <c r="T69" i="11"/>
  <c r="U71" i="11"/>
  <c r="T224" i="11"/>
  <c r="U123" i="11"/>
  <c r="U125" i="11"/>
  <c r="U200" i="11"/>
  <c r="T206" i="11"/>
  <c r="T229" i="11"/>
  <c r="U201" i="11"/>
  <c r="U207" i="11"/>
  <c r="U225" i="11"/>
  <c r="U226" i="11"/>
  <c r="T50" i="11"/>
  <c r="U68" i="11"/>
  <c r="T221" i="11"/>
  <c r="U124" i="11"/>
  <c r="U223" i="11"/>
  <c r="T202" i="11"/>
  <c r="U67" i="11"/>
  <c r="T122" i="11"/>
  <c r="U227" i="11"/>
  <c r="U70" i="11"/>
  <c r="U203" i="11"/>
  <c r="U228" i="11"/>
  <c r="T205" i="11"/>
  <c r="T48" i="11"/>
  <c r="U121" i="11"/>
  <c r="U49" i="11"/>
  <c r="U222" i="11"/>
  <c r="O4" i="2" l="1"/>
  <c r="Q4" i="2" s="1"/>
  <c r="N5" i="2"/>
  <c r="P5" i="2"/>
  <c r="H5" i="2"/>
  <c r="F5" i="2"/>
  <c r="G5" i="2" s="1"/>
  <c r="H4" i="2"/>
  <c r="F4" i="2"/>
  <c r="G4" i="2" s="1"/>
  <c r="D4" i="13"/>
  <c r="C4" i="13"/>
  <c r="B4" i="13"/>
  <c r="D3" i="13"/>
  <c r="C3" i="13"/>
  <c r="B3" i="13"/>
  <c r="Q5" i="2" l="1"/>
  <c r="O5" i="2"/>
  <c r="I5" i="2"/>
  <c r="I4" i="2"/>
  <c r="E11" i="2"/>
  <c r="E16" i="2"/>
  <c r="H15" i="2" l="1"/>
  <c r="F15" i="2"/>
  <c r="G15" i="2" s="1"/>
  <c r="H12" i="2"/>
  <c r="F12" i="2"/>
  <c r="H10" i="2"/>
  <c r="F10" i="2"/>
  <c r="G10" i="2" s="1"/>
  <c r="H7" i="2"/>
  <c r="F7" i="2"/>
  <c r="I15" i="2" l="1"/>
  <c r="G7" i="2"/>
  <c r="I7" i="2" s="1"/>
  <c r="G12" i="2"/>
  <c r="I12" i="2" s="1"/>
  <c r="I10" i="2"/>
  <c r="I6" i="2" l="1"/>
  <c r="H6" i="2"/>
  <c r="G6" i="2"/>
  <c r="E6" i="2"/>
  <c r="E17" i="2" s="1"/>
  <c r="F6" i="2"/>
  <c r="F8" i="2" l="1"/>
  <c r="H8" i="2"/>
  <c r="M5" i="2"/>
  <c r="G8" i="2" l="1"/>
  <c r="F9" i="2"/>
  <c r="G9" i="2" s="1"/>
  <c r="H9" i="2"/>
  <c r="S254" i="11"/>
  <c r="F13" i="2"/>
  <c r="I9" i="2" l="1"/>
  <c r="H13" i="2"/>
  <c r="H11" i="2"/>
  <c r="G11" i="2"/>
  <c r="I8" i="2"/>
  <c r="F11" i="2"/>
  <c r="G13" i="2"/>
  <c r="H14" i="2"/>
  <c r="F14" i="2"/>
  <c r="G14" i="2" s="1"/>
  <c r="T254" i="11"/>
  <c r="I13" i="2" l="1"/>
  <c r="I11" i="2"/>
  <c r="H16" i="2"/>
  <c r="H17" i="2" s="1"/>
  <c r="F16" i="2"/>
  <c r="F17" i="2" s="1"/>
  <c r="G16" i="2"/>
  <c r="G17" i="2" s="1"/>
  <c r="I14" i="2"/>
  <c r="M24" i="13"/>
  <c r="I16" i="2" l="1"/>
  <c r="I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AD2" authorId="0" shapeId="0" xr:uid="{4D8E54B5-AD78-443A-9505-510072C82878}">
      <text>
        <r>
          <rPr>
            <b/>
            <sz val="9"/>
            <color indexed="81"/>
            <rFont val="Tahoma"/>
            <family val="2"/>
            <charset val="238"/>
          </rPr>
          <t>ha mínusz pár forint az eltérés, akkor le kell vonni a bérből, mert az kerekítési különbözet. Ha plusz pár Forint, azt hagyjuk úgy</t>
        </r>
      </text>
    </comment>
    <comment ref="O10" authorId="0" shapeId="0" xr:uid="{40F6C4F5-7A5E-4B80-A0FB-2EB3A7E67ADD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120" authorId="0" shapeId="0" xr:uid="{9673476E-945C-4657-8B1E-6F221E2C9EEB}">
      <text>
        <r>
          <rPr>
            <b/>
            <sz val="9"/>
            <color indexed="81"/>
            <rFont val="Tahoma"/>
            <family val="2"/>
            <charset val="238"/>
          </rPr>
          <t>tört hónap</t>
        </r>
      </text>
    </comment>
    <comment ref="O135" authorId="0" shapeId="0" xr:uid="{D1437F96-4824-48F7-8F8E-9A4320802746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  <r>
          <rPr>
            <sz val="9"/>
            <color indexed="81"/>
            <rFont val="Tahoma"/>
            <family val="2"/>
            <charset val="238"/>
          </rPr>
          <t xml:space="preserve">
arányosan számoltam a teljes bérhez</t>
        </r>
      </text>
    </comment>
    <comment ref="O138" authorId="0" shapeId="0" xr:uid="{6EF126E7-4087-45E1-90CC-178B48F6E0A3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</text>
    </comment>
    <comment ref="T138" authorId="0" shapeId="0" xr:uid="{CDE5C39A-85B8-4687-98FE-419F63A49B86}">
      <text>
        <r>
          <rPr>
            <b/>
            <sz val="9"/>
            <color indexed="81"/>
            <rFont val="Tahoma"/>
            <family val="2"/>
            <charset val="238"/>
          </rPr>
          <t>óra/összes óra * járulék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139" authorId="0" shapeId="0" xr:uid="{70342777-C81D-4154-A561-65C9EDB39083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140" authorId="0" shapeId="0" xr:uid="{4C05C05A-F061-4DD8-B9E9-D9C82B8CEA38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141" authorId="0" shapeId="0" xr:uid="{97A31C1B-5021-4231-8DA3-C240DD67FF9C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142" authorId="0" shapeId="0" xr:uid="{72433C93-A0F1-40CD-96DC-7311E6404379}">
      <text>
        <r>
          <rPr>
            <b/>
            <sz val="9"/>
            <color indexed="81"/>
            <rFont val="Tahoma"/>
            <family val="2"/>
            <charset val="238"/>
          </rPr>
          <t>tört hónap</t>
        </r>
      </text>
    </comment>
    <comment ref="O142" authorId="0" shapeId="0" xr:uid="{B84E7FB5-242C-4DEE-B95E-91FB1E59CBF1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07" authorId="0" shapeId="0" xr:uid="{CEDA70D2-46FB-4F0D-BE6B-EE12166102F3}">
      <text>
        <r>
          <rPr>
            <b/>
            <sz val="9"/>
            <color indexed="81"/>
            <rFont val="Tahoma"/>
            <family val="2"/>
            <charset val="238"/>
          </rPr>
          <t>táppénz, csecsemőgond.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08" authorId="0" shapeId="0" xr:uid="{43995E91-CD8B-4B1C-8F54-FF0761A7F4C3}">
      <text>
        <r>
          <rPr>
            <b/>
            <sz val="9"/>
            <color indexed="81"/>
            <rFont val="Tahoma"/>
            <family val="2"/>
            <charset val="238"/>
          </rPr>
          <t>csecsemőgond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09" authorId="0" shapeId="0" xr:uid="{62D1458D-4447-475C-AB15-B73F88910690}">
      <text>
        <r>
          <rPr>
            <b/>
            <sz val="9"/>
            <color indexed="81"/>
            <rFont val="Tahoma"/>
            <family val="2"/>
            <charset val="238"/>
          </rPr>
          <t>csecsemőgond. díj</t>
        </r>
      </text>
    </comment>
    <comment ref="N210" authorId="0" shapeId="0" xr:uid="{A78F073C-BF48-4877-9C75-E57F8053787F}">
      <text>
        <r>
          <rPr>
            <b/>
            <sz val="9"/>
            <color indexed="81"/>
            <rFont val="Tahoma"/>
            <family val="2"/>
            <charset val="238"/>
          </rPr>
          <t>csecsemőgondozási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11" authorId="0" shapeId="0" xr:uid="{6292535C-F091-4326-A1C9-B92E5962CD28}">
      <text>
        <r>
          <rPr>
            <b/>
            <sz val="9"/>
            <color indexed="81"/>
            <rFont val="Tahoma"/>
            <family val="2"/>
            <charset val="238"/>
          </rPr>
          <t>csecsemőgondozás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12" authorId="0" shapeId="0" xr:uid="{DF719E8D-6991-4CB6-BDBA-30F90DFECAF0}">
      <text>
        <r>
          <rPr>
            <b/>
            <sz val="9"/>
            <color indexed="81"/>
            <rFont val="Tahoma"/>
            <family val="2"/>
            <charset val="238"/>
          </rPr>
          <t>csecsemőgondozás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13" authorId="0" shapeId="0" xr:uid="{23674A8F-541C-45F0-9A64-756953AF3052}">
      <text>
        <r>
          <rPr>
            <b/>
            <sz val="9"/>
            <color indexed="81"/>
            <rFont val="Tahoma"/>
            <family val="2"/>
            <charset val="238"/>
          </rPr>
          <t>gyed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<sst xmlns="http://schemas.openxmlformats.org/spreadsheetml/2006/main" count="2723" uniqueCount="257">
  <si>
    <t>Fennmaradó 
egyenleg</t>
  </si>
  <si>
    <t>bér arány</t>
  </si>
  <si>
    <t>ÖSSZESEN</t>
  </si>
  <si>
    <t>Szállító</t>
  </si>
  <si>
    <t>Megnevezés</t>
  </si>
  <si>
    <t>Témaszám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</si>
  <si>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</si>
  <si>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</si>
  <si>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</si>
  <si>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</si>
  <si>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</si>
  <si>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</si>
  <si>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Megjegyzés</t>
  </si>
  <si>
    <t>Tény/Köt. váll.</t>
  </si>
  <si>
    <t>Kifizetési kérelem</t>
  </si>
  <si>
    <t>Felhasználás</t>
  </si>
  <si>
    <t>Pénzügyi</t>
  </si>
  <si>
    <t>Megbízási</t>
  </si>
  <si>
    <t>Munkaköri</t>
  </si>
  <si>
    <t>Mindösszesen</t>
  </si>
  <si>
    <t>többlet</t>
  </si>
  <si>
    <t>bruttó bér</t>
  </si>
  <si>
    <t>óra</t>
  </si>
  <si>
    <t>elszámolt</t>
  </si>
  <si>
    <t>járulék</t>
  </si>
  <si>
    <t>dátuma</t>
  </si>
  <si>
    <t>közreműködő munkatársak (Név)</t>
  </si>
  <si>
    <t>központ (terhelés)</t>
  </si>
  <si>
    <t>központ (számfejtés)</t>
  </si>
  <si>
    <t>MEGBÍZÁSOK</t>
  </si>
  <si>
    <t>Megrendelés/ szerződés száma</t>
  </si>
  <si>
    <t>SZERVEZETI EGYSÉGEK SZERINT</t>
  </si>
  <si>
    <t>leírás</t>
  </si>
  <si>
    <t>nyilvántartás</t>
  </si>
  <si>
    <t>mértéke</t>
  </si>
  <si>
    <t>Munkaidő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</si>
  <si>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</si>
  <si>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</si>
  <si>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</si>
  <si>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</si>
  <si>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</si>
  <si>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</si>
  <si>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</si>
  <si>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</si>
  <si>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</si>
  <si>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</si>
  <si>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</si>
  <si>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</si>
  <si>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</si>
  <si>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</si>
  <si>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</si>
  <si>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</si>
  <si>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Kifizetés hónapja</t>
  </si>
  <si>
    <t>Tevékenység neve</t>
  </si>
  <si>
    <t>Keret</t>
  </si>
  <si>
    <t>óra arány</t>
  </si>
  <si>
    <t>különbsége</t>
  </si>
  <si>
    <t>Alap dokumentum</t>
  </si>
  <si>
    <t>Aláírt</t>
  </si>
  <si>
    <t>kinevezés</t>
  </si>
  <si>
    <t>KÖLTSÉGEK</t>
  </si>
  <si>
    <t>Szervezeti egység</t>
  </si>
  <si>
    <t>Szoc. Ho.</t>
  </si>
  <si>
    <t>adó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</si>
  <si>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</si>
  <si>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</si>
  <si>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</si>
  <si>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</si>
  <si>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</si>
  <si>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</si>
  <si>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</si>
  <si>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</si>
  <si>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</si>
  <si>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</si>
  <si>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</si>
  <si>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(kinev/többlet)</t>
  </si>
  <si>
    <t>Technikus</t>
  </si>
  <si>
    <t>Segédszemélyzet</t>
  </si>
  <si>
    <t>Munkabér</t>
  </si>
  <si>
    <t>3 tizedesre kerekített munkaidő%</t>
  </si>
  <si>
    <t>Számla sorszáma</t>
  </si>
  <si>
    <t>Beszerzett tétel megnevezése</t>
  </si>
  <si>
    <t>Úti költéség és konferenica esetében kérjük a konferencia nevét, időpontját feltüntetni illetve az útiköltség esetében is hogy melyik konferenciához ívánjuk elszámolni a felmerülő költséget, résztvevők nevei.</t>
  </si>
  <si>
    <t>Konferecia és útiköltség esetében esetében is kérjük tölteni.</t>
  </si>
  <si>
    <t>Költség kategória</t>
  </si>
  <si>
    <t>Költség elem</t>
  </si>
  <si>
    <t>Számla kelte</t>
  </si>
  <si>
    <t>Teljesítés dátuma</t>
  </si>
  <si>
    <t>Időszak</t>
  </si>
  <si>
    <t>Hallgatói foglalkoztatás</t>
  </si>
  <si>
    <t>K+F munkatárs</t>
  </si>
  <si>
    <t>Projektmenedzsment</t>
  </si>
  <si>
    <t>Egyéb</t>
  </si>
  <si>
    <t>Adott kolléga milyen munkakört tölt be a projektben (legördülő menüből választani)
TÖLTENDŐ!</t>
  </si>
  <si>
    <t>JBI azonosító szerepeltetése
OTRS szám</t>
  </si>
  <si>
    <t>SAP/Köt. váll. azonosító</t>
  </si>
  <si>
    <t>Összeg 
(Ft)</t>
  </si>
  <si>
    <t>Egyéb paraméter</t>
  </si>
  <si>
    <t>Támogatást igénylő</t>
  </si>
  <si>
    <t>Finanszírozási mód</t>
  </si>
  <si>
    <t>Állami támogatás kategória</t>
  </si>
  <si>
    <t>Beszerzés jellege</t>
  </si>
  <si>
    <t>Elszámolási mód</t>
  </si>
  <si>
    <t>Mérföldkő hozzárendelése</t>
  </si>
  <si>
    <t>Nettó egységár</t>
  </si>
  <si>
    <t>Nettó egységárra jutó ÁFA</t>
  </si>
  <si>
    <t>Bruttó egységár</t>
  </si>
  <si>
    <t>Mennyiség</t>
  </si>
  <si>
    <t>Nettó érték</t>
  </si>
  <si>
    <t>ÁFA érték</t>
  </si>
  <si>
    <t>Teljes költség</t>
  </si>
  <si>
    <t>Elszámolható költség</t>
  </si>
  <si>
    <t>Nem elszámolható költség</t>
  </si>
  <si>
    <t>Támogatási százalék</t>
  </si>
  <si>
    <t>Támogatási összeg</t>
  </si>
  <si>
    <t>Összes kifizethető költség (Ft) - Utófinanszírozott</t>
  </si>
  <si>
    <t>Összes kifizethető költség (Ft) - Szállítói finanszírozású</t>
  </si>
  <si>
    <t>Részletezés</t>
  </si>
  <si>
    <t>Megvalósítási helyszín</t>
  </si>
  <si>
    <t>Átjárhatóság</t>
  </si>
  <si>
    <t>Szakágazat</t>
  </si>
  <si>
    <t>Eszközbeszerzés</t>
  </si>
  <si>
    <t>Utófinanszírozás</t>
  </si>
  <si>
    <t>Nem állami támogatás</t>
  </si>
  <si>
    <t>Beszerzés</t>
  </si>
  <si>
    <t>Valós költség</t>
  </si>
  <si>
    <t>Kísérleti fejlesztés – Működési költség</t>
  </si>
  <si>
    <t>51. Anyagköltség</t>
  </si>
  <si>
    <t>Alkalmazott (ipari) kutatás – Működési költség</t>
  </si>
  <si>
    <t>54. Bérköltség</t>
  </si>
  <si>
    <t>54. Bérköltség - Kutató-fejlesztő munkatárs</t>
  </si>
  <si>
    <t>Saját teljesítés</t>
  </si>
  <si>
    <t>54. Bérköltség - technikus segédszemélyzet</t>
  </si>
  <si>
    <t>56. Bérjárulék</t>
  </si>
  <si>
    <t>56. Bérjárulék - Kutató-fejlesztő munkatárs</t>
  </si>
  <si>
    <t>56. Bérjárulék - technikus segédszemélyzet</t>
  </si>
  <si>
    <t>Összesen</t>
  </si>
  <si>
    <t>Pannon Egyetem</t>
  </si>
  <si>
    <t>Munkakör</t>
  </si>
  <si>
    <t>2023.12</t>
  </si>
  <si>
    <t>2024.01</t>
  </si>
  <si>
    <t>2024.02</t>
  </si>
  <si>
    <t>2024.03</t>
  </si>
  <si>
    <t>2024.04</t>
  </si>
  <si>
    <t>2024.05</t>
  </si>
  <si>
    <t>Résztvevő</t>
  </si>
  <si>
    <t>Foglalkoztatás</t>
  </si>
  <si>
    <t>Teljes</t>
  </si>
  <si>
    <t>Projekten</t>
  </si>
  <si>
    <t>Elszámolás</t>
  </si>
  <si>
    <t>Tevékenység</t>
  </si>
  <si>
    <t>Költség</t>
  </si>
  <si>
    <t>típusa</t>
  </si>
  <si>
    <t>bruttó munkabér</t>
  </si>
  <si>
    <t>bérjárulék</t>
  </si>
  <si>
    <t>havi</t>
  </si>
  <si>
    <t>sorszáma</t>
  </si>
  <si>
    <t>neve</t>
  </si>
  <si>
    <t>kategória</t>
  </si>
  <si>
    <t>típus</t>
  </si>
  <si>
    <t>elem</t>
  </si>
  <si>
    <t>Kezdete</t>
  </si>
  <si>
    <t>Vége</t>
  </si>
  <si>
    <t>munkaidő</t>
  </si>
  <si>
    <t>DOLOGI / ESZKÖZÖK ÖSSZESEN</t>
  </si>
  <si>
    <t>BÉRKÖLTSÉG ÖSSZESEN</t>
  </si>
  <si>
    <t>BÉRJÁRULÉK ÖSSZESEN</t>
  </si>
  <si>
    <t>IT eszközbeszerzés</t>
  </si>
  <si>
    <t>Kísérleti fejlesztés anyagköltsége</t>
  </si>
  <si>
    <t>14. Egyéb berendezések, felszerelések, járművek</t>
  </si>
  <si>
    <t>Kutató-fejlesztő bér - KF</t>
  </si>
  <si>
    <t>Kutató-fejlesztő bér - IK</t>
  </si>
  <si>
    <t>Technikus bér - KF</t>
  </si>
  <si>
    <t>Technikus bér - IK</t>
  </si>
  <si>
    <t>E017200178</t>
  </si>
  <si>
    <t>Közbeszerzés</t>
  </si>
  <si>
    <t>Magas szintű számítási kapacitásokkal rendelkező IT eszközök. Pl. 3 db HP ProBook650, 3 db HP EliteBook 830, 2 db HP Prodesk 400, 3 db HP G5 dokkoló, 2 db Calatyst router. Ajánlatadó: Euro One Számítástechnikai Zrt.
1 db EMC Data Domain DD2500 10GB NETWORK IO module
2 db Lenovo Flex System FC5022 16Gb SAN Scalable Switch
2 db Flex System FC5022 16Gb SAN Scalable Switch (Upgrade 2)
36 db Brocade 16Gb SFP+ transceiver module</t>
  </si>
  <si>
    <t>Kis értékű szerelési anyagok, melyeket a tesztelések és a rendszer kialakítása során fogunk felhasználni. Az eszközök az alábbiakat fogják magukba foglalni: kábelek, csatlakozók, teszteléshez tápegységek, optikai kábelek)</t>
  </si>
  <si>
    <t>A projekt kísérleti fejlesztési szakaszában a Pannon Egyetem részéről 5 fő kutató-fejlesztő vesz majd részt, akik jelenleg is az egyetem alkalmazásában állnak. 
A kutatómérnökök a projektre elszámolandó bruttó bére + munkaadó által fizetendő bérjáruléka (15,5% szakképzési hozzájárulás + 1,5% szakképzési járulék)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fejlesztésen lesznek alkalmazva, és 1 évig az ipari kutatáson. FTE tekintetében a kísérleti fejlesztési szakaszhoz 3,35-ös értékük párosul, míg az ipari kutatási szakaszhoz 1,65.</t>
  </si>
  <si>
    <t>A projekt ipari kutatási szakaszában a Pannon Egyetem részéről 5 fő kutató-fejlesztő vesz majd részt, akik jelenleg is az egyetem alkalmazásában állnak. 
A kutatómérnökök projektre elszámolandó bruttó bére + munkaadó által fizetendő bérjáruléka (15,5% szakképzési hozzájárulás + 1,5% szakképzési járulék)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 keretein belül lesznek alkalmazva, és 1 évig az ipari kutatáson. FTE tekintetében a kísérleti fejlesztési szakaszhoz 3,35-ös értékük párosul, míg az ipari kutatási szakaszhoz 1,65.</t>
  </si>
  <si>
    <t>A projekt kísérleti fejlesztési szakaszában a Pannon Egyetem részéről 1 fő technikus vesz majd részt, aki jelenleg is az egyetem alkalmazásában áll. 
A technikus projektre elszámolandó bruttó bére + munkaadó által fizetendő bérjáruléka (15,5% szakképzési hozzájárulás) arányosítva van kikalkulálva. 
A technikus munkabére besorolástól függően 494.805 Ft/havidíj között alakul, ezen béreket arányosítottuk. Különálló szervezeti egység lesz létrehozva a projekt idejére és az ezen belül dolgozók munkaidejük 100%-át a a projektre fogják fordítani, tehát az ezen a soron lévő 1 fő is. A technikus 2 évig a kísérleti fejlesztés keretein belül lesz alkalmazva, és 1 évig az ipari kutatáson. FTE tekintetében a kísérleti fejlesztési szakaszhoz 0,67-es érték párosul, míg az ipari kutatási szakaszhoz 0,33.</t>
  </si>
  <si>
    <t>A projekt ipari kutatási szakaszában a Pannon Egyetem részéről 1 fő technikus vesz majd részt, aki jelenleg is az egyetem alkalmazásában áll. 
A technikus projektre elszámolandó bruttó bére + munkaadó által fizetendő bérjáruléka (15,5% szakképzési hozzájárulás) arányosítva van kikalkulálva. 
A technikus munkabére besorolástól függően 494.805 Ft/havidíj között alakul, ezen béreket arányosítottuk. Különálló szervezeti egység lesz létrehozva a projekt idejére és az ezen belül dolgozók munkaidejük 100%-át a a projektre fogják fordítani, tehát az ezen a soron lévő 1 fő is. A technikus 2 évig a kísérleti fejlesztés keretein belül lesz alkalmazva, és 1 évig az ipari kutatáson. FTE tekintetében a kísérleti fejlesztési szakaszhoz 0,67-es érték párosul, míg az ipari kutatási szakaszhoz 0,33.</t>
  </si>
  <si>
    <t>Kutató-fejlesztő bérjárulék - IK</t>
  </si>
  <si>
    <t>A projekt ipari kutatási szakaszában a Pannon Egyetem részéről 5 fő kutató-fejlesztő vesz majd részt, akik jelenleg is az egyetem alkalmazásában állnak. 
A kutatómérnökök projektre elszámolandó bruttó bére + munkaadó által fizetendő bérjáruléka (15,5% szakképzési hozzájárulás)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 keretein belül lesznek alkalmazva, és 1 évig az ipari kutatáson. FTE tekintetében a kísérleti fejlesztési szakaszhoz 3,35-ös értékük párosul, míg az ipari kutatási szakaszhoz 1,65.</t>
  </si>
  <si>
    <t>Kutató-fejlesztő bérjárulék - KF</t>
  </si>
  <si>
    <t>A projekt kísérleti fejlesztési szakaszában a Pannon Egyetem részéről 5 fő kutató-fejlesztő vesz majd részt, akik jelenleg is az egyetem alkalmazásában állnak. 
A kutatómérnökök a projektre elszámolandó bruttó bére + munkaadó által fizetendő bérjáruléka (15,5% szakképzési hozzájárulás)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 keretein belül lesznek alkalmazva, és 1 évig az ipari kutatáson. FTE tekintetében a kísérleti fejlesztési szakaszhoz 3,35-ös értékük párosul, míg az ipari kutatási szakaszhoz 1,65.</t>
  </si>
  <si>
    <t>Technikus bérjárulék - IK</t>
  </si>
  <si>
    <t>Technikus bérjárulék - KF</t>
  </si>
  <si>
    <t>MIK</t>
  </si>
  <si>
    <t>Domokos Endre Gábor</t>
  </si>
  <si>
    <t>Fodor Attila</t>
  </si>
  <si>
    <t>Hardy András György</t>
  </si>
  <si>
    <t>Tudós Gábor</t>
  </si>
  <si>
    <t>C211100000</t>
  </si>
  <si>
    <t>E021100000</t>
  </si>
  <si>
    <t>E021110000</t>
  </si>
  <si>
    <t>M211120000</t>
  </si>
  <si>
    <t>i</t>
  </si>
  <si>
    <t>okmány</t>
  </si>
  <si>
    <t>Előlegek</t>
  </si>
  <si>
    <t>Juhász Judit</t>
  </si>
  <si>
    <t>Csizmadia Ferenc</t>
  </si>
  <si>
    <t>Bálint Roland</t>
  </si>
  <si>
    <t>Fodor Sándor</t>
  </si>
  <si>
    <t>E011110000</t>
  </si>
  <si>
    <t>Pózna Anna</t>
  </si>
  <si>
    <t>Pekárdy Milán Péter</t>
  </si>
  <si>
    <t>E031110000</t>
  </si>
  <si>
    <t>Fodor Fruzsina</t>
  </si>
  <si>
    <t>Ipkovich Bálint</t>
  </si>
  <si>
    <t>Tóth-Nagy Georgina</t>
  </si>
  <si>
    <t>Schmidtné Lényi Szilvia</t>
  </si>
  <si>
    <t>2024.06</t>
  </si>
  <si>
    <t>2024.07</t>
  </si>
  <si>
    <t>2024.08</t>
  </si>
  <si>
    <t>2024.09</t>
  </si>
  <si>
    <t>Futamidő: 2021.10.01-2024.09.30</t>
  </si>
  <si>
    <t>Záró beszámoló: 2024.10.31</t>
  </si>
  <si>
    <t>Trájer Attila János</t>
  </si>
  <si>
    <t>Dolgozó</t>
  </si>
  <si>
    <t>adóazonosító</t>
  </si>
  <si>
    <t>8457261002</t>
  </si>
  <si>
    <t>8448900545</t>
  </si>
  <si>
    <t>8375073423</t>
  </si>
  <si>
    <t>8393082064</t>
  </si>
  <si>
    <t>8409541254</t>
  </si>
  <si>
    <t>8479830956</t>
  </si>
  <si>
    <t>8470832808</t>
  </si>
  <si>
    <t>8341122936</t>
  </si>
  <si>
    <t>8473223225</t>
  </si>
  <si>
    <t>8470592335</t>
  </si>
  <si>
    <t>8443330120</t>
  </si>
  <si>
    <t>8412333799</t>
  </si>
  <si>
    <t>8440712316</t>
  </si>
  <si>
    <t>8426440355</t>
  </si>
  <si>
    <t>8420632767</t>
  </si>
  <si>
    <t>eltérés</t>
  </si>
  <si>
    <t>Bér</t>
  </si>
  <si>
    <t>Járulék</t>
  </si>
  <si>
    <t>Név</t>
  </si>
  <si>
    <t>Adóazonosító</t>
  </si>
  <si>
    <t>Számfejtés</t>
  </si>
  <si>
    <t>Dr. Bálint Roland</t>
  </si>
  <si>
    <t>Dr. Domokos Endre Gábor</t>
  </si>
  <si>
    <t>Dr. Fodor Attila</t>
  </si>
  <si>
    <t>Dr. Pózna Anna Ibolya</t>
  </si>
  <si>
    <t>Dr. Tóth-Nagy Georgina</t>
  </si>
  <si>
    <t>Bali Zsolt László</t>
  </si>
  <si>
    <t>8490960364</t>
  </si>
  <si>
    <t>EGYEZIK</t>
  </si>
  <si>
    <t>HIBÁS</t>
  </si>
  <si>
    <t>M211130000</t>
  </si>
  <si>
    <t>Ábrahám Gyula</t>
  </si>
  <si>
    <t>8451322220</t>
  </si>
  <si>
    <t>Terhelés</t>
  </si>
  <si>
    <t>Hónap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</si>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</sst>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\ &quot;Ft&quot;_-;\-* #,##0\ &quot;Ft&quot;_-;_-* &quot;-&quot;??\ &quot;Ft&quot;_-;_-@_-"/>
    <numFmt numFmtId="169" formatCode="0.0%"/>
    <numFmt numFmtId="170" formatCode="_-* #,##0_-;\-* #,##0_-;_-* &quot;-&quot;??_-;_-@_-"/>
  </numFmts>
  <fonts count="59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0"/>
      <color indexed="8"/>
      <name val="Times New Roman"/>
      <family val="1"/>
      <charset val="238"/>
    </font>
    <font>
      <b/>
      <sz val="11"/>
      <color rgb="FF000000"/>
      <name val="Calibri"/>
      <family val="2"/>
      <charset val="238"/>
    </font>
    <font>
      <sz val="8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</font>
    <font>
      <sz val="11"/>
      <color rgb="FF00B050"/>
      <name val="Calibri"/>
      <family val="2"/>
      <charset val="238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1C8FB"/>
        <bgColor rgb="FF000000"/>
      </patternFill>
    </fill>
    <fill>
      <patternFill patternType="solid">
        <fgColor rgb="FFE6EDF7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theme="4" tint="0.39997558519241921"/>
      </bottom>
      <diagonal/>
    </border>
  </borders>
  <cellStyleXfs count="147">
    <xf numFmtId="0" fontId="0" fillId="0" borderId="0"/>
    <xf numFmtId="0" fontId="12" fillId="2" borderId="8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1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1" fillId="21" borderId="15" applyNumberFormat="0" applyFont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5" borderId="0" applyNumberFormat="0" applyBorder="0" applyAlignment="0" applyProtection="0"/>
    <xf numFmtId="0" fontId="25" fillId="8" borderId="0" applyNumberFormat="0" applyBorder="0" applyAlignment="0" applyProtection="0"/>
    <xf numFmtId="0" fontId="26" fillId="26" borderId="16" applyNumberFormat="0" applyAlignment="0" applyProtection="0"/>
    <xf numFmtId="0" fontId="27" fillId="0" borderId="0" applyNumberFormat="0" applyFill="0" applyBorder="0" applyAlignment="0" applyProtection="0"/>
    <xf numFmtId="0" fontId="4" fillId="0" borderId="17" applyNumberFormat="0" applyFill="0" applyAlignment="0" applyProtection="0"/>
    <xf numFmtId="0" fontId="28" fillId="7" borderId="0" applyNumberFormat="0" applyBorder="0" applyAlignment="0" applyProtection="0"/>
    <xf numFmtId="0" fontId="29" fillId="27" borderId="0" applyNumberFormat="0" applyBorder="0" applyAlignment="0" applyProtection="0"/>
    <xf numFmtId="0" fontId="30" fillId="26" borderId="9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5" borderId="0" applyNumberFormat="0" applyBorder="0" applyAlignment="0" applyProtection="0"/>
    <xf numFmtId="0" fontId="11" fillId="0" borderId="0"/>
    <xf numFmtId="0" fontId="31" fillId="0" borderId="0"/>
    <xf numFmtId="0" fontId="17" fillId="11" borderId="9" applyNumberFormat="0" applyAlignment="0" applyProtection="0"/>
    <xf numFmtId="0" fontId="1" fillId="21" borderId="15" applyNumberFormat="0" applyFont="0" applyAlignment="0" applyProtection="0"/>
    <xf numFmtId="0" fontId="26" fillId="26" borderId="16" applyNumberFormat="0" applyAlignment="0" applyProtection="0"/>
    <xf numFmtId="0" fontId="4" fillId="0" borderId="17" applyNumberFormat="0" applyFill="0" applyAlignment="0" applyProtection="0"/>
    <xf numFmtId="0" fontId="30" fillId="26" borderId="9" applyNumberFormat="0" applyAlignment="0" applyProtection="0"/>
    <xf numFmtId="0" fontId="11" fillId="5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1" fillId="21" borderId="15" applyNumberFormat="0" applyFon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26" fillId="26" borderId="16" applyNumberFormat="0" applyAlignment="0" applyProtection="0"/>
    <xf numFmtId="0" fontId="4" fillId="0" borderId="17" applyNumberFormat="0" applyFill="0" applyAlignment="0" applyProtection="0"/>
    <xf numFmtId="0" fontId="30" fillId="26" borderId="9" applyNumberFormat="0" applyAlignment="0" applyProtection="0"/>
    <xf numFmtId="0" fontId="30" fillId="26" borderId="9" applyNumberFormat="0" applyAlignment="0" applyProtection="0"/>
    <xf numFmtId="0" fontId="17" fillId="11" borderId="9" applyNumberFormat="0" applyAlignment="0" applyProtection="0"/>
    <xf numFmtId="0" fontId="11" fillId="0" borderId="0"/>
    <xf numFmtId="0" fontId="11" fillId="5" borderId="0" applyNumberFormat="0" applyBorder="0" applyAlignment="0" applyProtection="0"/>
    <xf numFmtId="0" fontId="11" fillId="0" borderId="0"/>
    <xf numFmtId="0" fontId="11" fillId="5" borderId="0" applyNumberFormat="0" applyBorder="0" applyAlignment="0" applyProtection="0"/>
    <xf numFmtId="0" fontId="11" fillId="0" borderId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30" fillId="26" borderId="9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17" fillId="11" borderId="9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7" fillId="0" borderId="0"/>
    <xf numFmtId="164" fontId="3" fillId="0" borderId="0" applyFont="0" applyFill="0" applyBorder="0" applyAlignment="0" applyProtection="0"/>
    <xf numFmtId="0" fontId="39" fillId="0" borderId="0"/>
    <xf numFmtId="44" fontId="11" fillId="0" borderId="0" applyFont="0" applyFill="0" applyBorder="0" applyAlignment="0" applyProtection="0"/>
  </cellStyleXfs>
  <cellXfs count="248">
    <xf numFmtId="0" fontId="0" fillId="0" borderId="0" xfId="0"/>
    <xf numFmtId="0" fontId="3" fillId="3" borderId="1" xfId="0" applyFont="1" applyFill="1" applyBorder="1" applyAlignment="1">
      <alignment horizontal="left"/>
    </xf>
    <xf numFmtId="49" fontId="0" fillId="0" borderId="0" xfId="0" applyNumberFormat="1"/>
    <xf numFmtId="165" fontId="0" fillId="0" borderId="0" xfId="2" applyNumberFormat="1" applyFont="1" applyFill="1"/>
    <xf numFmtId="165" fontId="36" fillId="0" borderId="0" xfId="2" applyNumberFormat="1" applyFont="1" applyFill="1"/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49" fontId="0" fillId="0" borderId="20" xfId="0" applyNumberFormat="1" applyBorder="1" applyAlignment="1">
      <alignment horizontal="center" vertical="center" wrapText="1"/>
    </xf>
    <xf numFmtId="165" fontId="0" fillId="0" borderId="20" xfId="2" applyNumberFormat="1" applyFont="1" applyFill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167" fontId="13" fillId="0" borderId="0" xfId="0" applyNumberFormat="1" applyFont="1"/>
    <xf numFmtId="167" fontId="13" fillId="3" borderId="1" xfId="0" applyNumberFormat="1" applyFont="1" applyFill="1" applyBorder="1"/>
    <xf numFmtId="3" fontId="0" fillId="0" borderId="0" xfId="0" applyNumberFormat="1"/>
    <xf numFmtId="0" fontId="13" fillId="0" borderId="1" xfId="0" applyFont="1" applyBorder="1" applyAlignment="1">
      <alignment horizontal="center"/>
    </xf>
    <xf numFmtId="3" fontId="41" fillId="0" borderId="0" xfId="0" applyNumberFormat="1" applyFont="1"/>
    <xf numFmtId="49" fontId="0" fillId="0" borderId="0" xfId="0" applyNumberFormat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3" fontId="44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5" fillId="33" borderId="7" xfId="0" applyFont="1" applyFill="1" applyBorder="1" applyAlignment="1">
      <alignment horizontal="center" vertical="center" wrapText="1"/>
    </xf>
    <xf numFmtId="0" fontId="5" fillId="33" borderId="2" xfId="0" applyFont="1" applyFill="1" applyBorder="1" applyAlignment="1">
      <alignment horizontal="center" vertical="center" wrapText="1"/>
    </xf>
    <xf numFmtId="0" fontId="5" fillId="33" borderId="3" xfId="0" applyFont="1" applyFill="1" applyBorder="1" applyAlignment="1">
      <alignment horizontal="center" vertical="center" wrapText="1"/>
    </xf>
    <xf numFmtId="0" fontId="3" fillId="33" borderId="7" xfId="0" applyFont="1" applyFill="1" applyBorder="1" applyAlignment="1">
      <alignment horizontal="center" vertical="center" wrapText="1"/>
    </xf>
    <xf numFmtId="0" fontId="3" fillId="33" borderId="2" xfId="0" applyFont="1" applyFill="1" applyBorder="1" applyAlignment="1">
      <alignment horizontal="center" vertical="center" wrapText="1"/>
    </xf>
    <xf numFmtId="0" fontId="3" fillId="33" borderId="3" xfId="0" applyFont="1" applyFill="1" applyBorder="1" applyAlignment="1">
      <alignment horizontal="center" vertical="center" wrapText="1"/>
    </xf>
    <xf numFmtId="0" fontId="5" fillId="35" borderId="5" xfId="0" applyFont="1" applyFill="1" applyBorder="1" applyAlignment="1">
      <alignment horizontal="center" vertical="center" wrapText="1"/>
    </xf>
    <xf numFmtId="0" fontId="5" fillId="35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2" applyNumberFormat="1" applyFont="1"/>
    <xf numFmtId="14" fontId="0" fillId="0" borderId="0" xfId="2" applyNumberFormat="1" applyFont="1" applyAlignment="1">
      <alignment horizontal="center"/>
    </xf>
    <xf numFmtId="165" fontId="36" fillId="0" borderId="0" xfId="2" applyNumberFormat="1" applyFont="1" applyAlignment="1">
      <alignment horizontal="center"/>
    </xf>
    <xf numFmtId="3" fontId="45" fillId="0" borderId="0" xfId="0" applyNumberFormat="1" applyFont="1" applyAlignment="1">
      <alignment horizontal="center"/>
    </xf>
    <xf numFmtId="17" fontId="0" fillId="0" borderId="0" xfId="0" quotePrefix="1" applyNumberFormat="1"/>
    <xf numFmtId="0" fontId="0" fillId="0" borderId="0" xfId="0" quotePrefix="1"/>
    <xf numFmtId="0" fontId="36" fillId="0" borderId="22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6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36" fillId="0" borderId="24" xfId="0" applyFont="1" applyBorder="1" applyAlignment="1">
      <alignment horizontal="center" vertical="center" wrapText="1"/>
    </xf>
    <xf numFmtId="0" fontId="36" fillId="3" borderId="22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5" fontId="0" fillId="0" borderId="1" xfId="2" applyNumberFormat="1" applyFont="1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36" fillId="32" borderId="25" xfId="0" applyFont="1" applyFill="1" applyBorder="1" applyAlignment="1">
      <alignment horizontal="left"/>
    </xf>
    <xf numFmtId="0" fontId="0" fillId="32" borderId="26" xfId="0" applyFill="1" applyBorder="1" applyAlignment="1">
      <alignment horizontal="center"/>
    </xf>
    <xf numFmtId="167" fontId="13" fillId="32" borderId="26" xfId="0" applyNumberFormat="1" applyFont="1" applyFill="1" applyBorder="1"/>
    <xf numFmtId="167" fontId="13" fillId="32" borderId="27" xfId="0" applyNumberFormat="1" applyFont="1" applyFill="1" applyBorder="1"/>
    <xf numFmtId="167" fontId="2" fillId="0" borderId="28" xfId="0" applyNumberFormat="1" applyFont="1" applyBorder="1" applyAlignment="1">
      <alignment horizontal="center" vertical="center" wrapText="1"/>
    </xf>
    <xf numFmtId="167" fontId="2" fillId="0" borderId="29" xfId="0" applyNumberFormat="1" applyFont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left"/>
    </xf>
    <xf numFmtId="9" fontId="13" fillId="0" borderId="6" xfId="0" applyNumberFormat="1" applyFont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0" fontId="36" fillId="36" borderId="22" xfId="0" applyFon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36" borderId="39" xfId="0" applyFill="1" applyBorder="1"/>
    <xf numFmtId="0" fontId="0" fillId="36" borderId="37" xfId="0" applyFill="1" applyBorder="1"/>
    <xf numFmtId="0" fontId="0" fillId="36" borderId="38" xfId="0" applyFill="1" applyBorder="1"/>
    <xf numFmtId="10" fontId="8" fillId="0" borderId="35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vertical="center" wrapText="1"/>
    </xf>
    <xf numFmtId="165" fontId="36" fillId="0" borderId="2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7" borderId="1" xfId="0" applyFill="1" applyBorder="1" applyAlignment="1">
      <alignment vertical="center" wrapText="1"/>
    </xf>
    <xf numFmtId="0" fontId="0" fillId="37" borderId="4" xfId="0" applyFill="1" applyBorder="1" applyAlignment="1">
      <alignment vertical="center" wrapText="1"/>
    </xf>
    <xf numFmtId="3" fontId="13" fillId="31" borderId="1" xfId="0" applyNumberFormat="1" applyFont="1" applyFill="1" applyBorder="1" applyAlignment="1">
      <alignment vertical="center" wrapText="1"/>
    </xf>
    <xf numFmtId="3" fontId="13" fillId="31" borderId="4" xfId="0" applyNumberFormat="1" applyFont="1" applyFill="1" applyBorder="1" applyAlignment="1">
      <alignment vertical="center" wrapText="1"/>
    </xf>
    <xf numFmtId="169" fontId="0" fillId="0" borderId="0" xfId="0" applyNumberFormat="1" applyAlignment="1">
      <alignment horizontal="center"/>
    </xf>
    <xf numFmtId="169" fontId="13" fillId="0" borderId="6" xfId="0" applyNumberFormat="1" applyFont="1" applyBorder="1" applyAlignment="1">
      <alignment horizontal="center"/>
    </xf>
    <xf numFmtId="169" fontId="8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left"/>
    </xf>
    <xf numFmtId="3" fontId="38" fillId="0" borderId="1" xfId="1" applyNumberFormat="1" applyFont="1" applyFill="1" applyBorder="1" applyAlignment="1" applyProtection="1">
      <alignment horizontal="left"/>
      <protection locked="0"/>
    </xf>
    <xf numFmtId="3" fontId="38" fillId="0" borderId="1" xfId="0" applyNumberFormat="1" applyFont="1" applyBorder="1" applyAlignment="1">
      <alignment horizontal="left"/>
    </xf>
    <xf numFmtId="0" fontId="38" fillId="0" borderId="1" xfId="0" applyFont="1" applyBorder="1"/>
    <xf numFmtId="3" fontId="3" fillId="0" borderId="1" xfId="0" applyNumberFormat="1" applyFont="1" applyBorder="1" applyAlignment="1">
      <alignment horizontal="left"/>
    </xf>
    <xf numFmtId="0" fontId="38" fillId="0" borderId="18" xfId="0" applyFont="1" applyBorder="1"/>
    <xf numFmtId="3" fontId="38" fillId="0" borderId="18" xfId="1" applyNumberFormat="1" applyFont="1" applyFill="1" applyBorder="1" applyAlignment="1" applyProtection="1">
      <alignment horizontal="left"/>
      <protection locked="0"/>
    </xf>
    <xf numFmtId="0" fontId="0" fillId="0" borderId="30" xfId="0" applyBorder="1"/>
    <xf numFmtId="0" fontId="10" fillId="0" borderId="31" xfId="0" applyFont="1" applyBorder="1"/>
    <xf numFmtId="3" fontId="13" fillId="0" borderId="31" xfId="1" applyNumberFormat="1" applyFont="1" applyFill="1" applyBorder="1" applyAlignment="1" applyProtection="1">
      <alignment horizontal="left"/>
      <protection locked="0"/>
    </xf>
    <xf numFmtId="3" fontId="13" fillId="0" borderId="31" xfId="1" applyNumberFormat="1" applyFont="1" applyFill="1" applyBorder="1" applyAlignment="1" applyProtection="1">
      <alignment wrapText="1"/>
      <protection locked="0"/>
    </xf>
    <xf numFmtId="3" fontId="13" fillId="0" borderId="31" xfId="1" applyNumberFormat="1" applyFont="1" applyFill="1" applyBorder="1" applyAlignment="1" applyProtection="1">
      <alignment horizontal="center" wrapText="1"/>
      <protection locked="0"/>
    </xf>
    <xf numFmtId="0" fontId="13" fillId="0" borderId="31" xfId="0" applyFont="1" applyBorder="1"/>
    <xf numFmtId="3" fontId="8" fillId="0" borderId="31" xfId="0" applyNumberFormat="1" applyFont="1" applyBorder="1" applyAlignment="1">
      <alignment wrapText="1"/>
    </xf>
    <xf numFmtId="9" fontId="8" fillId="0" borderId="31" xfId="0" applyNumberFormat="1" applyFont="1" applyBorder="1" applyAlignment="1">
      <alignment horizontal="center" wrapText="1"/>
    </xf>
    <xf numFmtId="0" fontId="8" fillId="0" borderId="31" xfId="0" applyFont="1" applyBorder="1" applyAlignment="1">
      <alignment horizontal="center" wrapText="1"/>
    </xf>
    <xf numFmtId="166" fontId="35" fillId="0" borderId="31" xfId="0" applyNumberFormat="1" applyFont="1" applyBorder="1" applyAlignment="1">
      <alignment wrapText="1"/>
    </xf>
    <xf numFmtId="0" fontId="47" fillId="38" borderId="46" xfId="0" applyFont="1" applyFill="1" applyBorder="1" applyAlignment="1">
      <alignment horizontal="center"/>
    </xf>
    <xf numFmtId="0" fontId="0" fillId="0" borderId="46" xfId="0" applyBorder="1"/>
    <xf numFmtId="3" fontId="0" fillId="0" borderId="46" xfId="0" applyNumberFormat="1" applyBorder="1"/>
    <xf numFmtId="0" fontId="0" fillId="39" borderId="46" xfId="0" applyFill="1" applyBorder="1"/>
    <xf numFmtId="3" fontId="0" fillId="39" borderId="46" xfId="0" applyNumberFormat="1" applyFill="1" applyBorder="1"/>
    <xf numFmtId="0" fontId="47" fillId="38" borderId="47" xfId="0" applyFont="1" applyFill="1" applyBorder="1" applyAlignment="1">
      <alignment horizontal="center"/>
    </xf>
    <xf numFmtId="0" fontId="38" fillId="40" borderId="1" xfId="0" applyFont="1" applyFill="1" applyBorder="1"/>
    <xf numFmtId="3" fontId="38" fillId="40" borderId="1" xfId="1" applyNumberFormat="1" applyFont="1" applyFill="1" applyBorder="1" applyAlignment="1" applyProtection="1">
      <alignment horizontal="left"/>
      <protection locked="0"/>
    </xf>
    <xf numFmtId="3" fontId="3" fillId="40" borderId="1" xfId="0" applyNumberFormat="1" applyFont="1" applyFill="1" applyBorder="1" applyAlignment="1">
      <alignment horizontal="left"/>
    </xf>
    <xf numFmtId="3" fontId="38" fillId="40" borderId="1" xfId="0" applyNumberFormat="1" applyFont="1" applyFill="1" applyBorder="1" applyAlignment="1">
      <alignment horizontal="left"/>
    </xf>
    <xf numFmtId="0" fontId="13" fillId="40" borderId="1" xfId="0" applyFont="1" applyFill="1" applyBorder="1" applyAlignment="1">
      <alignment horizontal="center"/>
    </xf>
    <xf numFmtId="3" fontId="2" fillId="36" borderId="40" xfId="0" applyNumberFormat="1" applyFont="1" applyFill="1" applyBorder="1" applyAlignment="1">
      <alignment horizontal="center" vertical="center"/>
    </xf>
    <xf numFmtId="3" fontId="2" fillId="36" borderId="41" xfId="0" applyNumberFormat="1" applyFont="1" applyFill="1" applyBorder="1" applyAlignment="1">
      <alignment horizontal="center" vertical="center"/>
    </xf>
    <xf numFmtId="3" fontId="2" fillId="41" borderId="41" xfId="0" applyNumberFormat="1" applyFont="1" applyFill="1" applyBorder="1" applyAlignment="1">
      <alignment horizontal="center" vertical="center"/>
    </xf>
    <xf numFmtId="3" fontId="2" fillId="41" borderId="41" xfId="0" applyNumberFormat="1" applyFont="1" applyFill="1" applyBorder="1" applyAlignment="1">
      <alignment horizontal="center" vertical="center" wrapText="1"/>
    </xf>
    <xf numFmtId="3" fontId="2" fillId="41" borderId="41" xfId="0" applyNumberFormat="1" applyFont="1" applyFill="1" applyBorder="1" applyAlignment="1">
      <alignment vertical="center" wrapText="1"/>
    </xf>
    <xf numFmtId="0" fontId="46" fillId="33" borderId="41" xfId="0" applyFont="1" applyFill="1" applyBorder="1" applyAlignment="1">
      <alignment horizontal="center" vertical="center" wrapText="1"/>
    </xf>
    <xf numFmtId="3" fontId="46" fillId="33" borderId="41" xfId="0" applyNumberFormat="1" applyFont="1" applyFill="1" applyBorder="1" applyAlignment="1">
      <alignment horizontal="center" vertical="center"/>
    </xf>
    <xf numFmtId="3" fontId="2" fillId="33" borderId="41" xfId="0" applyNumberFormat="1" applyFont="1" applyFill="1" applyBorder="1" applyAlignment="1">
      <alignment horizontal="center" vertical="center"/>
    </xf>
    <xf numFmtId="3" fontId="3" fillId="28" borderId="7" xfId="0" applyNumberFormat="1" applyFont="1" applyFill="1" applyBorder="1" applyAlignment="1">
      <alignment horizontal="center" vertical="center"/>
    </xf>
    <xf numFmtId="9" fontId="5" fillId="34" borderId="4" xfId="0" applyNumberFormat="1" applyFont="1" applyFill="1" applyBorder="1" applyAlignment="1">
      <alignment horizontal="center" vertical="center"/>
    </xf>
    <xf numFmtId="3" fontId="2" fillId="36" borderId="28" xfId="0" applyNumberFormat="1" applyFont="1" applyFill="1" applyBorder="1" applyAlignment="1">
      <alignment horizontal="center" vertical="center"/>
    </xf>
    <xf numFmtId="3" fontId="2" fillId="36" borderId="1" xfId="0" applyNumberFormat="1" applyFont="1" applyFill="1" applyBorder="1" applyAlignment="1">
      <alignment horizontal="center" vertical="center"/>
    </xf>
    <xf numFmtId="3" fontId="2" fillId="41" borderId="1" xfId="0" applyNumberFormat="1" applyFont="1" applyFill="1" applyBorder="1" applyAlignment="1">
      <alignment horizontal="center" vertical="center"/>
    </xf>
    <xf numFmtId="3" fontId="2" fillId="41" borderId="1" xfId="0" applyNumberFormat="1" applyFont="1" applyFill="1" applyBorder="1" applyAlignment="1">
      <alignment horizontal="center" vertical="center" wrapText="1"/>
    </xf>
    <xf numFmtId="0" fontId="46" fillId="33" borderId="1" xfId="0" applyFont="1" applyFill="1" applyBorder="1" applyAlignment="1">
      <alignment horizontal="center" vertical="center" wrapText="1"/>
    </xf>
    <xf numFmtId="3" fontId="46" fillId="33" borderId="1" xfId="0" applyNumberFormat="1" applyFont="1" applyFill="1" applyBorder="1" applyAlignment="1">
      <alignment horizontal="center" vertical="center" wrapText="1"/>
    </xf>
    <xf numFmtId="3" fontId="2" fillId="33" borderId="1" xfId="0" applyNumberFormat="1" applyFont="1" applyFill="1" applyBorder="1" applyAlignment="1">
      <alignment horizontal="center" vertical="center" wrapText="1"/>
    </xf>
    <xf numFmtId="49" fontId="2" fillId="33" borderId="1" xfId="0" applyNumberFormat="1" applyFont="1" applyFill="1" applyBorder="1" applyAlignment="1">
      <alignment horizontal="center" vertical="center"/>
    </xf>
    <xf numFmtId="3" fontId="2" fillId="33" borderId="1" xfId="0" applyNumberFormat="1" applyFont="1" applyFill="1" applyBorder="1" applyAlignment="1">
      <alignment horizontal="center" vertical="center"/>
    </xf>
    <xf numFmtId="3" fontId="2" fillId="33" borderId="29" xfId="0" applyNumberFormat="1" applyFont="1" applyFill="1" applyBorder="1" applyAlignment="1">
      <alignment horizontal="center" vertical="center"/>
    </xf>
    <xf numFmtId="3" fontId="3" fillId="28" borderId="2" xfId="0" applyNumberFormat="1" applyFont="1" applyFill="1" applyBorder="1" applyAlignment="1">
      <alignment horizontal="center" vertical="center"/>
    </xf>
    <xf numFmtId="9" fontId="5" fillId="34" borderId="5" xfId="0" applyNumberFormat="1" applyFont="1" applyFill="1" applyBorder="1" applyAlignment="1">
      <alignment horizontal="center" vertical="center" wrapText="1"/>
    </xf>
    <xf numFmtId="3" fontId="2" fillId="36" borderId="30" xfId="0" applyNumberFormat="1" applyFont="1" applyFill="1" applyBorder="1" applyAlignment="1">
      <alignment horizontal="center" vertical="center"/>
    </xf>
    <xf numFmtId="3" fontId="2" fillId="36" borderId="31" xfId="0" applyNumberFormat="1" applyFont="1" applyFill="1" applyBorder="1" applyAlignment="1">
      <alignment horizontal="center" vertical="center"/>
    </xf>
    <xf numFmtId="3" fontId="2" fillId="36" borderId="31" xfId="0" applyNumberFormat="1" applyFont="1" applyFill="1" applyBorder="1" applyAlignment="1">
      <alignment horizontal="center" vertical="center" wrapText="1"/>
    </xf>
    <xf numFmtId="3" fontId="2" fillId="41" borderId="31" xfId="0" applyNumberFormat="1" applyFont="1" applyFill="1" applyBorder="1" applyAlignment="1">
      <alignment horizontal="center" vertical="center" wrapText="1"/>
    </xf>
    <xf numFmtId="3" fontId="2" fillId="41" borderId="31" xfId="0" applyNumberFormat="1" applyFont="1" applyFill="1" applyBorder="1" applyAlignment="1">
      <alignment vertical="center" wrapText="1"/>
    </xf>
    <xf numFmtId="0" fontId="46" fillId="33" borderId="31" xfId="0" applyFont="1" applyFill="1" applyBorder="1" applyAlignment="1">
      <alignment horizontal="center" vertical="center" wrapText="1"/>
    </xf>
    <xf numFmtId="3" fontId="46" fillId="33" borderId="31" xfId="0" applyNumberFormat="1" applyFont="1" applyFill="1" applyBorder="1" applyAlignment="1">
      <alignment horizontal="center" vertical="center" wrapText="1"/>
    </xf>
    <xf numFmtId="3" fontId="2" fillId="33" borderId="31" xfId="0" applyNumberFormat="1" applyFont="1" applyFill="1" applyBorder="1" applyAlignment="1">
      <alignment horizontal="center" vertical="center" wrapText="1"/>
    </xf>
    <xf numFmtId="49" fontId="2" fillId="33" borderId="31" xfId="0" applyNumberFormat="1" applyFont="1" applyFill="1" applyBorder="1" applyAlignment="1">
      <alignment horizontal="center" vertical="center"/>
    </xf>
    <xf numFmtId="3" fontId="2" fillId="33" borderId="32" xfId="0" applyNumberFormat="1" applyFont="1" applyFill="1" applyBorder="1" applyAlignment="1">
      <alignment horizontal="center" vertical="center" wrapText="1"/>
    </xf>
    <xf numFmtId="3" fontId="3" fillId="28" borderId="3" xfId="0" applyNumberFormat="1" applyFont="1" applyFill="1" applyBorder="1" applyAlignment="1">
      <alignment horizontal="center" vertical="center"/>
    </xf>
    <xf numFmtId="9" fontId="5" fillId="34" borderId="6" xfId="0" applyNumberFormat="1" applyFont="1" applyFill="1" applyBorder="1" applyAlignment="1">
      <alignment horizontal="center" vertical="center" wrapText="1"/>
    </xf>
    <xf numFmtId="3" fontId="2" fillId="33" borderId="42" xfId="0" applyNumberFormat="1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3" fontId="42" fillId="31" borderId="1" xfId="0" applyNumberFormat="1" applyFont="1" applyFill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0" xfId="0" applyFont="1" applyAlignment="1">
      <alignment vertical="center"/>
    </xf>
    <xf numFmtId="167" fontId="42" fillId="0" borderId="0" xfId="0" applyNumberFormat="1" applyFont="1" applyAlignment="1">
      <alignment vertical="center"/>
    </xf>
    <xf numFmtId="0" fontId="0" fillId="29" borderId="1" xfId="0" applyFill="1" applyBorder="1" applyAlignment="1">
      <alignment vertical="center" wrapText="1"/>
    </xf>
    <xf numFmtId="0" fontId="36" fillId="29" borderId="1" xfId="0" applyFont="1" applyFill="1" applyBorder="1" applyAlignment="1">
      <alignment vertical="center" wrapText="1"/>
    </xf>
    <xf numFmtId="168" fontId="49" fillId="29" borderId="1" xfId="146" applyNumberFormat="1" applyFont="1" applyFill="1" applyBorder="1" applyAlignment="1">
      <alignment vertical="center"/>
    </xf>
    <xf numFmtId="168" fontId="50" fillId="30" borderId="45" xfId="146" applyNumberFormat="1" applyFont="1" applyFill="1" applyBorder="1" applyAlignment="1">
      <alignment vertical="center"/>
    </xf>
    <xf numFmtId="3" fontId="38" fillId="0" borderId="1" xfId="1" applyNumberFormat="1" applyFont="1" applyFill="1" applyBorder="1" applyAlignment="1" applyProtection="1">
      <alignment horizontal="center"/>
      <protection locked="0"/>
    </xf>
    <xf numFmtId="3" fontId="13" fillId="0" borderId="1" xfId="1" applyNumberFormat="1" applyFont="1" applyFill="1" applyBorder="1" applyAlignment="1" applyProtection="1">
      <protection locked="0"/>
    </xf>
    <xf numFmtId="3" fontId="13" fillId="0" borderId="1" xfId="0" applyNumberFormat="1" applyFont="1" applyBorder="1"/>
    <xf numFmtId="166" fontId="42" fillId="0" borderId="1" xfId="0" applyNumberFormat="1" applyFont="1" applyBorder="1"/>
    <xf numFmtId="166" fontId="42" fillId="0" borderId="29" xfId="0" applyNumberFormat="1" applyFont="1" applyBorder="1"/>
    <xf numFmtId="10" fontId="13" fillId="0" borderId="35" xfId="138" applyNumberFormat="1" applyFont="1" applyFill="1" applyBorder="1" applyAlignment="1">
      <alignment horizontal="center"/>
    </xf>
    <xf numFmtId="0" fontId="13" fillId="0" borderId="28" xfId="0" applyFont="1" applyBorder="1"/>
    <xf numFmtId="0" fontId="13" fillId="0" borderId="0" xfId="0" applyFont="1"/>
    <xf numFmtId="0" fontId="0" fillId="0" borderId="28" xfId="0" applyBorder="1"/>
    <xf numFmtId="9" fontId="13" fillId="0" borderId="1" xfId="0" applyNumberFormat="1" applyFont="1" applyBorder="1" applyAlignment="1">
      <alignment horizontal="center"/>
    </xf>
    <xf numFmtId="0" fontId="0" fillId="40" borderId="28" xfId="0" applyFill="1" applyBorder="1"/>
    <xf numFmtId="3" fontId="38" fillId="40" borderId="1" xfId="1" applyNumberFormat="1" applyFont="1" applyFill="1" applyBorder="1" applyAlignment="1" applyProtection="1">
      <alignment horizontal="center"/>
      <protection locked="0"/>
    </xf>
    <xf numFmtId="3" fontId="13" fillId="40" borderId="1" xfId="0" applyNumberFormat="1" applyFont="1" applyFill="1" applyBorder="1"/>
    <xf numFmtId="166" fontId="42" fillId="40" borderId="1" xfId="0" applyNumberFormat="1" applyFont="1" applyFill="1" applyBorder="1"/>
    <xf numFmtId="166" fontId="42" fillId="40" borderId="29" xfId="0" applyNumberFormat="1" applyFont="1" applyFill="1" applyBorder="1"/>
    <xf numFmtId="2" fontId="13" fillId="40" borderId="35" xfId="0" applyNumberFormat="1" applyFont="1" applyFill="1" applyBorder="1" applyAlignment="1">
      <alignment horizontal="center"/>
    </xf>
    <xf numFmtId="9" fontId="13" fillId="40" borderId="1" xfId="0" applyNumberFormat="1" applyFont="1" applyFill="1" applyBorder="1" applyAlignment="1">
      <alignment horizontal="center"/>
    </xf>
    <xf numFmtId="2" fontId="13" fillId="0" borderId="35" xfId="0" applyNumberFormat="1" applyFont="1" applyBorder="1" applyAlignment="1">
      <alignment horizontal="center"/>
    </xf>
    <xf numFmtId="3" fontId="38" fillId="0" borderId="18" xfId="1" applyNumberFormat="1" applyFont="1" applyFill="1" applyBorder="1" applyAlignment="1" applyProtection="1">
      <alignment horizontal="center"/>
      <protection locked="0"/>
    </xf>
    <xf numFmtId="3" fontId="38" fillId="0" borderId="18" xfId="1" applyNumberFormat="1" applyFont="1" applyFill="1" applyBorder="1" applyAlignment="1" applyProtection="1">
      <protection locked="0"/>
    </xf>
    <xf numFmtId="3" fontId="13" fillId="0" borderId="18" xfId="2" applyNumberFormat="1" applyFont="1" applyFill="1" applyBorder="1" applyAlignment="1"/>
    <xf numFmtId="0" fontId="13" fillId="0" borderId="18" xfId="0" applyFont="1" applyBorder="1" applyAlignment="1">
      <alignment horizontal="center"/>
    </xf>
    <xf numFmtId="166" fontId="42" fillId="0" borderId="18" xfId="0" applyNumberFormat="1" applyFont="1" applyBorder="1"/>
    <xf numFmtId="166" fontId="42" fillId="0" borderId="43" xfId="0" applyNumberFormat="1" applyFont="1" applyBorder="1"/>
    <xf numFmtId="2" fontId="13" fillId="0" borderId="36" xfId="138" applyNumberFormat="1" applyFont="1" applyFill="1" applyBorder="1" applyAlignment="1">
      <alignment horizontal="center"/>
    </xf>
    <xf numFmtId="9" fontId="13" fillId="0" borderId="18" xfId="0" applyNumberFormat="1" applyFont="1" applyBorder="1" applyAlignment="1">
      <alignment horizontal="center"/>
    </xf>
    <xf numFmtId="10" fontId="13" fillId="0" borderId="18" xfId="0" applyNumberFormat="1" applyFont="1" applyBorder="1" applyAlignment="1">
      <alignment horizontal="center"/>
    </xf>
    <xf numFmtId="0" fontId="36" fillId="29" borderId="1" xfId="0" applyFont="1" applyFill="1" applyBorder="1" applyAlignment="1">
      <alignment vertical="center"/>
    </xf>
    <xf numFmtId="3" fontId="38" fillId="0" borderId="35" xfId="1" applyNumberFormat="1" applyFont="1" applyFill="1" applyBorder="1" applyAlignment="1" applyProtection="1">
      <alignment horizontal="left"/>
      <protection locked="0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13" fillId="31" borderId="1" xfId="0" applyNumberFormat="1" applyFont="1" applyFill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38" fillId="0" borderId="1" xfId="1" applyNumberFormat="1" applyFont="1" applyFill="1" applyBorder="1" applyAlignment="1" applyProtection="1">
      <alignment horizontal="center"/>
      <protection locked="0"/>
    </xf>
    <xf numFmtId="166" fontId="42" fillId="0" borderId="1" xfId="0" applyNumberFormat="1" applyFont="1" applyBorder="1" applyAlignment="1">
      <alignment wrapText="1"/>
    </xf>
    <xf numFmtId="165" fontId="51" fillId="0" borderId="0" xfId="2" applyNumberFormat="1" applyFont="1" applyAlignment="1">
      <alignment horizontal="center"/>
    </xf>
    <xf numFmtId="14" fontId="52" fillId="0" borderId="0" xfId="2" applyNumberFormat="1" applyFont="1" applyAlignment="1">
      <alignment horizontal="center"/>
    </xf>
    <xf numFmtId="14" fontId="52" fillId="0" borderId="0" xfId="2" applyNumberFormat="1" applyFont="1" applyAlignment="1">
      <alignment horizontal="center" vertical="center"/>
    </xf>
    <xf numFmtId="165" fontId="52" fillId="0" borderId="0" xfId="2" applyNumberFormat="1" applyFont="1" applyAlignment="1">
      <alignment horizontal="center" vertical="center"/>
    </xf>
    <xf numFmtId="165" fontId="52" fillId="0" borderId="0" xfId="2" applyNumberFormat="1" applyFont="1" applyAlignment="1">
      <alignment horizontal="center"/>
    </xf>
    <xf numFmtId="168" fontId="13" fillId="0" borderId="1" xfId="146" applyNumberFormat="1" applyFont="1" applyBorder="1" applyAlignment="1">
      <alignment vertical="center"/>
    </xf>
    <xf numFmtId="3" fontId="38" fillId="0" borderId="18" xfId="0" applyNumberFormat="1" applyFont="1" applyBorder="1" applyAlignment="1">
      <alignment horizontal="left"/>
    </xf>
    <xf numFmtId="3" fontId="13" fillId="0" borderId="18" xfId="1" applyNumberFormat="1" applyFont="1" applyFill="1" applyBorder="1" applyAlignment="1" applyProtection="1">
      <protection locked="0"/>
    </xf>
    <xf numFmtId="3" fontId="13" fillId="0" borderId="18" xfId="0" applyNumberFormat="1" applyFont="1" applyBorder="1"/>
    <xf numFmtId="10" fontId="13" fillId="0" borderId="36" xfId="138" applyNumberFormat="1" applyFont="1" applyFill="1" applyBorder="1" applyAlignment="1">
      <alignment horizontal="center"/>
    </xf>
    <xf numFmtId="169" fontId="13" fillId="0" borderId="48" xfId="0" applyNumberFormat="1" applyFont="1" applyBorder="1" applyAlignment="1">
      <alignment horizontal="center"/>
    </xf>
    <xf numFmtId="14" fontId="13" fillId="0" borderId="18" xfId="0" applyNumberFormat="1" applyFont="1" applyBorder="1" applyAlignment="1">
      <alignment horizontal="center"/>
    </xf>
    <xf numFmtId="3" fontId="38" fillId="0" borderId="35" xfId="1" applyNumberFormat="1" applyFont="1" applyFill="1" applyBorder="1" applyAlignment="1" applyProtection="1">
      <alignment horizontal="center"/>
      <protection locked="0"/>
    </xf>
    <xf numFmtId="0" fontId="55" fillId="42" borderId="0" xfId="0" applyFont="1" applyFill="1" applyAlignment="1">
      <alignment horizontal="center" vertical="center" wrapText="1"/>
    </xf>
    <xf numFmtId="0" fontId="0" fillId="4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8" fillId="43" borderId="0" xfId="0" applyFont="1" applyFill="1" applyAlignment="1">
      <alignment vertical="center"/>
    </xf>
    <xf numFmtId="0" fontId="36" fillId="42" borderId="0" xfId="0" applyFont="1" applyFill="1" applyAlignment="1">
      <alignment horizontal="center" vertical="center"/>
    </xf>
    <xf numFmtId="0" fontId="36" fillId="44" borderId="0" xfId="0" applyFont="1" applyFill="1" applyAlignment="1">
      <alignment horizontal="center"/>
    </xf>
    <xf numFmtId="0" fontId="56" fillId="0" borderId="0" xfId="0" applyFont="1" applyAlignment="1">
      <alignment horizontal="left"/>
    </xf>
    <xf numFmtId="170" fontId="0" fillId="0" borderId="0" xfId="0" applyNumberFormat="1"/>
    <xf numFmtId="0" fontId="56" fillId="0" borderId="49" xfId="0" applyFont="1" applyBorder="1"/>
    <xf numFmtId="0" fontId="56" fillId="0" borderId="0" xfId="0" applyFont="1"/>
    <xf numFmtId="0" fontId="57" fillId="0" borderId="0" xfId="0" applyFont="1" applyAlignment="1">
      <alignment vertical="center"/>
    </xf>
    <xf numFmtId="49" fontId="5" fillId="34" borderId="5" xfId="0" applyNumberFormat="1" applyFont="1" applyFill="1" applyBorder="1" applyAlignment="1">
      <alignment horizontal="center" vertical="center"/>
    </xf>
    <xf numFmtId="49" fontId="5" fillId="34" borderId="5" xfId="0" applyNumberFormat="1" applyFont="1" applyFill="1" applyBorder="1" applyAlignment="1">
      <alignment horizontal="center" vertical="center" wrapText="1"/>
    </xf>
    <xf numFmtId="49" fontId="5" fillId="34" borderId="6" xfId="0" applyNumberFormat="1" applyFont="1" applyFill="1" applyBorder="1" applyAlignment="1">
      <alignment horizontal="center" vertical="center" wrapText="1"/>
    </xf>
    <xf numFmtId="49" fontId="13" fillId="0" borderId="48" xfId="0" applyNumberFormat="1" applyFont="1" applyBorder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40" borderId="1" xfId="0" applyNumberFormat="1" applyFont="1" applyFill="1" applyBorder="1" applyAlignment="1">
      <alignment horizontal="center"/>
    </xf>
    <xf numFmtId="49" fontId="13" fillId="0" borderId="18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wrapText="1"/>
    </xf>
    <xf numFmtId="10" fontId="2" fillId="33" borderId="31" xfId="0" applyNumberFormat="1" applyFont="1" applyFill="1" applyBorder="1" applyAlignment="1">
      <alignment vertical="center" wrapText="1"/>
    </xf>
    <xf numFmtId="10" fontId="13" fillId="0" borderId="1" xfId="0" applyNumberFormat="1" applyFont="1" applyBorder="1" applyAlignment="1">
      <alignment horizontal="center"/>
    </xf>
    <xf numFmtId="10" fontId="13" fillId="40" borderId="1" xfId="0" applyNumberFormat="1" applyFont="1" applyFill="1" applyBorder="1" applyAlignment="1">
      <alignment horizontal="center"/>
    </xf>
    <xf numFmtId="10" fontId="8" fillId="0" borderId="3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vertical="center"/>
    </xf>
    <xf numFmtId="0" fontId="56" fillId="0" borderId="49" xfId="0" applyFont="1" applyBorder="1" applyAlignment="1">
      <alignment horizontal="left"/>
    </xf>
    <xf numFmtId="0" fontId="58" fillId="0" borderId="0" xfId="0" applyFont="1" applyAlignment="1">
      <alignment vertical="center"/>
    </xf>
    <xf numFmtId="0" fontId="36" fillId="32" borderId="25" xfId="0" applyFont="1" applyFill="1" applyBorder="1" applyAlignment="1">
      <alignment horizontal="center"/>
    </xf>
    <xf numFmtId="0" fontId="36" fillId="32" borderId="26" xfId="0" applyFont="1" applyFill="1" applyBorder="1" applyAlignment="1">
      <alignment horizontal="center"/>
    </xf>
    <xf numFmtId="0" fontId="36" fillId="32" borderId="27" xfId="0" applyFont="1" applyFill="1" applyBorder="1" applyAlignment="1">
      <alignment horizontal="center"/>
    </xf>
    <xf numFmtId="0" fontId="50" fillId="30" borderId="33" xfId="0" applyFont="1" applyFill="1" applyBorder="1" applyAlignment="1">
      <alignment horizontal="center" vertical="center"/>
    </xf>
    <xf numFmtId="0" fontId="50" fillId="30" borderId="34" xfId="0" applyFont="1" applyFill="1" applyBorder="1" applyAlignment="1">
      <alignment horizontal="center" vertical="center"/>
    </xf>
    <xf numFmtId="0" fontId="50" fillId="30" borderId="44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3" fontId="2" fillId="41" borderId="22" xfId="0" applyNumberFormat="1" applyFont="1" applyFill="1" applyBorder="1" applyAlignment="1">
      <alignment horizontal="center" vertical="center" wrapText="1"/>
    </xf>
    <xf numFmtId="3" fontId="2" fillId="41" borderId="6" xfId="0" applyNumberFormat="1" applyFont="1" applyFill="1" applyBorder="1" applyAlignment="1">
      <alignment horizontal="center" vertical="center" wrapText="1"/>
    </xf>
    <xf numFmtId="10" fontId="2" fillId="33" borderId="22" xfId="0" applyNumberFormat="1" applyFont="1" applyFill="1" applyBorder="1" applyAlignment="1">
      <alignment horizontal="center" vertical="center" wrapText="1"/>
    </xf>
    <xf numFmtId="10" fontId="2" fillId="33" borderId="6" xfId="0" applyNumberFormat="1" applyFont="1" applyFill="1" applyBorder="1" applyAlignment="1">
      <alignment horizontal="center" vertical="center" wrapText="1"/>
    </xf>
  </cellXfs>
  <cellStyles count="147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" xfId="146" builtinId="4"/>
    <cellStyle name="Pénznem 2" xfId="50" xr:uid="{00000000-0005-0000-0000-000082000000}"/>
    <cellStyle name="Pénznem 3" xfId="5" xr:uid="{00000000-0005-0000-0000-000083000000}"/>
    <cellStyle name="Rossz 2" xfId="47" xr:uid="{00000000-0005-0000-0000-000084000000}"/>
    <cellStyle name="Semleges 2" xfId="48" xr:uid="{00000000-0005-0000-0000-000085000000}"/>
    <cellStyle name="Számítás 2" xfId="49" xr:uid="{00000000-0005-0000-0000-000086000000}"/>
    <cellStyle name="Számítás 2 2" xfId="60" xr:uid="{00000000-0005-0000-0000-000087000000}"/>
    <cellStyle name="Számítás 2 2 2" xfId="102" xr:uid="{00000000-0005-0000-0000-000088000000}"/>
    <cellStyle name="Számítás 2 2 3" xfId="112" xr:uid="{00000000-0005-0000-0000-000089000000}"/>
    <cellStyle name="Számítás 2 2 4" xfId="123" xr:uid="{00000000-0005-0000-0000-00008A000000}"/>
    <cellStyle name="Számítás 2 2 5" xfId="133" xr:uid="{00000000-0005-0000-0000-00008B000000}"/>
    <cellStyle name="Számítás 2 3" xfId="124" xr:uid="{00000000-0005-0000-0000-00008C000000}"/>
    <cellStyle name="Számítás 2 4" xfId="127" xr:uid="{00000000-0005-0000-0000-00008D000000}"/>
    <cellStyle name="Számítás 2 5" xfId="113" xr:uid="{00000000-0005-0000-0000-00008E000000}"/>
    <cellStyle name="Százalék" xfId="138" builtinId="5"/>
    <cellStyle name="Százalék 2" xfId="51" xr:uid="{00000000-0005-0000-0000-000090000000}"/>
    <cellStyle name="Százalék 3" xfId="6" xr:uid="{00000000-0005-0000-0000-000091000000}"/>
    <cellStyle name="TableStyleLight1" xfId="55" xr:uid="{00000000-0005-0000-0000-000092000000}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Q22"/>
  <sheetViews>
    <sheetView topLeftCell="B1" zoomScale="85" zoomScaleNormal="85" workbookViewId="0">
      <selection activeCell="M15" sqref="M15"/>
    </sheetView>
  </sheetViews>
  <sheetFormatPr defaultRowHeight="15" x14ac:dyDescent="0.25"/>
  <cols>
    <col min="1" max="1" width="22.28515625" bestFit="1" customWidth="1"/>
    <col min="2" max="2" width="22.140625" bestFit="1" customWidth="1"/>
    <col min="3" max="3" width="25" bestFit="1" customWidth="1"/>
    <col min="4" max="4" width="31.28515625" bestFit="1" customWidth="1"/>
    <col min="5" max="5" width="20.140625" style="19" bestFit="1" customWidth="1"/>
    <col min="6" max="6" width="18.42578125" style="17" bestFit="1" customWidth="1"/>
    <col min="7" max="7" width="20.5703125" style="17" customWidth="1"/>
    <col min="8" max="8" width="21.28515625" style="17" customWidth="1"/>
    <col min="9" max="9" width="19.5703125" style="17" bestFit="1" customWidth="1"/>
    <col min="10" max="10" width="4.85546875" customWidth="1"/>
    <col min="11" max="11" width="29.5703125" style="6" bestFit="1" customWidth="1"/>
    <col min="12" max="12" width="16.5703125" style="6" bestFit="1" customWidth="1"/>
    <col min="13" max="13" width="11.42578125" style="6" bestFit="1" customWidth="1"/>
    <col min="14" max="14" width="18" bestFit="1" customWidth="1"/>
    <col min="15" max="15" width="17.42578125" bestFit="1" customWidth="1"/>
    <col min="16" max="16" width="14.28515625" bestFit="1" customWidth="1"/>
    <col min="17" max="17" width="15.42578125" bestFit="1" customWidth="1"/>
  </cols>
  <sheetData>
    <row r="1" spans="1:17" x14ac:dyDescent="0.25">
      <c r="A1" s="236" t="s">
        <v>60</v>
      </c>
      <c r="B1" s="237"/>
      <c r="C1" s="237"/>
      <c r="D1" s="237"/>
      <c r="E1" s="237"/>
      <c r="F1" s="237"/>
      <c r="G1" s="237"/>
      <c r="H1" s="237"/>
      <c r="I1" s="238"/>
      <c r="K1" s="61" t="s">
        <v>31</v>
      </c>
      <c r="L1" s="62"/>
      <c r="M1" s="62"/>
      <c r="N1" s="62"/>
      <c r="O1" s="63"/>
      <c r="P1" s="63"/>
      <c r="Q1" s="64"/>
    </row>
    <row r="2" spans="1:17" ht="25.5" x14ac:dyDescent="0.25">
      <c r="A2" s="79" t="s">
        <v>53</v>
      </c>
      <c r="B2" s="79" t="s">
        <v>84</v>
      </c>
      <c r="C2" s="79" t="s">
        <v>6</v>
      </c>
      <c r="D2" s="79" t="s">
        <v>85</v>
      </c>
      <c r="E2" s="79" t="s">
        <v>54</v>
      </c>
      <c r="F2" s="26" t="s">
        <v>15</v>
      </c>
      <c r="G2" s="26" t="s">
        <v>0</v>
      </c>
      <c r="H2" s="26" t="s">
        <v>10</v>
      </c>
      <c r="I2" s="26" t="s">
        <v>11</v>
      </c>
      <c r="K2" s="65" t="s">
        <v>61</v>
      </c>
      <c r="L2" s="26" t="s">
        <v>5</v>
      </c>
      <c r="M2" s="26" t="s">
        <v>54</v>
      </c>
      <c r="N2" s="26" t="s">
        <v>15</v>
      </c>
      <c r="O2" s="26" t="s">
        <v>0</v>
      </c>
      <c r="P2" s="26" t="s">
        <v>10</v>
      </c>
      <c r="Q2" s="66" t="s">
        <v>11</v>
      </c>
    </row>
    <row r="3" spans="1:17" x14ac:dyDescent="0.25">
      <c r="A3" s="1"/>
      <c r="B3" s="1"/>
      <c r="C3" s="1"/>
      <c r="D3" s="1"/>
      <c r="E3" s="25"/>
      <c r="F3" s="18"/>
      <c r="G3" s="18"/>
      <c r="H3" s="18"/>
      <c r="I3" s="18"/>
      <c r="K3" s="67"/>
      <c r="L3" s="39"/>
      <c r="M3" s="39"/>
      <c r="N3" s="1"/>
      <c r="O3" s="1"/>
      <c r="P3" s="1"/>
      <c r="Q3" s="68"/>
    </row>
    <row r="4" spans="1:17" ht="60" x14ac:dyDescent="0.25">
      <c r="A4" s="83" t="s">
        <v>121</v>
      </c>
      <c r="B4" s="83" t="s">
        <v>169</v>
      </c>
      <c r="C4" s="83" t="s">
        <v>169</v>
      </c>
      <c r="D4" s="83" t="s">
        <v>167</v>
      </c>
      <c r="E4" s="85">
        <v>31365708</v>
      </c>
      <c r="F4" s="201">
        <f>SUMIFS(Dologi_felhalm.!$M$3:$M$23,Dologi_felhalm.!$E$3:$E$23,$D4,Dologi_felhalm.!$N$3:$N$23,"Tény")</f>
        <v>0</v>
      </c>
      <c r="G4" s="201">
        <f t="shared" ref="G4:G5" si="0">E4-F4</f>
        <v>31365708</v>
      </c>
      <c r="H4" s="201">
        <f>SUMIFS(Dologi_felhalm.!$M$3:$M$23,Dologi_felhalm.!$E$3:$E$23,$D4,Dologi_felhalm.!$N$3:$N$23,"Köt. váll.")</f>
        <v>0</v>
      </c>
      <c r="I4" s="201">
        <f t="shared" ref="I4:I5" si="1">G4-H4</f>
        <v>31365708</v>
      </c>
      <c r="K4" s="190" t="s">
        <v>188</v>
      </c>
      <c r="L4" s="191" t="s">
        <v>174</v>
      </c>
      <c r="M4" s="192">
        <v>182680458</v>
      </c>
      <c r="N4" s="193">
        <f>SUMIFS(Bérköltség!$S$6:$S$253,Bérköltség!$L$6:$L$253,"Tény")+SUMIFS(Bérköltség!$T$6:$T$253,Bérköltség!$L$6:$L$253,"Tény")+SUMIFS(Dologi_felhalm.!$M$3:$M$23,Dologi_felhalm.!$N$3:$N$23,"Tény")</f>
        <v>49102765</v>
      </c>
      <c r="O4" s="193">
        <f t="shared" ref="O4" si="2">M4-N4</f>
        <v>133577693</v>
      </c>
      <c r="P4" s="193">
        <f>SUMIFS(Bérköltség!$S$6:$S$253,Bérköltség!$L$6:$L$253,"Köt. váll.")+SUMIFS(Bérköltség!$T$6:$T$253,Bérköltség!$L$6:$L$253,"Köt. váll.")+SUMIFS(Dologi_felhalm.!$M$3:$M$23,Dologi_felhalm.!$N$3:$N$23,"Köt. váll.")</f>
        <v>15415667</v>
      </c>
      <c r="Q4" s="193">
        <f t="shared" ref="Q4" si="3">O4-P4</f>
        <v>118162026</v>
      </c>
    </row>
    <row r="5" spans="1:17" ht="30" x14ac:dyDescent="0.25">
      <c r="A5" s="82" t="s">
        <v>126</v>
      </c>
      <c r="B5" s="82" t="s">
        <v>127</v>
      </c>
      <c r="C5" s="82" t="s">
        <v>127</v>
      </c>
      <c r="D5" s="82" t="s">
        <v>168</v>
      </c>
      <c r="E5" s="84">
        <v>6000750</v>
      </c>
      <c r="F5" s="201">
        <f>SUMIFS(Dologi_felhalm.!$M$3:$M$23,Dologi_felhalm.!$E$3:$E$23,$D5,Dologi_felhalm.!$N$3:$N$23,"Tény")</f>
        <v>0</v>
      </c>
      <c r="G5" s="201">
        <f t="shared" si="0"/>
        <v>6000750</v>
      </c>
      <c r="H5" s="201">
        <f>SUMIFS(Dologi_felhalm.!$M$3:$M$23,Dologi_felhalm.!$E$3:$E$23,$D5,Dologi_felhalm.!$N$3:$N$23,"Köt. váll.")</f>
        <v>0</v>
      </c>
      <c r="I5" s="201">
        <f t="shared" si="1"/>
        <v>6000750</v>
      </c>
      <c r="K5" s="152" t="s">
        <v>136</v>
      </c>
      <c r="L5" s="154"/>
      <c r="M5" s="153">
        <f>SUM(M4:M4)</f>
        <v>182680458</v>
      </c>
      <c r="N5" s="153">
        <f>SUM(N4:N4)</f>
        <v>49102765</v>
      </c>
      <c r="O5" s="153">
        <f>SUM(O4:O4)</f>
        <v>133577693</v>
      </c>
      <c r="P5" s="153">
        <f>SUM(P4:P4)</f>
        <v>15415667</v>
      </c>
      <c r="Q5" s="153">
        <f>SUM(Q4:Q4)</f>
        <v>118162026</v>
      </c>
    </row>
    <row r="6" spans="1:17" ht="15.75" x14ac:dyDescent="0.25">
      <c r="A6" s="188" t="s">
        <v>164</v>
      </c>
      <c r="B6" s="157"/>
      <c r="C6" s="157"/>
      <c r="D6" s="157"/>
      <c r="E6" s="159">
        <f>SUM(E4:E5)</f>
        <v>37366458</v>
      </c>
      <c r="F6" s="159">
        <f>SUM(F4:F5)</f>
        <v>0</v>
      </c>
      <c r="G6" s="159">
        <f>SUM(G4:G5)</f>
        <v>37366458</v>
      </c>
      <c r="H6" s="159">
        <f>SUM(H4:H5)</f>
        <v>0</v>
      </c>
      <c r="I6" s="159">
        <f>SUM(I4:I5)</f>
        <v>37366458</v>
      </c>
      <c r="K6" s="5"/>
      <c r="L6" s="155"/>
      <c r="N6" s="156"/>
      <c r="O6" s="156"/>
      <c r="P6" s="156"/>
      <c r="Q6" s="156"/>
    </row>
    <row r="7" spans="1:17" ht="30" x14ac:dyDescent="0.25">
      <c r="A7" s="82" t="s">
        <v>126</v>
      </c>
      <c r="B7" s="82" t="s">
        <v>129</v>
      </c>
      <c r="C7" s="82" t="s">
        <v>130</v>
      </c>
      <c r="D7" s="82" t="s">
        <v>170</v>
      </c>
      <c r="E7" s="84">
        <v>72360000</v>
      </c>
      <c r="F7" s="201">
        <f>SUMIFS(Bérköltség!$S$6:$S$253,Bérköltség!$F$6:$F$253,$D7,Bérköltség!$L$6:$L$253,"Tény")</f>
        <v>0</v>
      </c>
      <c r="G7" s="201">
        <f>E7-F7</f>
        <v>72360000</v>
      </c>
      <c r="H7" s="201">
        <f>SUMIFS(Bérköltség!$S$6:$S$253,Bérköltség!$F$6:$F$253,$D7,Bérköltség!$L$6:$L$253,"Köt. váll.")</f>
        <v>0</v>
      </c>
      <c r="I7" s="201">
        <f>G7-H7</f>
        <v>72360000</v>
      </c>
      <c r="N7" s="17"/>
      <c r="O7" s="17"/>
      <c r="P7" s="17"/>
      <c r="Q7" s="17"/>
    </row>
    <row r="8" spans="1:17" ht="45" x14ac:dyDescent="0.25">
      <c r="A8" s="82" t="s">
        <v>128</v>
      </c>
      <c r="B8" s="82" t="s">
        <v>129</v>
      </c>
      <c r="C8" s="82" t="s">
        <v>130</v>
      </c>
      <c r="D8" s="82" t="s">
        <v>171</v>
      </c>
      <c r="E8" s="84">
        <v>35640000</v>
      </c>
      <c r="F8" s="201">
        <f>SUMIFS(Bérköltség!$S$6:$S$253,Bérköltség!$F$6:$F$253,$D8,Bérköltség!$L$6:$L$253,"Tény")</f>
        <v>30522428</v>
      </c>
      <c r="G8" s="201">
        <f t="shared" ref="G8:G12" si="4">E8-F8</f>
        <v>5117572</v>
      </c>
      <c r="H8" s="201">
        <f>SUMIFS(Bérköltség!$S$6:$S$253,Bérköltség!$F$6:$F$253,$D8,Bérköltség!$L$6:$L$253,"Köt. váll.")</f>
        <v>9805995</v>
      </c>
      <c r="I8" s="201">
        <f t="shared" ref="I8:I12" si="5">G8-H8</f>
        <v>-4688423</v>
      </c>
      <c r="K8" s="43"/>
      <c r="L8" s="42"/>
    </row>
    <row r="9" spans="1:17" ht="30" x14ac:dyDescent="0.25">
      <c r="A9" s="82" t="s">
        <v>126</v>
      </c>
      <c r="B9" s="82" t="s">
        <v>129</v>
      </c>
      <c r="C9" s="82" t="s">
        <v>132</v>
      </c>
      <c r="D9" s="82" t="s">
        <v>172</v>
      </c>
      <c r="E9" s="84">
        <v>11934701</v>
      </c>
      <c r="F9" s="201">
        <f>SUMIFS(Bérköltség!$S$6:$S$253,Bérköltség!$F$6:$F$253,$D9,Bérköltség!$L$6:$L$253,"Tény")</f>
        <v>0</v>
      </c>
      <c r="G9" s="201">
        <f t="shared" si="4"/>
        <v>11934701</v>
      </c>
      <c r="H9" s="201">
        <f>SUMIFS(Bérköltség!$S$6:$S$253,Bérköltség!$F$6:$F$253,$D9,Bérköltség!$L$6:$L$253,"Köt. váll.")</f>
        <v>0</v>
      </c>
      <c r="I9" s="201">
        <f t="shared" si="5"/>
        <v>11934701</v>
      </c>
      <c r="K9" s="196" t="s">
        <v>199</v>
      </c>
      <c r="L9" s="197"/>
    </row>
    <row r="10" spans="1:17" ht="45" x14ac:dyDescent="0.25">
      <c r="A10" s="82" t="s">
        <v>128</v>
      </c>
      <c r="B10" s="82" t="s">
        <v>129</v>
      </c>
      <c r="C10" s="82" t="s">
        <v>132</v>
      </c>
      <c r="D10" s="82" t="s">
        <v>173</v>
      </c>
      <c r="E10" s="84">
        <v>5878286</v>
      </c>
      <c r="F10" s="201">
        <f>SUMIFS(Bérköltség!$S$6:$S$253,Bérköltség!$F$6:$F$253,$D10,Bérköltség!$L$6:$L$253,"Tény")</f>
        <v>12998593</v>
      </c>
      <c r="G10" s="201">
        <f t="shared" si="4"/>
        <v>-7120307</v>
      </c>
      <c r="H10" s="201">
        <f>SUMIFS(Bérköltség!$S$6:$S$253,Bérköltség!$F$6:$F$253,$D10,Bérköltség!$L$6:$L$253,"Köt. váll.")</f>
        <v>3836190</v>
      </c>
      <c r="I10" s="201">
        <f t="shared" si="5"/>
        <v>-10956497</v>
      </c>
      <c r="K10" s="198">
        <v>44530</v>
      </c>
      <c r="L10" s="199">
        <v>79319328</v>
      </c>
    </row>
    <row r="11" spans="1:17" ht="15.75" x14ac:dyDescent="0.25">
      <c r="A11" s="158" t="s">
        <v>165</v>
      </c>
      <c r="B11" s="157"/>
      <c r="C11" s="157"/>
      <c r="D11" s="157"/>
      <c r="E11" s="159">
        <f>SUM(E7:E10)</f>
        <v>125812987</v>
      </c>
      <c r="F11" s="159">
        <f>SUM(F7:F10)</f>
        <v>43521021</v>
      </c>
      <c r="G11" s="159">
        <f>SUM(G7:G10)</f>
        <v>82291966</v>
      </c>
      <c r="H11" s="159">
        <f>SUM(H7:H10)</f>
        <v>13642185</v>
      </c>
      <c r="I11" s="159">
        <f>SUM(I7:I10)</f>
        <v>68649781</v>
      </c>
      <c r="K11" s="198">
        <v>44530</v>
      </c>
      <c r="L11" s="199">
        <v>54680940</v>
      </c>
    </row>
    <row r="12" spans="1:17" ht="30" x14ac:dyDescent="0.25">
      <c r="A12" s="82" t="s">
        <v>126</v>
      </c>
      <c r="B12" s="82" t="s">
        <v>133</v>
      </c>
      <c r="C12" s="82" t="s">
        <v>134</v>
      </c>
      <c r="D12" s="82" t="s">
        <v>170</v>
      </c>
      <c r="E12" s="84">
        <v>5524200</v>
      </c>
      <c r="F12" s="201">
        <f>SUMIFS(Bérköltség!$T$6:$T$253,Bérköltség!$F$6:$F$253,$D12,Bérköltség!$L$6:$L$253,"Tény")</f>
        <v>0</v>
      </c>
      <c r="G12" s="201">
        <f t="shared" si="4"/>
        <v>5524200</v>
      </c>
      <c r="H12" s="201">
        <f>SUMIFS(Bérköltség!$T$6:$T$253,Bérköltség!$F$6:$F$253,$D12,Bérköltség!$L$6:$L$253,"Köt. váll.")</f>
        <v>0</v>
      </c>
      <c r="I12" s="201">
        <f t="shared" si="5"/>
        <v>5524200</v>
      </c>
      <c r="K12" s="197"/>
      <c r="L12" s="200"/>
    </row>
    <row r="13" spans="1:17" ht="45" x14ac:dyDescent="0.25">
      <c r="A13" s="82" t="s">
        <v>128</v>
      </c>
      <c r="B13" s="82" t="s">
        <v>133</v>
      </c>
      <c r="C13" s="82" t="s">
        <v>134</v>
      </c>
      <c r="D13" s="82" t="s">
        <v>171</v>
      </c>
      <c r="E13" s="84">
        <v>11215800</v>
      </c>
      <c r="F13" s="201">
        <f>SUMIFS(Bérköltség!$T$6:$T$253,Bérköltség!$F$6:$F$253,$D13,Bérköltség!$L$6:$L$253,"Tény")</f>
        <v>4003168</v>
      </c>
      <c r="G13" s="201">
        <f t="shared" ref="G13:G15" si="6">E13-F13</f>
        <v>7212632</v>
      </c>
      <c r="H13" s="201">
        <f>SUMIFS(Bérköltség!$T$6:$T$253,Bérköltség!$F$6:$F$253,$D13,Bérköltség!$L$6:$L$253,"Köt. váll.")</f>
        <v>1274777</v>
      </c>
      <c r="I13" s="201">
        <f t="shared" ref="I13:I15" si="7">G13-H13</f>
        <v>5937855</v>
      </c>
      <c r="K13" s="197"/>
      <c r="L13" s="200"/>
    </row>
    <row r="14" spans="1:17" ht="30" x14ac:dyDescent="0.25">
      <c r="A14" s="82" t="s">
        <v>126</v>
      </c>
      <c r="B14" s="82" t="s">
        <v>133</v>
      </c>
      <c r="C14" s="82" t="s">
        <v>135</v>
      </c>
      <c r="D14" s="82" t="s">
        <v>172</v>
      </c>
      <c r="E14" s="84">
        <v>911134</v>
      </c>
      <c r="F14" s="201">
        <f>SUMIFS(Bérköltség!$T$6:$T$253,Bérköltség!$F$6:$F$253,$D14,Bérköltség!$L$6:$L$253,"Tény")</f>
        <v>0</v>
      </c>
      <c r="G14" s="201">
        <f t="shared" si="6"/>
        <v>911134</v>
      </c>
      <c r="H14" s="201">
        <f>SUMIFS(Bérköltség!$T$6:$T$253,Bérköltség!$F$6:$F$253,$D14,Bérköltség!$L$6:$L$253,"Köt. váll.")</f>
        <v>0</v>
      </c>
      <c r="I14" s="201">
        <f t="shared" si="7"/>
        <v>911134</v>
      </c>
      <c r="K14" s="197" t="s">
        <v>136</v>
      </c>
      <c r="L14" s="196">
        <f>SUM(L10:L13)</f>
        <v>134000268</v>
      </c>
    </row>
    <row r="15" spans="1:17" ht="45" x14ac:dyDescent="0.25">
      <c r="A15" s="82" t="s">
        <v>128</v>
      </c>
      <c r="B15" s="82" t="s">
        <v>133</v>
      </c>
      <c r="C15" s="82" t="s">
        <v>135</v>
      </c>
      <c r="D15" s="82" t="s">
        <v>173</v>
      </c>
      <c r="E15" s="84">
        <v>1849879</v>
      </c>
      <c r="F15" s="201">
        <f>SUMIFS(Bérköltség!$T$6:$T$253,Bérköltség!$F$6:$F$253,$D15,Bérköltség!$L$6:$L$253,"Tény")</f>
        <v>1578576</v>
      </c>
      <c r="G15" s="201">
        <f t="shared" si="6"/>
        <v>271303</v>
      </c>
      <c r="H15" s="201">
        <f>SUMIFS(Bérköltség!$T$6:$T$253,Bérköltség!$F$6:$F$253,$D15,Bérköltség!$L$6:$L$253,"Köt. váll.")</f>
        <v>498705</v>
      </c>
      <c r="I15" s="201">
        <f t="shared" si="7"/>
        <v>-227402</v>
      </c>
      <c r="K15" s="197"/>
      <c r="L15" s="200"/>
    </row>
    <row r="16" spans="1:17" ht="16.5" thickBot="1" x14ac:dyDescent="0.3">
      <c r="A16" s="158" t="s">
        <v>166</v>
      </c>
      <c r="B16" s="157"/>
      <c r="C16" s="157"/>
      <c r="D16" s="157"/>
      <c r="E16" s="159">
        <f>SUM(E12:E15)</f>
        <v>19501013</v>
      </c>
      <c r="F16" s="159">
        <f>SUM(F12:F15)</f>
        <v>5581744</v>
      </c>
      <c r="G16" s="159">
        <f>SUM(G12:G15)</f>
        <v>13919269</v>
      </c>
      <c r="H16" s="159">
        <f>SUM(H12:H15)</f>
        <v>1773482</v>
      </c>
      <c r="I16" s="159">
        <f>SUM(I12:I15)</f>
        <v>12145787</v>
      </c>
      <c r="K16" s="197"/>
      <c r="L16" s="196"/>
    </row>
    <row r="17" spans="1:17" ht="19.5" thickBot="1" x14ac:dyDescent="0.3">
      <c r="A17" s="239" t="s">
        <v>19</v>
      </c>
      <c r="B17" s="240"/>
      <c r="C17" s="240"/>
      <c r="D17" s="241"/>
      <c r="E17" s="160">
        <f>E16+E6+E11</f>
        <v>182680458</v>
      </c>
      <c r="F17" s="160">
        <f>F16+F6+F11</f>
        <v>49102765</v>
      </c>
      <c r="G17" s="160">
        <f>G16+G6+G11</f>
        <v>133577693</v>
      </c>
      <c r="H17" s="160">
        <f>H16+H6+H11</f>
        <v>15415667</v>
      </c>
      <c r="I17" s="160">
        <f>I16+I6+I11</f>
        <v>118162026</v>
      </c>
      <c r="K17" s="43" t="s">
        <v>216</v>
      </c>
      <c r="L17" s="40"/>
      <c r="M17" s="40"/>
      <c r="N17" s="41"/>
      <c r="O17" s="41"/>
      <c r="P17" s="41"/>
      <c r="Q17" s="41"/>
    </row>
    <row r="18" spans="1:17" x14ac:dyDescent="0.25">
      <c r="K18" s="43" t="s">
        <v>217</v>
      </c>
      <c r="L18" s="40"/>
      <c r="M18" s="40"/>
      <c r="N18" s="41"/>
      <c r="O18" s="41"/>
      <c r="P18" s="41"/>
      <c r="Q18" s="41"/>
    </row>
    <row r="19" spans="1:17" x14ac:dyDescent="0.25">
      <c r="K19" s="40"/>
      <c r="L19" s="40"/>
      <c r="M19" s="40"/>
      <c r="N19" s="41"/>
      <c r="O19" s="41"/>
      <c r="P19" s="41"/>
      <c r="Q19" s="41"/>
    </row>
    <row r="20" spans="1:17" s="8" customFormat="1" x14ac:dyDescent="0.25">
      <c r="A20"/>
      <c r="B20"/>
      <c r="C20"/>
      <c r="D20"/>
      <c r="E20" s="19"/>
      <c r="F20" s="17"/>
      <c r="G20" s="17"/>
      <c r="H20" s="17"/>
      <c r="I20" s="17"/>
      <c r="K20" s="40"/>
      <c r="L20" s="40"/>
      <c r="M20" s="40"/>
      <c r="N20" s="41"/>
      <c r="O20" s="41"/>
      <c r="P20" s="41"/>
      <c r="Q20" s="41"/>
    </row>
    <row r="21" spans="1:17" x14ac:dyDescent="0.25">
      <c r="K21" s="40"/>
      <c r="L21" s="40"/>
      <c r="M21" s="40"/>
      <c r="N21" s="41"/>
      <c r="O21" s="41"/>
      <c r="P21" s="41"/>
      <c r="Q21" s="41"/>
    </row>
    <row r="22" spans="1:17" x14ac:dyDescent="0.25">
      <c r="E22" s="17"/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D35BFA83-C8A7-462B-957D-B3E0588C7E7A}"/>
    </customSheetView>
  </customSheetViews>
  <mergeCells count="2">
    <mergeCell ref="A1:I1"/>
    <mergeCell ref="A17:D17"/>
  </mergeCells>
  <phoneticPr fontId="6" type="noConversion"/>
  <conditionalFormatting sqref="I4:I17">
    <cfRule type="cellIs" dxfId="0" priority="1" operator="lessThan">
      <formula>0</formula>
    </cfRule>
  </conditionalFormatting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2"/>
  <dimension ref="A1:AF283"/>
  <sheetViews>
    <sheetView tabSelected="1" topLeftCell="I1" zoomScaleNormal="100" workbookViewId="0">
      <pane ySplit="5" topLeftCell="A228" activePane="bottomLeft" state="frozen"/>
      <selection pane="bottomLeft" activeCell="W1" sqref="W1"/>
    </sheetView>
  </sheetViews>
  <sheetFormatPr defaultRowHeight="15" outlineLevelCol="1" x14ac:dyDescent="0.25"/>
  <cols>
    <col min="1" max="1" width="13" bestFit="1" customWidth="1"/>
    <col min="2" max="2" width="33.7109375" customWidth="1"/>
    <col min="3" max="3" width="15.28515625" style="89" hidden="1" customWidth="1" outlineLevel="1"/>
    <col min="4" max="4" width="14.85546875" hidden="1" customWidth="1" outlineLevel="1"/>
    <col min="5" max="5" width="19.140625" style="89" hidden="1" customWidth="1" outlineLevel="1"/>
    <col min="6" max="6" width="22.140625" style="89" hidden="1" customWidth="1" outlineLevel="1"/>
    <col min="7" max="7" width="16.28515625" customWidth="1" collapsed="1"/>
    <col min="8" max="8" width="16.85546875" customWidth="1"/>
    <col min="9" max="9" width="24" customWidth="1"/>
    <col min="10" max="10" width="16" style="6" bestFit="1" customWidth="1"/>
    <col min="11" max="11" width="15.140625" style="6" customWidth="1"/>
    <col min="12" max="12" width="11.140625" customWidth="1"/>
    <col min="13" max="13" width="12.85546875" customWidth="1"/>
    <col min="14" max="14" width="11.85546875" style="19" customWidth="1"/>
    <col min="15" max="15" width="10.7109375" style="19" customWidth="1"/>
    <col min="16" max="16" width="11.140625" style="6" customWidth="1"/>
    <col min="17" max="17" width="11" style="22" customWidth="1"/>
    <col min="18" max="18" width="12.42578125" style="30" customWidth="1"/>
    <col min="19" max="20" width="16.140625" style="2" customWidth="1"/>
    <col min="21" max="21" width="16.42578125" style="30" customWidth="1"/>
    <col min="22" max="22" width="11.28515625" style="86" customWidth="1"/>
    <col min="23" max="23" width="13.85546875" style="22" customWidth="1"/>
    <col min="24" max="24" width="16.42578125" style="6" customWidth="1"/>
    <col min="25" max="25" width="10.5703125" style="6" customWidth="1"/>
    <col min="26" max="26" width="10.5703125" style="24" customWidth="1"/>
    <col min="27" max="27" width="11.140625" style="6" customWidth="1"/>
    <col min="28" max="28" width="8.85546875"/>
    <col min="29" max="31" width="10.28515625" bestFit="1" customWidth="1"/>
    <col min="32" max="45" width="8.85546875"/>
  </cols>
  <sheetData>
    <row r="1" spans="1:32" x14ac:dyDescent="0.25">
      <c r="B1" t="s">
        <v>239</v>
      </c>
      <c r="G1" t="s">
        <v>254</v>
      </c>
      <c r="H1" t="s">
        <v>241</v>
      </c>
      <c r="J1" s="6" t="s">
        <v>255</v>
      </c>
      <c r="S1" s="2" t="s">
        <v>237</v>
      </c>
      <c r="T1" s="2" t="s">
        <v>238</v>
      </c>
      <c r="W1" s="22" t="s">
        <v>240</v>
      </c>
      <c r="AF1" t="s">
        <v>256</v>
      </c>
    </row>
    <row r="2" spans="1:32" ht="19.5" thickBot="1" x14ac:dyDescent="0.35">
      <c r="B2" s="242"/>
      <c r="C2" s="242"/>
      <c r="D2" s="242"/>
      <c r="E2" s="242"/>
      <c r="F2" s="242"/>
      <c r="G2" s="242"/>
      <c r="H2" s="242"/>
      <c r="I2" s="243"/>
      <c r="J2" s="242"/>
      <c r="K2" s="70"/>
      <c r="L2" s="27"/>
      <c r="M2" s="9"/>
      <c r="N2" s="44"/>
      <c r="O2" s="21"/>
      <c r="U2" s="29"/>
      <c r="AC2" s="211" t="e">
        <f>IF(VLOOKUP($W2,'Havi béradatok'!$B:$E,2,FALSE)=H2,"EGYEZIK","HIBÁS")</f>
        <v>#N/A</v>
      </c>
      <c r="AD2" s="233" t="e">
        <f>VLOOKUP($W2,'Havi béradatok'!$B:$E,3,FALSE)-N2</f>
        <v>#N/A</v>
      </c>
      <c r="AE2" s="233" t="e">
        <f>VLOOKUP($W2,'Havi béradatok'!$B:$E,4,FALSE)-O2</f>
        <v>#N/A</v>
      </c>
    </row>
    <row r="3" spans="1:32" s="8" customFormat="1" ht="30" customHeight="1" x14ac:dyDescent="0.25">
      <c r="A3" s="117"/>
      <c r="B3" s="118" t="s">
        <v>145</v>
      </c>
      <c r="C3" s="118"/>
      <c r="D3" s="118"/>
      <c r="E3" s="118"/>
      <c r="F3" s="119"/>
      <c r="G3" s="119"/>
      <c r="H3" s="119"/>
      <c r="I3" s="244" t="s">
        <v>93</v>
      </c>
      <c r="J3" s="120"/>
      <c r="K3" s="120"/>
      <c r="L3" s="121"/>
      <c r="M3" s="120" t="s">
        <v>146</v>
      </c>
      <c r="N3" s="122" t="s">
        <v>147</v>
      </c>
      <c r="O3" s="123" t="s">
        <v>147</v>
      </c>
      <c r="P3" s="124" t="s">
        <v>147</v>
      </c>
      <c r="Q3" s="124" t="s">
        <v>148</v>
      </c>
      <c r="R3" s="246" t="s">
        <v>79</v>
      </c>
      <c r="S3" s="124" t="s">
        <v>148</v>
      </c>
      <c r="T3" s="151" t="s">
        <v>148</v>
      </c>
      <c r="U3" s="125" t="s">
        <v>55</v>
      </c>
      <c r="V3" s="126" t="s">
        <v>62</v>
      </c>
      <c r="W3" s="220"/>
      <c r="X3" s="37" t="s">
        <v>57</v>
      </c>
      <c r="Y3" s="31" t="s">
        <v>58</v>
      </c>
      <c r="Z3" s="34" t="s">
        <v>18</v>
      </c>
      <c r="AA3" s="31"/>
      <c r="AC3" s="210"/>
      <c r="AD3" s="210"/>
      <c r="AE3" s="210"/>
    </row>
    <row r="4" spans="1:32" s="8" customFormat="1" ht="30" customHeight="1" x14ac:dyDescent="0.25">
      <c r="A4" s="127" t="s">
        <v>149</v>
      </c>
      <c r="B4" s="128" t="s">
        <v>7</v>
      </c>
      <c r="C4" s="128" t="s">
        <v>150</v>
      </c>
      <c r="D4" s="128" t="s">
        <v>151</v>
      </c>
      <c r="E4" s="128" t="s">
        <v>151</v>
      </c>
      <c r="F4" s="129" t="s">
        <v>151</v>
      </c>
      <c r="G4" s="130" t="s">
        <v>16</v>
      </c>
      <c r="H4" s="130" t="s">
        <v>16</v>
      </c>
      <c r="I4" s="245"/>
      <c r="J4" s="130" t="s">
        <v>88</v>
      </c>
      <c r="K4" s="130" t="s">
        <v>88</v>
      </c>
      <c r="L4" s="130" t="s">
        <v>8</v>
      </c>
      <c r="M4" s="130" t="s">
        <v>152</v>
      </c>
      <c r="N4" s="131" t="s">
        <v>153</v>
      </c>
      <c r="O4" s="132" t="s">
        <v>154</v>
      </c>
      <c r="P4" s="133" t="s">
        <v>155</v>
      </c>
      <c r="Q4" s="134" t="s">
        <v>23</v>
      </c>
      <c r="R4" s="247"/>
      <c r="S4" s="135" t="s">
        <v>23</v>
      </c>
      <c r="T4" s="136" t="s">
        <v>23</v>
      </c>
      <c r="U4" s="137" t="s">
        <v>1</v>
      </c>
      <c r="V4" s="138" t="s">
        <v>63</v>
      </c>
      <c r="W4" s="221" t="s">
        <v>219</v>
      </c>
      <c r="X4" s="37" t="s">
        <v>75</v>
      </c>
      <c r="Y4" s="32" t="s">
        <v>59</v>
      </c>
      <c r="Z4" s="35" t="s">
        <v>32</v>
      </c>
      <c r="AA4" s="32" t="s">
        <v>35</v>
      </c>
      <c r="AC4" s="213" t="s">
        <v>5</v>
      </c>
      <c r="AD4" s="213" t="s">
        <v>237</v>
      </c>
      <c r="AE4" s="213" t="s">
        <v>238</v>
      </c>
    </row>
    <row r="5" spans="1:32" s="8" customFormat="1" ht="30" customHeight="1" thickBot="1" x14ac:dyDescent="0.3">
      <c r="A5" s="139" t="s">
        <v>156</v>
      </c>
      <c r="B5" s="140" t="s">
        <v>26</v>
      </c>
      <c r="C5" s="141" t="s">
        <v>157</v>
      </c>
      <c r="D5" s="141" t="s">
        <v>158</v>
      </c>
      <c r="E5" s="141" t="s">
        <v>159</v>
      </c>
      <c r="F5" s="142" t="s">
        <v>160</v>
      </c>
      <c r="G5" s="142" t="s">
        <v>27</v>
      </c>
      <c r="H5" s="142" t="s">
        <v>28</v>
      </c>
      <c r="I5" s="143"/>
      <c r="J5" s="142" t="s">
        <v>161</v>
      </c>
      <c r="K5" s="142" t="s">
        <v>162</v>
      </c>
      <c r="L5" s="142" t="s">
        <v>9</v>
      </c>
      <c r="M5" s="142"/>
      <c r="N5" s="144"/>
      <c r="O5" s="145"/>
      <c r="P5" s="146" t="s">
        <v>163</v>
      </c>
      <c r="Q5" s="147" t="s">
        <v>22</v>
      </c>
      <c r="R5" s="229"/>
      <c r="S5" s="146" t="s">
        <v>21</v>
      </c>
      <c r="T5" s="148" t="s">
        <v>24</v>
      </c>
      <c r="U5" s="149" t="s">
        <v>56</v>
      </c>
      <c r="V5" s="150" t="s">
        <v>34</v>
      </c>
      <c r="W5" s="222" t="s">
        <v>220</v>
      </c>
      <c r="X5" s="38" t="s">
        <v>25</v>
      </c>
      <c r="Y5" s="33" t="s">
        <v>20</v>
      </c>
      <c r="Z5" s="36"/>
      <c r="AA5" s="33" t="s">
        <v>33</v>
      </c>
      <c r="AB5" s="8" t="s">
        <v>198</v>
      </c>
      <c r="AC5" s="209" t="s">
        <v>236</v>
      </c>
      <c r="AD5" s="209" t="s">
        <v>236</v>
      </c>
      <c r="AE5" s="209" t="s">
        <v>236</v>
      </c>
    </row>
    <row r="6" spans="1:32" s="8" customFormat="1" x14ac:dyDescent="0.25">
      <c r="A6" s="189"/>
      <c r="B6" s="92"/>
      <c r="C6" s="95"/>
      <c r="D6" s="179"/>
      <c r="E6" s="95"/>
      <c r="F6" s="95"/>
      <c r="G6" s="179"/>
      <c r="H6" s="179"/>
      <c r="I6" s="95"/>
      <c r="J6" s="179"/>
      <c r="K6" s="179"/>
      <c r="L6" s="202"/>
      <c r="M6" s="94"/>
      <c r="N6" s="203"/>
      <c r="O6" s="204"/>
      <c r="P6" s="179"/>
      <c r="Q6" s="179"/>
      <c r="R6" s="187"/>
      <c r="S6" s="183"/>
      <c r="T6" s="184"/>
      <c r="U6" s="205"/>
      <c r="V6" s="206"/>
      <c r="W6" s="223"/>
      <c r="X6" s="207"/>
      <c r="Y6" s="182"/>
      <c r="Z6" s="182"/>
      <c r="AA6" s="182"/>
      <c r="AB6" s="168"/>
    </row>
    <row r="7" spans="1:32" s="8" customFormat="1" x14ac:dyDescent="0.25">
      <c r="A7" s="189"/>
      <c r="B7" s="92" t="s">
        <v>252</v>
      </c>
      <c r="C7" s="90" t="str">
        <f>VLOOKUP($F7,Admin!$A$16:$E$19,2,FALSE)</f>
        <v>Alkalmazott (ipari) kutatás – Működési költség</v>
      </c>
      <c r="D7" s="161" t="s">
        <v>129</v>
      </c>
      <c r="E7" s="90" t="str">
        <f>VLOOKUP($F7,Admin!$A$16:$E$19,4,FALSE)</f>
        <v>54. Bérköltség - Kutató-fejlesztő munkatárs</v>
      </c>
      <c r="F7" s="90" t="s">
        <v>171</v>
      </c>
      <c r="G7" s="161" t="s">
        <v>174</v>
      </c>
      <c r="H7" s="161" t="s">
        <v>194</v>
      </c>
      <c r="I7" s="90" t="s">
        <v>90</v>
      </c>
      <c r="J7" s="161" t="s">
        <v>67</v>
      </c>
      <c r="K7" s="161" t="str">
        <f t="shared" ref="K7" si="0">J7</f>
        <v>2023.04</v>
      </c>
      <c r="L7" s="91" t="s">
        <v>9</v>
      </c>
      <c r="M7" s="92" t="s">
        <v>78</v>
      </c>
      <c r="N7" s="162">
        <v>700000</v>
      </c>
      <c r="O7" s="163">
        <f t="shared" ref="O7" si="1">ROUND(N7*V7,0)</f>
        <v>91000</v>
      </c>
      <c r="P7" s="161">
        <v>174</v>
      </c>
      <c r="Q7" s="161">
        <v>75</v>
      </c>
      <c r="R7" s="230">
        <f t="shared" ref="R7" si="2">Q7/P7</f>
        <v>0.43103448275862066</v>
      </c>
      <c r="S7" s="164">
        <f t="shared" ref="S7" si="3">ROUND(N7*Q7/P7,0)</f>
        <v>301724</v>
      </c>
      <c r="T7" s="165">
        <f t="shared" ref="T7" si="4">ROUND(S7*V7,0)</f>
        <v>39224</v>
      </c>
      <c r="U7" s="166">
        <f t="shared" ref="U7" si="5">Q7/P7-S7/N7</f>
        <v>1.9704433495970619E-7</v>
      </c>
      <c r="V7" s="87">
        <v>0.13</v>
      </c>
      <c r="W7" s="224" t="s">
        <v>253</v>
      </c>
      <c r="X7" s="23">
        <v>45001</v>
      </c>
      <c r="Y7" s="20" t="s">
        <v>197</v>
      </c>
      <c r="Z7" s="20"/>
      <c r="AA7" s="20"/>
      <c r="AB7" s="168"/>
    </row>
    <row r="8" spans="1:32" s="8" customFormat="1" x14ac:dyDescent="0.25">
      <c r="A8" s="189"/>
      <c r="B8" s="92" t="s">
        <v>252</v>
      </c>
      <c r="C8" s="90" t="str">
        <f>VLOOKUP($F8,Admin!$A$16:$E$19,2,FALSE)</f>
        <v>Alkalmazott (ipari) kutatás – Működési költség</v>
      </c>
      <c r="D8" s="161" t="s">
        <v>129</v>
      </c>
      <c r="E8" s="90" t="str">
        <f>VLOOKUP($F8,Admin!$A$16:$E$19,4,FALSE)</f>
        <v>54. Bérköltség - Kutató-fejlesztő munkatárs</v>
      </c>
      <c r="F8" s="90" t="s">
        <v>171</v>
      </c>
      <c r="G8" s="161" t="s">
        <v>174</v>
      </c>
      <c r="H8" s="161" t="s">
        <v>194</v>
      </c>
      <c r="I8" s="90" t="s">
        <v>90</v>
      </c>
      <c r="J8" s="161" t="s">
        <v>68</v>
      </c>
      <c r="K8" s="161" t="str">
        <f t="shared" ref="K8:K9" si="6">J8</f>
        <v>2023.05</v>
      </c>
      <c r="L8" s="91" t="s">
        <v>9</v>
      </c>
      <c r="M8" s="92" t="s">
        <v>78</v>
      </c>
      <c r="N8" s="162">
        <v>700000</v>
      </c>
      <c r="O8" s="163">
        <f t="shared" ref="O8:O9" si="7">ROUND(N8*V8,0)</f>
        <v>91000</v>
      </c>
      <c r="P8" s="161">
        <v>174</v>
      </c>
      <c r="Q8" s="161">
        <v>75</v>
      </c>
      <c r="R8" s="230">
        <f t="shared" ref="R8:R9" si="8">Q8/P8</f>
        <v>0.43103448275862066</v>
      </c>
      <c r="S8" s="164">
        <f t="shared" ref="S8:S9" si="9">ROUND(N8*Q8/P8,0)</f>
        <v>301724</v>
      </c>
      <c r="T8" s="165">
        <f t="shared" ref="T8:T9" si="10">ROUND(S8*V8,0)</f>
        <v>39224</v>
      </c>
      <c r="U8" s="166">
        <f t="shared" ref="U8:U9" si="11">Q8/P8-S8/N8</f>
        <v>1.9704433495970619E-7</v>
      </c>
      <c r="V8" s="87">
        <v>0.13</v>
      </c>
      <c r="W8" s="224" t="s">
        <v>253</v>
      </c>
      <c r="X8" s="23">
        <v>45001</v>
      </c>
      <c r="Y8" s="20" t="s">
        <v>197</v>
      </c>
      <c r="Z8" s="20"/>
      <c r="AA8" s="20"/>
      <c r="AB8" s="168"/>
    </row>
    <row r="9" spans="1:32" s="8" customFormat="1" x14ac:dyDescent="0.25">
      <c r="A9" s="189"/>
      <c r="B9" s="92" t="s">
        <v>252</v>
      </c>
      <c r="C9" s="90" t="str">
        <f>VLOOKUP($F9,Admin!$A$16:$E$19,2,FALSE)</f>
        <v>Alkalmazott (ipari) kutatás – Működési költség</v>
      </c>
      <c r="D9" s="161" t="s">
        <v>129</v>
      </c>
      <c r="E9" s="90" t="str">
        <f>VLOOKUP($F9,Admin!$A$16:$E$19,4,FALSE)</f>
        <v>54. Bérköltség - Kutató-fejlesztő munkatárs</v>
      </c>
      <c r="F9" s="90" t="s">
        <v>171</v>
      </c>
      <c r="G9" s="161" t="s">
        <v>174</v>
      </c>
      <c r="H9" s="161" t="s">
        <v>194</v>
      </c>
      <c r="I9" s="90" t="s">
        <v>90</v>
      </c>
      <c r="J9" s="161" t="s">
        <v>69</v>
      </c>
      <c r="K9" s="161" t="str">
        <f t="shared" si="6"/>
        <v>2023.06</v>
      </c>
      <c r="L9" s="91" t="s">
        <v>9</v>
      </c>
      <c r="M9" s="92" t="s">
        <v>78</v>
      </c>
      <c r="N9" s="162">
        <v>700000</v>
      </c>
      <c r="O9" s="163">
        <f t="shared" si="7"/>
        <v>91000</v>
      </c>
      <c r="P9" s="161">
        <v>174</v>
      </c>
      <c r="Q9" s="161">
        <v>75</v>
      </c>
      <c r="R9" s="230">
        <f t="shared" si="8"/>
        <v>0.43103448275862066</v>
      </c>
      <c r="S9" s="164">
        <f t="shared" si="9"/>
        <v>301724</v>
      </c>
      <c r="T9" s="165">
        <f t="shared" si="10"/>
        <v>39224</v>
      </c>
      <c r="U9" s="166">
        <f t="shared" si="11"/>
        <v>1.9704433495970619E-7</v>
      </c>
      <c r="V9" s="87">
        <v>0.13</v>
      </c>
      <c r="W9" s="224" t="s">
        <v>253</v>
      </c>
      <c r="X9" s="23">
        <v>45001</v>
      </c>
      <c r="Y9" s="20" t="s">
        <v>197</v>
      </c>
      <c r="Z9" s="20"/>
      <c r="AA9" s="20"/>
      <c r="AB9" s="168"/>
    </row>
    <row r="10" spans="1:32" s="8" customFormat="1" x14ac:dyDescent="0.25">
      <c r="A10" s="189"/>
      <c r="B10" s="92" t="s">
        <v>247</v>
      </c>
      <c r="C10" s="90" t="str">
        <f>VLOOKUP($F10,Admin!$A$16:$E$19,2,FALSE)</f>
        <v>Alkalmazott (ipari) kutatás – Működési költség</v>
      </c>
      <c r="D10" s="161" t="s">
        <v>129</v>
      </c>
      <c r="E10" s="90" t="str">
        <f>VLOOKUP($F10,Admin!$A$16:$E$19,4,FALSE)</f>
        <v>54. Bérköltség - technikus segédszemélyzet</v>
      </c>
      <c r="F10" s="90" t="s">
        <v>173</v>
      </c>
      <c r="G10" s="161" t="s">
        <v>174</v>
      </c>
      <c r="H10" s="161" t="s">
        <v>207</v>
      </c>
      <c r="I10" s="90" t="str">
        <f>VLOOKUP($F10,Admin!$A$16:$E$19,5,FALSE)</f>
        <v>Technikus</v>
      </c>
      <c r="J10" s="161" t="s">
        <v>65</v>
      </c>
      <c r="K10" s="161" t="str">
        <f t="shared" ref="K10" si="12">J10</f>
        <v>2023.02</v>
      </c>
      <c r="L10" s="91" t="s">
        <v>8</v>
      </c>
      <c r="M10" s="92" t="s">
        <v>89</v>
      </c>
      <c r="N10" s="162">
        <v>150800</v>
      </c>
      <c r="O10" s="163">
        <v>0</v>
      </c>
      <c r="P10" s="161">
        <v>174</v>
      </c>
      <c r="Q10" s="161">
        <v>174</v>
      </c>
      <c r="R10" s="230">
        <f t="shared" ref="R10" si="13">Q10/P10</f>
        <v>1</v>
      </c>
      <c r="S10" s="164">
        <f t="shared" ref="S10" si="14">ROUND(N10*Q10/P10,0)</f>
        <v>150800</v>
      </c>
      <c r="T10" s="165">
        <v>0</v>
      </c>
      <c r="U10" s="166">
        <f t="shared" ref="U10" si="15">Q10/P10-S10/N10</f>
        <v>0</v>
      </c>
      <c r="V10" s="87">
        <v>0.13</v>
      </c>
      <c r="W10" s="224" t="s">
        <v>248</v>
      </c>
      <c r="X10" s="23">
        <v>44943</v>
      </c>
      <c r="Y10" s="20" t="s">
        <v>197</v>
      </c>
      <c r="Z10" s="20"/>
      <c r="AA10" s="20"/>
      <c r="AB10" s="168">
        <v>1</v>
      </c>
      <c r="AC10" s="8" t="str">
        <f>IF(VLOOKUP($W10,'Havi béradatok'!$B:$E,2,FALSE)=H10,"EGYEZIK","HIBÁS")</f>
        <v>EGYEZIK</v>
      </c>
      <c r="AD10" s="8">
        <f>VLOOKUP($W10,'Havi béradatok'!$B:$E,3,FALSE)-N10</f>
        <v>0</v>
      </c>
      <c r="AE10" s="8">
        <f>VLOOKUP($W10,'Havi béradatok'!$B:$E,4,FALSE)-O10</f>
        <v>0</v>
      </c>
    </row>
    <row r="11" spans="1:32" s="8" customFormat="1" x14ac:dyDescent="0.25">
      <c r="A11" s="189"/>
      <c r="B11" s="92" t="s">
        <v>247</v>
      </c>
      <c r="C11" s="90" t="str">
        <f>VLOOKUP($F11,Admin!$A$16:$E$19,2,FALSE)</f>
        <v>Alkalmazott (ipari) kutatás – Működési költség</v>
      </c>
      <c r="D11" s="161" t="s">
        <v>129</v>
      </c>
      <c r="E11" s="90" t="str">
        <f>VLOOKUP($F11,Admin!$A$16:$E$19,4,FALSE)</f>
        <v>54. Bérköltség - technikus segédszemélyzet</v>
      </c>
      <c r="F11" s="90" t="s">
        <v>173</v>
      </c>
      <c r="G11" s="161" t="s">
        <v>174</v>
      </c>
      <c r="H11" s="161" t="s">
        <v>207</v>
      </c>
      <c r="I11" s="90" t="str">
        <f>VLOOKUP($F11,Admin!$A$16:$E$19,5,FALSE)</f>
        <v>Technikus</v>
      </c>
      <c r="J11" s="161" t="s">
        <v>66</v>
      </c>
      <c r="K11" s="161" t="str">
        <f t="shared" ref="K11:K12" si="16">J11</f>
        <v>2023.03</v>
      </c>
      <c r="L11" s="91" t="s">
        <v>8</v>
      </c>
      <c r="M11" s="92" t="s">
        <v>89</v>
      </c>
      <c r="N11" s="162">
        <v>150800</v>
      </c>
      <c r="O11" s="163">
        <v>0</v>
      </c>
      <c r="P11" s="161">
        <v>174</v>
      </c>
      <c r="Q11" s="161">
        <v>174</v>
      </c>
      <c r="R11" s="230">
        <f t="shared" ref="R11:R13" si="17">Q11/P11</f>
        <v>1</v>
      </c>
      <c r="S11" s="164">
        <f t="shared" ref="S11:S13" si="18">ROUND(N11*Q11/P11,0)</f>
        <v>150800</v>
      </c>
      <c r="T11" s="165">
        <v>0</v>
      </c>
      <c r="U11" s="166">
        <f t="shared" ref="U11:U13" si="19">Q11/P11-S11/N11</f>
        <v>0</v>
      </c>
      <c r="V11" s="87">
        <v>0.13</v>
      </c>
      <c r="W11" s="224" t="s">
        <v>248</v>
      </c>
      <c r="X11" s="23">
        <v>44943</v>
      </c>
      <c r="Y11" s="20" t="s">
        <v>197</v>
      </c>
      <c r="Z11" s="20"/>
      <c r="AA11" s="20"/>
      <c r="AB11" s="168">
        <v>1</v>
      </c>
      <c r="AC11" s="8" t="str">
        <f>IF(VLOOKUP($W11,'Havi béradatok'!$B:$E,2,FALSE)=H11,"EGYEZIK","HIBÁS")</f>
        <v>EGYEZIK</v>
      </c>
      <c r="AD11" s="8">
        <f>VLOOKUP($W11,'Havi béradatok'!$B:$E,3,FALSE)-N11</f>
        <v>0</v>
      </c>
      <c r="AE11" s="8">
        <f>VLOOKUP($W11,'Havi béradatok'!$B:$E,4,FALSE)-O11</f>
        <v>0</v>
      </c>
    </row>
    <row r="12" spans="1:32" s="8" customFormat="1" x14ac:dyDescent="0.25">
      <c r="A12" s="189"/>
      <c r="B12" s="92" t="s">
        <v>247</v>
      </c>
      <c r="C12" s="90" t="str">
        <f>VLOOKUP($F12,Admin!$A$16:$E$19,2,FALSE)</f>
        <v>Alkalmazott (ipari) kutatás – Működési költség</v>
      </c>
      <c r="D12" s="161" t="s">
        <v>129</v>
      </c>
      <c r="E12" s="90" t="str">
        <f>VLOOKUP($F12,Admin!$A$16:$E$19,4,FALSE)</f>
        <v>54. Bérköltség - technikus segédszemélyzet</v>
      </c>
      <c r="F12" s="90" t="s">
        <v>173</v>
      </c>
      <c r="G12" s="161" t="s">
        <v>174</v>
      </c>
      <c r="H12" s="161" t="s">
        <v>207</v>
      </c>
      <c r="I12" s="90" t="str">
        <f>VLOOKUP($F12,Admin!$A$16:$E$19,5,FALSE)</f>
        <v>Technikus</v>
      </c>
      <c r="J12" s="161" t="s">
        <v>67</v>
      </c>
      <c r="K12" s="161" t="str">
        <f t="shared" si="16"/>
        <v>2023.04</v>
      </c>
      <c r="L12" s="91" t="s">
        <v>9</v>
      </c>
      <c r="M12" s="92" t="s">
        <v>89</v>
      </c>
      <c r="N12" s="162">
        <v>150800</v>
      </c>
      <c r="O12" s="163">
        <f t="shared" ref="O12:O13" si="20">ROUND(N12*V12,0)</f>
        <v>19604</v>
      </c>
      <c r="P12" s="161">
        <v>174</v>
      </c>
      <c r="Q12" s="161">
        <v>174</v>
      </c>
      <c r="R12" s="230">
        <f t="shared" si="17"/>
        <v>1</v>
      </c>
      <c r="S12" s="164">
        <f t="shared" si="18"/>
        <v>150800</v>
      </c>
      <c r="T12" s="165">
        <f t="shared" ref="T12:T13" si="21">ROUND(S12*V12,0)</f>
        <v>19604</v>
      </c>
      <c r="U12" s="166">
        <f t="shared" si="19"/>
        <v>0</v>
      </c>
      <c r="V12" s="87">
        <v>0.13</v>
      </c>
      <c r="W12" s="224" t="s">
        <v>248</v>
      </c>
      <c r="X12" s="23">
        <v>44943</v>
      </c>
      <c r="Y12" s="20" t="s">
        <v>197</v>
      </c>
      <c r="Z12" s="20"/>
      <c r="AA12" s="20"/>
      <c r="AB12" s="168"/>
    </row>
    <row r="13" spans="1:32" s="8" customFormat="1" x14ac:dyDescent="0.25">
      <c r="A13" s="189"/>
      <c r="B13" s="92" t="s">
        <v>247</v>
      </c>
      <c r="C13" s="90" t="str">
        <f>VLOOKUP($F13,Admin!$A$16:$E$19,2,FALSE)</f>
        <v>Alkalmazott (ipari) kutatás – Működési költség</v>
      </c>
      <c r="D13" s="161" t="s">
        <v>129</v>
      </c>
      <c r="E13" s="90" t="str">
        <f>VLOOKUP($F13,Admin!$A$16:$E$19,4,FALSE)</f>
        <v>54. Bérköltség - technikus segédszemélyzet</v>
      </c>
      <c r="F13" s="90" t="s">
        <v>173</v>
      </c>
      <c r="G13" s="161" t="s">
        <v>174</v>
      </c>
      <c r="H13" s="161" t="s">
        <v>207</v>
      </c>
      <c r="I13" s="90" t="str">
        <f>VLOOKUP($F13,Admin!$A$16:$E$19,5,FALSE)</f>
        <v>Technikus</v>
      </c>
      <c r="J13" s="161" t="s">
        <v>68</v>
      </c>
      <c r="K13" s="194">
        <v>45070</v>
      </c>
      <c r="L13" s="91" t="s">
        <v>9</v>
      </c>
      <c r="M13" s="92" t="s">
        <v>89</v>
      </c>
      <c r="N13" s="162">
        <v>150800</v>
      </c>
      <c r="O13" s="163">
        <f t="shared" si="20"/>
        <v>19604</v>
      </c>
      <c r="P13" s="161">
        <v>174</v>
      </c>
      <c r="Q13" s="161">
        <v>174</v>
      </c>
      <c r="R13" s="230">
        <f t="shared" si="17"/>
        <v>1</v>
      </c>
      <c r="S13" s="164">
        <f t="shared" si="18"/>
        <v>150800</v>
      </c>
      <c r="T13" s="165">
        <f t="shared" si="21"/>
        <v>19604</v>
      </c>
      <c r="U13" s="166">
        <f t="shared" si="19"/>
        <v>0</v>
      </c>
      <c r="V13" s="87">
        <v>0.13</v>
      </c>
      <c r="W13" s="224" t="s">
        <v>248</v>
      </c>
      <c r="X13" s="23">
        <v>44943</v>
      </c>
      <c r="Y13" s="20" t="s">
        <v>197</v>
      </c>
      <c r="Z13" s="20"/>
      <c r="AA13" s="20"/>
      <c r="AB13" s="168"/>
    </row>
    <row r="14" spans="1:32" s="8" customFormat="1" x14ac:dyDescent="0.25">
      <c r="A14" s="208">
        <v>1</v>
      </c>
      <c r="B14" s="92" t="s">
        <v>202</v>
      </c>
      <c r="C14" s="90" t="str">
        <f>VLOOKUP($F14,Admin!$A$16:$E$19,2,FALSE)</f>
        <v>Alkalmazott (ipari) kutatás – Működési költség</v>
      </c>
      <c r="D14" s="161" t="s">
        <v>129</v>
      </c>
      <c r="E14" s="90" t="str">
        <f>VLOOKUP($F14,Admin!$A$16:$E$19,4,FALSE)</f>
        <v>54. Bérköltség - Kutató-fejlesztő munkatárs</v>
      </c>
      <c r="F14" s="90" t="s">
        <v>171</v>
      </c>
      <c r="G14" s="161" t="s">
        <v>174</v>
      </c>
      <c r="H14" s="161" t="s">
        <v>194</v>
      </c>
      <c r="I14" s="90" t="str">
        <f>VLOOKUP($F14,Admin!$A$16:$E$19,5,FALSE)</f>
        <v>K+F munkatárs</v>
      </c>
      <c r="J14" s="161" t="s">
        <v>43</v>
      </c>
      <c r="K14" s="161" t="str">
        <f t="shared" ref="K14" si="22">J14</f>
        <v>2022.04</v>
      </c>
      <c r="L14" s="91" t="s">
        <v>8</v>
      </c>
      <c r="M14" s="92" t="s">
        <v>78</v>
      </c>
      <c r="N14" s="162">
        <v>923000</v>
      </c>
      <c r="O14" s="163">
        <f t="shared" ref="O14" si="23">ROUND(N14*V14,0)</f>
        <v>119990</v>
      </c>
      <c r="P14" s="161">
        <v>174</v>
      </c>
      <c r="Q14" s="161">
        <v>19</v>
      </c>
      <c r="R14" s="230">
        <f t="shared" ref="R14" si="24">Q14/P14</f>
        <v>0.10919540229885058</v>
      </c>
      <c r="S14" s="164">
        <f t="shared" ref="S14" si="25">ROUND(N14*Q14/P14,0)</f>
        <v>100787</v>
      </c>
      <c r="T14" s="165">
        <f t="shared" ref="T14" si="26">ROUND(S14*V14,0)</f>
        <v>13102</v>
      </c>
      <c r="U14" s="166">
        <f t="shared" ref="U14" si="27">Q14/P14-S14/N14</f>
        <v>3.8604749630355428E-7</v>
      </c>
      <c r="V14" s="87">
        <v>0.13</v>
      </c>
      <c r="W14" s="224"/>
      <c r="X14" s="23">
        <v>44648</v>
      </c>
      <c r="Y14" s="20" t="s">
        <v>197</v>
      </c>
      <c r="Z14" s="20"/>
      <c r="AA14" s="20"/>
      <c r="AB14" s="168">
        <v>1</v>
      </c>
    </row>
    <row r="15" spans="1:32" s="8" customFormat="1" x14ac:dyDescent="0.25">
      <c r="A15" s="208">
        <v>1</v>
      </c>
      <c r="B15" s="92" t="s">
        <v>202</v>
      </c>
      <c r="C15" s="90" t="str">
        <f>VLOOKUP($F15,Admin!$A$16:$E$19,2,FALSE)</f>
        <v>Alkalmazott (ipari) kutatás – Működési költség</v>
      </c>
      <c r="D15" s="161" t="s">
        <v>129</v>
      </c>
      <c r="E15" s="90" t="str">
        <f>VLOOKUP($F15,Admin!$A$16:$E$19,4,FALSE)</f>
        <v>54. Bérköltség - Kutató-fejlesztő munkatárs</v>
      </c>
      <c r="F15" s="90" t="s">
        <v>171</v>
      </c>
      <c r="G15" s="161" t="s">
        <v>174</v>
      </c>
      <c r="H15" s="161" t="s">
        <v>194</v>
      </c>
      <c r="I15" s="90" t="str">
        <f>VLOOKUP($F15,Admin!$A$16:$E$19,5,FALSE)</f>
        <v>K+F munkatárs</v>
      </c>
      <c r="J15" s="161" t="s">
        <v>44</v>
      </c>
      <c r="K15" s="161" t="str">
        <f t="shared" ref="K15:K16" si="28">J15</f>
        <v>2022.05</v>
      </c>
      <c r="L15" s="91" t="s">
        <v>8</v>
      </c>
      <c r="M15" s="92" t="s">
        <v>78</v>
      </c>
      <c r="N15" s="162">
        <v>923000</v>
      </c>
      <c r="O15" s="163">
        <f t="shared" ref="O15:O16" si="29">ROUND(N15*V15,0)</f>
        <v>119990</v>
      </c>
      <c r="P15" s="161">
        <v>174</v>
      </c>
      <c r="Q15" s="161">
        <v>19</v>
      </c>
      <c r="R15" s="230">
        <f t="shared" ref="R15:R16" si="30">Q15/P15</f>
        <v>0.10919540229885058</v>
      </c>
      <c r="S15" s="164">
        <f t="shared" ref="S15:S16" si="31">ROUND(N15*Q15/P15,0)</f>
        <v>100787</v>
      </c>
      <c r="T15" s="165">
        <f t="shared" ref="T15:T16" si="32">ROUND(S15*V15,0)</f>
        <v>13102</v>
      </c>
      <c r="U15" s="166">
        <f t="shared" ref="U15:U16" si="33">Q15/P15-S15/N15</f>
        <v>3.8604749630355428E-7</v>
      </c>
      <c r="V15" s="87">
        <v>0.13</v>
      </c>
      <c r="W15" s="224"/>
      <c r="X15" s="23">
        <v>44648</v>
      </c>
      <c r="Y15" s="20" t="s">
        <v>197</v>
      </c>
      <c r="Z15" s="20"/>
      <c r="AA15" s="20"/>
      <c r="AB15" s="168">
        <v>1</v>
      </c>
    </row>
    <row r="16" spans="1:32" s="8" customFormat="1" x14ac:dyDescent="0.25">
      <c r="A16" s="208">
        <v>1</v>
      </c>
      <c r="B16" s="92" t="s">
        <v>202</v>
      </c>
      <c r="C16" s="90" t="str">
        <f>VLOOKUP($F16,Admin!$A$16:$E$19,2,FALSE)</f>
        <v>Alkalmazott (ipari) kutatás – Működési költség</v>
      </c>
      <c r="D16" s="161" t="s">
        <v>129</v>
      </c>
      <c r="E16" s="90" t="str">
        <f>VLOOKUP($F16,Admin!$A$16:$E$19,4,FALSE)</f>
        <v>54. Bérköltség - Kutató-fejlesztő munkatárs</v>
      </c>
      <c r="F16" s="90" t="s">
        <v>171</v>
      </c>
      <c r="G16" s="161" t="s">
        <v>174</v>
      </c>
      <c r="H16" s="161" t="s">
        <v>194</v>
      </c>
      <c r="I16" s="90" t="str">
        <f>VLOOKUP($F16,Admin!$A$16:$E$19,5,FALSE)</f>
        <v>K+F munkatárs</v>
      </c>
      <c r="J16" s="161" t="s">
        <v>45</v>
      </c>
      <c r="K16" s="161" t="str">
        <f t="shared" si="28"/>
        <v>2022.06</v>
      </c>
      <c r="L16" s="91" t="s">
        <v>8</v>
      </c>
      <c r="M16" s="92" t="s">
        <v>78</v>
      </c>
      <c r="N16" s="162">
        <v>923000</v>
      </c>
      <c r="O16" s="163">
        <f t="shared" si="29"/>
        <v>119990</v>
      </c>
      <c r="P16" s="161">
        <v>174</v>
      </c>
      <c r="Q16" s="161">
        <v>19</v>
      </c>
      <c r="R16" s="230">
        <f t="shared" si="30"/>
        <v>0.10919540229885058</v>
      </c>
      <c r="S16" s="164">
        <f t="shared" si="31"/>
        <v>100787</v>
      </c>
      <c r="T16" s="165">
        <f t="shared" si="32"/>
        <v>13102</v>
      </c>
      <c r="U16" s="166">
        <f t="shared" si="33"/>
        <v>3.8604749630355428E-7</v>
      </c>
      <c r="V16" s="87">
        <v>0.13</v>
      </c>
      <c r="W16" s="224"/>
      <c r="X16" s="23">
        <v>44713</v>
      </c>
      <c r="Y16" s="20" t="s">
        <v>197</v>
      </c>
      <c r="Z16" s="20"/>
      <c r="AA16" s="20"/>
      <c r="AB16" s="168">
        <v>1</v>
      </c>
    </row>
    <row r="17" spans="1:31" s="8" customFormat="1" x14ac:dyDescent="0.25">
      <c r="A17" s="208">
        <v>1</v>
      </c>
      <c r="B17" s="92" t="s">
        <v>202</v>
      </c>
      <c r="C17" s="90" t="str">
        <f>VLOOKUP($F17,Admin!$A$16:$E$19,2,FALSE)</f>
        <v>Alkalmazott (ipari) kutatás – Működési költség</v>
      </c>
      <c r="D17" s="161" t="s">
        <v>129</v>
      </c>
      <c r="E17" s="90" t="str">
        <f>VLOOKUP($F17,Admin!$A$16:$E$19,4,FALSE)</f>
        <v>54. Bérköltség - Kutató-fejlesztő munkatárs</v>
      </c>
      <c r="F17" s="90" t="s">
        <v>171</v>
      </c>
      <c r="G17" s="161" t="s">
        <v>174</v>
      </c>
      <c r="H17" s="161" t="s">
        <v>194</v>
      </c>
      <c r="I17" s="90" t="str">
        <f>VLOOKUP($F17,Admin!$A$16:$E$19,5,FALSE)</f>
        <v>K+F munkatárs</v>
      </c>
      <c r="J17" s="161" t="s">
        <v>46</v>
      </c>
      <c r="K17" s="161" t="str">
        <f t="shared" ref="K17:K19" si="34">J17</f>
        <v>2022.07</v>
      </c>
      <c r="L17" s="91" t="s">
        <v>8</v>
      </c>
      <c r="M17" s="92" t="s">
        <v>78</v>
      </c>
      <c r="N17" s="162">
        <v>923000</v>
      </c>
      <c r="O17" s="163">
        <f t="shared" ref="O17" si="35">ROUND(N17*V17,0)</f>
        <v>119990</v>
      </c>
      <c r="P17" s="161">
        <v>174</v>
      </c>
      <c r="Q17" s="161">
        <v>19</v>
      </c>
      <c r="R17" s="230">
        <f t="shared" ref="R17" si="36">Q17/P17</f>
        <v>0.10919540229885058</v>
      </c>
      <c r="S17" s="164">
        <f t="shared" ref="S17" si="37">ROUND(N17*Q17/P17,0)</f>
        <v>100787</v>
      </c>
      <c r="T17" s="165">
        <f t="shared" ref="T17" si="38">ROUND(S17*V17,0)</f>
        <v>13102</v>
      </c>
      <c r="U17" s="166">
        <f t="shared" ref="U17" si="39">Q17/P17-S17/N17</f>
        <v>3.8604749630355428E-7</v>
      </c>
      <c r="V17" s="87">
        <v>0.13</v>
      </c>
      <c r="W17" s="224"/>
      <c r="X17" s="23">
        <v>44742</v>
      </c>
      <c r="Y17" s="20" t="s">
        <v>197</v>
      </c>
      <c r="Z17" s="20"/>
      <c r="AA17" s="20"/>
      <c r="AB17" s="168">
        <v>1</v>
      </c>
    </row>
    <row r="18" spans="1:31" s="8" customFormat="1" x14ac:dyDescent="0.25">
      <c r="A18" s="208">
        <v>1</v>
      </c>
      <c r="B18" s="92" t="s">
        <v>202</v>
      </c>
      <c r="C18" s="90" t="str">
        <f>VLOOKUP($F18,Admin!$A$16:$E$19,2,FALSE)</f>
        <v>Alkalmazott (ipari) kutatás – Működési költség</v>
      </c>
      <c r="D18" s="161" t="s">
        <v>129</v>
      </c>
      <c r="E18" s="90" t="str">
        <f>VLOOKUP($F18,Admin!$A$16:$E$19,4,FALSE)</f>
        <v>54. Bérköltség - Kutató-fejlesztő munkatárs</v>
      </c>
      <c r="F18" s="90" t="s">
        <v>171</v>
      </c>
      <c r="G18" s="161" t="s">
        <v>174</v>
      </c>
      <c r="H18" s="161" t="s">
        <v>194</v>
      </c>
      <c r="I18" s="90" t="str">
        <f>VLOOKUP($F18,Admin!$A$16:$E$19,5,FALSE)</f>
        <v>K+F munkatárs</v>
      </c>
      <c r="J18" s="161" t="s">
        <v>47</v>
      </c>
      <c r="K18" s="161" t="str">
        <f t="shared" si="34"/>
        <v>2022.08</v>
      </c>
      <c r="L18" s="91" t="s">
        <v>8</v>
      </c>
      <c r="M18" s="92" t="s">
        <v>78</v>
      </c>
      <c r="N18" s="162">
        <v>722348</v>
      </c>
      <c r="O18" s="163">
        <f t="shared" ref="O18:O19" si="40">ROUND(N18*V18,0)</f>
        <v>93905</v>
      </c>
      <c r="P18" s="161">
        <v>174</v>
      </c>
      <c r="Q18" s="161">
        <v>19</v>
      </c>
      <c r="R18" s="230">
        <f t="shared" ref="R18:R19" si="41">Q18/P18</f>
        <v>0.10919540229885058</v>
      </c>
      <c r="S18" s="164">
        <f t="shared" ref="S18:S19" si="42">ROUND(N18*Q18/P18,0)</f>
        <v>78877</v>
      </c>
      <c r="T18" s="165">
        <f t="shared" ref="T18:T19" si="43">ROUND(S18*V18,0)</f>
        <v>10254</v>
      </c>
      <c r="U18" s="166">
        <f t="shared" ref="U18:U19" si="44">Q18/P18-S18/N18</f>
        <v>1.1138643717101271E-7</v>
      </c>
      <c r="V18" s="87">
        <v>0.13</v>
      </c>
      <c r="W18" s="224"/>
      <c r="X18" s="23">
        <v>44742</v>
      </c>
      <c r="Y18" s="20" t="s">
        <v>197</v>
      </c>
      <c r="Z18" s="20"/>
      <c r="AA18" s="20"/>
      <c r="AB18" s="168">
        <v>1</v>
      </c>
    </row>
    <row r="19" spans="1:31" s="8" customFormat="1" x14ac:dyDescent="0.25">
      <c r="A19" s="208">
        <v>1</v>
      </c>
      <c r="B19" s="92" t="s">
        <v>202</v>
      </c>
      <c r="C19" s="90" t="str">
        <f>VLOOKUP($F19,Admin!$A$16:$E$19,2,FALSE)</f>
        <v>Alkalmazott (ipari) kutatás – Működési költség</v>
      </c>
      <c r="D19" s="161" t="s">
        <v>129</v>
      </c>
      <c r="E19" s="90" t="str">
        <f>VLOOKUP($F19,Admin!$A$16:$E$19,4,FALSE)</f>
        <v>54. Bérköltség - Kutató-fejlesztő munkatárs</v>
      </c>
      <c r="F19" s="90" t="s">
        <v>171</v>
      </c>
      <c r="G19" s="161" t="s">
        <v>174</v>
      </c>
      <c r="H19" s="161" t="s">
        <v>194</v>
      </c>
      <c r="I19" s="90" t="str">
        <f>VLOOKUP($F19,Admin!$A$16:$E$19,5,FALSE)</f>
        <v>K+F munkatárs</v>
      </c>
      <c r="J19" s="161" t="s">
        <v>48</v>
      </c>
      <c r="K19" s="161" t="str">
        <f t="shared" si="34"/>
        <v>2022.09</v>
      </c>
      <c r="L19" s="91" t="s">
        <v>8</v>
      </c>
      <c r="M19" s="92" t="s">
        <v>78</v>
      </c>
      <c r="N19" s="162">
        <v>923000</v>
      </c>
      <c r="O19" s="163">
        <f t="shared" si="40"/>
        <v>119990</v>
      </c>
      <c r="P19" s="161">
        <v>174</v>
      </c>
      <c r="Q19" s="161">
        <v>19</v>
      </c>
      <c r="R19" s="230">
        <f t="shared" si="41"/>
        <v>0.10919540229885058</v>
      </c>
      <c r="S19" s="164">
        <f t="shared" si="42"/>
        <v>100787</v>
      </c>
      <c r="T19" s="165">
        <f t="shared" si="43"/>
        <v>13102</v>
      </c>
      <c r="U19" s="166">
        <f t="shared" si="44"/>
        <v>3.8604749630355428E-7</v>
      </c>
      <c r="V19" s="87">
        <v>0.13</v>
      </c>
      <c r="W19" s="224"/>
      <c r="X19" s="23">
        <v>44742</v>
      </c>
      <c r="Y19" s="20" t="s">
        <v>197</v>
      </c>
      <c r="Z19" s="20"/>
      <c r="AA19" s="20"/>
      <c r="AB19" s="168">
        <v>4</v>
      </c>
    </row>
    <row r="20" spans="1:31" s="8" customFormat="1" x14ac:dyDescent="0.25">
      <c r="A20" s="189"/>
      <c r="B20" s="92" t="s">
        <v>202</v>
      </c>
      <c r="C20" s="90" t="str">
        <f>VLOOKUP($F20,Admin!$A$16:$E$19,2,FALSE)</f>
        <v>Alkalmazott (ipari) kutatás – Működési költség</v>
      </c>
      <c r="D20" s="161" t="s">
        <v>129</v>
      </c>
      <c r="E20" s="90" t="str">
        <f>VLOOKUP($F20,Admin!$A$16:$E$19,4,FALSE)</f>
        <v>54. Bérköltség - Kutató-fejlesztő munkatárs</v>
      </c>
      <c r="F20" s="90" t="s">
        <v>171</v>
      </c>
      <c r="G20" s="161" t="s">
        <v>174</v>
      </c>
      <c r="H20" s="161" t="s">
        <v>194</v>
      </c>
      <c r="I20" s="90" t="str">
        <f>VLOOKUP($F20,Admin!$A$16:$E$19,5,FALSE)</f>
        <v>K+F munkatárs</v>
      </c>
      <c r="J20" s="161" t="s">
        <v>49</v>
      </c>
      <c r="K20" s="161" t="str">
        <f t="shared" ref="K20:K22" si="45">J20</f>
        <v>2022.10</v>
      </c>
      <c r="L20" s="91" t="s">
        <v>8</v>
      </c>
      <c r="M20" s="92" t="s">
        <v>78</v>
      </c>
      <c r="N20" s="162">
        <v>673000</v>
      </c>
      <c r="O20" s="163">
        <f t="shared" ref="O20" si="46">ROUND(N20*V20,0)</f>
        <v>87490</v>
      </c>
      <c r="P20" s="161">
        <v>174</v>
      </c>
      <c r="Q20" s="161">
        <v>26</v>
      </c>
      <c r="R20" s="230">
        <f t="shared" ref="R20" si="47">Q20/P20</f>
        <v>0.14942528735632185</v>
      </c>
      <c r="S20" s="164">
        <f t="shared" ref="S20" si="48">ROUND(N20*Q20/P20,0)</f>
        <v>100563</v>
      </c>
      <c r="T20" s="165">
        <f t="shared" ref="T20" si="49">ROUND(S20*V20,0)</f>
        <v>13073</v>
      </c>
      <c r="U20" s="166">
        <f t="shared" ref="U20" si="50">Q20/P20-S20/N20</f>
        <v>3.2450342438150592E-7</v>
      </c>
      <c r="V20" s="87">
        <v>0.13</v>
      </c>
      <c r="W20" s="224"/>
      <c r="X20" s="23">
        <v>44830</v>
      </c>
      <c r="Y20" s="20" t="s">
        <v>197</v>
      </c>
      <c r="Z20" s="20"/>
      <c r="AA20" s="20"/>
      <c r="AB20" s="168">
        <v>1</v>
      </c>
    </row>
    <row r="21" spans="1:31" s="8" customFormat="1" x14ac:dyDescent="0.25">
      <c r="A21" s="189"/>
      <c r="B21" s="92" t="s">
        <v>202</v>
      </c>
      <c r="C21" s="90" t="str">
        <f>VLOOKUP($F21,Admin!$A$16:$E$19,2,FALSE)</f>
        <v>Alkalmazott (ipari) kutatás – Működési költség</v>
      </c>
      <c r="D21" s="161" t="s">
        <v>129</v>
      </c>
      <c r="E21" s="90" t="str">
        <f>VLOOKUP($F21,Admin!$A$16:$E$19,4,FALSE)</f>
        <v>54. Bérköltség - Kutató-fejlesztő munkatárs</v>
      </c>
      <c r="F21" s="90" t="s">
        <v>171</v>
      </c>
      <c r="G21" s="161" t="s">
        <v>174</v>
      </c>
      <c r="H21" s="161" t="s">
        <v>194</v>
      </c>
      <c r="I21" s="90" t="str">
        <f>VLOOKUP($F21,Admin!$A$16:$E$19,5,FALSE)</f>
        <v>K+F munkatárs</v>
      </c>
      <c r="J21" s="161" t="s">
        <v>50</v>
      </c>
      <c r="K21" s="161" t="str">
        <f t="shared" si="45"/>
        <v>2022.11</v>
      </c>
      <c r="L21" s="91" t="s">
        <v>8</v>
      </c>
      <c r="M21" s="92" t="s">
        <v>78</v>
      </c>
      <c r="N21" s="162">
        <v>673000</v>
      </c>
      <c r="O21" s="163">
        <f t="shared" ref="O21:O22" si="51">ROUND(N21*V21,0)</f>
        <v>87490</v>
      </c>
      <c r="P21" s="161">
        <v>174</v>
      </c>
      <c r="Q21" s="161">
        <v>26</v>
      </c>
      <c r="R21" s="230">
        <f t="shared" ref="R21:R22" si="52">Q21/P21</f>
        <v>0.14942528735632185</v>
      </c>
      <c r="S21" s="164">
        <f t="shared" ref="S21:S22" si="53">ROUND(N21*Q21/P21,0)</f>
        <v>100563</v>
      </c>
      <c r="T21" s="165">
        <f t="shared" ref="T21:T22" si="54">ROUND(S21*V21,0)</f>
        <v>13073</v>
      </c>
      <c r="U21" s="166">
        <f t="shared" ref="U21:U22" si="55">Q21/P21-S21/N21</f>
        <v>3.2450342438150592E-7</v>
      </c>
      <c r="V21" s="87">
        <v>0.13</v>
      </c>
      <c r="W21" s="224" t="s">
        <v>222</v>
      </c>
      <c r="X21" s="23">
        <v>44830</v>
      </c>
      <c r="Y21" s="20" t="s">
        <v>197</v>
      </c>
      <c r="Z21" s="20"/>
      <c r="AA21" s="20"/>
      <c r="AB21" s="168">
        <v>1</v>
      </c>
      <c r="AC21" s="211" t="e">
        <v>#N/A</v>
      </c>
      <c r="AD21" s="211" t="e">
        <v>#N/A</v>
      </c>
      <c r="AE21" s="211" t="e">
        <v>#N/A</v>
      </c>
    </row>
    <row r="22" spans="1:31" s="8" customFormat="1" x14ac:dyDescent="0.25">
      <c r="A22" s="189"/>
      <c r="B22" s="92" t="s">
        <v>202</v>
      </c>
      <c r="C22" s="90" t="str">
        <f>VLOOKUP($F22,Admin!$A$16:$E$19,2,FALSE)</f>
        <v>Alkalmazott (ipari) kutatás – Működési költség</v>
      </c>
      <c r="D22" s="161" t="s">
        <v>129</v>
      </c>
      <c r="E22" s="90" t="str">
        <f>VLOOKUP($F22,Admin!$A$16:$E$19,4,FALSE)</f>
        <v>54. Bérköltség - Kutató-fejlesztő munkatárs</v>
      </c>
      <c r="F22" s="90" t="s">
        <v>171</v>
      </c>
      <c r="G22" s="161" t="s">
        <v>174</v>
      </c>
      <c r="H22" s="161" t="s">
        <v>194</v>
      </c>
      <c r="I22" s="90" t="str">
        <f>VLOOKUP($F22,Admin!$A$16:$E$19,5,FALSE)</f>
        <v>K+F munkatárs</v>
      </c>
      <c r="J22" s="161" t="s">
        <v>51</v>
      </c>
      <c r="K22" s="161" t="str">
        <f t="shared" si="45"/>
        <v>2022.12</v>
      </c>
      <c r="L22" s="91" t="s">
        <v>8</v>
      </c>
      <c r="M22" s="92" t="s">
        <v>78</v>
      </c>
      <c r="N22" s="162">
        <v>672999</v>
      </c>
      <c r="O22" s="163">
        <f t="shared" si="51"/>
        <v>87490</v>
      </c>
      <c r="P22" s="161">
        <v>174</v>
      </c>
      <c r="Q22" s="161">
        <v>26</v>
      </c>
      <c r="R22" s="230">
        <f t="shared" si="52"/>
        <v>0.14942528735632185</v>
      </c>
      <c r="S22" s="164">
        <f t="shared" si="53"/>
        <v>100563</v>
      </c>
      <c r="T22" s="165">
        <f t="shared" si="54"/>
        <v>13073</v>
      </c>
      <c r="U22" s="166">
        <f t="shared" si="55"/>
        <v>1.0247491785686513E-7</v>
      </c>
      <c r="V22" s="87">
        <v>0.13</v>
      </c>
      <c r="W22" s="224" t="s">
        <v>222</v>
      </c>
      <c r="X22" s="23">
        <v>44830</v>
      </c>
      <c r="Y22" s="20" t="s">
        <v>197</v>
      </c>
      <c r="Z22" s="20"/>
      <c r="AA22" s="20"/>
      <c r="AB22" s="168">
        <v>1</v>
      </c>
      <c r="AC22" s="211" t="s">
        <v>249</v>
      </c>
      <c r="AD22" s="211" t="s">
        <v>250</v>
      </c>
      <c r="AE22" s="211" t="s">
        <v>250</v>
      </c>
    </row>
    <row r="23" spans="1:31" s="8" customFormat="1" x14ac:dyDescent="0.25">
      <c r="A23" s="189"/>
      <c r="B23" s="92" t="s">
        <v>202</v>
      </c>
      <c r="C23" s="90" t="str">
        <f>VLOOKUP($F23,Admin!$A$16:$E$19,2,FALSE)</f>
        <v>Alkalmazott (ipari) kutatás – Működési költség</v>
      </c>
      <c r="D23" s="161" t="s">
        <v>129</v>
      </c>
      <c r="E23" s="90" t="str">
        <f>VLOOKUP($F23,Admin!$A$16:$E$19,4,FALSE)</f>
        <v>54. Bérköltség - Kutató-fejlesztő munkatárs</v>
      </c>
      <c r="F23" s="90" t="s">
        <v>171</v>
      </c>
      <c r="G23" s="161" t="s">
        <v>174</v>
      </c>
      <c r="H23" s="161" t="s">
        <v>194</v>
      </c>
      <c r="I23" s="90" t="str">
        <f>VLOOKUP($F23,Admin!$A$16:$E$19,5,FALSE)</f>
        <v>K+F munkatárs</v>
      </c>
      <c r="J23" s="161" t="s">
        <v>64</v>
      </c>
      <c r="K23" s="161" t="str">
        <f t="shared" ref="K23:K25" si="56">J23</f>
        <v>2023.01</v>
      </c>
      <c r="L23" s="91" t="s">
        <v>8</v>
      </c>
      <c r="M23" s="92" t="s">
        <v>78</v>
      </c>
      <c r="N23" s="162">
        <v>713400</v>
      </c>
      <c r="O23" s="163">
        <f t="shared" ref="O23" si="57">ROUND(N23*V23,0)</f>
        <v>92742</v>
      </c>
      <c r="P23" s="161">
        <v>174</v>
      </c>
      <c r="Q23" s="161">
        <v>26</v>
      </c>
      <c r="R23" s="230">
        <f t="shared" ref="R23" si="58">Q23/P23</f>
        <v>0.14942528735632185</v>
      </c>
      <c r="S23" s="164">
        <f t="shared" ref="S23" si="59">ROUND(N23*Q23/P23,0)</f>
        <v>106600</v>
      </c>
      <c r="T23" s="165">
        <f t="shared" ref="T23" si="60">ROUND(S23*V23,0)</f>
        <v>13858</v>
      </c>
      <c r="U23" s="166">
        <f t="shared" ref="U23" si="61">Q23/P23-S23/N23</f>
        <v>0</v>
      </c>
      <c r="V23" s="87">
        <v>0.13</v>
      </c>
      <c r="W23" s="224" t="s">
        <v>222</v>
      </c>
      <c r="X23" s="23">
        <v>44944</v>
      </c>
      <c r="Y23" s="20" t="s">
        <v>197</v>
      </c>
      <c r="Z23" s="20"/>
      <c r="AA23" s="20"/>
      <c r="AB23" s="168">
        <v>1</v>
      </c>
      <c r="AC23" s="211" t="s">
        <v>249</v>
      </c>
      <c r="AD23" s="219">
        <v>1</v>
      </c>
      <c r="AE23" s="211">
        <v>0</v>
      </c>
    </row>
    <row r="24" spans="1:31" s="8" customFormat="1" x14ac:dyDescent="0.25">
      <c r="A24" s="189"/>
      <c r="B24" s="92" t="s">
        <v>202</v>
      </c>
      <c r="C24" s="90" t="str">
        <f>VLOOKUP($F24,Admin!$A$16:$E$19,2,FALSE)</f>
        <v>Alkalmazott (ipari) kutatás – Működési költség</v>
      </c>
      <c r="D24" s="161" t="s">
        <v>129</v>
      </c>
      <c r="E24" s="90" t="str">
        <f>VLOOKUP($F24,Admin!$A$16:$E$19,4,FALSE)</f>
        <v>54. Bérköltség - Kutató-fejlesztő munkatárs</v>
      </c>
      <c r="F24" s="90" t="s">
        <v>171</v>
      </c>
      <c r="G24" s="161" t="s">
        <v>174</v>
      </c>
      <c r="H24" s="161" t="s">
        <v>194</v>
      </c>
      <c r="I24" s="90" t="str">
        <f>VLOOKUP($F24,Admin!$A$16:$E$19,5,FALSE)</f>
        <v>K+F munkatárs</v>
      </c>
      <c r="J24" s="161" t="s">
        <v>65</v>
      </c>
      <c r="K24" s="161" t="str">
        <f t="shared" si="56"/>
        <v>2023.02</v>
      </c>
      <c r="L24" s="91" t="s">
        <v>8</v>
      </c>
      <c r="M24" s="92" t="s">
        <v>78</v>
      </c>
      <c r="N24" s="162">
        <v>713400</v>
      </c>
      <c r="O24" s="163">
        <f t="shared" ref="O24:O25" si="62">ROUND(N24*V24,0)</f>
        <v>92742</v>
      </c>
      <c r="P24" s="161">
        <v>174</v>
      </c>
      <c r="Q24" s="161">
        <v>26</v>
      </c>
      <c r="R24" s="230">
        <f t="shared" ref="R24:R25" si="63">Q24/P24</f>
        <v>0.14942528735632185</v>
      </c>
      <c r="S24" s="164">
        <f t="shared" ref="S24:S25" si="64">ROUND(N24*Q24/P24,0)</f>
        <v>106600</v>
      </c>
      <c r="T24" s="165">
        <f t="shared" ref="T24:T25" si="65">ROUND(S24*V24,0)</f>
        <v>13858</v>
      </c>
      <c r="U24" s="166">
        <f t="shared" ref="U24:U25" si="66">Q24/P24-S24/N24</f>
        <v>0</v>
      </c>
      <c r="V24" s="87">
        <v>0.13</v>
      </c>
      <c r="W24" s="224" t="s">
        <v>222</v>
      </c>
      <c r="X24" s="23">
        <v>44944</v>
      </c>
      <c r="Y24" s="20" t="s">
        <v>197</v>
      </c>
      <c r="Z24" s="20"/>
      <c r="AA24" s="20"/>
      <c r="AB24" s="168">
        <v>1</v>
      </c>
      <c r="AC24" s="8" t="str">
        <f>IF(VLOOKUP($W24,'Havi béradatok'!$B:$E,2,FALSE)=H24,"EGYEZIK","HIBÁS")</f>
        <v>EGYEZIK</v>
      </c>
      <c r="AD24" s="8">
        <f>VLOOKUP($W24,'Havi béradatok'!$B:$E,3,FALSE)-N24</f>
        <v>146600</v>
      </c>
      <c r="AE24" s="8">
        <f>VLOOKUP($W24,'Havi béradatok'!$B:$E,4,FALSE)-O24</f>
        <v>19058</v>
      </c>
    </row>
    <row r="25" spans="1:31" s="8" customFormat="1" x14ac:dyDescent="0.25">
      <c r="A25" s="189"/>
      <c r="B25" s="92" t="s">
        <v>202</v>
      </c>
      <c r="C25" s="90" t="str">
        <f>VLOOKUP($F25,Admin!$A$16:$E$19,2,FALSE)</f>
        <v>Alkalmazott (ipari) kutatás – Működési költség</v>
      </c>
      <c r="D25" s="161" t="s">
        <v>129</v>
      </c>
      <c r="E25" s="90" t="str">
        <f>VLOOKUP($F25,Admin!$A$16:$E$19,4,FALSE)</f>
        <v>54. Bérköltség - Kutató-fejlesztő munkatárs</v>
      </c>
      <c r="F25" s="90" t="s">
        <v>171</v>
      </c>
      <c r="G25" s="161" t="s">
        <v>174</v>
      </c>
      <c r="H25" s="161" t="s">
        <v>194</v>
      </c>
      <c r="I25" s="90" t="str">
        <f>VLOOKUP($F25,Admin!$A$16:$E$19,5,FALSE)</f>
        <v>K+F munkatárs</v>
      </c>
      <c r="J25" s="161" t="s">
        <v>66</v>
      </c>
      <c r="K25" s="161" t="str">
        <f t="shared" si="56"/>
        <v>2023.03</v>
      </c>
      <c r="L25" s="91" t="s">
        <v>8</v>
      </c>
      <c r="M25" s="92" t="s">
        <v>78</v>
      </c>
      <c r="N25" s="162">
        <v>860000</v>
      </c>
      <c r="O25" s="163">
        <f t="shared" si="62"/>
        <v>111800</v>
      </c>
      <c r="P25" s="161">
        <v>174</v>
      </c>
      <c r="Q25" s="161">
        <v>21</v>
      </c>
      <c r="R25" s="230">
        <f t="shared" si="63"/>
        <v>0.1206896551724138</v>
      </c>
      <c r="S25" s="164">
        <f t="shared" si="64"/>
        <v>103793</v>
      </c>
      <c r="T25" s="165">
        <f t="shared" si="65"/>
        <v>13493</v>
      </c>
      <c r="U25" s="166">
        <f t="shared" si="66"/>
        <v>1.2028869286750954E-7</v>
      </c>
      <c r="V25" s="87">
        <v>0.13</v>
      </c>
      <c r="W25" s="224" t="s">
        <v>222</v>
      </c>
      <c r="X25" s="23">
        <v>44980</v>
      </c>
      <c r="Y25" s="20" t="s">
        <v>197</v>
      </c>
      <c r="Z25" s="20"/>
      <c r="AA25" s="20"/>
      <c r="AB25" s="168">
        <v>1</v>
      </c>
      <c r="AC25" s="8" t="str">
        <f>IF(VLOOKUP($W25,'Havi béradatok'!$B:$E,2,FALSE)=H25,"EGYEZIK","HIBÁS")</f>
        <v>EGYEZIK</v>
      </c>
      <c r="AD25" s="8">
        <f>VLOOKUP($W25,'Havi béradatok'!$B:$E,3,FALSE)-N25</f>
        <v>0</v>
      </c>
      <c r="AE25" s="8">
        <f>VLOOKUP($W25,'Havi béradatok'!$B:$E,4,FALSE)-O25</f>
        <v>0</v>
      </c>
    </row>
    <row r="26" spans="1:31" s="8" customFormat="1" x14ac:dyDescent="0.25">
      <c r="A26" s="189"/>
      <c r="B26" s="92" t="s">
        <v>202</v>
      </c>
      <c r="C26" s="90" t="str">
        <f>VLOOKUP($F26,Admin!$A$16:$E$19,2,FALSE)</f>
        <v>Alkalmazott (ipari) kutatás – Működési költség</v>
      </c>
      <c r="D26" s="161" t="s">
        <v>129</v>
      </c>
      <c r="E26" s="90" t="str">
        <f>VLOOKUP($F26,Admin!$A$16:$E$19,4,FALSE)</f>
        <v>54. Bérköltség - Kutató-fejlesztő munkatárs</v>
      </c>
      <c r="F26" s="90" t="s">
        <v>171</v>
      </c>
      <c r="G26" s="161" t="s">
        <v>174</v>
      </c>
      <c r="H26" s="161" t="s">
        <v>194</v>
      </c>
      <c r="I26" s="90" t="str">
        <f>VLOOKUP($F26,Admin!$A$16:$E$19,5,FALSE)</f>
        <v>K+F munkatárs</v>
      </c>
      <c r="J26" s="161" t="s">
        <v>67</v>
      </c>
      <c r="K26" s="161" t="str">
        <f t="shared" ref="K26:K28" si="67">J26</f>
        <v>2023.04</v>
      </c>
      <c r="L26" s="91" t="s">
        <v>9</v>
      </c>
      <c r="M26" s="92" t="s">
        <v>78</v>
      </c>
      <c r="N26" s="162">
        <v>860000</v>
      </c>
      <c r="O26" s="163">
        <f t="shared" ref="O26:O28" si="68">ROUND(N26*V26,0)</f>
        <v>111800</v>
      </c>
      <c r="P26" s="161">
        <v>174</v>
      </c>
      <c r="Q26" s="161">
        <v>21</v>
      </c>
      <c r="R26" s="230">
        <f t="shared" ref="R26:R28" si="69">Q26/P26</f>
        <v>0.1206896551724138</v>
      </c>
      <c r="S26" s="164">
        <f t="shared" ref="S26:S28" si="70">ROUND(N26*Q26/P26,0)</f>
        <v>103793</v>
      </c>
      <c r="T26" s="165">
        <f t="shared" ref="T26:T28" si="71">ROUND(S26*V26,0)</f>
        <v>13493</v>
      </c>
      <c r="U26" s="166">
        <f t="shared" ref="U26:U28" si="72">Q26/P26-S26/N26</f>
        <v>1.2028869286750954E-7</v>
      </c>
      <c r="V26" s="87">
        <v>0.13</v>
      </c>
      <c r="W26" s="224" t="s">
        <v>222</v>
      </c>
      <c r="X26" s="23">
        <v>44980</v>
      </c>
      <c r="Y26" s="20" t="s">
        <v>197</v>
      </c>
      <c r="Z26" s="20"/>
      <c r="AA26" s="20"/>
      <c r="AB26" s="168"/>
      <c r="AC26" s="211"/>
      <c r="AD26" s="211"/>
      <c r="AE26" s="211"/>
    </row>
    <row r="27" spans="1:31" s="8" customFormat="1" x14ac:dyDescent="0.25">
      <c r="A27" s="189"/>
      <c r="B27" s="92" t="s">
        <v>202</v>
      </c>
      <c r="C27" s="90" t="str">
        <f>VLOOKUP($F27,Admin!$A$16:$E$19,2,FALSE)</f>
        <v>Alkalmazott (ipari) kutatás – Működési költség</v>
      </c>
      <c r="D27" s="161" t="s">
        <v>129</v>
      </c>
      <c r="E27" s="90" t="str">
        <f>VLOOKUP($F27,Admin!$A$16:$E$19,4,FALSE)</f>
        <v>54. Bérköltség - Kutató-fejlesztő munkatárs</v>
      </c>
      <c r="F27" s="90" t="s">
        <v>171</v>
      </c>
      <c r="G27" s="161" t="s">
        <v>174</v>
      </c>
      <c r="H27" s="161" t="s">
        <v>194</v>
      </c>
      <c r="I27" s="90" t="str">
        <f>VLOOKUP($F27,Admin!$A$16:$E$19,5,FALSE)</f>
        <v>K+F munkatárs</v>
      </c>
      <c r="J27" s="161" t="s">
        <v>68</v>
      </c>
      <c r="K27" s="161" t="str">
        <f t="shared" si="67"/>
        <v>2023.05</v>
      </c>
      <c r="L27" s="91" t="s">
        <v>9</v>
      </c>
      <c r="M27" s="92" t="s">
        <v>78</v>
      </c>
      <c r="N27" s="162">
        <v>860000</v>
      </c>
      <c r="O27" s="163">
        <f t="shared" si="68"/>
        <v>111800</v>
      </c>
      <c r="P27" s="161">
        <v>174</v>
      </c>
      <c r="Q27" s="161">
        <v>21</v>
      </c>
      <c r="R27" s="230">
        <f t="shared" si="69"/>
        <v>0.1206896551724138</v>
      </c>
      <c r="S27" s="164">
        <f t="shared" si="70"/>
        <v>103793</v>
      </c>
      <c r="T27" s="165">
        <f t="shared" si="71"/>
        <v>13493</v>
      </c>
      <c r="U27" s="166">
        <f t="shared" si="72"/>
        <v>1.2028869286750954E-7</v>
      </c>
      <c r="V27" s="87">
        <v>0.13</v>
      </c>
      <c r="W27" s="224" t="s">
        <v>222</v>
      </c>
      <c r="X27" s="23">
        <v>44980</v>
      </c>
      <c r="Y27" s="20" t="s">
        <v>197</v>
      </c>
      <c r="Z27" s="20"/>
      <c r="AA27" s="20"/>
      <c r="AB27" s="168"/>
      <c r="AC27" s="211"/>
      <c r="AD27" s="211"/>
      <c r="AE27" s="211"/>
    </row>
    <row r="28" spans="1:31" s="8" customFormat="1" x14ac:dyDescent="0.25">
      <c r="A28" s="189"/>
      <c r="B28" s="92" t="s">
        <v>202</v>
      </c>
      <c r="C28" s="90" t="str">
        <f>VLOOKUP($F28,Admin!$A$16:$E$19,2,FALSE)</f>
        <v>Alkalmazott (ipari) kutatás – Működési költség</v>
      </c>
      <c r="D28" s="161" t="s">
        <v>129</v>
      </c>
      <c r="E28" s="90" t="str">
        <f>VLOOKUP($F28,Admin!$A$16:$E$19,4,FALSE)</f>
        <v>54. Bérköltség - Kutató-fejlesztő munkatárs</v>
      </c>
      <c r="F28" s="90" t="s">
        <v>171</v>
      </c>
      <c r="G28" s="161" t="s">
        <v>174</v>
      </c>
      <c r="H28" s="161" t="s">
        <v>194</v>
      </c>
      <c r="I28" s="90" t="str">
        <f>VLOOKUP($F28,Admin!$A$16:$E$19,5,FALSE)</f>
        <v>K+F munkatárs</v>
      </c>
      <c r="J28" s="161" t="s">
        <v>69</v>
      </c>
      <c r="K28" s="161" t="str">
        <f t="shared" si="67"/>
        <v>2023.06</v>
      </c>
      <c r="L28" s="91" t="s">
        <v>9</v>
      </c>
      <c r="M28" s="92" t="s">
        <v>78</v>
      </c>
      <c r="N28" s="162">
        <v>860000</v>
      </c>
      <c r="O28" s="163">
        <f t="shared" si="68"/>
        <v>111800</v>
      </c>
      <c r="P28" s="161">
        <v>174</v>
      </c>
      <c r="Q28" s="161">
        <v>21</v>
      </c>
      <c r="R28" s="230">
        <f t="shared" si="69"/>
        <v>0.1206896551724138</v>
      </c>
      <c r="S28" s="164">
        <f t="shared" si="70"/>
        <v>103793</v>
      </c>
      <c r="T28" s="165">
        <f t="shared" si="71"/>
        <v>13493</v>
      </c>
      <c r="U28" s="166">
        <f t="shared" si="72"/>
        <v>1.2028869286750954E-7</v>
      </c>
      <c r="V28" s="87">
        <v>0.13</v>
      </c>
      <c r="W28" s="224" t="s">
        <v>222</v>
      </c>
      <c r="X28" s="23">
        <v>44980</v>
      </c>
      <c r="Y28" s="20" t="s">
        <v>197</v>
      </c>
      <c r="Z28" s="20"/>
      <c r="AA28" s="20"/>
      <c r="AB28" s="168"/>
      <c r="AC28" s="211"/>
      <c r="AD28" s="211"/>
      <c r="AE28" s="211"/>
    </row>
    <row r="29" spans="1:31" s="8" customFormat="1" x14ac:dyDescent="0.25">
      <c r="A29" s="208">
        <v>1</v>
      </c>
      <c r="B29" s="92" t="s">
        <v>201</v>
      </c>
      <c r="C29" s="90" t="str">
        <f>VLOOKUP($F29,Admin!$A$16:$E$19,2,FALSE)</f>
        <v>Alkalmazott (ipari) kutatás – Működési költség</v>
      </c>
      <c r="D29" s="161" t="s">
        <v>129</v>
      </c>
      <c r="E29" s="90" t="str">
        <f>VLOOKUP($F29,Admin!$A$16:$E$19,4,FALSE)</f>
        <v>54. Bérköltség - Kutató-fejlesztő munkatárs</v>
      </c>
      <c r="F29" s="90" t="s">
        <v>171</v>
      </c>
      <c r="G29" s="161" t="s">
        <v>174</v>
      </c>
      <c r="H29" s="161" t="s">
        <v>195</v>
      </c>
      <c r="I29" s="90" t="str">
        <f>VLOOKUP($F29,Admin!$A$16:$E$19,5,FALSE)</f>
        <v>K+F munkatárs</v>
      </c>
      <c r="J29" s="161" t="s">
        <v>43</v>
      </c>
      <c r="K29" s="161" t="str">
        <f t="shared" ref="K29:K31" si="73">J29</f>
        <v>2022.04</v>
      </c>
      <c r="L29" s="91" t="s">
        <v>8</v>
      </c>
      <c r="M29" s="92" t="s">
        <v>78</v>
      </c>
      <c r="N29" s="162">
        <v>552500</v>
      </c>
      <c r="O29" s="163">
        <f t="shared" ref="O29:O47" si="74">ROUND(N29*V29,0)</f>
        <v>71825</v>
      </c>
      <c r="P29" s="161">
        <v>174</v>
      </c>
      <c r="Q29" s="161">
        <v>47</v>
      </c>
      <c r="R29" s="230">
        <f t="shared" ref="R29" si="75">Q29/P29</f>
        <v>0.27011494252873564</v>
      </c>
      <c r="S29" s="164">
        <f t="shared" ref="S29" si="76">ROUND(N29*Q29/P29,0)</f>
        <v>149239</v>
      </c>
      <c r="T29" s="165">
        <f t="shared" ref="T29" si="77">ROUND(S29*V29,0)</f>
        <v>19401</v>
      </c>
      <c r="U29" s="166">
        <f t="shared" ref="U29" si="78">Q29/P29-S29/N29</f>
        <v>-8.9457533675174616E-7</v>
      </c>
      <c r="V29" s="87">
        <v>0.13</v>
      </c>
      <c r="W29" s="224"/>
      <c r="X29" s="23">
        <v>44644</v>
      </c>
      <c r="Y29" s="20" t="s">
        <v>197</v>
      </c>
      <c r="Z29" s="20"/>
      <c r="AA29" s="20"/>
      <c r="AB29" s="168">
        <v>1</v>
      </c>
    </row>
    <row r="30" spans="1:31" s="8" customFormat="1" x14ac:dyDescent="0.25">
      <c r="A30" s="208">
        <v>1</v>
      </c>
      <c r="B30" s="92" t="s">
        <v>201</v>
      </c>
      <c r="C30" s="90" t="str">
        <f>VLOOKUP($F30,Admin!$A$16:$E$19,2,FALSE)</f>
        <v>Alkalmazott (ipari) kutatás – Működési költség</v>
      </c>
      <c r="D30" s="161" t="s">
        <v>129</v>
      </c>
      <c r="E30" s="90" t="str">
        <f>VLOOKUP($F30,Admin!$A$16:$E$19,4,FALSE)</f>
        <v>54. Bérköltség - Kutató-fejlesztő munkatárs</v>
      </c>
      <c r="F30" s="90" t="s">
        <v>171</v>
      </c>
      <c r="G30" s="161" t="s">
        <v>174</v>
      </c>
      <c r="H30" s="161" t="s">
        <v>195</v>
      </c>
      <c r="I30" s="90" t="str">
        <f>VLOOKUP($F30,Admin!$A$16:$E$19,5,FALSE)</f>
        <v>K+F munkatárs</v>
      </c>
      <c r="J30" s="161" t="s">
        <v>44</v>
      </c>
      <c r="K30" s="161" t="str">
        <f t="shared" si="73"/>
        <v>2022.05</v>
      </c>
      <c r="L30" s="91" t="s">
        <v>8</v>
      </c>
      <c r="M30" s="92" t="s">
        <v>78</v>
      </c>
      <c r="N30" s="162">
        <v>552500</v>
      </c>
      <c r="O30" s="163">
        <f t="shared" ref="O30:O31" si="79">ROUND(N30*V30,0)</f>
        <v>71825</v>
      </c>
      <c r="P30" s="161">
        <v>174</v>
      </c>
      <c r="Q30" s="161">
        <v>47</v>
      </c>
      <c r="R30" s="230">
        <f t="shared" ref="R30:R31" si="80">Q30/P30</f>
        <v>0.27011494252873564</v>
      </c>
      <c r="S30" s="164">
        <f t="shared" ref="S30:S31" si="81">ROUND(N30*Q30/P30,0)</f>
        <v>149239</v>
      </c>
      <c r="T30" s="165">
        <f t="shared" ref="T30:T31" si="82">ROUND(S30*V30,0)</f>
        <v>19401</v>
      </c>
      <c r="U30" s="166">
        <f t="shared" ref="U30:U31" si="83">Q30/P30-S30/N30</f>
        <v>-8.9457533675174616E-7</v>
      </c>
      <c r="V30" s="87">
        <v>0.13</v>
      </c>
      <c r="W30" s="224"/>
      <c r="X30" s="23">
        <v>44644</v>
      </c>
      <c r="Y30" s="20" t="s">
        <v>197</v>
      </c>
      <c r="Z30" s="20"/>
      <c r="AA30" s="20"/>
      <c r="AB30" s="168">
        <v>1</v>
      </c>
    </row>
    <row r="31" spans="1:31" s="8" customFormat="1" x14ac:dyDescent="0.25">
      <c r="A31" s="208">
        <v>1</v>
      </c>
      <c r="B31" s="92" t="s">
        <v>201</v>
      </c>
      <c r="C31" s="90" t="str">
        <f>VLOOKUP($F31,Admin!$A$16:$E$19,2,FALSE)</f>
        <v>Alkalmazott (ipari) kutatás – Működési költség</v>
      </c>
      <c r="D31" s="161" t="s">
        <v>129</v>
      </c>
      <c r="E31" s="90" t="str">
        <f>VLOOKUP($F31,Admin!$A$16:$E$19,4,FALSE)</f>
        <v>54. Bérköltség - Kutató-fejlesztő munkatárs</v>
      </c>
      <c r="F31" s="90" t="s">
        <v>171</v>
      </c>
      <c r="G31" s="161" t="s">
        <v>174</v>
      </c>
      <c r="H31" s="161" t="s">
        <v>195</v>
      </c>
      <c r="I31" s="90" t="str">
        <f>VLOOKUP($F31,Admin!$A$16:$E$19,5,FALSE)</f>
        <v>K+F munkatárs</v>
      </c>
      <c r="J31" s="161" t="s">
        <v>45</v>
      </c>
      <c r="K31" s="161" t="str">
        <f t="shared" si="73"/>
        <v>2022.06</v>
      </c>
      <c r="L31" s="91" t="s">
        <v>8</v>
      </c>
      <c r="M31" s="92" t="s">
        <v>78</v>
      </c>
      <c r="N31" s="162">
        <v>552500</v>
      </c>
      <c r="O31" s="163">
        <f t="shared" si="79"/>
        <v>71825</v>
      </c>
      <c r="P31" s="161">
        <v>174</v>
      </c>
      <c r="Q31" s="161">
        <v>47</v>
      </c>
      <c r="R31" s="230">
        <f t="shared" si="80"/>
        <v>0.27011494252873564</v>
      </c>
      <c r="S31" s="164">
        <f t="shared" si="81"/>
        <v>149239</v>
      </c>
      <c r="T31" s="165">
        <f t="shared" si="82"/>
        <v>19401</v>
      </c>
      <c r="U31" s="166">
        <f t="shared" si="83"/>
        <v>-8.9457533675174616E-7</v>
      </c>
      <c r="V31" s="87">
        <v>0.13</v>
      </c>
      <c r="W31" s="224"/>
      <c r="X31" s="23">
        <v>44713</v>
      </c>
      <c r="Y31" s="20" t="s">
        <v>197</v>
      </c>
      <c r="Z31" s="20"/>
      <c r="AA31" s="20"/>
      <c r="AB31" s="168">
        <v>1</v>
      </c>
    </row>
    <row r="32" spans="1:31" s="8" customFormat="1" x14ac:dyDescent="0.25">
      <c r="A32" s="208">
        <v>1</v>
      </c>
      <c r="B32" s="92" t="s">
        <v>201</v>
      </c>
      <c r="C32" s="90" t="str">
        <f>VLOOKUP($F32,Admin!$A$16:$E$19,2,FALSE)</f>
        <v>Alkalmazott (ipari) kutatás – Működési költség</v>
      </c>
      <c r="D32" s="161" t="s">
        <v>129</v>
      </c>
      <c r="E32" s="90" t="str">
        <f>VLOOKUP($F32,Admin!$A$16:$E$19,4,FALSE)</f>
        <v>54. Bérköltség - Kutató-fejlesztő munkatárs</v>
      </c>
      <c r="F32" s="90" t="s">
        <v>171</v>
      </c>
      <c r="G32" s="161" t="s">
        <v>174</v>
      </c>
      <c r="H32" s="161" t="s">
        <v>195</v>
      </c>
      <c r="I32" s="90" t="str">
        <f>VLOOKUP($F32,Admin!$A$16:$E$19,5,FALSE)</f>
        <v>K+F munkatárs</v>
      </c>
      <c r="J32" s="161" t="s">
        <v>46</v>
      </c>
      <c r="K32" s="161" t="str">
        <f t="shared" ref="K32:K34" si="84">J32</f>
        <v>2022.07</v>
      </c>
      <c r="L32" s="91" t="s">
        <v>8</v>
      </c>
      <c r="M32" s="92" t="s">
        <v>78</v>
      </c>
      <c r="N32" s="162">
        <v>552500</v>
      </c>
      <c r="O32" s="163">
        <f t="shared" ref="O32" si="85">ROUND(N32*V32,0)</f>
        <v>71825</v>
      </c>
      <c r="P32" s="161">
        <v>174</v>
      </c>
      <c r="Q32" s="161">
        <v>47</v>
      </c>
      <c r="R32" s="230">
        <f t="shared" ref="R32" si="86">Q32/P32</f>
        <v>0.27011494252873564</v>
      </c>
      <c r="S32" s="164">
        <f t="shared" ref="S32" si="87">ROUND(N32*Q32/P32,0)</f>
        <v>149239</v>
      </c>
      <c r="T32" s="165">
        <f t="shared" ref="T32" si="88">ROUND(S32*V32,0)</f>
        <v>19401</v>
      </c>
      <c r="U32" s="166">
        <f t="shared" ref="U32" si="89">Q32/P32-S32/N32</f>
        <v>-8.9457533675174616E-7</v>
      </c>
      <c r="V32" s="87">
        <v>0.13</v>
      </c>
      <c r="W32" s="224"/>
      <c r="X32" s="23">
        <v>44741</v>
      </c>
      <c r="Y32" s="20" t="s">
        <v>197</v>
      </c>
      <c r="Z32" s="20"/>
      <c r="AA32" s="20"/>
      <c r="AB32" s="168">
        <v>1</v>
      </c>
    </row>
    <row r="33" spans="1:31" s="8" customFormat="1" x14ac:dyDescent="0.25">
      <c r="A33" s="208">
        <v>1</v>
      </c>
      <c r="B33" s="92" t="s">
        <v>201</v>
      </c>
      <c r="C33" s="90" t="str">
        <f>VLOOKUP($F33,Admin!$A$16:$E$19,2,FALSE)</f>
        <v>Alkalmazott (ipari) kutatás – Működési költség</v>
      </c>
      <c r="D33" s="161" t="s">
        <v>129</v>
      </c>
      <c r="E33" s="90" t="str">
        <f>VLOOKUP($F33,Admin!$A$16:$E$19,4,FALSE)</f>
        <v>54. Bérköltség - Kutató-fejlesztő munkatárs</v>
      </c>
      <c r="F33" s="90" t="s">
        <v>171</v>
      </c>
      <c r="G33" s="161" t="s">
        <v>174</v>
      </c>
      <c r="H33" s="161" t="s">
        <v>195</v>
      </c>
      <c r="I33" s="90" t="str">
        <f>VLOOKUP($F33,Admin!$A$16:$E$19,5,FALSE)</f>
        <v>K+F munkatárs</v>
      </c>
      <c r="J33" s="161" t="s">
        <v>47</v>
      </c>
      <c r="K33" s="161" t="str">
        <f t="shared" si="84"/>
        <v>2022.08</v>
      </c>
      <c r="L33" s="91" t="s">
        <v>8</v>
      </c>
      <c r="M33" s="92" t="s">
        <v>78</v>
      </c>
      <c r="N33" s="162">
        <v>552500</v>
      </c>
      <c r="O33" s="163">
        <f t="shared" ref="O33:O34" si="90">ROUND(N33*V33,0)</f>
        <v>71825</v>
      </c>
      <c r="P33" s="161">
        <v>174</v>
      </c>
      <c r="Q33" s="161">
        <v>47</v>
      </c>
      <c r="R33" s="230">
        <f t="shared" ref="R33:R34" si="91">Q33/P33</f>
        <v>0.27011494252873564</v>
      </c>
      <c r="S33" s="164">
        <f t="shared" ref="S33:S34" si="92">ROUND(N33*Q33/P33,0)</f>
        <v>149239</v>
      </c>
      <c r="T33" s="165">
        <f t="shared" ref="T33:T34" si="93">ROUND(S33*V33,0)</f>
        <v>19401</v>
      </c>
      <c r="U33" s="166">
        <f t="shared" ref="U33:U34" si="94">Q33/P33-S33/N33</f>
        <v>-8.9457533675174616E-7</v>
      </c>
      <c r="V33" s="87">
        <v>0.13</v>
      </c>
      <c r="W33" s="224"/>
      <c r="X33" s="23">
        <v>44741</v>
      </c>
      <c r="Y33" s="20" t="s">
        <v>197</v>
      </c>
      <c r="Z33" s="20"/>
      <c r="AA33" s="20"/>
      <c r="AB33" s="168">
        <v>1</v>
      </c>
    </row>
    <row r="34" spans="1:31" s="8" customFormat="1" x14ac:dyDescent="0.25">
      <c r="A34" s="208">
        <v>1</v>
      </c>
      <c r="B34" s="92" t="s">
        <v>201</v>
      </c>
      <c r="C34" s="90" t="str">
        <f>VLOOKUP($F34,Admin!$A$16:$E$19,2,FALSE)</f>
        <v>Alkalmazott (ipari) kutatás – Működési költség</v>
      </c>
      <c r="D34" s="161" t="s">
        <v>129</v>
      </c>
      <c r="E34" s="90" t="str">
        <f>VLOOKUP($F34,Admin!$A$16:$E$19,4,FALSE)</f>
        <v>54. Bérköltség - Kutató-fejlesztő munkatárs</v>
      </c>
      <c r="F34" s="90" t="s">
        <v>171</v>
      </c>
      <c r="G34" s="161" t="s">
        <v>174</v>
      </c>
      <c r="H34" s="161" t="s">
        <v>195</v>
      </c>
      <c r="I34" s="90" t="str">
        <f>VLOOKUP($F34,Admin!$A$16:$E$19,5,FALSE)</f>
        <v>K+F munkatárs</v>
      </c>
      <c r="J34" s="161" t="s">
        <v>48</v>
      </c>
      <c r="K34" s="161" t="str">
        <f t="shared" si="84"/>
        <v>2022.09</v>
      </c>
      <c r="L34" s="91" t="s">
        <v>8</v>
      </c>
      <c r="M34" s="92" t="s">
        <v>78</v>
      </c>
      <c r="N34" s="162">
        <v>552500</v>
      </c>
      <c r="O34" s="163">
        <f t="shared" si="90"/>
        <v>71825</v>
      </c>
      <c r="P34" s="161">
        <v>174</v>
      </c>
      <c r="Q34" s="161">
        <v>47</v>
      </c>
      <c r="R34" s="230">
        <f t="shared" si="91"/>
        <v>0.27011494252873564</v>
      </c>
      <c r="S34" s="164">
        <f t="shared" si="92"/>
        <v>149239</v>
      </c>
      <c r="T34" s="165">
        <f t="shared" si="93"/>
        <v>19401</v>
      </c>
      <c r="U34" s="166">
        <f t="shared" si="94"/>
        <v>-8.9457533675174616E-7</v>
      </c>
      <c r="V34" s="87">
        <v>0.13</v>
      </c>
      <c r="W34" s="224"/>
      <c r="X34" s="23">
        <v>44741</v>
      </c>
      <c r="Y34" s="20" t="s">
        <v>197</v>
      </c>
      <c r="Z34" s="20"/>
      <c r="AA34" s="20"/>
      <c r="AB34" s="168">
        <v>4</v>
      </c>
    </row>
    <row r="35" spans="1:31" s="8" customFormat="1" x14ac:dyDescent="0.25">
      <c r="A35" s="189"/>
      <c r="B35" s="92" t="s">
        <v>201</v>
      </c>
      <c r="C35" s="90" t="str">
        <f>VLOOKUP($F35,Admin!$A$16:$E$19,2,FALSE)</f>
        <v>Alkalmazott (ipari) kutatás – Működési költség</v>
      </c>
      <c r="D35" s="161" t="s">
        <v>129</v>
      </c>
      <c r="E35" s="90" t="str">
        <f>VLOOKUP($F35,Admin!$A$16:$E$19,4,FALSE)</f>
        <v>54. Bérköltség - Kutató-fejlesztő munkatárs</v>
      </c>
      <c r="F35" s="90" t="s">
        <v>171</v>
      </c>
      <c r="G35" s="161" t="s">
        <v>174</v>
      </c>
      <c r="H35" s="161" t="s">
        <v>195</v>
      </c>
      <c r="I35" s="90" t="str">
        <f>VLOOKUP($F35,Admin!$A$16:$E$19,5,FALSE)</f>
        <v>K+F munkatárs</v>
      </c>
      <c r="J35" s="161" t="s">
        <v>49</v>
      </c>
      <c r="K35" s="161" t="str">
        <f t="shared" ref="K35:K37" si="95">J35</f>
        <v>2022.10</v>
      </c>
      <c r="L35" s="91" t="s">
        <v>8</v>
      </c>
      <c r="M35" s="92" t="s">
        <v>78</v>
      </c>
      <c r="N35" s="162">
        <v>427500</v>
      </c>
      <c r="O35" s="163">
        <f t="shared" ref="O35" si="96">ROUND(N35*V35,0)</f>
        <v>55575</v>
      </c>
      <c r="P35" s="161">
        <v>174</v>
      </c>
      <c r="Q35" s="161">
        <v>62</v>
      </c>
      <c r="R35" s="230">
        <f t="shared" ref="R35" si="97">Q35/P35</f>
        <v>0.35632183908045978</v>
      </c>
      <c r="S35" s="164">
        <f t="shared" ref="S35" si="98">ROUND(N35*Q35/P35,0)</f>
        <v>152328</v>
      </c>
      <c r="T35" s="165">
        <f t="shared" ref="T35" si="99">ROUND(S35*V35,0)</f>
        <v>19803</v>
      </c>
      <c r="U35" s="166">
        <f t="shared" ref="U35" si="100">Q35/P35-S35/N35</f>
        <v>-9.679370840953716E-7</v>
      </c>
      <c r="V35" s="87">
        <v>0.13</v>
      </c>
      <c r="W35" s="224"/>
      <c r="X35" s="23">
        <v>44830</v>
      </c>
      <c r="Y35" s="20" t="s">
        <v>197</v>
      </c>
      <c r="Z35" s="20"/>
      <c r="AA35" s="20"/>
      <c r="AB35" s="168">
        <v>1</v>
      </c>
    </row>
    <row r="36" spans="1:31" s="8" customFormat="1" x14ac:dyDescent="0.25">
      <c r="A36" s="189"/>
      <c r="B36" s="92" t="s">
        <v>201</v>
      </c>
      <c r="C36" s="90" t="str">
        <f>VLOOKUP($F36,Admin!$A$16:$E$19,2,FALSE)</f>
        <v>Alkalmazott (ipari) kutatás – Működési költség</v>
      </c>
      <c r="D36" s="161" t="s">
        <v>129</v>
      </c>
      <c r="E36" s="90" t="str">
        <f>VLOOKUP($F36,Admin!$A$16:$E$19,4,FALSE)</f>
        <v>54. Bérköltség - Kutató-fejlesztő munkatárs</v>
      </c>
      <c r="F36" s="90" t="s">
        <v>171</v>
      </c>
      <c r="G36" s="161" t="s">
        <v>174</v>
      </c>
      <c r="H36" s="161" t="s">
        <v>195</v>
      </c>
      <c r="I36" s="90" t="str">
        <f>VLOOKUP($F36,Admin!$A$16:$E$19,5,FALSE)</f>
        <v>K+F munkatárs</v>
      </c>
      <c r="J36" s="161" t="s">
        <v>50</v>
      </c>
      <c r="K36" s="161" t="str">
        <f t="shared" si="95"/>
        <v>2022.11</v>
      </c>
      <c r="L36" s="91" t="s">
        <v>8</v>
      </c>
      <c r="M36" s="92" t="s">
        <v>78</v>
      </c>
      <c r="N36" s="162">
        <v>427500</v>
      </c>
      <c r="O36" s="163">
        <f t="shared" ref="O36:O37" si="101">ROUND(N36*V36,0)</f>
        <v>55575</v>
      </c>
      <c r="P36" s="161">
        <v>174</v>
      </c>
      <c r="Q36" s="161">
        <v>62</v>
      </c>
      <c r="R36" s="230">
        <f t="shared" ref="R36:R37" si="102">Q36/P36</f>
        <v>0.35632183908045978</v>
      </c>
      <c r="S36" s="164">
        <f t="shared" ref="S36:S37" si="103">ROUND(N36*Q36/P36,0)</f>
        <v>152328</v>
      </c>
      <c r="T36" s="165">
        <f t="shared" ref="T36:T37" si="104">ROUND(S36*V36,0)</f>
        <v>19803</v>
      </c>
      <c r="U36" s="166">
        <f t="shared" ref="U36:U37" si="105">Q36/P36-S36/N36</f>
        <v>-9.679370840953716E-7</v>
      </c>
      <c r="V36" s="87">
        <v>0.13</v>
      </c>
      <c r="W36" s="224" t="s">
        <v>223</v>
      </c>
      <c r="X36" s="23">
        <v>44830</v>
      </c>
      <c r="Y36" s="20" t="s">
        <v>197</v>
      </c>
      <c r="Z36" s="20"/>
      <c r="AA36" s="20"/>
      <c r="AB36" s="168">
        <v>1</v>
      </c>
      <c r="AC36" s="211" t="e">
        <v>#N/A</v>
      </c>
      <c r="AD36" s="211" t="e">
        <v>#N/A</v>
      </c>
      <c r="AE36" s="211" t="e">
        <v>#N/A</v>
      </c>
    </row>
    <row r="37" spans="1:31" s="8" customFormat="1" x14ac:dyDescent="0.25">
      <c r="A37" s="189"/>
      <c r="B37" s="92" t="s">
        <v>201</v>
      </c>
      <c r="C37" s="90" t="str">
        <f>VLOOKUP($F37,Admin!$A$16:$E$19,2,FALSE)</f>
        <v>Alkalmazott (ipari) kutatás – Működési költség</v>
      </c>
      <c r="D37" s="161" t="s">
        <v>129</v>
      </c>
      <c r="E37" s="90" t="str">
        <f>VLOOKUP($F37,Admin!$A$16:$E$19,4,FALSE)</f>
        <v>54. Bérköltség - Kutató-fejlesztő munkatárs</v>
      </c>
      <c r="F37" s="90" t="s">
        <v>171</v>
      </c>
      <c r="G37" s="161" t="s">
        <v>174</v>
      </c>
      <c r="H37" s="161" t="s">
        <v>195</v>
      </c>
      <c r="I37" s="90" t="str">
        <f>VLOOKUP($F37,Admin!$A$16:$E$19,5,FALSE)</f>
        <v>K+F munkatárs</v>
      </c>
      <c r="J37" s="161" t="s">
        <v>51</v>
      </c>
      <c r="K37" s="161" t="str">
        <f t="shared" si="95"/>
        <v>2022.12</v>
      </c>
      <c r="L37" s="91" t="s">
        <v>8</v>
      </c>
      <c r="M37" s="92" t="s">
        <v>78</v>
      </c>
      <c r="N37" s="162">
        <v>427500</v>
      </c>
      <c r="O37" s="163">
        <f t="shared" si="101"/>
        <v>55575</v>
      </c>
      <c r="P37" s="161">
        <v>174</v>
      </c>
      <c r="Q37" s="161">
        <v>62</v>
      </c>
      <c r="R37" s="230">
        <f t="shared" si="102"/>
        <v>0.35632183908045978</v>
      </c>
      <c r="S37" s="164">
        <f t="shared" si="103"/>
        <v>152328</v>
      </c>
      <c r="T37" s="165">
        <f t="shared" si="104"/>
        <v>19803</v>
      </c>
      <c r="U37" s="166">
        <f t="shared" si="105"/>
        <v>-9.679370840953716E-7</v>
      </c>
      <c r="V37" s="87">
        <v>0.13</v>
      </c>
      <c r="W37" s="224" t="s">
        <v>223</v>
      </c>
      <c r="X37" s="23">
        <v>44830</v>
      </c>
      <c r="Y37" s="20" t="s">
        <v>197</v>
      </c>
      <c r="Z37" s="20"/>
      <c r="AA37" s="20"/>
      <c r="AB37" s="168">
        <v>1</v>
      </c>
      <c r="AC37" s="211" t="s">
        <v>249</v>
      </c>
      <c r="AD37" s="211" t="s">
        <v>250</v>
      </c>
      <c r="AE37" s="211" t="s">
        <v>250</v>
      </c>
    </row>
    <row r="38" spans="1:31" s="8" customFormat="1" x14ac:dyDescent="0.25">
      <c r="A38" s="189"/>
      <c r="B38" s="92" t="s">
        <v>201</v>
      </c>
      <c r="C38" s="90" t="str">
        <f>VLOOKUP($F38,Admin!$A$16:$E$19,2,FALSE)</f>
        <v>Alkalmazott (ipari) kutatás – Működési költség</v>
      </c>
      <c r="D38" s="161" t="s">
        <v>129</v>
      </c>
      <c r="E38" s="90" t="str">
        <f>VLOOKUP($F38,Admin!$A$16:$E$19,4,FALSE)</f>
        <v>54. Bérköltség - Kutató-fejlesztő munkatárs</v>
      </c>
      <c r="F38" s="90" t="s">
        <v>171</v>
      </c>
      <c r="G38" s="161" t="s">
        <v>174</v>
      </c>
      <c r="H38" s="161" t="s">
        <v>195</v>
      </c>
      <c r="I38" s="90" t="str">
        <f>VLOOKUP($F38,Admin!$A$16:$E$19,5,FALSE)</f>
        <v>K+F munkatárs</v>
      </c>
      <c r="J38" s="161" t="s">
        <v>64</v>
      </c>
      <c r="K38" s="161" t="str">
        <f t="shared" ref="K38:K40" si="106">J38</f>
        <v>2023.01</v>
      </c>
      <c r="L38" s="91" t="s">
        <v>8</v>
      </c>
      <c r="M38" s="92" t="s">
        <v>78</v>
      </c>
      <c r="N38" s="162">
        <v>491599</v>
      </c>
      <c r="O38" s="163">
        <f t="shared" ref="O38" si="107">ROUND(N38*V38,0)</f>
        <v>63908</v>
      </c>
      <c r="P38" s="161">
        <v>174</v>
      </c>
      <c r="Q38" s="161">
        <v>53</v>
      </c>
      <c r="R38" s="230">
        <f t="shared" ref="R38" si="108">Q38/P38</f>
        <v>0.3045977011494253</v>
      </c>
      <c r="S38" s="164">
        <f t="shared" ref="S38" si="109">ROUND(N38*Q38/P38,0)</f>
        <v>149740</v>
      </c>
      <c r="T38" s="165">
        <f t="shared" ref="T38" si="110">ROUND(S38*V38,0)</f>
        <v>19466</v>
      </c>
      <c r="U38" s="166">
        <f t="shared" ref="U38" si="111">Q38/P38-S38/N38</f>
        <v>-1.5197883573847548E-7</v>
      </c>
      <c r="V38" s="87">
        <v>0.13</v>
      </c>
      <c r="W38" s="224" t="s">
        <v>223</v>
      </c>
      <c r="X38" s="23">
        <v>44936</v>
      </c>
      <c r="Y38" s="20" t="s">
        <v>197</v>
      </c>
      <c r="Z38" s="20"/>
      <c r="AA38" s="20"/>
      <c r="AB38" s="168">
        <v>1</v>
      </c>
      <c r="AC38" s="211" t="s">
        <v>249</v>
      </c>
      <c r="AD38" s="211">
        <v>0</v>
      </c>
      <c r="AE38" s="211">
        <v>0</v>
      </c>
    </row>
    <row r="39" spans="1:31" s="8" customFormat="1" x14ac:dyDescent="0.25">
      <c r="A39" s="189"/>
      <c r="B39" s="92" t="s">
        <v>201</v>
      </c>
      <c r="C39" s="90" t="str">
        <f>VLOOKUP($F39,Admin!$A$16:$E$19,2,FALSE)</f>
        <v>Alkalmazott (ipari) kutatás – Működési költség</v>
      </c>
      <c r="D39" s="161" t="s">
        <v>129</v>
      </c>
      <c r="E39" s="90" t="str">
        <f>VLOOKUP($F39,Admin!$A$16:$E$19,4,FALSE)</f>
        <v>54. Bérköltség - Kutató-fejlesztő munkatárs</v>
      </c>
      <c r="F39" s="90" t="s">
        <v>171</v>
      </c>
      <c r="G39" s="161" t="s">
        <v>174</v>
      </c>
      <c r="H39" s="161" t="s">
        <v>195</v>
      </c>
      <c r="I39" s="90" t="str">
        <f>VLOOKUP($F39,Admin!$A$16:$E$19,5,FALSE)</f>
        <v>K+F munkatárs</v>
      </c>
      <c r="J39" s="161" t="s">
        <v>65</v>
      </c>
      <c r="K39" s="161" t="str">
        <f t="shared" si="106"/>
        <v>2023.02</v>
      </c>
      <c r="L39" s="91" t="s">
        <v>8</v>
      </c>
      <c r="M39" s="92" t="s">
        <v>78</v>
      </c>
      <c r="N39" s="162">
        <v>491600</v>
      </c>
      <c r="O39" s="163">
        <f t="shared" ref="O39:O40" si="112">ROUND(N39*V39,0)</f>
        <v>63908</v>
      </c>
      <c r="P39" s="161">
        <v>174</v>
      </c>
      <c r="Q39" s="161">
        <v>53</v>
      </c>
      <c r="R39" s="230">
        <f t="shared" ref="R39:R40" si="113">Q39/P39</f>
        <v>0.3045977011494253</v>
      </c>
      <c r="S39" s="164">
        <f t="shared" ref="S39:S40" si="114">ROUND(N39*Q39/P39,0)</f>
        <v>149740</v>
      </c>
      <c r="T39" s="165">
        <f t="shared" ref="T39:T40" si="115">ROUND(S39*V39,0)</f>
        <v>19466</v>
      </c>
      <c r="U39" s="166">
        <f t="shared" ref="U39:U40" si="116">Q39/P39-S39/N39</f>
        <v>4.6762623573393114E-7</v>
      </c>
      <c r="V39" s="87">
        <v>0.13</v>
      </c>
      <c r="W39" s="224" t="s">
        <v>223</v>
      </c>
      <c r="X39" s="23">
        <v>44936</v>
      </c>
      <c r="Y39" s="20" t="s">
        <v>197</v>
      </c>
      <c r="Z39" s="20"/>
      <c r="AA39" s="20"/>
      <c r="AB39" s="168">
        <v>1</v>
      </c>
      <c r="AC39" s="8" t="str">
        <f>IF(VLOOKUP($W39,'Havi béradatok'!$B:$E,2,FALSE)=H39,"EGYEZIK","HIBÁS")</f>
        <v>EGYEZIK</v>
      </c>
      <c r="AD39" s="8">
        <f>VLOOKUP($W39,'Havi béradatok'!$B:$E,3,FALSE)-N39</f>
        <v>108400</v>
      </c>
      <c r="AE39" s="8">
        <f>VLOOKUP($W39,'Havi béradatok'!$B:$E,4,FALSE)-O39</f>
        <v>14092</v>
      </c>
    </row>
    <row r="40" spans="1:31" s="8" customFormat="1" x14ac:dyDescent="0.25">
      <c r="A40" s="189"/>
      <c r="B40" s="92" t="s">
        <v>201</v>
      </c>
      <c r="C40" s="90" t="str">
        <f>VLOOKUP($F40,Admin!$A$16:$E$19,2,FALSE)</f>
        <v>Alkalmazott (ipari) kutatás – Működési költség</v>
      </c>
      <c r="D40" s="161" t="s">
        <v>129</v>
      </c>
      <c r="E40" s="90" t="str">
        <f>VLOOKUP($F40,Admin!$A$16:$E$19,4,FALSE)</f>
        <v>54. Bérköltség - Kutató-fejlesztő munkatárs</v>
      </c>
      <c r="F40" s="90" t="s">
        <v>171</v>
      </c>
      <c r="G40" s="161" t="s">
        <v>174</v>
      </c>
      <c r="H40" s="161" t="s">
        <v>195</v>
      </c>
      <c r="I40" s="90" t="str">
        <f>VLOOKUP($F40,Admin!$A$16:$E$19,5,FALSE)</f>
        <v>K+F munkatárs</v>
      </c>
      <c r="J40" s="161" t="s">
        <v>66</v>
      </c>
      <c r="K40" s="161" t="str">
        <f t="shared" si="106"/>
        <v>2023.03</v>
      </c>
      <c r="L40" s="91" t="s">
        <v>8</v>
      </c>
      <c r="M40" s="92" t="s">
        <v>78</v>
      </c>
      <c r="N40" s="162">
        <v>600000</v>
      </c>
      <c r="O40" s="163">
        <f t="shared" si="112"/>
        <v>78000</v>
      </c>
      <c r="P40" s="161">
        <v>174</v>
      </c>
      <c r="Q40" s="161">
        <v>58</v>
      </c>
      <c r="R40" s="230">
        <f t="shared" si="113"/>
        <v>0.33333333333333331</v>
      </c>
      <c r="S40" s="164">
        <f t="shared" si="114"/>
        <v>200000</v>
      </c>
      <c r="T40" s="165">
        <f t="shared" si="115"/>
        <v>26000</v>
      </c>
      <c r="U40" s="166">
        <f t="shared" si="116"/>
        <v>0</v>
      </c>
      <c r="V40" s="87">
        <v>0.13</v>
      </c>
      <c r="W40" s="224" t="s">
        <v>223</v>
      </c>
      <c r="X40" s="23">
        <v>44980</v>
      </c>
      <c r="Y40" s="20" t="s">
        <v>197</v>
      </c>
      <c r="Z40" s="20"/>
      <c r="AA40" s="20"/>
      <c r="AB40" s="168">
        <v>1</v>
      </c>
      <c r="AC40" s="8" t="str">
        <f>IF(VLOOKUP($W40,'Havi béradatok'!$B:$E,2,FALSE)=H40,"EGYEZIK","HIBÁS")</f>
        <v>EGYEZIK</v>
      </c>
      <c r="AD40" s="8">
        <f>VLOOKUP($W40,'Havi béradatok'!$B:$E,3,FALSE)-N40</f>
        <v>0</v>
      </c>
      <c r="AE40" s="8">
        <f>VLOOKUP($W40,'Havi béradatok'!$B:$E,4,FALSE)-O40</f>
        <v>0</v>
      </c>
    </row>
    <row r="41" spans="1:31" s="8" customFormat="1" x14ac:dyDescent="0.25">
      <c r="A41" s="189"/>
      <c r="B41" s="92" t="s">
        <v>201</v>
      </c>
      <c r="C41" s="90" t="str">
        <f>VLOOKUP($F41,Admin!$A$16:$E$19,2,FALSE)</f>
        <v>Alkalmazott (ipari) kutatás – Működési költség</v>
      </c>
      <c r="D41" s="161" t="s">
        <v>129</v>
      </c>
      <c r="E41" s="90" t="str">
        <f>VLOOKUP($F41,Admin!$A$16:$E$19,4,FALSE)</f>
        <v>54. Bérköltség - Kutató-fejlesztő munkatárs</v>
      </c>
      <c r="F41" s="90" t="s">
        <v>171</v>
      </c>
      <c r="G41" s="161" t="s">
        <v>174</v>
      </c>
      <c r="H41" s="161" t="s">
        <v>195</v>
      </c>
      <c r="I41" s="90" t="str">
        <f>VLOOKUP($F41,Admin!$A$16:$E$19,5,FALSE)</f>
        <v>K+F munkatárs</v>
      </c>
      <c r="J41" s="161" t="s">
        <v>67</v>
      </c>
      <c r="K41" s="161" t="str">
        <f t="shared" ref="K41:K46" si="117">J41</f>
        <v>2023.04</v>
      </c>
      <c r="L41" s="91" t="s">
        <v>9</v>
      </c>
      <c r="M41" s="92" t="s">
        <v>78</v>
      </c>
      <c r="N41" s="162">
        <v>600000</v>
      </c>
      <c r="O41" s="163">
        <f t="shared" ref="O41:O46" si="118">ROUND(N41*V41,0)</f>
        <v>78000</v>
      </c>
      <c r="P41" s="161">
        <v>174</v>
      </c>
      <c r="Q41" s="161">
        <v>58</v>
      </c>
      <c r="R41" s="230">
        <f t="shared" ref="R41:R46" si="119">Q41/P41</f>
        <v>0.33333333333333331</v>
      </c>
      <c r="S41" s="164">
        <f t="shared" ref="S41:S46" si="120">ROUND(N41*Q41/P41,0)</f>
        <v>200000</v>
      </c>
      <c r="T41" s="165">
        <f t="shared" ref="T41:T46" si="121">ROUND(S41*V41,0)</f>
        <v>26000</v>
      </c>
      <c r="U41" s="166">
        <f t="shared" ref="U41:U46" si="122">Q41/P41-S41/N41</f>
        <v>0</v>
      </c>
      <c r="V41" s="87">
        <v>0.13</v>
      </c>
      <c r="W41" s="224" t="s">
        <v>223</v>
      </c>
      <c r="X41" s="23">
        <v>44980</v>
      </c>
      <c r="Y41" s="20" t="s">
        <v>197</v>
      </c>
      <c r="Z41" s="20"/>
      <c r="AA41" s="20"/>
      <c r="AB41" s="168"/>
    </row>
    <row r="42" spans="1:31" s="8" customFormat="1" x14ac:dyDescent="0.25">
      <c r="A42" s="189"/>
      <c r="B42" s="92" t="s">
        <v>201</v>
      </c>
      <c r="C42" s="90" t="str">
        <f>VLOOKUP($F42,Admin!$A$16:$E$19,2,FALSE)</f>
        <v>Alkalmazott (ipari) kutatás – Működési költség</v>
      </c>
      <c r="D42" s="161" t="s">
        <v>129</v>
      </c>
      <c r="E42" s="90" t="str">
        <f>VLOOKUP($F42,Admin!$A$16:$E$19,4,FALSE)</f>
        <v>54. Bérköltség - Kutató-fejlesztő munkatárs</v>
      </c>
      <c r="F42" s="90" t="s">
        <v>171</v>
      </c>
      <c r="G42" s="161" t="s">
        <v>174</v>
      </c>
      <c r="H42" s="161" t="s">
        <v>195</v>
      </c>
      <c r="I42" s="90" t="str">
        <f>VLOOKUP($F42,Admin!$A$16:$E$19,5,FALSE)</f>
        <v>K+F munkatárs</v>
      </c>
      <c r="J42" s="161" t="s">
        <v>68</v>
      </c>
      <c r="K42" s="161" t="str">
        <f t="shared" si="117"/>
        <v>2023.05</v>
      </c>
      <c r="L42" s="91" t="s">
        <v>9</v>
      </c>
      <c r="M42" s="92" t="s">
        <v>78</v>
      </c>
      <c r="N42" s="162">
        <v>600000</v>
      </c>
      <c r="O42" s="163">
        <f t="shared" si="118"/>
        <v>78000</v>
      </c>
      <c r="P42" s="161">
        <v>174</v>
      </c>
      <c r="Q42" s="161">
        <v>58</v>
      </c>
      <c r="R42" s="230">
        <f t="shared" si="119"/>
        <v>0.33333333333333331</v>
      </c>
      <c r="S42" s="164">
        <f t="shared" si="120"/>
        <v>200000</v>
      </c>
      <c r="T42" s="165">
        <f t="shared" si="121"/>
        <v>26000</v>
      </c>
      <c r="U42" s="166">
        <f t="shared" si="122"/>
        <v>0</v>
      </c>
      <c r="V42" s="87">
        <v>0.13</v>
      </c>
      <c r="W42" s="224" t="s">
        <v>223</v>
      </c>
      <c r="X42" s="23">
        <v>44980</v>
      </c>
      <c r="Y42" s="20" t="s">
        <v>197</v>
      </c>
      <c r="Z42" s="20"/>
      <c r="AA42" s="20"/>
      <c r="AB42" s="168"/>
    </row>
    <row r="43" spans="1:31" s="8" customFormat="1" x14ac:dyDescent="0.25">
      <c r="A43" s="189"/>
      <c r="B43" s="92" t="s">
        <v>201</v>
      </c>
      <c r="C43" s="90" t="str">
        <f>VLOOKUP($F43,Admin!$A$16:$E$19,2,FALSE)</f>
        <v>Alkalmazott (ipari) kutatás – Működési költség</v>
      </c>
      <c r="D43" s="161" t="s">
        <v>129</v>
      </c>
      <c r="E43" s="90" t="str">
        <f>VLOOKUP($F43,Admin!$A$16:$E$19,4,FALSE)</f>
        <v>54. Bérköltség - Kutató-fejlesztő munkatárs</v>
      </c>
      <c r="F43" s="90" t="s">
        <v>171</v>
      </c>
      <c r="G43" s="161" t="s">
        <v>174</v>
      </c>
      <c r="H43" s="161" t="s">
        <v>195</v>
      </c>
      <c r="I43" s="90" t="str">
        <f>VLOOKUP($F43,Admin!$A$16:$E$19,5,FALSE)</f>
        <v>K+F munkatárs</v>
      </c>
      <c r="J43" s="161" t="s">
        <v>69</v>
      </c>
      <c r="K43" s="161" t="str">
        <f t="shared" si="117"/>
        <v>2023.06</v>
      </c>
      <c r="L43" s="91" t="s">
        <v>9</v>
      </c>
      <c r="M43" s="92" t="s">
        <v>78</v>
      </c>
      <c r="N43" s="162">
        <v>600000</v>
      </c>
      <c r="O43" s="163">
        <f t="shared" si="118"/>
        <v>78000</v>
      </c>
      <c r="P43" s="161">
        <v>174</v>
      </c>
      <c r="Q43" s="161">
        <v>58</v>
      </c>
      <c r="R43" s="230">
        <f t="shared" si="119"/>
        <v>0.33333333333333331</v>
      </c>
      <c r="S43" s="164">
        <f t="shared" si="120"/>
        <v>200000</v>
      </c>
      <c r="T43" s="165">
        <f t="shared" si="121"/>
        <v>26000</v>
      </c>
      <c r="U43" s="166">
        <f t="shared" si="122"/>
        <v>0</v>
      </c>
      <c r="V43" s="87">
        <v>0.13</v>
      </c>
      <c r="W43" s="224" t="s">
        <v>223</v>
      </c>
      <c r="X43" s="23">
        <v>44980</v>
      </c>
      <c r="Y43" s="20" t="s">
        <v>197</v>
      </c>
      <c r="Z43" s="20"/>
      <c r="AA43" s="20"/>
      <c r="AB43" s="168"/>
    </row>
    <row r="44" spans="1:31" s="8" customFormat="1" x14ac:dyDescent="0.25">
      <c r="A44" s="189"/>
      <c r="B44" s="92" t="s">
        <v>201</v>
      </c>
      <c r="C44" s="90" t="str">
        <f>VLOOKUP($F44,Admin!$A$16:$E$19,2,FALSE)</f>
        <v>Alkalmazott (ipari) kutatás – Működési költség</v>
      </c>
      <c r="D44" s="161" t="s">
        <v>129</v>
      </c>
      <c r="E44" s="90" t="str">
        <f>VLOOKUP($F44,Admin!$A$16:$E$19,4,FALSE)</f>
        <v>54. Bérköltség - Kutató-fejlesztő munkatárs</v>
      </c>
      <c r="F44" s="90" t="s">
        <v>171</v>
      </c>
      <c r="G44" s="161" t="s">
        <v>174</v>
      </c>
      <c r="H44" s="161" t="s">
        <v>195</v>
      </c>
      <c r="I44" s="90" t="str">
        <f>VLOOKUP($F44,Admin!$A$16:$E$19,5,FALSE)</f>
        <v>K+F munkatárs</v>
      </c>
      <c r="J44" s="161" t="s">
        <v>70</v>
      </c>
      <c r="K44" s="161" t="str">
        <f t="shared" si="117"/>
        <v>2023.07</v>
      </c>
      <c r="L44" s="91" t="s">
        <v>9</v>
      </c>
      <c r="M44" s="92" t="s">
        <v>78</v>
      </c>
      <c r="N44" s="162">
        <v>600000</v>
      </c>
      <c r="O44" s="163">
        <f t="shared" si="118"/>
        <v>78000</v>
      </c>
      <c r="P44" s="161">
        <v>174</v>
      </c>
      <c r="Q44" s="161">
        <v>58</v>
      </c>
      <c r="R44" s="230">
        <f t="shared" si="119"/>
        <v>0.33333333333333331</v>
      </c>
      <c r="S44" s="164">
        <f t="shared" si="120"/>
        <v>200000</v>
      </c>
      <c r="T44" s="165">
        <f t="shared" si="121"/>
        <v>26000</v>
      </c>
      <c r="U44" s="166">
        <f t="shared" si="122"/>
        <v>0</v>
      </c>
      <c r="V44" s="87">
        <v>0.13</v>
      </c>
      <c r="W44" s="224" t="s">
        <v>223</v>
      </c>
      <c r="X44" s="23">
        <v>44980</v>
      </c>
      <c r="Y44" s="20" t="s">
        <v>197</v>
      </c>
      <c r="Z44" s="20"/>
      <c r="AA44" s="20"/>
      <c r="AB44" s="168"/>
    </row>
    <row r="45" spans="1:31" s="8" customFormat="1" x14ac:dyDescent="0.25">
      <c r="A45" s="189"/>
      <c r="B45" s="92" t="s">
        <v>201</v>
      </c>
      <c r="C45" s="90" t="str">
        <f>VLOOKUP($F45,Admin!$A$16:$E$19,2,FALSE)</f>
        <v>Alkalmazott (ipari) kutatás – Működési költség</v>
      </c>
      <c r="D45" s="161" t="s">
        <v>129</v>
      </c>
      <c r="E45" s="90" t="str">
        <f>VLOOKUP($F45,Admin!$A$16:$E$19,4,FALSE)</f>
        <v>54. Bérköltség - Kutató-fejlesztő munkatárs</v>
      </c>
      <c r="F45" s="90" t="s">
        <v>171</v>
      </c>
      <c r="G45" s="161" t="s">
        <v>174</v>
      </c>
      <c r="H45" s="161" t="s">
        <v>195</v>
      </c>
      <c r="I45" s="90" t="str">
        <f>VLOOKUP($F45,Admin!$A$16:$E$19,5,FALSE)</f>
        <v>K+F munkatárs</v>
      </c>
      <c r="J45" s="161" t="s">
        <v>71</v>
      </c>
      <c r="K45" s="161" t="str">
        <f t="shared" si="117"/>
        <v>2023.08</v>
      </c>
      <c r="L45" s="91" t="s">
        <v>9</v>
      </c>
      <c r="M45" s="92" t="s">
        <v>78</v>
      </c>
      <c r="N45" s="162">
        <v>600000</v>
      </c>
      <c r="O45" s="163">
        <f t="shared" si="118"/>
        <v>78000</v>
      </c>
      <c r="P45" s="161">
        <v>174</v>
      </c>
      <c r="Q45" s="161">
        <v>58</v>
      </c>
      <c r="R45" s="230">
        <f t="shared" si="119"/>
        <v>0.33333333333333331</v>
      </c>
      <c r="S45" s="164">
        <f t="shared" si="120"/>
        <v>200000</v>
      </c>
      <c r="T45" s="165">
        <f t="shared" si="121"/>
        <v>26000</v>
      </c>
      <c r="U45" s="166">
        <f t="shared" si="122"/>
        <v>0</v>
      </c>
      <c r="V45" s="87">
        <v>0.13</v>
      </c>
      <c r="W45" s="224" t="s">
        <v>223</v>
      </c>
      <c r="X45" s="23">
        <v>44980</v>
      </c>
      <c r="Y45" s="20" t="s">
        <v>197</v>
      </c>
      <c r="Z45" s="20"/>
      <c r="AA45" s="20"/>
      <c r="AB45" s="168"/>
    </row>
    <row r="46" spans="1:31" s="8" customFormat="1" x14ac:dyDescent="0.25">
      <c r="A46" s="189"/>
      <c r="B46" s="92" t="s">
        <v>201</v>
      </c>
      <c r="C46" s="90" t="str">
        <f>VLOOKUP($F46,Admin!$A$16:$E$19,2,FALSE)</f>
        <v>Alkalmazott (ipari) kutatás – Működési költség</v>
      </c>
      <c r="D46" s="161" t="s">
        <v>129</v>
      </c>
      <c r="E46" s="90" t="str">
        <f>VLOOKUP($F46,Admin!$A$16:$E$19,4,FALSE)</f>
        <v>54. Bérköltség - Kutató-fejlesztő munkatárs</v>
      </c>
      <c r="F46" s="90" t="s">
        <v>171</v>
      </c>
      <c r="G46" s="161" t="s">
        <v>174</v>
      </c>
      <c r="H46" s="161" t="s">
        <v>195</v>
      </c>
      <c r="I46" s="90" t="str">
        <f>VLOOKUP($F46,Admin!$A$16:$E$19,5,FALSE)</f>
        <v>K+F munkatárs</v>
      </c>
      <c r="J46" s="161" t="s">
        <v>72</v>
      </c>
      <c r="K46" s="161" t="str">
        <f t="shared" si="117"/>
        <v>2023.09</v>
      </c>
      <c r="L46" s="91" t="s">
        <v>9</v>
      </c>
      <c r="M46" s="92" t="s">
        <v>78</v>
      </c>
      <c r="N46" s="162">
        <v>600000</v>
      </c>
      <c r="O46" s="163">
        <f t="shared" si="118"/>
        <v>78000</v>
      </c>
      <c r="P46" s="161">
        <v>174</v>
      </c>
      <c r="Q46" s="161">
        <v>58</v>
      </c>
      <c r="R46" s="230">
        <f t="shared" si="119"/>
        <v>0.33333333333333331</v>
      </c>
      <c r="S46" s="164">
        <f t="shared" si="120"/>
        <v>200000</v>
      </c>
      <c r="T46" s="165">
        <f t="shared" si="121"/>
        <v>26000</v>
      </c>
      <c r="U46" s="166">
        <f t="shared" si="122"/>
        <v>0</v>
      </c>
      <c r="V46" s="87">
        <v>0.13</v>
      </c>
      <c r="W46" s="224" t="s">
        <v>223</v>
      </c>
      <c r="X46" s="23">
        <v>44980</v>
      </c>
      <c r="Y46" s="20" t="s">
        <v>197</v>
      </c>
      <c r="Z46" s="20"/>
      <c r="AA46" s="20"/>
      <c r="AB46" s="168"/>
    </row>
    <row r="47" spans="1:31" s="8" customFormat="1" x14ac:dyDescent="0.25">
      <c r="A47" s="208">
        <v>1</v>
      </c>
      <c r="B47" s="92" t="s">
        <v>189</v>
      </c>
      <c r="C47" s="90" t="str">
        <f>VLOOKUP($F47,Admin!$A$16:$E$19,2,FALSE)</f>
        <v>Alkalmazott (ipari) kutatás – Működési költség</v>
      </c>
      <c r="D47" s="161" t="s">
        <v>129</v>
      </c>
      <c r="E47" s="90" t="str">
        <f>VLOOKUP($F47,Admin!$A$16:$E$19,4,FALSE)</f>
        <v>54. Bérköltség - Kutató-fejlesztő munkatárs</v>
      </c>
      <c r="F47" s="90" t="s">
        <v>171</v>
      </c>
      <c r="G47" s="161" t="s">
        <v>174</v>
      </c>
      <c r="H47" s="161" t="s">
        <v>193</v>
      </c>
      <c r="I47" s="90" t="str">
        <f>VLOOKUP($F47,Admin!$A$16:$E$19,5,FALSE)</f>
        <v>K+F munkatárs</v>
      </c>
      <c r="J47" s="161" t="s">
        <v>38</v>
      </c>
      <c r="K47" s="161" t="str">
        <f t="shared" ref="K47" si="123">J47</f>
        <v>2021.11</v>
      </c>
      <c r="L47" s="91" t="s">
        <v>8</v>
      </c>
      <c r="M47" s="92" t="s">
        <v>78</v>
      </c>
      <c r="N47" s="162">
        <v>1081000</v>
      </c>
      <c r="O47" s="163">
        <f t="shared" si="74"/>
        <v>167555</v>
      </c>
      <c r="P47" s="161">
        <v>174</v>
      </c>
      <c r="Q47" s="161">
        <v>15</v>
      </c>
      <c r="R47" s="230">
        <f t="shared" ref="R47" si="124">Q47/P47</f>
        <v>8.6206896551724144E-2</v>
      </c>
      <c r="S47" s="164">
        <f t="shared" ref="S47" si="125">ROUND(N47*Q47/P47,0)</f>
        <v>93190</v>
      </c>
      <c r="T47" s="165">
        <f t="shared" ref="T47" si="126">ROUND(S47*V47,0)</f>
        <v>14444</v>
      </c>
      <c r="U47" s="166">
        <f t="shared" ref="U47" si="127">Q47/P47-S47/N47</f>
        <v>-3.1898944144459485E-7</v>
      </c>
      <c r="V47" s="87">
        <v>0.155</v>
      </c>
      <c r="W47" s="224"/>
      <c r="X47" s="23">
        <v>44511</v>
      </c>
      <c r="Y47" s="20" t="s">
        <v>197</v>
      </c>
      <c r="Z47" s="20"/>
      <c r="AA47" s="20"/>
      <c r="AB47" s="168">
        <v>1</v>
      </c>
    </row>
    <row r="48" spans="1:31" s="8" customFormat="1" x14ac:dyDescent="0.25">
      <c r="A48" s="208">
        <v>1</v>
      </c>
      <c r="B48" s="92" t="s">
        <v>189</v>
      </c>
      <c r="C48" s="90" t="str">
        <f>VLOOKUP($F48,Admin!$A$16:$E$19,2,FALSE)</f>
        <v>Alkalmazott (ipari) kutatás – Működési költség</v>
      </c>
      <c r="D48" s="161" t="s">
        <v>129</v>
      </c>
      <c r="E48" s="90" t="str">
        <f>VLOOKUP($F48,Admin!$A$16:$E$19,4,FALSE)</f>
        <v>54. Bérköltség - Kutató-fejlesztő munkatárs</v>
      </c>
      <c r="F48" s="90" t="s">
        <v>171</v>
      </c>
      <c r="G48" s="161" t="s">
        <v>174</v>
      </c>
      <c r="H48" s="161" t="s">
        <v>193</v>
      </c>
      <c r="I48" s="90" t="str">
        <f>VLOOKUP($F48,Admin!$A$16:$E$19,5,FALSE)</f>
        <v>K+F munkatárs</v>
      </c>
      <c r="J48" s="161" t="s">
        <v>39</v>
      </c>
      <c r="K48" s="161" t="str">
        <f t="shared" ref="K48:K234" si="128">J48</f>
        <v>2021.12</v>
      </c>
      <c r="L48" s="91" t="s">
        <v>8</v>
      </c>
      <c r="M48" s="92" t="s">
        <v>78</v>
      </c>
      <c r="N48" s="162">
        <v>1081000</v>
      </c>
      <c r="O48" s="163">
        <f t="shared" ref="O48:O229" si="129">ROUND(N48*V48,0)</f>
        <v>167555</v>
      </c>
      <c r="P48" s="161">
        <v>174</v>
      </c>
      <c r="Q48" s="161">
        <v>15</v>
      </c>
      <c r="R48" s="230">
        <f t="shared" ref="R48:R229" si="130">Q48/P48</f>
        <v>8.6206896551724144E-2</v>
      </c>
      <c r="S48" s="164">
        <f t="shared" ref="S48:S229" si="131">ROUND(N48*Q48/P48,0)</f>
        <v>93190</v>
      </c>
      <c r="T48" s="165">
        <f t="shared" ref="T48:T229" si="132">ROUND(S48*V48,0)</f>
        <v>14444</v>
      </c>
      <c r="U48" s="166">
        <f t="shared" ref="U48:U229" si="133">Q48/P48-S48/N48</f>
        <v>-3.1898944144459485E-7</v>
      </c>
      <c r="V48" s="87">
        <v>0.155</v>
      </c>
      <c r="W48" s="224"/>
      <c r="X48" s="23">
        <v>44511</v>
      </c>
      <c r="Y48" s="20" t="s">
        <v>197</v>
      </c>
      <c r="Z48" s="20"/>
      <c r="AA48" s="20"/>
      <c r="AB48" s="168">
        <v>1</v>
      </c>
    </row>
    <row r="49" spans="1:31" s="8" customFormat="1" x14ac:dyDescent="0.25">
      <c r="A49" s="208">
        <v>1</v>
      </c>
      <c r="B49" s="92" t="s">
        <v>189</v>
      </c>
      <c r="C49" s="90" t="str">
        <f>VLOOKUP($F49,Admin!$A$16:$E$19,2,FALSE)</f>
        <v>Alkalmazott (ipari) kutatás – Működési költség</v>
      </c>
      <c r="D49" s="161" t="s">
        <v>129</v>
      </c>
      <c r="E49" s="90" t="str">
        <f>VLOOKUP($F49,Admin!$A$16:$E$19,4,FALSE)</f>
        <v>54. Bérköltség - Kutató-fejlesztő munkatárs</v>
      </c>
      <c r="F49" s="90" t="s">
        <v>171</v>
      </c>
      <c r="G49" s="161" t="s">
        <v>174</v>
      </c>
      <c r="H49" s="161" t="s">
        <v>193</v>
      </c>
      <c r="I49" s="90" t="str">
        <f>VLOOKUP($F49,Admin!$A$16:$E$19,5,FALSE)</f>
        <v>K+F munkatárs</v>
      </c>
      <c r="J49" s="161" t="s">
        <v>40</v>
      </c>
      <c r="K49" s="161" t="str">
        <f t="shared" si="128"/>
        <v>2022.01</v>
      </c>
      <c r="L49" s="91" t="s">
        <v>8</v>
      </c>
      <c r="M49" s="92" t="s">
        <v>78</v>
      </c>
      <c r="N49" s="162">
        <v>1201900</v>
      </c>
      <c r="O49" s="163">
        <f t="shared" si="129"/>
        <v>156247</v>
      </c>
      <c r="P49" s="161">
        <v>174</v>
      </c>
      <c r="Q49" s="161">
        <v>15</v>
      </c>
      <c r="R49" s="230">
        <f t="shared" si="130"/>
        <v>8.6206896551724144E-2</v>
      </c>
      <c r="S49" s="164">
        <f t="shared" si="131"/>
        <v>103612</v>
      </c>
      <c r="T49" s="165">
        <f t="shared" si="132"/>
        <v>13470</v>
      </c>
      <c r="U49" s="166">
        <f t="shared" si="133"/>
        <v>5.7380412060714647E-8</v>
      </c>
      <c r="V49" s="87">
        <v>0.13</v>
      </c>
      <c r="W49" s="224"/>
      <c r="X49" s="23">
        <v>44511</v>
      </c>
      <c r="Y49" s="20" t="s">
        <v>197</v>
      </c>
      <c r="Z49" s="20"/>
      <c r="AA49" s="20"/>
      <c r="AB49" s="168">
        <v>1</v>
      </c>
    </row>
    <row r="50" spans="1:31" s="8" customFormat="1" x14ac:dyDescent="0.25">
      <c r="A50" s="208">
        <v>1</v>
      </c>
      <c r="B50" s="92" t="s">
        <v>189</v>
      </c>
      <c r="C50" s="90" t="str">
        <f>VLOOKUP($F50,Admin!$A$16:$E$19,2,FALSE)</f>
        <v>Alkalmazott (ipari) kutatás – Működési költség</v>
      </c>
      <c r="D50" s="161" t="s">
        <v>129</v>
      </c>
      <c r="E50" s="90" t="str">
        <f>VLOOKUP($F50,Admin!$A$16:$E$19,4,FALSE)</f>
        <v>54. Bérköltség - Kutató-fejlesztő munkatárs</v>
      </c>
      <c r="F50" s="90" t="s">
        <v>171</v>
      </c>
      <c r="G50" s="161" t="s">
        <v>174</v>
      </c>
      <c r="H50" s="161" t="s">
        <v>193</v>
      </c>
      <c r="I50" s="90" t="str">
        <f>VLOOKUP($F50,Admin!$A$16:$E$19,5,FALSE)</f>
        <v>K+F munkatárs</v>
      </c>
      <c r="J50" s="161" t="s">
        <v>41</v>
      </c>
      <c r="K50" s="161" t="str">
        <f t="shared" si="128"/>
        <v>2022.02</v>
      </c>
      <c r="L50" s="91" t="s">
        <v>8</v>
      </c>
      <c r="M50" s="92" t="s">
        <v>78</v>
      </c>
      <c r="N50" s="162">
        <v>1111000</v>
      </c>
      <c r="O50" s="163">
        <f t="shared" si="129"/>
        <v>144430</v>
      </c>
      <c r="P50" s="161">
        <v>174</v>
      </c>
      <c r="Q50" s="161">
        <v>20</v>
      </c>
      <c r="R50" s="230">
        <f t="shared" si="130"/>
        <v>0.11494252873563218</v>
      </c>
      <c r="S50" s="164">
        <f t="shared" si="131"/>
        <v>127701</v>
      </c>
      <c r="T50" s="165">
        <f t="shared" si="132"/>
        <v>16601</v>
      </c>
      <c r="U50" s="166">
        <f t="shared" si="133"/>
        <v>1.3449620824002029E-7</v>
      </c>
      <c r="V50" s="87">
        <v>0.13</v>
      </c>
      <c r="W50" s="224"/>
      <c r="X50" s="23">
        <v>44589</v>
      </c>
      <c r="Y50" s="20" t="s">
        <v>197</v>
      </c>
      <c r="Z50" s="20"/>
      <c r="AA50" s="20"/>
      <c r="AB50" s="168">
        <v>1</v>
      </c>
    </row>
    <row r="51" spans="1:31" s="8" customFormat="1" x14ac:dyDescent="0.25">
      <c r="A51" s="208">
        <v>1</v>
      </c>
      <c r="B51" s="92" t="s">
        <v>189</v>
      </c>
      <c r="C51" s="90" t="str">
        <f>VLOOKUP($F51,Admin!$A$16:$E$19,2,FALSE)</f>
        <v>Alkalmazott (ipari) kutatás – Működési költség</v>
      </c>
      <c r="D51" s="161" t="s">
        <v>129</v>
      </c>
      <c r="E51" s="90" t="str">
        <f>VLOOKUP($F51,Admin!$A$16:$E$19,4,FALSE)</f>
        <v>54. Bérköltség - Kutató-fejlesztő munkatárs</v>
      </c>
      <c r="F51" s="90" t="s">
        <v>171</v>
      </c>
      <c r="G51" s="161" t="s">
        <v>174</v>
      </c>
      <c r="H51" s="161" t="s">
        <v>193</v>
      </c>
      <c r="I51" s="90" t="str">
        <f>VLOOKUP($F51,Admin!$A$16:$E$19,5,FALSE)</f>
        <v>K+F munkatárs</v>
      </c>
      <c r="J51" s="161" t="s">
        <v>42</v>
      </c>
      <c r="K51" s="161" t="str">
        <f t="shared" si="128"/>
        <v>2022.03</v>
      </c>
      <c r="L51" s="91" t="s">
        <v>8</v>
      </c>
      <c r="M51" s="92" t="s">
        <v>78</v>
      </c>
      <c r="N51" s="162">
        <v>1110999</v>
      </c>
      <c r="O51" s="163">
        <f t="shared" si="129"/>
        <v>144430</v>
      </c>
      <c r="P51" s="161">
        <v>174</v>
      </c>
      <c r="Q51" s="161">
        <v>69</v>
      </c>
      <c r="R51" s="230">
        <f t="shared" si="130"/>
        <v>0.39655172413793105</v>
      </c>
      <c r="S51" s="164">
        <f t="shared" si="131"/>
        <v>440569</v>
      </c>
      <c r="T51" s="165">
        <f t="shared" si="132"/>
        <v>57274</v>
      </c>
      <c r="U51" s="166">
        <f t="shared" si="133"/>
        <v>-3.8797018064862243E-7</v>
      </c>
      <c r="V51" s="87">
        <v>0.13</v>
      </c>
      <c r="W51" s="224"/>
      <c r="X51" s="23">
        <v>44615</v>
      </c>
      <c r="Y51" s="20" t="s">
        <v>197</v>
      </c>
      <c r="Z51" s="20"/>
      <c r="AA51" s="20"/>
      <c r="AB51" s="168">
        <v>1</v>
      </c>
    </row>
    <row r="52" spans="1:31" s="8" customFormat="1" x14ac:dyDescent="0.25">
      <c r="A52" s="208">
        <v>1</v>
      </c>
      <c r="B52" s="92" t="s">
        <v>189</v>
      </c>
      <c r="C52" s="90" t="str">
        <f>VLOOKUP($F52,Admin!$A$16:$E$19,2,FALSE)</f>
        <v>Alkalmazott (ipari) kutatás – Működési költség</v>
      </c>
      <c r="D52" s="161" t="s">
        <v>129</v>
      </c>
      <c r="E52" s="90" t="str">
        <f>VLOOKUP($F52,Admin!$A$16:$E$19,4,FALSE)</f>
        <v>54. Bérköltség - Kutató-fejlesztő munkatárs</v>
      </c>
      <c r="F52" s="90" t="s">
        <v>171</v>
      </c>
      <c r="G52" s="161" t="s">
        <v>174</v>
      </c>
      <c r="H52" s="161" t="s">
        <v>193</v>
      </c>
      <c r="I52" s="90" t="str">
        <f>VLOOKUP($F52,Admin!$A$16:$E$19,5,FALSE)</f>
        <v>K+F munkatárs</v>
      </c>
      <c r="J52" s="161" t="s">
        <v>43</v>
      </c>
      <c r="K52" s="161" t="str">
        <f t="shared" si="128"/>
        <v>2022.04</v>
      </c>
      <c r="L52" s="91" t="s">
        <v>8</v>
      </c>
      <c r="M52" s="92" t="s">
        <v>78</v>
      </c>
      <c r="N52" s="162">
        <v>1111000</v>
      </c>
      <c r="O52" s="163">
        <f t="shared" ref="O52" si="134">ROUND(N52*V52,0)</f>
        <v>144430</v>
      </c>
      <c r="P52" s="161">
        <v>174</v>
      </c>
      <c r="Q52" s="161">
        <v>69</v>
      </c>
      <c r="R52" s="230">
        <f t="shared" ref="R52" si="135">Q52/P52</f>
        <v>0.39655172413793105</v>
      </c>
      <c r="S52" s="164">
        <f t="shared" ref="S52" si="136">ROUND(N52*Q52/P52,0)</f>
        <v>440569</v>
      </c>
      <c r="T52" s="165">
        <f t="shared" ref="T52" si="137">ROUND(S52*V52,0)</f>
        <v>57274</v>
      </c>
      <c r="U52" s="166">
        <f t="shared" ref="U52" si="138">Q52/P52-S52/N52</f>
        <v>-3.1037586500914927E-8</v>
      </c>
      <c r="V52" s="87">
        <v>0.13</v>
      </c>
      <c r="W52" s="224"/>
      <c r="X52" s="23">
        <v>44642</v>
      </c>
      <c r="Y52" s="20" t="s">
        <v>197</v>
      </c>
      <c r="Z52" s="20"/>
      <c r="AA52" s="20"/>
      <c r="AB52" s="168">
        <v>1</v>
      </c>
    </row>
    <row r="53" spans="1:31" s="8" customFormat="1" x14ac:dyDescent="0.25">
      <c r="A53" s="208">
        <v>1</v>
      </c>
      <c r="B53" s="92" t="s">
        <v>189</v>
      </c>
      <c r="C53" s="90" t="str">
        <f>VLOOKUP($F53,Admin!$A$16:$E$19,2,FALSE)</f>
        <v>Alkalmazott (ipari) kutatás – Működési költség</v>
      </c>
      <c r="D53" s="161" t="s">
        <v>129</v>
      </c>
      <c r="E53" s="90" t="str">
        <f>VLOOKUP($F53,Admin!$A$16:$E$19,4,FALSE)</f>
        <v>54. Bérköltség - Kutató-fejlesztő munkatárs</v>
      </c>
      <c r="F53" s="90" t="s">
        <v>171</v>
      </c>
      <c r="G53" s="161" t="s">
        <v>174</v>
      </c>
      <c r="H53" s="161" t="s">
        <v>193</v>
      </c>
      <c r="I53" s="90" t="str">
        <f>VLOOKUP($F53,Admin!$A$16:$E$19,5,FALSE)</f>
        <v>K+F munkatárs</v>
      </c>
      <c r="J53" s="161" t="s">
        <v>44</v>
      </c>
      <c r="K53" s="161" t="str">
        <f t="shared" si="128"/>
        <v>2022.05</v>
      </c>
      <c r="L53" s="91" t="s">
        <v>8</v>
      </c>
      <c r="M53" s="92" t="s">
        <v>78</v>
      </c>
      <c r="N53" s="162">
        <v>1111000</v>
      </c>
      <c r="O53" s="163">
        <f t="shared" ref="O53:O54" si="139">ROUND(N53*V53,0)</f>
        <v>144430</v>
      </c>
      <c r="P53" s="161">
        <v>174</v>
      </c>
      <c r="Q53" s="161">
        <v>69</v>
      </c>
      <c r="R53" s="230">
        <f t="shared" ref="R53:R54" si="140">Q53/P53</f>
        <v>0.39655172413793105</v>
      </c>
      <c r="S53" s="164">
        <f t="shared" ref="S53:S54" si="141">ROUND(N53*Q53/P53,0)</f>
        <v>440569</v>
      </c>
      <c r="T53" s="165">
        <f t="shared" ref="T53:T54" si="142">ROUND(S53*V53,0)</f>
        <v>57274</v>
      </c>
      <c r="U53" s="166">
        <f t="shared" ref="U53:U54" si="143">Q53/P53-S53/N53</f>
        <v>-3.1037586500914927E-8</v>
      </c>
      <c r="V53" s="87">
        <v>0.13</v>
      </c>
      <c r="W53" s="224"/>
      <c r="X53" s="23">
        <v>44642</v>
      </c>
      <c r="Y53" s="20" t="s">
        <v>197</v>
      </c>
      <c r="Z53" s="20"/>
      <c r="AA53" s="20"/>
      <c r="AB53" s="168">
        <v>1</v>
      </c>
    </row>
    <row r="54" spans="1:31" s="8" customFormat="1" x14ac:dyDescent="0.25">
      <c r="A54" s="208">
        <v>1</v>
      </c>
      <c r="B54" s="92" t="s">
        <v>189</v>
      </c>
      <c r="C54" s="90" t="str">
        <f>VLOOKUP($F54,Admin!$A$16:$E$19,2,FALSE)</f>
        <v>Alkalmazott (ipari) kutatás – Működési költség</v>
      </c>
      <c r="D54" s="161" t="s">
        <v>129</v>
      </c>
      <c r="E54" s="90" t="str">
        <f>VLOOKUP($F54,Admin!$A$16:$E$19,4,FALSE)</f>
        <v>54. Bérköltség - Kutató-fejlesztő munkatárs</v>
      </c>
      <c r="F54" s="90" t="s">
        <v>171</v>
      </c>
      <c r="G54" s="161" t="s">
        <v>174</v>
      </c>
      <c r="H54" s="161" t="s">
        <v>193</v>
      </c>
      <c r="I54" s="90" t="str">
        <f>VLOOKUP($F54,Admin!$A$16:$E$19,5,FALSE)</f>
        <v>K+F munkatárs</v>
      </c>
      <c r="J54" s="161" t="s">
        <v>45</v>
      </c>
      <c r="K54" s="161" t="str">
        <f t="shared" si="128"/>
        <v>2022.06</v>
      </c>
      <c r="L54" s="91" t="s">
        <v>8</v>
      </c>
      <c r="M54" s="92" t="s">
        <v>78</v>
      </c>
      <c r="N54" s="162">
        <v>1111000</v>
      </c>
      <c r="O54" s="163">
        <f t="shared" si="139"/>
        <v>144430</v>
      </c>
      <c r="P54" s="161">
        <v>174</v>
      </c>
      <c r="Q54" s="161">
        <v>69</v>
      </c>
      <c r="R54" s="230">
        <f t="shared" si="140"/>
        <v>0.39655172413793105</v>
      </c>
      <c r="S54" s="164">
        <f t="shared" si="141"/>
        <v>440569</v>
      </c>
      <c r="T54" s="165">
        <f t="shared" si="142"/>
        <v>57274</v>
      </c>
      <c r="U54" s="166">
        <f t="shared" si="143"/>
        <v>-3.1037586500914927E-8</v>
      </c>
      <c r="V54" s="87">
        <v>0.13</v>
      </c>
      <c r="W54" s="224"/>
      <c r="X54" s="23">
        <v>44642</v>
      </c>
      <c r="Y54" s="20" t="s">
        <v>197</v>
      </c>
      <c r="Z54" s="20"/>
      <c r="AA54" s="20"/>
      <c r="AB54" s="168">
        <v>1</v>
      </c>
    </row>
    <row r="55" spans="1:31" s="8" customFormat="1" x14ac:dyDescent="0.25">
      <c r="A55" s="208">
        <v>1</v>
      </c>
      <c r="B55" s="92" t="s">
        <v>189</v>
      </c>
      <c r="C55" s="90" t="str">
        <f>VLOOKUP($F55,Admin!$A$16:$E$19,2,FALSE)</f>
        <v>Alkalmazott (ipari) kutatás – Működési költség</v>
      </c>
      <c r="D55" s="161" t="s">
        <v>129</v>
      </c>
      <c r="E55" s="90" t="str">
        <f>VLOOKUP($F55,Admin!$A$16:$E$19,4,FALSE)</f>
        <v>54. Bérköltség - Kutató-fejlesztő munkatárs</v>
      </c>
      <c r="F55" s="90" t="s">
        <v>171</v>
      </c>
      <c r="G55" s="161" t="s">
        <v>174</v>
      </c>
      <c r="H55" s="161" t="s">
        <v>193</v>
      </c>
      <c r="I55" s="90" t="str">
        <f>VLOOKUP($F55,Admin!$A$16:$E$19,5,FALSE)</f>
        <v>K+F munkatárs</v>
      </c>
      <c r="J55" s="161" t="s">
        <v>46</v>
      </c>
      <c r="K55" s="161" t="str">
        <f t="shared" ref="K55:K56" si="144">J55</f>
        <v>2022.07</v>
      </c>
      <c r="L55" s="91" t="s">
        <v>8</v>
      </c>
      <c r="M55" s="92" t="s">
        <v>78</v>
      </c>
      <c r="N55" s="162">
        <v>1250000</v>
      </c>
      <c r="O55" s="163">
        <f t="shared" ref="O55" si="145">ROUND(N55*V55,0)</f>
        <v>162500</v>
      </c>
      <c r="P55" s="161">
        <v>174</v>
      </c>
      <c r="Q55" s="161">
        <v>25</v>
      </c>
      <c r="R55" s="230">
        <f t="shared" ref="R55" si="146">Q55/P55</f>
        <v>0.14367816091954022</v>
      </c>
      <c r="S55" s="164">
        <f t="shared" ref="S55" si="147">ROUND(N55*Q55/P55,0)</f>
        <v>179598</v>
      </c>
      <c r="T55" s="165">
        <f t="shared" ref="T55" si="148">ROUND(S55*V55,0)</f>
        <v>23348</v>
      </c>
      <c r="U55" s="166">
        <f t="shared" ref="U55" si="149">Q55/P55-S55/N55</f>
        <v>-2.3908045979070813E-7</v>
      </c>
      <c r="V55" s="87">
        <v>0.13</v>
      </c>
      <c r="W55" s="224"/>
      <c r="X55" s="23">
        <v>44739</v>
      </c>
      <c r="Y55" s="20" t="s">
        <v>197</v>
      </c>
      <c r="Z55" s="20"/>
      <c r="AA55" s="20"/>
      <c r="AB55" s="168">
        <v>1</v>
      </c>
    </row>
    <row r="56" spans="1:31" s="8" customFormat="1" x14ac:dyDescent="0.25">
      <c r="A56" s="208">
        <v>1</v>
      </c>
      <c r="B56" s="92" t="s">
        <v>189</v>
      </c>
      <c r="C56" s="90" t="str">
        <f>VLOOKUP($F56,Admin!$A$16:$E$19,2,FALSE)</f>
        <v>Alkalmazott (ipari) kutatás – Működési költség</v>
      </c>
      <c r="D56" s="161" t="s">
        <v>129</v>
      </c>
      <c r="E56" s="90" t="str">
        <f>VLOOKUP($F56,Admin!$A$16:$E$19,4,FALSE)</f>
        <v>54. Bérköltség - Kutató-fejlesztő munkatárs</v>
      </c>
      <c r="F56" s="90" t="s">
        <v>171</v>
      </c>
      <c r="G56" s="161" t="s">
        <v>174</v>
      </c>
      <c r="H56" s="161" t="s">
        <v>193</v>
      </c>
      <c r="I56" s="90" t="str">
        <f>VLOOKUP($F56,Admin!$A$16:$E$19,5,FALSE)</f>
        <v>K+F munkatárs</v>
      </c>
      <c r="J56" s="161" t="s">
        <v>47</v>
      </c>
      <c r="K56" s="161" t="str">
        <f t="shared" si="144"/>
        <v>2022.08</v>
      </c>
      <c r="L56" s="91" t="s">
        <v>8</v>
      </c>
      <c r="M56" s="92" t="s">
        <v>78</v>
      </c>
      <c r="N56" s="162">
        <v>1250000</v>
      </c>
      <c r="O56" s="163">
        <f t="shared" ref="O56" si="150">ROUND(N56*V56,0)</f>
        <v>162500</v>
      </c>
      <c r="P56" s="161">
        <v>174</v>
      </c>
      <c r="Q56" s="161">
        <v>25</v>
      </c>
      <c r="R56" s="230">
        <f t="shared" ref="R56" si="151">Q56/P56</f>
        <v>0.14367816091954022</v>
      </c>
      <c r="S56" s="164">
        <f t="shared" ref="S56" si="152">ROUND(N56*Q56/P56,0)</f>
        <v>179598</v>
      </c>
      <c r="T56" s="165">
        <f t="shared" ref="T56" si="153">ROUND(S56*V56,0)</f>
        <v>23348</v>
      </c>
      <c r="U56" s="166">
        <f t="shared" ref="U56" si="154">Q56/P56-S56/N56</f>
        <v>-2.3908045979070813E-7</v>
      </c>
      <c r="V56" s="87">
        <v>0.13</v>
      </c>
      <c r="W56" s="224"/>
      <c r="X56" s="23">
        <v>44739</v>
      </c>
      <c r="Y56" s="20" t="s">
        <v>197</v>
      </c>
      <c r="Z56" s="20"/>
      <c r="AA56" s="20"/>
      <c r="AB56" s="168">
        <v>1</v>
      </c>
    </row>
    <row r="57" spans="1:31" s="8" customFormat="1" x14ac:dyDescent="0.25">
      <c r="A57" s="208">
        <v>1</v>
      </c>
      <c r="B57" s="92" t="s">
        <v>189</v>
      </c>
      <c r="C57" s="90" t="str">
        <f>VLOOKUP($F57,Admin!$A$16:$E$19,2,FALSE)</f>
        <v>Alkalmazott (ipari) kutatás – Működési költség</v>
      </c>
      <c r="D57" s="161" t="s">
        <v>129</v>
      </c>
      <c r="E57" s="90" t="str">
        <f>VLOOKUP($F57,Admin!$A$16:$E$19,4,FALSE)</f>
        <v>54. Bérköltség - Kutató-fejlesztő munkatárs</v>
      </c>
      <c r="F57" s="90" t="s">
        <v>171</v>
      </c>
      <c r="G57" s="161" t="s">
        <v>174</v>
      </c>
      <c r="H57" s="161" t="s">
        <v>193</v>
      </c>
      <c r="I57" s="90" t="str">
        <f>VLOOKUP($F57,Admin!$A$16:$E$19,5,FALSE)</f>
        <v>K+F munkatárs</v>
      </c>
      <c r="J57" s="161" t="s">
        <v>48</v>
      </c>
      <c r="K57" s="161" t="str">
        <f t="shared" ref="K57:K60" si="155">J57</f>
        <v>2022.09</v>
      </c>
      <c r="L57" s="91" t="s">
        <v>8</v>
      </c>
      <c r="M57" s="92" t="s">
        <v>78</v>
      </c>
      <c r="N57" s="162">
        <v>1250000</v>
      </c>
      <c r="O57" s="163">
        <f t="shared" ref="O57" si="156">ROUND(N57*V57,0)</f>
        <v>162500</v>
      </c>
      <c r="P57" s="161">
        <v>174</v>
      </c>
      <c r="Q57" s="161">
        <v>25</v>
      </c>
      <c r="R57" s="230">
        <f t="shared" ref="R57" si="157">Q57/P57</f>
        <v>0.14367816091954022</v>
      </c>
      <c r="S57" s="164">
        <f t="shared" ref="S57" si="158">ROUND(N57*Q57/P57,0)</f>
        <v>179598</v>
      </c>
      <c r="T57" s="165">
        <f t="shared" ref="T57" si="159">ROUND(S57*V57,0)</f>
        <v>23348</v>
      </c>
      <c r="U57" s="166">
        <f t="shared" ref="U57" si="160">Q57/P57-S57/N57</f>
        <v>-2.3908045979070813E-7</v>
      </c>
      <c r="V57" s="87">
        <v>0.13</v>
      </c>
      <c r="W57" s="224"/>
      <c r="X57" s="23">
        <v>44803</v>
      </c>
      <c r="Y57" s="20" t="s">
        <v>197</v>
      </c>
      <c r="Z57" s="20"/>
      <c r="AA57" s="20"/>
      <c r="AB57" s="168">
        <v>4</v>
      </c>
    </row>
    <row r="58" spans="1:31" s="8" customFormat="1" x14ac:dyDescent="0.25">
      <c r="A58" s="189"/>
      <c r="B58" s="92" t="s">
        <v>189</v>
      </c>
      <c r="C58" s="90" t="str">
        <f>VLOOKUP($F58,Admin!$A$16:$E$19,2,FALSE)</f>
        <v>Alkalmazott (ipari) kutatás – Működési költség</v>
      </c>
      <c r="D58" s="161" t="s">
        <v>129</v>
      </c>
      <c r="E58" s="90" t="str">
        <f>VLOOKUP($F58,Admin!$A$16:$E$19,4,FALSE)</f>
        <v>54. Bérköltség - Kutató-fejlesztő munkatárs</v>
      </c>
      <c r="F58" s="90" t="s">
        <v>171</v>
      </c>
      <c r="G58" s="161" t="s">
        <v>174</v>
      </c>
      <c r="H58" s="161" t="s">
        <v>193</v>
      </c>
      <c r="I58" s="90" t="str">
        <f>VLOOKUP($F58,Admin!$A$16:$E$19,5,FALSE)</f>
        <v>K+F munkatárs</v>
      </c>
      <c r="J58" s="161" t="s">
        <v>49</v>
      </c>
      <c r="K58" s="161" t="str">
        <f t="shared" si="155"/>
        <v>2022.10</v>
      </c>
      <c r="L58" s="91" t="s">
        <v>8</v>
      </c>
      <c r="M58" s="92" t="s">
        <v>78</v>
      </c>
      <c r="N58" s="162">
        <v>1139998</v>
      </c>
      <c r="O58" s="163">
        <f t="shared" ref="O58" si="161">ROUND(N58*V58,0)</f>
        <v>148200</v>
      </c>
      <c r="P58" s="161">
        <v>174</v>
      </c>
      <c r="Q58" s="161">
        <v>25</v>
      </c>
      <c r="R58" s="230">
        <f t="shared" ref="R58" si="162">Q58/P58</f>
        <v>0.14367816091954022</v>
      </c>
      <c r="S58" s="164">
        <f t="shared" ref="S58" si="163">ROUND(N58*Q58/P58,0)</f>
        <v>163793</v>
      </c>
      <c r="T58" s="165">
        <f t="shared" ref="T58" si="164">ROUND(S58*V58,0)</f>
        <v>21293</v>
      </c>
      <c r="U58" s="166">
        <f t="shared" ref="U58" si="165">Q58/P58-S58/N58</f>
        <v>-1.6132313038208501E-7</v>
      </c>
      <c r="V58" s="87">
        <v>0.13</v>
      </c>
      <c r="W58" s="224"/>
      <c r="X58" s="23">
        <v>44838</v>
      </c>
      <c r="Y58" s="20" t="s">
        <v>197</v>
      </c>
      <c r="Z58" s="20"/>
      <c r="AA58" s="20"/>
      <c r="AB58" s="168">
        <v>1</v>
      </c>
    </row>
    <row r="59" spans="1:31" s="8" customFormat="1" x14ac:dyDescent="0.25">
      <c r="A59" s="189"/>
      <c r="B59" s="92" t="s">
        <v>189</v>
      </c>
      <c r="C59" s="90" t="str">
        <f>VLOOKUP($F59,Admin!$A$16:$E$19,2,FALSE)</f>
        <v>Alkalmazott (ipari) kutatás – Működési költség</v>
      </c>
      <c r="D59" s="161" t="s">
        <v>129</v>
      </c>
      <c r="E59" s="90" t="str">
        <f>VLOOKUP($F59,Admin!$A$16:$E$19,4,FALSE)</f>
        <v>54. Bérköltség - Kutató-fejlesztő munkatárs</v>
      </c>
      <c r="F59" s="90" t="s">
        <v>171</v>
      </c>
      <c r="G59" s="161" t="s">
        <v>174</v>
      </c>
      <c r="H59" s="161" t="s">
        <v>193</v>
      </c>
      <c r="I59" s="90" t="str">
        <f>VLOOKUP($F59,Admin!$A$16:$E$19,5,FALSE)</f>
        <v>K+F munkatárs</v>
      </c>
      <c r="J59" s="161" t="s">
        <v>50</v>
      </c>
      <c r="K59" s="161" t="str">
        <f t="shared" si="155"/>
        <v>2022.11</v>
      </c>
      <c r="L59" s="91" t="s">
        <v>8</v>
      </c>
      <c r="M59" s="92" t="s">
        <v>78</v>
      </c>
      <c r="N59" s="162">
        <v>1140000</v>
      </c>
      <c r="O59" s="163">
        <f t="shared" ref="O59:O60" si="166">ROUND(N59*V59,0)</f>
        <v>148200</v>
      </c>
      <c r="P59" s="161">
        <v>174</v>
      </c>
      <c r="Q59" s="161">
        <v>25</v>
      </c>
      <c r="R59" s="230">
        <f t="shared" ref="R59:R60" si="167">Q59/P59</f>
        <v>0.14367816091954022</v>
      </c>
      <c r="S59" s="164">
        <f t="shared" ref="S59:S60" si="168">ROUND(N59*Q59/P59,0)</f>
        <v>163793</v>
      </c>
      <c r="T59" s="165">
        <f t="shared" ref="T59:T60" si="169">ROUND(S59*V59,0)</f>
        <v>21293</v>
      </c>
      <c r="U59" s="166">
        <f t="shared" ref="U59:U60" si="170">Q59/P59-S59/N59</f>
        <v>9.0744101621798023E-8</v>
      </c>
      <c r="V59" s="87">
        <v>0.13</v>
      </c>
      <c r="W59" s="224" t="s">
        <v>224</v>
      </c>
      <c r="X59" s="23">
        <v>44838</v>
      </c>
      <c r="Y59" s="20" t="s">
        <v>197</v>
      </c>
      <c r="Z59" s="20"/>
      <c r="AA59" s="20"/>
      <c r="AB59" s="168">
        <v>1</v>
      </c>
      <c r="AC59" s="211" t="e">
        <v>#N/A</v>
      </c>
      <c r="AD59" s="212" t="e">
        <v>#N/A</v>
      </c>
      <c r="AE59" s="211" t="e">
        <v>#N/A</v>
      </c>
    </row>
    <row r="60" spans="1:31" s="8" customFormat="1" x14ac:dyDescent="0.25">
      <c r="A60" s="189"/>
      <c r="B60" s="92" t="s">
        <v>189</v>
      </c>
      <c r="C60" s="90" t="str">
        <f>VLOOKUP($F60,Admin!$A$16:$E$19,2,FALSE)</f>
        <v>Alkalmazott (ipari) kutatás – Működési költség</v>
      </c>
      <c r="D60" s="161" t="s">
        <v>129</v>
      </c>
      <c r="E60" s="90" t="str">
        <f>VLOOKUP($F60,Admin!$A$16:$E$19,4,FALSE)</f>
        <v>54. Bérköltség - Kutató-fejlesztő munkatárs</v>
      </c>
      <c r="F60" s="90" t="s">
        <v>171</v>
      </c>
      <c r="G60" s="161" t="s">
        <v>174</v>
      </c>
      <c r="H60" s="161" t="s">
        <v>193</v>
      </c>
      <c r="I60" s="90" t="str">
        <f>VLOOKUP($F60,Admin!$A$16:$E$19,5,FALSE)</f>
        <v>K+F munkatárs</v>
      </c>
      <c r="J60" s="161" t="s">
        <v>51</v>
      </c>
      <c r="K60" s="161" t="str">
        <f t="shared" si="155"/>
        <v>2022.12</v>
      </c>
      <c r="L60" s="91" t="s">
        <v>8</v>
      </c>
      <c r="M60" s="92" t="s">
        <v>78</v>
      </c>
      <c r="N60" s="162">
        <v>1139999</v>
      </c>
      <c r="O60" s="163">
        <f t="shared" si="166"/>
        <v>148200</v>
      </c>
      <c r="P60" s="161">
        <v>174</v>
      </c>
      <c r="Q60" s="161">
        <v>25</v>
      </c>
      <c r="R60" s="230">
        <f t="shared" si="167"/>
        <v>0.14367816091954022</v>
      </c>
      <c r="S60" s="164">
        <f t="shared" si="168"/>
        <v>163793</v>
      </c>
      <c r="T60" s="165">
        <f t="shared" si="169"/>
        <v>21293</v>
      </c>
      <c r="U60" s="166">
        <f t="shared" si="170"/>
        <v>-3.5289403815808029E-8</v>
      </c>
      <c r="V60" s="87">
        <v>0.13</v>
      </c>
      <c r="W60" s="224" t="s">
        <v>224</v>
      </c>
      <c r="X60" s="23">
        <v>44838</v>
      </c>
      <c r="Y60" s="20" t="s">
        <v>197</v>
      </c>
      <c r="Z60" s="20"/>
      <c r="AA60" s="20"/>
      <c r="AB60" s="168">
        <v>1</v>
      </c>
      <c r="AC60" s="211" t="s">
        <v>249</v>
      </c>
      <c r="AD60" s="211" t="s">
        <v>250</v>
      </c>
      <c r="AE60" s="211" t="s">
        <v>250</v>
      </c>
    </row>
    <row r="61" spans="1:31" s="8" customFormat="1" x14ac:dyDescent="0.25">
      <c r="A61" s="189"/>
      <c r="B61" s="92" t="s">
        <v>189</v>
      </c>
      <c r="C61" s="90" t="str">
        <f>VLOOKUP($F61,Admin!$A$16:$E$19,2,FALSE)</f>
        <v>Alkalmazott (ipari) kutatás – Működési költség</v>
      </c>
      <c r="D61" s="161" t="s">
        <v>129</v>
      </c>
      <c r="E61" s="90" t="str">
        <f>VLOOKUP($F61,Admin!$A$16:$E$19,4,FALSE)</f>
        <v>54. Bérköltség - Kutató-fejlesztő munkatárs</v>
      </c>
      <c r="F61" s="90" t="s">
        <v>171</v>
      </c>
      <c r="G61" s="161" t="s">
        <v>174</v>
      </c>
      <c r="H61" s="161" t="s">
        <v>193</v>
      </c>
      <c r="I61" s="90" t="str">
        <f>VLOOKUP($F61,Admin!$A$16:$E$19,5,FALSE)</f>
        <v>K+F munkatárs</v>
      </c>
      <c r="J61" s="161" t="s">
        <v>64</v>
      </c>
      <c r="K61" s="161" t="str">
        <f t="shared" ref="K61:K63" si="171">J61</f>
        <v>2023.01</v>
      </c>
      <c r="L61" s="91" t="s">
        <v>8</v>
      </c>
      <c r="M61" s="92" t="s">
        <v>78</v>
      </c>
      <c r="N61" s="162">
        <v>890000</v>
      </c>
      <c r="O61" s="163">
        <f t="shared" ref="O61" si="172">ROUND(N61*V61,0)</f>
        <v>115700</v>
      </c>
      <c r="P61" s="161">
        <v>174</v>
      </c>
      <c r="Q61" s="161">
        <v>86</v>
      </c>
      <c r="R61" s="230">
        <f t="shared" ref="R61" si="173">Q61/P61</f>
        <v>0.4942528735632184</v>
      </c>
      <c r="S61" s="164">
        <f t="shared" ref="S61" si="174">ROUND(N61*Q61/P61,0)</f>
        <v>439885</v>
      </c>
      <c r="T61" s="165">
        <f t="shared" ref="T61" si="175">ROUND(S61*V61,0)</f>
        <v>57185</v>
      </c>
      <c r="U61" s="166">
        <f t="shared" ref="U61" si="176">Q61/P61-S61/N61</f>
        <v>6.4574454339272336E-8</v>
      </c>
      <c r="V61" s="87">
        <v>0.13</v>
      </c>
      <c r="W61" s="224" t="s">
        <v>224</v>
      </c>
      <c r="X61" s="23">
        <v>44936</v>
      </c>
      <c r="Y61" s="20" t="s">
        <v>197</v>
      </c>
      <c r="Z61" s="20"/>
      <c r="AA61" s="20"/>
      <c r="AB61" s="168">
        <v>1</v>
      </c>
      <c r="AC61" s="211" t="s">
        <v>249</v>
      </c>
      <c r="AD61" s="211">
        <v>0</v>
      </c>
      <c r="AE61" s="211">
        <v>0</v>
      </c>
    </row>
    <row r="62" spans="1:31" s="8" customFormat="1" x14ac:dyDescent="0.25">
      <c r="A62" s="189"/>
      <c r="B62" s="92" t="s">
        <v>189</v>
      </c>
      <c r="C62" s="90" t="str">
        <f>VLOOKUP($F62,Admin!$A$16:$E$19,2,FALSE)</f>
        <v>Alkalmazott (ipari) kutatás – Működési költség</v>
      </c>
      <c r="D62" s="161" t="s">
        <v>129</v>
      </c>
      <c r="E62" s="90" t="str">
        <f>VLOOKUP($F62,Admin!$A$16:$E$19,4,FALSE)</f>
        <v>54. Bérköltség - Kutató-fejlesztő munkatárs</v>
      </c>
      <c r="F62" s="90" t="s">
        <v>171</v>
      </c>
      <c r="G62" s="161" t="s">
        <v>174</v>
      </c>
      <c r="H62" s="161" t="s">
        <v>193</v>
      </c>
      <c r="I62" s="90" t="str">
        <f>VLOOKUP($F62,Admin!$A$16:$E$19,5,FALSE)</f>
        <v>K+F munkatárs</v>
      </c>
      <c r="J62" s="161" t="s">
        <v>65</v>
      </c>
      <c r="K62" s="161" t="str">
        <f t="shared" si="171"/>
        <v>2023.02</v>
      </c>
      <c r="L62" s="91" t="s">
        <v>8</v>
      </c>
      <c r="M62" s="92" t="s">
        <v>78</v>
      </c>
      <c r="N62" s="162">
        <v>890000</v>
      </c>
      <c r="O62" s="163">
        <f t="shared" ref="O62:O63" si="177">ROUND(N62*V62,0)</f>
        <v>115700</v>
      </c>
      <c r="P62" s="161">
        <v>174</v>
      </c>
      <c r="Q62" s="161">
        <v>86</v>
      </c>
      <c r="R62" s="230">
        <f t="shared" ref="R62:R63" si="178">Q62/P62</f>
        <v>0.4942528735632184</v>
      </c>
      <c r="S62" s="164">
        <f t="shared" ref="S62:S63" si="179">ROUND(N62*Q62/P62,0)</f>
        <v>439885</v>
      </c>
      <c r="T62" s="165">
        <f t="shared" ref="T62:T63" si="180">ROUND(S62*V62,0)</f>
        <v>57185</v>
      </c>
      <c r="U62" s="166">
        <f t="shared" ref="U62:U63" si="181">Q62/P62-S62/N62</f>
        <v>6.4574454339272336E-8</v>
      </c>
      <c r="V62" s="87">
        <v>0.13</v>
      </c>
      <c r="W62" s="224" t="s">
        <v>224</v>
      </c>
      <c r="X62" s="23">
        <v>44936</v>
      </c>
      <c r="Y62" s="20" t="s">
        <v>197</v>
      </c>
      <c r="Z62" s="20"/>
      <c r="AA62" s="20"/>
      <c r="AB62" s="168">
        <v>1</v>
      </c>
      <c r="AC62" s="8" t="str">
        <f>IF(VLOOKUP($W62,'Havi béradatok'!$B:$E,2,FALSE)=H62,"EGYEZIK","HIBÁS")</f>
        <v>EGYEZIK</v>
      </c>
      <c r="AD62" s="8">
        <f>VLOOKUP($W62,'Havi béradatok'!$B:$E,3,FALSE)-N62</f>
        <v>0</v>
      </c>
      <c r="AE62" s="8">
        <f>VLOOKUP($W62,'Havi béradatok'!$B:$E,4,FALSE)-O62</f>
        <v>0</v>
      </c>
    </row>
    <row r="63" spans="1:31" s="8" customFormat="1" x14ac:dyDescent="0.25">
      <c r="A63" s="189"/>
      <c r="B63" s="92" t="s">
        <v>189</v>
      </c>
      <c r="C63" s="90" t="str">
        <f>VLOOKUP($F63,Admin!$A$16:$E$19,2,FALSE)</f>
        <v>Alkalmazott (ipari) kutatás – Működési költség</v>
      </c>
      <c r="D63" s="161" t="s">
        <v>129</v>
      </c>
      <c r="E63" s="90" t="str">
        <f>VLOOKUP($F63,Admin!$A$16:$E$19,4,FALSE)</f>
        <v>54. Bérköltség - Kutató-fejlesztő munkatárs</v>
      </c>
      <c r="F63" s="90" t="s">
        <v>171</v>
      </c>
      <c r="G63" s="161" t="s">
        <v>174</v>
      </c>
      <c r="H63" s="161" t="s">
        <v>193</v>
      </c>
      <c r="I63" s="90" t="str">
        <f>VLOOKUP($F63,Admin!$A$16:$E$19,5,FALSE)</f>
        <v>K+F munkatárs</v>
      </c>
      <c r="J63" s="161" t="s">
        <v>66</v>
      </c>
      <c r="K63" s="161" t="str">
        <f t="shared" si="171"/>
        <v>2023.03</v>
      </c>
      <c r="L63" s="91" t="s">
        <v>8</v>
      </c>
      <c r="M63" s="92" t="s">
        <v>78</v>
      </c>
      <c r="N63" s="162">
        <v>890000</v>
      </c>
      <c r="O63" s="163">
        <f t="shared" si="177"/>
        <v>115700</v>
      </c>
      <c r="P63" s="161">
        <v>174</v>
      </c>
      <c r="Q63" s="161">
        <v>86</v>
      </c>
      <c r="R63" s="230">
        <f t="shared" si="178"/>
        <v>0.4942528735632184</v>
      </c>
      <c r="S63" s="164">
        <f t="shared" si="179"/>
        <v>439885</v>
      </c>
      <c r="T63" s="165">
        <f t="shared" si="180"/>
        <v>57185</v>
      </c>
      <c r="U63" s="166">
        <f t="shared" si="181"/>
        <v>6.4574454339272336E-8</v>
      </c>
      <c r="V63" s="87">
        <v>0.13</v>
      </c>
      <c r="W63" s="224" t="s">
        <v>224</v>
      </c>
      <c r="X63" s="23">
        <v>44936</v>
      </c>
      <c r="Y63" s="20" t="s">
        <v>197</v>
      </c>
      <c r="Z63" s="20"/>
      <c r="AA63" s="20"/>
      <c r="AB63" s="168">
        <v>1</v>
      </c>
      <c r="AC63" s="8" t="str">
        <f>IF(VLOOKUP($W63,'Havi béradatok'!$B:$E,2,FALSE)=H63,"EGYEZIK","HIBÁS")</f>
        <v>EGYEZIK</v>
      </c>
      <c r="AD63" s="8">
        <f>VLOOKUP($W63,'Havi béradatok'!$B:$E,3,FALSE)-N63</f>
        <v>0</v>
      </c>
      <c r="AE63" s="8">
        <f>VLOOKUP($W63,'Havi béradatok'!$B:$E,4,FALSE)-O63</f>
        <v>0</v>
      </c>
    </row>
    <row r="64" spans="1:31" s="8" customFormat="1" x14ac:dyDescent="0.25">
      <c r="A64" s="189"/>
      <c r="B64" s="92" t="s">
        <v>189</v>
      </c>
      <c r="C64" s="90" t="str">
        <f>VLOOKUP($F64,Admin!$A$16:$E$19,2,FALSE)</f>
        <v>Alkalmazott (ipari) kutatás – Működési költség</v>
      </c>
      <c r="D64" s="161" t="s">
        <v>129</v>
      </c>
      <c r="E64" s="90" t="str">
        <f>VLOOKUP($F64,Admin!$A$16:$E$19,4,FALSE)</f>
        <v>54. Bérköltség - Kutató-fejlesztő munkatárs</v>
      </c>
      <c r="F64" s="90" t="s">
        <v>171</v>
      </c>
      <c r="G64" s="161" t="s">
        <v>174</v>
      </c>
      <c r="H64" s="161" t="s">
        <v>193</v>
      </c>
      <c r="I64" s="90" t="str">
        <f>VLOOKUP($F64,Admin!$A$16:$E$19,5,FALSE)</f>
        <v>K+F munkatárs</v>
      </c>
      <c r="J64" s="161" t="s">
        <v>67</v>
      </c>
      <c r="K64" s="161" t="str">
        <f t="shared" ref="K64:K66" si="182">J64</f>
        <v>2023.04</v>
      </c>
      <c r="L64" s="91" t="s">
        <v>9</v>
      </c>
      <c r="M64" s="92" t="s">
        <v>78</v>
      </c>
      <c r="N64" s="162">
        <v>1250000</v>
      </c>
      <c r="O64" s="163">
        <f t="shared" ref="O64" si="183">ROUND(N64*V64,0)</f>
        <v>162500</v>
      </c>
      <c r="P64" s="161">
        <v>174</v>
      </c>
      <c r="Q64" s="161">
        <v>91</v>
      </c>
      <c r="R64" s="230">
        <f t="shared" ref="R64" si="184">Q64/P64</f>
        <v>0.52298850574712641</v>
      </c>
      <c r="S64" s="164">
        <f t="shared" ref="S64" si="185">ROUND(N64*Q64/P64,0)</f>
        <v>653736</v>
      </c>
      <c r="T64" s="165">
        <f t="shared" ref="T64" si="186">ROUND(S64*V64,0)</f>
        <v>84986</v>
      </c>
      <c r="U64" s="166">
        <f t="shared" ref="U64" si="187">Q64/P64-S64/N64</f>
        <v>-2.9425287362272456E-7</v>
      </c>
      <c r="V64" s="87">
        <v>0.13</v>
      </c>
      <c r="W64" s="224" t="s">
        <v>224</v>
      </c>
      <c r="X64" s="23">
        <v>45002</v>
      </c>
      <c r="Y64" s="20" t="s">
        <v>197</v>
      </c>
      <c r="Z64" s="20"/>
      <c r="AA64" s="20"/>
      <c r="AB64" s="168"/>
    </row>
    <row r="65" spans="1:31" s="8" customFormat="1" x14ac:dyDescent="0.25">
      <c r="A65" s="189"/>
      <c r="B65" s="92" t="s">
        <v>189</v>
      </c>
      <c r="C65" s="90" t="str">
        <f>VLOOKUP($F65,Admin!$A$16:$E$19,2,FALSE)</f>
        <v>Alkalmazott (ipari) kutatás – Működési költség</v>
      </c>
      <c r="D65" s="161" t="s">
        <v>129</v>
      </c>
      <c r="E65" s="90" t="str">
        <f>VLOOKUP($F65,Admin!$A$16:$E$19,4,FALSE)</f>
        <v>54. Bérköltség - Kutató-fejlesztő munkatárs</v>
      </c>
      <c r="F65" s="90" t="s">
        <v>171</v>
      </c>
      <c r="G65" s="161" t="s">
        <v>174</v>
      </c>
      <c r="H65" s="161" t="s">
        <v>193</v>
      </c>
      <c r="I65" s="90" t="str">
        <f>VLOOKUP($F65,Admin!$A$16:$E$19,5,FALSE)</f>
        <v>K+F munkatárs</v>
      </c>
      <c r="J65" s="161" t="s">
        <v>68</v>
      </c>
      <c r="K65" s="161" t="str">
        <f t="shared" si="182"/>
        <v>2023.05</v>
      </c>
      <c r="L65" s="91" t="s">
        <v>9</v>
      </c>
      <c r="M65" s="92" t="s">
        <v>78</v>
      </c>
      <c r="N65" s="162">
        <v>1250000</v>
      </c>
      <c r="O65" s="163">
        <f t="shared" ref="O65:O66" si="188">ROUND(N65*V65,0)</f>
        <v>162500</v>
      </c>
      <c r="P65" s="161">
        <v>174</v>
      </c>
      <c r="Q65" s="161">
        <v>91</v>
      </c>
      <c r="R65" s="230">
        <f t="shared" ref="R65:R66" si="189">Q65/P65</f>
        <v>0.52298850574712641</v>
      </c>
      <c r="S65" s="164">
        <f t="shared" ref="S65:S66" si="190">ROUND(N65*Q65/P65,0)</f>
        <v>653736</v>
      </c>
      <c r="T65" s="165">
        <f t="shared" ref="T65:T66" si="191">ROUND(S65*V65,0)</f>
        <v>84986</v>
      </c>
      <c r="U65" s="166">
        <f t="shared" ref="U65:U66" si="192">Q65/P65-S65/N65</f>
        <v>-2.9425287362272456E-7</v>
      </c>
      <c r="V65" s="87">
        <v>0.13</v>
      </c>
      <c r="W65" s="224" t="s">
        <v>224</v>
      </c>
      <c r="X65" s="23">
        <v>45002</v>
      </c>
      <c r="Y65" s="20" t="s">
        <v>197</v>
      </c>
      <c r="Z65" s="20"/>
      <c r="AA65" s="20"/>
      <c r="AB65" s="168"/>
    </row>
    <row r="66" spans="1:31" s="8" customFormat="1" x14ac:dyDescent="0.25">
      <c r="A66" s="189"/>
      <c r="B66" s="92" t="s">
        <v>189</v>
      </c>
      <c r="C66" s="90" t="str">
        <f>VLOOKUP($F66,Admin!$A$16:$E$19,2,FALSE)</f>
        <v>Alkalmazott (ipari) kutatás – Működési költség</v>
      </c>
      <c r="D66" s="161" t="s">
        <v>129</v>
      </c>
      <c r="E66" s="90" t="str">
        <f>VLOOKUP($F66,Admin!$A$16:$E$19,4,FALSE)</f>
        <v>54. Bérköltség - Kutató-fejlesztő munkatárs</v>
      </c>
      <c r="F66" s="90" t="s">
        <v>171</v>
      </c>
      <c r="G66" s="161" t="s">
        <v>174</v>
      </c>
      <c r="H66" s="161" t="s">
        <v>193</v>
      </c>
      <c r="I66" s="90" t="str">
        <f>VLOOKUP($F66,Admin!$A$16:$E$19,5,FALSE)</f>
        <v>K+F munkatárs</v>
      </c>
      <c r="J66" s="161" t="s">
        <v>69</v>
      </c>
      <c r="K66" s="161" t="str">
        <f t="shared" si="182"/>
        <v>2023.06</v>
      </c>
      <c r="L66" s="91" t="s">
        <v>9</v>
      </c>
      <c r="M66" s="92" t="s">
        <v>78</v>
      </c>
      <c r="N66" s="162">
        <v>1250000</v>
      </c>
      <c r="O66" s="163">
        <f t="shared" si="188"/>
        <v>162500</v>
      </c>
      <c r="P66" s="161">
        <v>174</v>
      </c>
      <c r="Q66" s="161">
        <v>91</v>
      </c>
      <c r="R66" s="230">
        <f t="shared" si="189"/>
        <v>0.52298850574712641</v>
      </c>
      <c r="S66" s="164">
        <f t="shared" si="190"/>
        <v>653736</v>
      </c>
      <c r="T66" s="165">
        <f t="shared" si="191"/>
        <v>84986</v>
      </c>
      <c r="U66" s="166">
        <f t="shared" si="192"/>
        <v>-2.9425287362272456E-7</v>
      </c>
      <c r="V66" s="87">
        <v>0.13</v>
      </c>
      <c r="W66" s="224" t="s">
        <v>224</v>
      </c>
      <c r="X66" s="23">
        <v>45002</v>
      </c>
      <c r="Y66" s="20" t="s">
        <v>197</v>
      </c>
      <c r="Z66" s="20"/>
      <c r="AA66" s="20"/>
      <c r="AB66" s="168"/>
    </row>
    <row r="67" spans="1:31" s="8" customFormat="1" x14ac:dyDescent="0.25">
      <c r="A67" s="208">
        <v>1</v>
      </c>
      <c r="B67" s="92" t="s">
        <v>190</v>
      </c>
      <c r="C67" s="90" t="str">
        <f>VLOOKUP($F67,Admin!$A$16:$E$19,2,FALSE)</f>
        <v>Alkalmazott (ipari) kutatás – Működési költség</v>
      </c>
      <c r="D67" s="161" t="s">
        <v>129</v>
      </c>
      <c r="E67" s="90" t="str">
        <f>VLOOKUP($F67,Admin!$A$16:$E$19,4,FALSE)</f>
        <v>54. Bérköltség - Kutató-fejlesztő munkatárs</v>
      </c>
      <c r="F67" s="90" t="s">
        <v>171</v>
      </c>
      <c r="G67" s="161" t="s">
        <v>174</v>
      </c>
      <c r="H67" s="161" t="s">
        <v>194</v>
      </c>
      <c r="I67" s="90" t="str">
        <f>VLOOKUP($F67,Admin!$A$16:$E$19,5,FALSE)</f>
        <v>K+F munkatárs</v>
      </c>
      <c r="J67" s="161" t="s">
        <v>37</v>
      </c>
      <c r="K67" s="161" t="str">
        <f t="shared" si="128"/>
        <v>2021.10</v>
      </c>
      <c r="L67" s="91" t="s">
        <v>8</v>
      </c>
      <c r="M67" s="92" t="s">
        <v>78</v>
      </c>
      <c r="N67" s="162">
        <v>1579999</v>
      </c>
      <c r="O67" s="163">
        <f t="shared" si="129"/>
        <v>244900</v>
      </c>
      <c r="P67" s="161">
        <v>174</v>
      </c>
      <c r="Q67" s="161">
        <v>30</v>
      </c>
      <c r="R67" s="230">
        <f t="shared" si="130"/>
        <v>0.17241379310344829</v>
      </c>
      <c r="S67" s="164">
        <f t="shared" si="131"/>
        <v>272414</v>
      </c>
      <c r="T67" s="165">
        <f t="shared" si="132"/>
        <v>42224</v>
      </c>
      <c r="U67" s="166">
        <f t="shared" si="133"/>
        <v>-2.4006999044257071E-7</v>
      </c>
      <c r="V67" s="87">
        <v>0.155</v>
      </c>
      <c r="W67" s="224"/>
      <c r="X67" s="23">
        <v>44470</v>
      </c>
      <c r="Y67" s="20" t="s">
        <v>197</v>
      </c>
      <c r="Z67" s="20"/>
      <c r="AA67" s="20"/>
      <c r="AB67" s="168">
        <v>1</v>
      </c>
    </row>
    <row r="68" spans="1:31" s="8" customFormat="1" x14ac:dyDescent="0.25">
      <c r="A68" s="208">
        <v>1</v>
      </c>
      <c r="B68" s="92" t="s">
        <v>190</v>
      </c>
      <c r="C68" s="90" t="str">
        <f>VLOOKUP($F68,Admin!$A$16:$E$19,2,FALSE)</f>
        <v>Alkalmazott (ipari) kutatás – Működési költség</v>
      </c>
      <c r="D68" s="161" t="s">
        <v>129</v>
      </c>
      <c r="E68" s="90" t="str">
        <f>VLOOKUP($F68,Admin!$A$16:$E$19,4,FALSE)</f>
        <v>54. Bérköltség - Kutató-fejlesztő munkatárs</v>
      </c>
      <c r="F68" s="90" t="s">
        <v>171</v>
      </c>
      <c r="G68" s="161" t="s">
        <v>174</v>
      </c>
      <c r="H68" s="161" t="s">
        <v>194</v>
      </c>
      <c r="I68" s="90" t="str">
        <f>VLOOKUP($F68,Admin!$A$16:$E$19,5,FALSE)</f>
        <v>K+F munkatárs</v>
      </c>
      <c r="J68" s="161" t="s">
        <v>38</v>
      </c>
      <c r="K68" s="161" t="str">
        <f t="shared" si="128"/>
        <v>2021.11</v>
      </c>
      <c r="L68" s="91" t="s">
        <v>8</v>
      </c>
      <c r="M68" s="92" t="s">
        <v>78</v>
      </c>
      <c r="N68" s="162">
        <v>1610000</v>
      </c>
      <c r="O68" s="163">
        <f t="shared" si="129"/>
        <v>249550</v>
      </c>
      <c r="P68" s="161">
        <v>174</v>
      </c>
      <c r="Q68" s="161">
        <v>30</v>
      </c>
      <c r="R68" s="230">
        <f t="shared" si="130"/>
        <v>0.17241379310344829</v>
      </c>
      <c r="S68" s="195">
        <v>241379</v>
      </c>
      <c r="T68" s="165">
        <f t="shared" si="132"/>
        <v>37414</v>
      </c>
      <c r="U68" s="166">
        <f t="shared" si="133"/>
        <v>2.2488948382951401E-2</v>
      </c>
      <c r="V68" s="87">
        <v>0.155</v>
      </c>
      <c r="W68" s="224"/>
      <c r="X68" s="23">
        <v>44509</v>
      </c>
      <c r="Y68" s="20" t="s">
        <v>197</v>
      </c>
      <c r="Z68" s="20"/>
      <c r="AA68" s="20"/>
      <c r="AB68" s="168">
        <v>1</v>
      </c>
    </row>
    <row r="69" spans="1:31" s="8" customFormat="1" x14ac:dyDescent="0.25">
      <c r="A69" s="208">
        <v>1</v>
      </c>
      <c r="B69" s="92" t="s">
        <v>190</v>
      </c>
      <c r="C69" s="90" t="str">
        <f>VLOOKUP($F69,Admin!$A$16:$E$19,2,FALSE)</f>
        <v>Alkalmazott (ipari) kutatás – Működési költség</v>
      </c>
      <c r="D69" s="161" t="s">
        <v>129</v>
      </c>
      <c r="E69" s="90" t="str">
        <f>VLOOKUP($F69,Admin!$A$16:$E$19,4,FALSE)</f>
        <v>54. Bérköltség - Kutató-fejlesztő munkatárs</v>
      </c>
      <c r="F69" s="90" t="s">
        <v>171</v>
      </c>
      <c r="G69" s="161" t="s">
        <v>174</v>
      </c>
      <c r="H69" s="161" t="s">
        <v>194</v>
      </c>
      <c r="I69" s="90" t="str">
        <f>VLOOKUP($F69,Admin!$A$16:$E$19,5,FALSE)</f>
        <v>K+F munkatárs</v>
      </c>
      <c r="J69" s="161" t="s">
        <v>39</v>
      </c>
      <c r="K69" s="161" t="str">
        <f t="shared" si="128"/>
        <v>2021.12</v>
      </c>
      <c r="L69" s="91" t="s">
        <v>8</v>
      </c>
      <c r="M69" s="92" t="s">
        <v>78</v>
      </c>
      <c r="N69" s="162">
        <v>1610000</v>
      </c>
      <c r="O69" s="163">
        <f t="shared" si="129"/>
        <v>249550</v>
      </c>
      <c r="P69" s="161">
        <v>174</v>
      </c>
      <c r="Q69" s="161">
        <v>30</v>
      </c>
      <c r="R69" s="230">
        <f t="shared" si="130"/>
        <v>0.17241379310344829</v>
      </c>
      <c r="S69" s="195">
        <v>241379</v>
      </c>
      <c r="T69" s="165">
        <f t="shared" si="132"/>
        <v>37414</v>
      </c>
      <c r="U69" s="166">
        <f t="shared" si="133"/>
        <v>2.2488948382951401E-2</v>
      </c>
      <c r="V69" s="87">
        <v>0.155</v>
      </c>
      <c r="W69" s="224"/>
      <c r="X69" s="23">
        <v>44509</v>
      </c>
      <c r="Y69" s="20" t="s">
        <v>197</v>
      </c>
      <c r="Z69" s="20"/>
      <c r="AA69" s="20"/>
      <c r="AB69" s="168">
        <v>1</v>
      </c>
    </row>
    <row r="70" spans="1:31" s="8" customFormat="1" x14ac:dyDescent="0.25">
      <c r="A70" s="208">
        <v>1</v>
      </c>
      <c r="B70" s="92" t="s">
        <v>190</v>
      </c>
      <c r="C70" s="90" t="str">
        <f>VLOOKUP($F70,Admin!$A$16:$E$19,2,FALSE)</f>
        <v>Alkalmazott (ipari) kutatás – Működési költség</v>
      </c>
      <c r="D70" s="161" t="s">
        <v>129</v>
      </c>
      <c r="E70" s="90" t="str">
        <f>VLOOKUP($F70,Admin!$A$16:$E$19,4,FALSE)</f>
        <v>54. Bérköltség - Kutató-fejlesztő munkatárs</v>
      </c>
      <c r="F70" s="90" t="s">
        <v>171</v>
      </c>
      <c r="G70" s="161" t="s">
        <v>174</v>
      </c>
      <c r="H70" s="161" t="s">
        <v>194</v>
      </c>
      <c r="I70" s="90" t="str">
        <f>VLOOKUP($F70,Admin!$A$16:$E$19,5,FALSE)</f>
        <v>K+F munkatárs</v>
      </c>
      <c r="J70" s="161" t="s">
        <v>40</v>
      </c>
      <c r="K70" s="161" t="str">
        <f t="shared" si="128"/>
        <v>2022.01</v>
      </c>
      <c r="L70" s="91" t="s">
        <v>8</v>
      </c>
      <c r="M70" s="92" t="s">
        <v>78</v>
      </c>
      <c r="N70" s="162">
        <v>1526000</v>
      </c>
      <c r="O70" s="163">
        <f t="shared" si="129"/>
        <v>198380</v>
      </c>
      <c r="P70" s="161">
        <v>174</v>
      </c>
      <c r="Q70" s="161">
        <v>29</v>
      </c>
      <c r="R70" s="230">
        <f t="shared" si="130"/>
        <v>0.16666666666666666</v>
      </c>
      <c r="S70" s="164">
        <f t="shared" si="131"/>
        <v>254333</v>
      </c>
      <c r="T70" s="165">
        <f t="shared" si="132"/>
        <v>33063</v>
      </c>
      <c r="U70" s="166">
        <f t="shared" si="133"/>
        <v>2.1843599823379023E-7</v>
      </c>
      <c r="V70" s="87">
        <v>0.13</v>
      </c>
      <c r="W70" s="224"/>
      <c r="X70" s="23">
        <v>44566</v>
      </c>
      <c r="Y70" s="20" t="s">
        <v>197</v>
      </c>
      <c r="Z70" s="20"/>
      <c r="AA70" s="20"/>
      <c r="AB70" s="168">
        <v>1</v>
      </c>
    </row>
    <row r="71" spans="1:31" s="8" customFormat="1" x14ac:dyDescent="0.25">
      <c r="A71" s="208">
        <v>1</v>
      </c>
      <c r="B71" s="92" t="s">
        <v>190</v>
      </c>
      <c r="C71" s="90" t="str">
        <f>VLOOKUP($F71,Admin!$A$16:$E$19,2,FALSE)</f>
        <v>Alkalmazott (ipari) kutatás – Működési költség</v>
      </c>
      <c r="D71" s="161" t="s">
        <v>129</v>
      </c>
      <c r="E71" s="90" t="str">
        <f>VLOOKUP($F71,Admin!$A$16:$E$19,4,FALSE)</f>
        <v>54. Bérköltség - Kutató-fejlesztő munkatárs</v>
      </c>
      <c r="F71" s="90" t="s">
        <v>171</v>
      </c>
      <c r="G71" s="161" t="s">
        <v>174</v>
      </c>
      <c r="H71" s="161" t="s">
        <v>194</v>
      </c>
      <c r="I71" s="90" t="str">
        <f>VLOOKUP($F71,Admin!$A$16:$E$19,5,FALSE)</f>
        <v>K+F munkatárs</v>
      </c>
      <c r="J71" s="161" t="s">
        <v>41</v>
      </c>
      <c r="K71" s="161" t="str">
        <f t="shared" si="128"/>
        <v>2022.02</v>
      </c>
      <c r="L71" s="91" t="s">
        <v>8</v>
      </c>
      <c r="M71" s="92" t="s">
        <v>78</v>
      </c>
      <c r="N71" s="162">
        <v>1526000</v>
      </c>
      <c r="O71" s="163">
        <f t="shared" si="129"/>
        <v>198380</v>
      </c>
      <c r="P71" s="161">
        <v>174</v>
      </c>
      <c r="Q71" s="161">
        <v>31</v>
      </c>
      <c r="R71" s="230">
        <f t="shared" si="130"/>
        <v>0.17816091954022989</v>
      </c>
      <c r="S71" s="164">
        <f t="shared" si="131"/>
        <v>271874</v>
      </c>
      <c r="T71" s="165">
        <f t="shared" si="132"/>
        <v>35344</v>
      </c>
      <c r="U71" s="166">
        <f t="shared" si="133"/>
        <v>-2.8622648046150445E-7</v>
      </c>
      <c r="V71" s="87">
        <v>0.13</v>
      </c>
      <c r="W71" s="224"/>
      <c r="X71" s="23">
        <v>44595</v>
      </c>
      <c r="Y71" s="20" t="s">
        <v>197</v>
      </c>
      <c r="Z71" s="20"/>
      <c r="AA71" s="20"/>
      <c r="AB71" s="168">
        <v>1</v>
      </c>
    </row>
    <row r="72" spans="1:31" s="8" customFormat="1" x14ac:dyDescent="0.25">
      <c r="A72" s="208">
        <v>1</v>
      </c>
      <c r="B72" s="92" t="s">
        <v>190</v>
      </c>
      <c r="C72" s="90" t="str">
        <f>VLOOKUP($F72,Admin!$A$16:$E$19,2,FALSE)</f>
        <v>Alkalmazott (ipari) kutatás – Működési költség</v>
      </c>
      <c r="D72" s="161" t="s">
        <v>129</v>
      </c>
      <c r="E72" s="90" t="str">
        <f>VLOOKUP($F72,Admin!$A$16:$E$19,4,FALSE)</f>
        <v>54. Bérköltség - Kutató-fejlesztő munkatárs</v>
      </c>
      <c r="F72" s="90" t="s">
        <v>171</v>
      </c>
      <c r="G72" s="161" t="s">
        <v>174</v>
      </c>
      <c r="H72" s="161" t="s">
        <v>194</v>
      </c>
      <c r="I72" s="90" t="str">
        <f>VLOOKUP($F72,Admin!$A$16:$E$19,5,FALSE)</f>
        <v>K+F munkatárs</v>
      </c>
      <c r="J72" s="161" t="s">
        <v>42</v>
      </c>
      <c r="K72" s="161" t="str">
        <f t="shared" si="128"/>
        <v>2022.03</v>
      </c>
      <c r="L72" s="91" t="s">
        <v>8</v>
      </c>
      <c r="M72" s="92" t="s">
        <v>78</v>
      </c>
      <c r="N72" s="162">
        <v>1566000</v>
      </c>
      <c r="O72" s="163">
        <f t="shared" si="129"/>
        <v>203580</v>
      </c>
      <c r="P72" s="161">
        <v>174</v>
      </c>
      <c r="Q72" s="161">
        <v>29</v>
      </c>
      <c r="R72" s="230">
        <f t="shared" si="130"/>
        <v>0.16666666666666666</v>
      </c>
      <c r="S72" s="164">
        <f t="shared" si="131"/>
        <v>261000</v>
      </c>
      <c r="T72" s="165">
        <f t="shared" si="132"/>
        <v>33930</v>
      </c>
      <c r="U72" s="166">
        <f t="shared" si="133"/>
        <v>0</v>
      </c>
      <c r="V72" s="87">
        <v>0.13</v>
      </c>
      <c r="W72" s="224"/>
      <c r="X72" s="23">
        <v>44615</v>
      </c>
      <c r="Y72" s="20" t="s">
        <v>197</v>
      </c>
      <c r="Z72" s="20"/>
      <c r="AA72" s="20"/>
      <c r="AB72" s="168">
        <v>1</v>
      </c>
    </row>
    <row r="73" spans="1:31" s="8" customFormat="1" x14ac:dyDescent="0.25">
      <c r="A73" s="208">
        <v>1</v>
      </c>
      <c r="B73" s="92" t="s">
        <v>190</v>
      </c>
      <c r="C73" s="90" t="str">
        <f>VLOOKUP($F73,Admin!$A$16:$E$19,2,FALSE)</f>
        <v>Alkalmazott (ipari) kutatás – Működési költség</v>
      </c>
      <c r="D73" s="161" t="s">
        <v>129</v>
      </c>
      <c r="E73" s="90" t="str">
        <f>VLOOKUP($F73,Admin!$A$16:$E$19,4,FALSE)</f>
        <v>54. Bérköltség - Kutató-fejlesztő munkatárs</v>
      </c>
      <c r="F73" s="90" t="s">
        <v>171</v>
      </c>
      <c r="G73" s="161" t="s">
        <v>174</v>
      </c>
      <c r="H73" s="161" t="s">
        <v>194</v>
      </c>
      <c r="I73" s="90" t="str">
        <f>VLOOKUP($F73,Admin!$A$16:$E$19,5,FALSE)</f>
        <v>K+F munkatárs</v>
      </c>
      <c r="J73" s="161" t="s">
        <v>43</v>
      </c>
      <c r="K73" s="161" t="str">
        <f t="shared" ref="K73:K75" si="193">J73</f>
        <v>2022.04</v>
      </c>
      <c r="L73" s="91" t="s">
        <v>8</v>
      </c>
      <c r="M73" s="92" t="s">
        <v>78</v>
      </c>
      <c r="N73" s="162">
        <v>1614000</v>
      </c>
      <c r="O73" s="163">
        <f t="shared" ref="O73" si="194">ROUND(N73*V73,0)</f>
        <v>209820</v>
      </c>
      <c r="P73" s="161">
        <v>174</v>
      </c>
      <c r="Q73" s="161">
        <v>55</v>
      </c>
      <c r="R73" s="230">
        <f t="shared" ref="R73" si="195">Q73/P73</f>
        <v>0.31609195402298851</v>
      </c>
      <c r="S73" s="164">
        <f t="shared" ref="S73" si="196">ROUND(N73*Q73/P73,0)</f>
        <v>510172</v>
      </c>
      <c r="T73" s="165">
        <f t="shared" ref="T73" si="197">ROUND(S73*V73,0)</f>
        <v>66322</v>
      </c>
      <c r="U73" s="166">
        <f t="shared" ref="U73" si="198">Q73/P73-S73/N73</f>
        <v>2.563773875419173E-7</v>
      </c>
      <c r="V73" s="87">
        <v>0.13</v>
      </c>
      <c r="W73" s="224"/>
      <c r="X73" s="23">
        <v>44651</v>
      </c>
      <c r="Y73" s="20" t="s">
        <v>197</v>
      </c>
      <c r="Z73" s="20"/>
      <c r="AA73" s="20"/>
      <c r="AB73" s="168">
        <v>1</v>
      </c>
    </row>
    <row r="74" spans="1:31" s="8" customFormat="1" x14ac:dyDescent="0.25">
      <c r="A74" s="208">
        <v>1</v>
      </c>
      <c r="B74" s="92" t="s">
        <v>190</v>
      </c>
      <c r="C74" s="90" t="str">
        <f>VLOOKUP($F74,Admin!$A$16:$E$19,2,FALSE)</f>
        <v>Alkalmazott (ipari) kutatás – Működési költség</v>
      </c>
      <c r="D74" s="161" t="s">
        <v>129</v>
      </c>
      <c r="E74" s="90" t="str">
        <f>VLOOKUP($F74,Admin!$A$16:$E$19,4,FALSE)</f>
        <v>54. Bérköltség - Kutató-fejlesztő munkatárs</v>
      </c>
      <c r="F74" s="90" t="s">
        <v>171</v>
      </c>
      <c r="G74" s="161" t="s">
        <v>174</v>
      </c>
      <c r="H74" s="161" t="s">
        <v>194</v>
      </c>
      <c r="I74" s="90" t="str">
        <f>VLOOKUP($F74,Admin!$A$16:$E$19,5,FALSE)</f>
        <v>K+F munkatárs</v>
      </c>
      <c r="J74" s="161" t="s">
        <v>44</v>
      </c>
      <c r="K74" s="161" t="str">
        <f t="shared" si="193"/>
        <v>2022.05</v>
      </c>
      <c r="L74" s="91" t="s">
        <v>8</v>
      </c>
      <c r="M74" s="92" t="s">
        <v>78</v>
      </c>
      <c r="N74" s="162">
        <v>1614000</v>
      </c>
      <c r="O74" s="163">
        <f t="shared" ref="O74:O75" si="199">ROUND(N74*V74,0)</f>
        <v>209820</v>
      </c>
      <c r="P74" s="161">
        <v>174</v>
      </c>
      <c r="Q74" s="161">
        <v>55</v>
      </c>
      <c r="R74" s="230">
        <f t="shared" ref="R74:R75" si="200">Q74/P74</f>
        <v>0.31609195402298851</v>
      </c>
      <c r="S74" s="164">
        <f t="shared" ref="S74:S75" si="201">ROUND(N74*Q74/P74,0)</f>
        <v>510172</v>
      </c>
      <c r="T74" s="165">
        <f t="shared" ref="T74:T75" si="202">ROUND(S74*V74,0)</f>
        <v>66322</v>
      </c>
      <c r="U74" s="166">
        <f t="shared" ref="U74:U75" si="203">Q74/P74-S74/N74</f>
        <v>2.563773875419173E-7</v>
      </c>
      <c r="V74" s="87">
        <v>0.13</v>
      </c>
      <c r="W74" s="224"/>
      <c r="X74" s="23">
        <v>44651</v>
      </c>
      <c r="Y74" s="20" t="s">
        <v>197</v>
      </c>
      <c r="Z74" s="20"/>
      <c r="AA74" s="20"/>
      <c r="AB74" s="168">
        <v>1</v>
      </c>
    </row>
    <row r="75" spans="1:31" s="8" customFormat="1" x14ac:dyDescent="0.25">
      <c r="A75" s="208">
        <v>1</v>
      </c>
      <c r="B75" s="92" t="s">
        <v>190</v>
      </c>
      <c r="C75" s="90" t="str">
        <f>VLOOKUP($F75,Admin!$A$16:$E$19,2,FALSE)</f>
        <v>Alkalmazott (ipari) kutatás – Működési költség</v>
      </c>
      <c r="D75" s="161" t="s">
        <v>129</v>
      </c>
      <c r="E75" s="90" t="str">
        <f>VLOOKUP($F75,Admin!$A$16:$E$19,4,FALSE)</f>
        <v>54. Bérköltség - Kutató-fejlesztő munkatárs</v>
      </c>
      <c r="F75" s="90" t="s">
        <v>171</v>
      </c>
      <c r="G75" s="161" t="s">
        <v>174</v>
      </c>
      <c r="H75" s="161" t="s">
        <v>194</v>
      </c>
      <c r="I75" s="90" t="str">
        <f>VLOOKUP($F75,Admin!$A$16:$E$19,5,FALSE)</f>
        <v>K+F munkatárs</v>
      </c>
      <c r="J75" s="161" t="s">
        <v>45</v>
      </c>
      <c r="K75" s="161" t="str">
        <f t="shared" si="193"/>
        <v>2022.06</v>
      </c>
      <c r="L75" s="91" t="s">
        <v>8</v>
      </c>
      <c r="M75" s="92" t="s">
        <v>78</v>
      </c>
      <c r="N75" s="162">
        <v>1547999</v>
      </c>
      <c r="O75" s="163">
        <f t="shared" si="199"/>
        <v>201240</v>
      </c>
      <c r="P75" s="161">
        <v>174</v>
      </c>
      <c r="Q75" s="161">
        <v>55</v>
      </c>
      <c r="R75" s="230">
        <f t="shared" si="200"/>
        <v>0.31609195402298851</v>
      </c>
      <c r="S75" s="164">
        <f t="shared" si="201"/>
        <v>489310</v>
      </c>
      <c r="T75" s="165">
        <f t="shared" si="202"/>
        <v>63610</v>
      </c>
      <c r="U75" s="166">
        <f t="shared" si="203"/>
        <v>1.8563081904954259E-8</v>
      </c>
      <c r="V75" s="87">
        <v>0.13</v>
      </c>
      <c r="W75" s="224"/>
      <c r="X75" s="23">
        <v>44713</v>
      </c>
      <c r="Y75" s="20" t="s">
        <v>197</v>
      </c>
      <c r="Z75" s="20"/>
      <c r="AA75" s="20"/>
      <c r="AB75" s="168">
        <v>1</v>
      </c>
    </row>
    <row r="76" spans="1:31" s="8" customFormat="1" x14ac:dyDescent="0.25">
      <c r="A76" s="208">
        <v>1</v>
      </c>
      <c r="B76" s="92" t="s">
        <v>190</v>
      </c>
      <c r="C76" s="90" t="str">
        <f>VLOOKUP($F76,Admin!$A$16:$E$19,2,FALSE)</f>
        <v>Alkalmazott (ipari) kutatás – Működési költség</v>
      </c>
      <c r="D76" s="161" t="s">
        <v>129</v>
      </c>
      <c r="E76" s="90" t="str">
        <f>VLOOKUP($F76,Admin!$A$16:$E$19,4,FALSE)</f>
        <v>54. Bérköltség - Kutató-fejlesztő munkatárs</v>
      </c>
      <c r="F76" s="90" t="s">
        <v>171</v>
      </c>
      <c r="G76" s="161" t="s">
        <v>174</v>
      </c>
      <c r="H76" s="161" t="s">
        <v>194</v>
      </c>
      <c r="I76" s="90" t="str">
        <f>VLOOKUP($F76,Admin!$A$16:$E$19,5,FALSE)</f>
        <v>K+F munkatárs</v>
      </c>
      <c r="J76" s="161" t="s">
        <v>46</v>
      </c>
      <c r="K76" s="161" t="str">
        <f t="shared" ref="K76:K78" si="204">J76</f>
        <v>2022.07</v>
      </c>
      <c r="L76" s="91" t="s">
        <v>8</v>
      </c>
      <c r="M76" s="92" t="s">
        <v>78</v>
      </c>
      <c r="N76" s="162">
        <v>1500000</v>
      </c>
      <c r="O76" s="163">
        <f t="shared" ref="O76" si="205">ROUND(N76*V76,0)</f>
        <v>195000</v>
      </c>
      <c r="P76" s="161">
        <v>174</v>
      </c>
      <c r="Q76" s="161">
        <v>60</v>
      </c>
      <c r="R76" s="230">
        <f t="shared" ref="R76:R78" si="206">Q76/P76</f>
        <v>0.34482758620689657</v>
      </c>
      <c r="S76" s="164">
        <f t="shared" ref="S76:S78" si="207">ROUND(N76*Q76/P76,0)</f>
        <v>517241</v>
      </c>
      <c r="T76" s="165">
        <f t="shared" ref="T76:T78" si="208">ROUND(S76*V76,0)</f>
        <v>67241</v>
      </c>
      <c r="U76" s="166">
        <f t="shared" ref="U76:U78" si="209">Q76/P76-S76/N76</f>
        <v>2.5287356325565113E-7</v>
      </c>
      <c r="V76" s="87">
        <v>0.13</v>
      </c>
      <c r="W76" s="224"/>
      <c r="X76" s="23"/>
      <c r="Y76" s="20" t="s">
        <v>197</v>
      </c>
      <c r="Z76" s="20"/>
      <c r="AA76" s="20"/>
      <c r="AB76" s="168">
        <v>1</v>
      </c>
    </row>
    <row r="77" spans="1:31" s="8" customFormat="1" x14ac:dyDescent="0.25">
      <c r="A77" s="208">
        <v>1</v>
      </c>
      <c r="B77" s="92" t="s">
        <v>190</v>
      </c>
      <c r="C77" s="90" t="str">
        <f>VLOOKUP($F77,Admin!$A$16:$E$19,2,FALSE)</f>
        <v>Alkalmazott (ipari) kutatás – Működési költség</v>
      </c>
      <c r="D77" s="161" t="s">
        <v>129</v>
      </c>
      <c r="E77" s="90" t="str">
        <f>VLOOKUP($F77,Admin!$A$16:$E$19,4,FALSE)</f>
        <v>54. Bérköltség - Kutató-fejlesztő munkatárs</v>
      </c>
      <c r="F77" s="90" t="s">
        <v>171</v>
      </c>
      <c r="G77" s="161" t="s">
        <v>174</v>
      </c>
      <c r="H77" s="161" t="s">
        <v>194</v>
      </c>
      <c r="I77" s="90" t="str">
        <f>VLOOKUP($F77,Admin!$A$16:$E$19,5,FALSE)</f>
        <v>K+F munkatárs</v>
      </c>
      <c r="J77" s="161" t="s">
        <v>47</v>
      </c>
      <c r="K77" s="161" t="str">
        <f t="shared" si="204"/>
        <v>2022.08</v>
      </c>
      <c r="L77" s="91" t="s">
        <v>8</v>
      </c>
      <c r="M77" s="92" t="s">
        <v>78</v>
      </c>
      <c r="N77" s="162">
        <v>1500000</v>
      </c>
      <c r="O77" s="163">
        <f t="shared" ref="O77:O78" si="210">ROUND(N77*V77,0)</f>
        <v>195000</v>
      </c>
      <c r="P77" s="161">
        <v>174</v>
      </c>
      <c r="Q77" s="161">
        <v>60</v>
      </c>
      <c r="R77" s="230">
        <f t="shared" si="206"/>
        <v>0.34482758620689657</v>
      </c>
      <c r="S77" s="164">
        <f t="shared" si="207"/>
        <v>517241</v>
      </c>
      <c r="T77" s="165">
        <f t="shared" si="208"/>
        <v>67241</v>
      </c>
      <c r="U77" s="166">
        <f t="shared" si="209"/>
        <v>2.5287356325565113E-7</v>
      </c>
      <c r="V77" s="87">
        <v>0.13</v>
      </c>
      <c r="W77" s="224"/>
      <c r="X77" s="23"/>
      <c r="Y77" s="20" t="s">
        <v>197</v>
      </c>
      <c r="Z77" s="20"/>
      <c r="AA77" s="20"/>
      <c r="AB77" s="168">
        <v>1</v>
      </c>
    </row>
    <row r="78" spans="1:31" s="8" customFormat="1" x14ac:dyDescent="0.25">
      <c r="A78" s="208">
        <v>1</v>
      </c>
      <c r="B78" s="92" t="s">
        <v>190</v>
      </c>
      <c r="C78" s="90" t="str">
        <f>VLOOKUP($F78,Admin!$A$16:$E$19,2,FALSE)</f>
        <v>Alkalmazott (ipari) kutatás – Működési költség</v>
      </c>
      <c r="D78" s="161" t="s">
        <v>129</v>
      </c>
      <c r="E78" s="90" t="str">
        <f>VLOOKUP($F78,Admin!$A$16:$E$19,4,FALSE)</f>
        <v>54. Bérköltség - Kutató-fejlesztő munkatárs</v>
      </c>
      <c r="F78" s="90" t="s">
        <v>171</v>
      </c>
      <c r="G78" s="161" t="s">
        <v>174</v>
      </c>
      <c r="H78" s="161" t="s">
        <v>194</v>
      </c>
      <c r="I78" s="90" t="str">
        <f>VLOOKUP($F78,Admin!$A$16:$E$19,5,FALSE)</f>
        <v>K+F munkatárs</v>
      </c>
      <c r="J78" s="161" t="s">
        <v>48</v>
      </c>
      <c r="K78" s="161" t="str">
        <f t="shared" si="204"/>
        <v>2022.09</v>
      </c>
      <c r="L78" s="91" t="s">
        <v>8</v>
      </c>
      <c r="M78" s="92" t="s">
        <v>78</v>
      </c>
      <c r="N78" s="162">
        <v>1500000</v>
      </c>
      <c r="O78" s="163">
        <f t="shared" si="210"/>
        <v>195000</v>
      </c>
      <c r="P78" s="161">
        <v>174</v>
      </c>
      <c r="Q78" s="161">
        <v>60</v>
      </c>
      <c r="R78" s="230">
        <f t="shared" si="206"/>
        <v>0.34482758620689657</v>
      </c>
      <c r="S78" s="164">
        <f t="shared" si="207"/>
        <v>517241</v>
      </c>
      <c r="T78" s="165">
        <f t="shared" si="208"/>
        <v>67241</v>
      </c>
      <c r="U78" s="166">
        <f t="shared" si="209"/>
        <v>2.5287356325565113E-7</v>
      </c>
      <c r="V78" s="87">
        <v>0.13</v>
      </c>
      <c r="W78" s="224"/>
      <c r="X78" s="23"/>
      <c r="Y78" s="20" t="s">
        <v>197</v>
      </c>
      <c r="Z78" s="20"/>
      <c r="AA78" s="20"/>
      <c r="AB78" s="168">
        <v>4</v>
      </c>
    </row>
    <row r="79" spans="1:31" s="8" customFormat="1" x14ac:dyDescent="0.25">
      <c r="A79" s="189"/>
      <c r="B79" s="92" t="s">
        <v>190</v>
      </c>
      <c r="C79" s="90" t="str">
        <f>VLOOKUP($F79,Admin!$A$16:$E$19,2,FALSE)</f>
        <v>Alkalmazott (ipari) kutatás – Működési költség</v>
      </c>
      <c r="D79" s="161" t="s">
        <v>129</v>
      </c>
      <c r="E79" s="90" t="str">
        <f>VLOOKUP($F79,Admin!$A$16:$E$19,4,FALSE)</f>
        <v>54. Bérköltség - Kutató-fejlesztő munkatárs</v>
      </c>
      <c r="F79" s="90" t="s">
        <v>171</v>
      </c>
      <c r="G79" s="161" t="s">
        <v>174</v>
      </c>
      <c r="H79" s="161" t="s">
        <v>194</v>
      </c>
      <c r="I79" s="90" t="str">
        <f>VLOOKUP($F79,Admin!$A$16:$E$19,5,FALSE)</f>
        <v>K+F munkatárs</v>
      </c>
      <c r="J79" s="161" t="s">
        <v>49</v>
      </c>
      <c r="K79" s="161" t="str">
        <f t="shared" ref="K79:K81" si="211">J79</f>
        <v>2022.10</v>
      </c>
      <c r="L79" s="91" t="s">
        <v>8</v>
      </c>
      <c r="M79" s="92" t="s">
        <v>78</v>
      </c>
      <c r="N79" s="162">
        <v>1375000</v>
      </c>
      <c r="O79" s="163">
        <f t="shared" ref="O79" si="212">ROUND(N79*V79,0)</f>
        <v>178750</v>
      </c>
      <c r="P79" s="161">
        <v>174</v>
      </c>
      <c r="Q79" s="161">
        <v>50</v>
      </c>
      <c r="R79" s="230">
        <f t="shared" ref="R79" si="213">Q79/P79</f>
        <v>0.28735632183908044</v>
      </c>
      <c r="S79" s="164">
        <f t="shared" ref="S79" si="214">ROUND(N79*Q79/P79,0)</f>
        <v>395115</v>
      </c>
      <c r="T79" s="165">
        <f t="shared" ref="T79" si="215">ROUND(S79*V79,0)</f>
        <v>51365</v>
      </c>
      <c r="U79" s="166">
        <f t="shared" ref="U79" si="216">Q79/P79-S79/N79</f>
        <v>-4.1797283190092571E-8</v>
      </c>
      <c r="V79" s="87">
        <v>0.13</v>
      </c>
      <c r="W79" s="224"/>
      <c r="X79" s="23">
        <v>44826</v>
      </c>
      <c r="Y79" s="20" t="s">
        <v>197</v>
      </c>
      <c r="Z79" s="20"/>
      <c r="AA79" s="20"/>
      <c r="AB79" s="168">
        <v>1</v>
      </c>
    </row>
    <row r="80" spans="1:31" s="8" customFormat="1" x14ac:dyDescent="0.25">
      <c r="A80" s="189"/>
      <c r="B80" s="92" t="s">
        <v>190</v>
      </c>
      <c r="C80" s="90" t="str">
        <f>VLOOKUP($F80,Admin!$A$16:$E$19,2,FALSE)</f>
        <v>Alkalmazott (ipari) kutatás – Működési költség</v>
      </c>
      <c r="D80" s="161" t="s">
        <v>129</v>
      </c>
      <c r="E80" s="90" t="str">
        <f>VLOOKUP($F80,Admin!$A$16:$E$19,4,FALSE)</f>
        <v>54. Bérköltség - Kutató-fejlesztő munkatárs</v>
      </c>
      <c r="F80" s="90" t="s">
        <v>171</v>
      </c>
      <c r="G80" s="161" t="s">
        <v>174</v>
      </c>
      <c r="H80" s="161" t="s">
        <v>194</v>
      </c>
      <c r="I80" s="90" t="str">
        <f>VLOOKUP($F80,Admin!$A$16:$E$19,5,FALSE)</f>
        <v>K+F munkatárs</v>
      </c>
      <c r="J80" s="161" t="s">
        <v>50</v>
      </c>
      <c r="K80" s="161" t="str">
        <f t="shared" si="211"/>
        <v>2022.11</v>
      </c>
      <c r="L80" s="91" t="s">
        <v>8</v>
      </c>
      <c r="M80" s="92" t="s">
        <v>78</v>
      </c>
      <c r="N80" s="162">
        <v>1375000</v>
      </c>
      <c r="O80" s="163">
        <f t="shared" ref="O80:O81" si="217">ROUND(N80*V80,0)</f>
        <v>178750</v>
      </c>
      <c r="P80" s="161">
        <v>174</v>
      </c>
      <c r="Q80" s="161">
        <v>50</v>
      </c>
      <c r="R80" s="230">
        <f t="shared" ref="R80:R81" si="218">Q80/P80</f>
        <v>0.28735632183908044</v>
      </c>
      <c r="S80" s="164">
        <f t="shared" ref="S80:S81" si="219">ROUND(N80*Q80/P80,0)</f>
        <v>395115</v>
      </c>
      <c r="T80" s="165">
        <f t="shared" ref="T80:T81" si="220">ROUND(S80*V80,0)</f>
        <v>51365</v>
      </c>
      <c r="U80" s="166">
        <f t="shared" ref="U80:U81" si="221">Q80/P80-S80/N80</f>
        <v>-4.1797283190092571E-8</v>
      </c>
      <c r="V80" s="87">
        <v>0.13</v>
      </c>
      <c r="W80" s="224" t="s">
        <v>225</v>
      </c>
      <c r="X80" s="23">
        <v>44826</v>
      </c>
      <c r="Y80" s="20" t="s">
        <v>197</v>
      </c>
      <c r="Z80" s="20"/>
      <c r="AA80" s="20"/>
      <c r="AB80" s="168">
        <v>1</v>
      </c>
      <c r="AC80" s="211" t="e">
        <v>#N/A</v>
      </c>
      <c r="AD80" s="211" t="e">
        <v>#N/A</v>
      </c>
      <c r="AE80" s="211" t="e">
        <v>#N/A</v>
      </c>
    </row>
    <row r="81" spans="1:31" s="8" customFormat="1" x14ac:dyDescent="0.25">
      <c r="A81" s="189"/>
      <c r="B81" s="92" t="s">
        <v>190</v>
      </c>
      <c r="C81" s="90" t="str">
        <f>VLOOKUP($F81,Admin!$A$16:$E$19,2,FALSE)</f>
        <v>Alkalmazott (ipari) kutatás – Működési költség</v>
      </c>
      <c r="D81" s="161" t="s">
        <v>129</v>
      </c>
      <c r="E81" s="90" t="str">
        <f>VLOOKUP($F81,Admin!$A$16:$E$19,4,FALSE)</f>
        <v>54. Bérköltség - Kutató-fejlesztő munkatárs</v>
      </c>
      <c r="F81" s="90" t="s">
        <v>171</v>
      </c>
      <c r="G81" s="161" t="s">
        <v>174</v>
      </c>
      <c r="H81" s="161" t="s">
        <v>194</v>
      </c>
      <c r="I81" s="90" t="str">
        <f>VLOOKUP($F81,Admin!$A$16:$E$19,5,FALSE)</f>
        <v>K+F munkatárs</v>
      </c>
      <c r="J81" s="161" t="s">
        <v>51</v>
      </c>
      <c r="K81" s="161" t="str">
        <f t="shared" si="211"/>
        <v>2022.12</v>
      </c>
      <c r="L81" s="91" t="s">
        <v>8</v>
      </c>
      <c r="M81" s="92" t="s">
        <v>78</v>
      </c>
      <c r="N81" s="162">
        <v>1374999</v>
      </c>
      <c r="O81" s="163">
        <f t="shared" si="217"/>
        <v>178750</v>
      </c>
      <c r="P81" s="161">
        <v>174</v>
      </c>
      <c r="Q81" s="161">
        <v>50</v>
      </c>
      <c r="R81" s="230">
        <f t="shared" si="218"/>
        <v>0.28735632183908044</v>
      </c>
      <c r="S81" s="164">
        <f t="shared" si="219"/>
        <v>395115</v>
      </c>
      <c r="T81" s="165">
        <f t="shared" si="220"/>
        <v>51365</v>
      </c>
      <c r="U81" s="166">
        <f t="shared" si="221"/>
        <v>-2.5078388143917607E-7</v>
      </c>
      <c r="V81" s="87">
        <v>0.13</v>
      </c>
      <c r="W81" s="224" t="s">
        <v>225</v>
      </c>
      <c r="X81" s="23">
        <v>44826</v>
      </c>
      <c r="Y81" s="20" t="s">
        <v>197</v>
      </c>
      <c r="Z81" s="20"/>
      <c r="AA81" s="20"/>
      <c r="AB81" s="168">
        <v>1</v>
      </c>
      <c r="AC81" s="211" t="s">
        <v>249</v>
      </c>
      <c r="AD81" s="211" t="s">
        <v>250</v>
      </c>
      <c r="AE81" s="219" t="s">
        <v>250</v>
      </c>
    </row>
    <row r="82" spans="1:31" s="8" customFormat="1" x14ac:dyDescent="0.25">
      <c r="A82" s="189"/>
      <c r="B82" s="92" t="s">
        <v>190</v>
      </c>
      <c r="C82" s="90" t="str">
        <f>VLOOKUP($F82,Admin!$A$16:$E$19,2,FALSE)</f>
        <v>Alkalmazott (ipari) kutatás – Működési költség</v>
      </c>
      <c r="D82" s="161" t="s">
        <v>129</v>
      </c>
      <c r="E82" s="90" t="str">
        <f>VLOOKUP($F82,Admin!$A$16:$E$19,4,FALSE)</f>
        <v>54. Bérköltség - Kutató-fejlesztő munkatárs</v>
      </c>
      <c r="F82" s="90" t="s">
        <v>171</v>
      </c>
      <c r="G82" s="161" t="s">
        <v>174</v>
      </c>
      <c r="H82" s="161" t="s">
        <v>194</v>
      </c>
      <c r="I82" s="90" t="str">
        <f>VLOOKUP($F82,Admin!$A$16:$E$19,5,FALSE)</f>
        <v>K+F munkatárs</v>
      </c>
      <c r="J82" s="161" t="s">
        <v>64</v>
      </c>
      <c r="K82" s="161" t="str">
        <f t="shared" ref="K82:K84" si="222">J82</f>
        <v>2023.01</v>
      </c>
      <c r="L82" s="91" t="s">
        <v>8</v>
      </c>
      <c r="M82" s="92" t="s">
        <v>78</v>
      </c>
      <c r="N82" s="162">
        <v>1425000</v>
      </c>
      <c r="O82" s="163">
        <f t="shared" ref="O82" si="223">ROUND(N82*V82,0)</f>
        <v>185250</v>
      </c>
      <c r="P82" s="161">
        <v>174</v>
      </c>
      <c r="Q82" s="161">
        <v>56</v>
      </c>
      <c r="R82" s="230">
        <f t="shared" ref="R82" si="224">Q82/P82</f>
        <v>0.32183908045977011</v>
      </c>
      <c r="S82" s="164">
        <f t="shared" ref="S82" si="225">ROUND(N82*Q82/P82,0)</f>
        <v>458621</v>
      </c>
      <c r="T82" s="165">
        <f t="shared" ref="T82" si="226">ROUND(S82*V82,0)</f>
        <v>59621</v>
      </c>
      <c r="U82" s="166">
        <f t="shared" ref="U82" si="227">Q82/P82-S82/N82</f>
        <v>-2.1778584391451972E-7</v>
      </c>
      <c r="V82" s="87">
        <v>0.13</v>
      </c>
      <c r="W82" s="224" t="s">
        <v>225</v>
      </c>
      <c r="X82" s="23">
        <v>44944</v>
      </c>
      <c r="Y82" s="20" t="s">
        <v>197</v>
      </c>
      <c r="Z82" s="20"/>
      <c r="AA82" s="20"/>
      <c r="AB82" s="168">
        <v>1</v>
      </c>
      <c r="AC82" s="211" t="s">
        <v>249</v>
      </c>
      <c r="AD82" s="211">
        <v>0</v>
      </c>
      <c r="AE82" s="211">
        <v>0</v>
      </c>
    </row>
    <row r="83" spans="1:31" s="8" customFormat="1" x14ac:dyDescent="0.25">
      <c r="A83" s="189"/>
      <c r="B83" s="92" t="s">
        <v>190</v>
      </c>
      <c r="C83" s="90" t="str">
        <f>VLOOKUP($F83,Admin!$A$16:$E$19,2,FALSE)</f>
        <v>Alkalmazott (ipari) kutatás – Működési költség</v>
      </c>
      <c r="D83" s="161" t="s">
        <v>129</v>
      </c>
      <c r="E83" s="90" t="str">
        <f>VLOOKUP($F83,Admin!$A$16:$E$19,4,FALSE)</f>
        <v>54. Bérköltség - Kutató-fejlesztő munkatárs</v>
      </c>
      <c r="F83" s="90" t="s">
        <v>171</v>
      </c>
      <c r="G83" s="161" t="s">
        <v>174</v>
      </c>
      <c r="H83" s="161" t="s">
        <v>194</v>
      </c>
      <c r="I83" s="90" t="str">
        <f>VLOOKUP($F83,Admin!$A$16:$E$19,5,FALSE)</f>
        <v>K+F munkatárs</v>
      </c>
      <c r="J83" s="161" t="s">
        <v>65</v>
      </c>
      <c r="K83" s="161" t="str">
        <f t="shared" si="222"/>
        <v>2023.02</v>
      </c>
      <c r="L83" s="91" t="s">
        <v>8</v>
      </c>
      <c r="M83" s="92" t="s">
        <v>78</v>
      </c>
      <c r="N83" s="162">
        <v>1425000</v>
      </c>
      <c r="O83" s="163">
        <f t="shared" ref="O83:O84" si="228">ROUND(N83*V83,0)</f>
        <v>185250</v>
      </c>
      <c r="P83" s="161">
        <v>174</v>
      </c>
      <c r="Q83" s="161">
        <v>56</v>
      </c>
      <c r="R83" s="230">
        <f t="shared" ref="R83:R84" si="229">Q83/P83</f>
        <v>0.32183908045977011</v>
      </c>
      <c r="S83" s="164">
        <f t="shared" ref="S83:S84" si="230">ROUND(N83*Q83/P83,0)</f>
        <v>458621</v>
      </c>
      <c r="T83" s="165">
        <f t="shared" ref="T83:T84" si="231">ROUND(S83*V83,0)</f>
        <v>59621</v>
      </c>
      <c r="U83" s="166">
        <f t="shared" ref="U83:U84" si="232">Q83/P83-S83/N83</f>
        <v>-2.1778584391451972E-7</v>
      </c>
      <c r="V83" s="87">
        <v>0.13</v>
      </c>
      <c r="W83" s="224" t="s">
        <v>225</v>
      </c>
      <c r="X83" s="23">
        <v>44944</v>
      </c>
      <c r="Y83" s="20" t="s">
        <v>197</v>
      </c>
      <c r="Z83" s="20"/>
      <c r="AA83" s="20"/>
      <c r="AB83" s="168">
        <v>1</v>
      </c>
      <c r="AC83" s="8" t="str">
        <f>IF(VLOOKUP($W83,'Havi béradatok'!$B:$E,2,FALSE)=H83,"EGYEZIK","HIBÁS")</f>
        <v>EGYEZIK</v>
      </c>
      <c r="AD83" s="8">
        <f>VLOOKUP($W83,'Havi béradatok'!$B:$E,3,FALSE)-N83</f>
        <v>150002</v>
      </c>
      <c r="AE83" s="8">
        <f>VLOOKUP($W83,'Havi béradatok'!$B:$E,4,FALSE)-O83</f>
        <v>19500</v>
      </c>
    </row>
    <row r="84" spans="1:31" s="8" customFormat="1" x14ac:dyDescent="0.25">
      <c r="A84" s="189"/>
      <c r="B84" s="92" t="s">
        <v>190</v>
      </c>
      <c r="C84" s="90" t="str">
        <f>VLOOKUP($F84,Admin!$A$16:$E$19,2,FALSE)</f>
        <v>Alkalmazott (ipari) kutatás – Működési költség</v>
      </c>
      <c r="D84" s="161" t="s">
        <v>129</v>
      </c>
      <c r="E84" s="90" t="str">
        <f>VLOOKUP($F84,Admin!$A$16:$E$19,4,FALSE)</f>
        <v>54. Bérköltség - Kutató-fejlesztő munkatárs</v>
      </c>
      <c r="F84" s="90" t="s">
        <v>171</v>
      </c>
      <c r="G84" s="161" t="s">
        <v>174</v>
      </c>
      <c r="H84" s="161" t="s">
        <v>194</v>
      </c>
      <c r="I84" s="90" t="str">
        <f>VLOOKUP($F84,Admin!$A$16:$E$19,5,FALSE)</f>
        <v>K+F munkatárs</v>
      </c>
      <c r="J84" s="161" t="s">
        <v>66</v>
      </c>
      <c r="K84" s="161" t="str">
        <f t="shared" si="222"/>
        <v>2023.03</v>
      </c>
      <c r="L84" s="91" t="s">
        <v>8</v>
      </c>
      <c r="M84" s="92" t="s">
        <v>78</v>
      </c>
      <c r="N84" s="162">
        <v>1575000</v>
      </c>
      <c r="O84" s="163">
        <f t="shared" si="228"/>
        <v>204750</v>
      </c>
      <c r="P84" s="161">
        <v>174</v>
      </c>
      <c r="Q84" s="161">
        <v>50</v>
      </c>
      <c r="R84" s="230">
        <f t="shared" si="229"/>
        <v>0.28735632183908044</v>
      </c>
      <c r="S84" s="164">
        <f t="shared" si="230"/>
        <v>452586</v>
      </c>
      <c r="T84" s="165">
        <f t="shared" si="231"/>
        <v>58836</v>
      </c>
      <c r="U84" s="166">
        <f t="shared" si="232"/>
        <v>1.3136288995463374E-7</v>
      </c>
      <c r="V84" s="87">
        <v>0.13</v>
      </c>
      <c r="W84" s="224" t="s">
        <v>225</v>
      </c>
      <c r="X84" s="23">
        <v>44980</v>
      </c>
      <c r="Y84" s="20" t="s">
        <v>197</v>
      </c>
      <c r="Z84" s="20"/>
      <c r="AA84" s="20"/>
      <c r="AB84" s="168">
        <v>1</v>
      </c>
      <c r="AC84" s="8" t="str">
        <f>IF(VLOOKUP($W84,'Havi béradatok'!$B:$E,2,FALSE)=H84,"EGYEZIK","HIBÁS")</f>
        <v>EGYEZIK</v>
      </c>
      <c r="AD84" s="235">
        <f>VLOOKUP($W84,'Havi béradatok'!$B:$E,3,FALSE)-N84</f>
        <v>2</v>
      </c>
      <c r="AE84" s="8">
        <f>VLOOKUP($W84,'Havi béradatok'!$B:$E,4,FALSE)-O84</f>
        <v>0</v>
      </c>
    </row>
    <row r="85" spans="1:31" s="8" customFormat="1" x14ac:dyDescent="0.25">
      <c r="A85" s="189"/>
      <c r="B85" s="92" t="s">
        <v>190</v>
      </c>
      <c r="C85" s="90" t="str">
        <f>VLOOKUP($F85,Admin!$A$16:$E$19,2,FALSE)</f>
        <v>Alkalmazott (ipari) kutatás – Működési költség</v>
      </c>
      <c r="D85" s="161" t="s">
        <v>129</v>
      </c>
      <c r="E85" s="90" t="str">
        <f>VLOOKUP($F85,Admin!$A$16:$E$19,4,FALSE)</f>
        <v>54. Bérköltség - Kutató-fejlesztő munkatárs</v>
      </c>
      <c r="F85" s="90" t="s">
        <v>171</v>
      </c>
      <c r="G85" s="161" t="s">
        <v>174</v>
      </c>
      <c r="H85" s="161" t="s">
        <v>194</v>
      </c>
      <c r="I85" s="90" t="str">
        <f>VLOOKUP($F85,Admin!$A$16:$E$19,5,FALSE)</f>
        <v>K+F munkatárs</v>
      </c>
      <c r="J85" s="161" t="s">
        <v>67</v>
      </c>
      <c r="K85" s="161" t="str">
        <f t="shared" ref="K85:K89" si="233">J85</f>
        <v>2023.04</v>
      </c>
      <c r="L85" s="91" t="s">
        <v>9</v>
      </c>
      <c r="M85" s="92" t="s">
        <v>78</v>
      </c>
      <c r="N85" s="162">
        <v>1575000</v>
      </c>
      <c r="O85" s="163">
        <f t="shared" ref="O85:O89" si="234">ROUND(N85*V85,0)</f>
        <v>204750</v>
      </c>
      <c r="P85" s="161">
        <v>174</v>
      </c>
      <c r="Q85" s="161">
        <v>50</v>
      </c>
      <c r="R85" s="230">
        <f t="shared" ref="R85:R89" si="235">Q85/P85</f>
        <v>0.28735632183908044</v>
      </c>
      <c r="S85" s="164">
        <f t="shared" ref="S85:S89" si="236">ROUND(N85*Q85/P85,0)</f>
        <v>452586</v>
      </c>
      <c r="T85" s="165">
        <f t="shared" ref="T85:T89" si="237">ROUND(S85*V85,0)</f>
        <v>58836</v>
      </c>
      <c r="U85" s="166">
        <f t="shared" ref="U85:U89" si="238">Q85/P85-S85/N85</f>
        <v>1.3136288995463374E-7</v>
      </c>
      <c r="V85" s="87">
        <v>0.13</v>
      </c>
      <c r="W85" s="224" t="s">
        <v>225</v>
      </c>
      <c r="X85" s="23">
        <v>44980</v>
      </c>
      <c r="Y85" s="20" t="s">
        <v>197</v>
      </c>
      <c r="Z85" s="20"/>
      <c r="AA85" s="20"/>
      <c r="AB85" s="168"/>
      <c r="AC85" s="211"/>
      <c r="AD85" s="211"/>
      <c r="AE85" s="219"/>
    </row>
    <row r="86" spans="1:31" s="8" customFormat="1" x14ac:dyDescent="0.25">
      <c r="A86" s="189"/>
      <c r="B86" s="92" t="s">
        <v>190</v>
      </c>
      <c r="C86" s="90" t="str">
        <f>VLOOKUP($F86,Admin!$A$16:$E$19,2,FALSE)</f>
        <v>Alkalmazott (ipari) kutatás – Működési költség</v>
      </c>
      <c r="D86" s="161" t="s">
        <v>129</v>
      </c>
      <c r="E86" s="90" t="str">
        <f>VLOOKUP($F86,Admin!$A$16:$E$19,4,FALSE)</f>
        <v>54. Bérköltség - Kutató-fejlesztő munkatárs</v>
      </c>
      <c r="F86" s="90" t="s">
        <v>171</v>
      </c>
      <c r="G86" s="161" t="s">
        <v>174</v>
      </c>
      <c r="H86" s="161" t="s">
        <v>194</v>
      </c>
      <c r="I86" s="90" t="str">
        <f>VLOOKUP($F86,Admin!$A$16:$E$19,5,FALSE)</f>
        <v>K+F munkatárs</v>
      </c>
      <c r="J86" s="161" t="s">
        <v>68</v>
      </c>
      <c r="K86" s="161" t="str">
        <f t="shared" si="233"/>
        <v>2023.05</v>
      </c>
      <c r="L86" s="91" t="s">
        <v>9</v>
      </c>
      <c r="M86" s="92" t="s">
        <v>78</v>
      </c>
      <c r="N86" s="162">
        <v>1575000</v>
      </c>
      <c r="O86" s="163">
        <f t="shared" si="234"/>
        <v>204750</v>
      </c>
      <c r="P86" s="161">
        <v>174</v>
      </c>
      <c r="Q86" s="161">
        <v>50</v>
      </c>
      <c r="R86" s="230">
        <f t="shared" si="235"/>
        <v>0.28735632183908044</v>
      </c>
      <c r="S86" s="164">
        <f t="shared" si="236"/>
        <v>452586</v>
      </c>
      <c r="T86" s="165">
        <f t="shared" si="237"/>
        <v>58836</v>
      </c>
      <c r="U86" s="166">
        <f t="shared" si="238"/>
        <v>1.3136288995463374E-7</v>
      </c>
      <c r="V86" s="87">
        <v>0.13</v>
      </c>
      <c r="W86" s="224" t="s">
        <v>225</v>
      </c>
      <c r="X86" s="23">
        <v>44980</v>
      </c>
      <c r="Y86" s="20" t="s">
        <v>197</v>
      </c>
      <c r="Z86" s="20"/>
      <c r="AA86" s="20"/>
      <c r="AB86" s="168"/>
      <c r="AC86" s="211"/>
      <c r="AD86" s="211"/>
      <c r="AE86" s="219"/>
    </row>
    <row r="87" spans="1:31" s="8" customFormat="1" x14ac:dyDescent="0.25">
      <c r="A87" s="189"/>
      <c r="B87" s="92" t="s">
        <v>190</v>
      </c>
      <c r="C87" s="90" t="str">
        <f>VLOOKUP($F87,Admin!$A$16:$E$19,2,FALSE)</f>
        <v>Alkalmazott (ipari) kutatás – Működési költség</v>
      </c>
      <c r="D87" s="161" t="s">
        <v>129</v>
      </c>
      <c r="E87" s="90" t="str">
        <f>VLOOKUP($F87,Admin!$A$16:$E$19,4,FALSE)</f>
        <v>54. Bérköltség - Kutató-fejlesztő munkatárs</v>
      </c>
      <c r="F87" s="90" t="s">
        <v>171</v>
      </c>
      <c r="G87" s="161" t="s">
        <v>174</v>
      </c>
      <c r="H87" s="161" t="s">
        <v>194</v>
      </c>
      <c r="I87" s="90" t="str">
        <f>VLOOKUP($F87,Admin!$A$16:$E$19,5,FALSE)</f>
        <v>K+F munkatárs</v>
      </c>
      <c r="J87" s="161" t="s">
        <v>69</v>
      </c>
      <c r="K87" s="161" t="str">
        <f t="shared" si="233"/>
        <v>2023.06</v>
      </c>
      <c r="L87" s="91" t="s">
        <v>9</v>
      </c>
      <c r="M87" s="92" t="s">
        <v>78</v>
      </c>
      <c r="N87" s="162">
        <v>1575000</v>
      </c>
      <c r="O87" s="163">
        <f t="shared" si="234"/>
        <v>204750</v>
      </c>
      <c r="P87" s="161">
        <v>174</v>
      </c>
      <c r="Q87" s="161">
        <v>50</v>
      </c>
      <c r="R87" s="230">
        <f t="shared" si="235"/>
        <v>0.28735632183908044</v>
      </c>
      <c r="S87" s="164">
        <f t="shared" si="236"/>
        <v>452586</v>
      </c>
      <c r="T87" s="165">
        <f t="shared" si="237"/>
        <v>58836</v>
      </c>
      <c r="U87" s="166">
        <f t="shared" si="238"/>
        <v>1.3136288995463374E-7</v>
      </c>
      <c r="V87" s="87">
        <v>0.13</v>
      </c>
      <c r="W87" s="224" t="s">
        <v>225</v>
      </c>
      <c r="X87" s="23">
        <v>44980</v>
      </c>
      <c r="Y87" s="20" t="s">
        <v>197</v>
      </c>
      <c r="Z87" s="20"/>
      <c r="AA87" s="20"/>
      <c r="AB87" s="168"/>
      <c r="AC87" s="211"/>
      <c r="AD87" s="211"/>
      <c r="AE87" s="219"/>
    </row>
    <row r="88" spans="1:31" s="8" customFormat="1" x14ac:dyDescent="0.25">
      <c r="A88" s="189"/>
      <c r="B88" s="92" t="s">
        <v>190</v>
      </c>
      <c r="C88" s="90" t="str">
        <f>VLOOKUP($F88,Admin!$A$16:$E$19,2,FALSE)</f>
        <v>Alkalmazott (ipari) kutatás – Működési költség</v>
      </c>
      <c r="D88" s="161" t="s">
        <v>129</v>
      </c>
      <c r="E88" s="90" t="str">
        <f>VLOOKUP($F88,Admin!$A$16:$E$19,4,FALSE)</f>
        <v>54. Bérköltség - Kutató-fejlesztő munkatárs</v>
      </c>
      <c r="F88" s="90" t="s">
        <v>171</v>
      </c>
      <c r="G88" s="161" t="s">
        <v>174</v>
      </c>
      <c r="H88" s="161" t="s">
        <v>194</v>
      </c>
      <c r="I88" s="90" t="str">
        <f>VLOOKUP($F88,Admin!$A$16:$E$19,5,FALSE)</f>
        <v>K+F munkatárs</v>
      </c>
      <c r="J88" s="161" t="s">
        <v>70</v>
      </c>
      <c r="K88" s="161" t="str">
        <f t="shared" si="233"/>
        <v>2023.07</v>
      </c>
      <c r="L88" s="91" t="s">
        <v>9</v>
      </c>
      <c r="M88" s="92" t="s">
        <v>78</v>
      </c>
      <c r="N88" s="162">
        <v>1575000</v>
      </c>
      <c r="O88" s="163">
        <f t="shared" si="234"/>
        <v>204750</v>
      </c>
      <c r="P88" s="161">
        <v>174</v>
      </c>
      <c r="Q88" s="161">
        <v>50</v>
      </c>
      <c r="R88" s="230">
        <f t="shared" si="235"/>
        <v>0.28735632183908044</v>
      </c>
      <c r="S88" s="164">
        <f t="shared" si="236"/>
        <v>452586</v>
      </c>
      <c r="T88" s="165">
        <f t="shared" si="237"/>
        <v>58836</v>
      </c>
      <c r="U88" s="166">
        <f t="shared" si="238"/>
        <v>1.3136288995463374E-7</v>
      </c>
      <c r="V88" s="87">
        <v>0.13</v>
      </c>
      <c r="W88" s="224" t="s">
        <v>225</v>
      </c>
      <c r="X88" s="23">
        <v>44980</v>
      </c>
      <c r="Y88" s="20" t="s">
        <v>197</v>
      </c>
      <c r="Z88" s="20"/>
      <c r="AA88" s="20"/>
      <c r="AB88" s="168"/>
      <c r="AC88" s="211"/>
      <c r="AD88" s="211"/>
      <c r="AE88" s="219"/>
    </row>
    <row r="89" spans="1:31" s="8" customFormat="1" x14ac:dyDescent="0.25">
      <c r="A89" s="189"/>
      <c r="B89" s="92" t="s">
        <v>190</v>
      </c>
      <c r="C89" s="90" t="str">
        <f>VLOOKUP($F89,Admin!$A$16:$E$19,2,FALSE)</f>
        <v>Alkalmazott (ipari) kutatás – Működési költség</v>
      </c>
      <c r="D89" s="161" t="s">
        <v>129</v>
      </c>
      <c r="E89" s="90" t="str">
        <f>VLOOKUP($F89,Admin!$A$16:$E$19,4,FALSE)</f>
        <v>54. Bérköltség - Kutató-fejlesztő munkatárs</v>
      </c>
      <c r="F89" s="90" t="s">
        <v>171</v>
      </c>
      <c r="G89" s="161" t="s">
        <v>174</v>
      </c>
      <c r="H89" s="161" t="s">
        <v>194</v>
      </c>
      <c r="I89" s="90" t="str">
        <f>VLOOKUP($F89,Admin!$A$16:$E$19,5,FALSE)</f>
        <v>K+F munkatárs</v>
      </c>
      <c r="J89" s="161" t="s">
        <v>71</v>
      </c>
      <c r="K89" s="161" t="str">
        <f t="shared" si="233"/>
        <v>2023.08</v>
      </c>
      <c r="L89" s="91" t="s">
        <v>9</v>
      </c>
      <c r="M89" s="92" t="s">
        <v>78</v>
      </c>
      <c r="N89" s="162">
        <v>1575000</v>
      </c>
      <c r="O89" s="163">
        <f t="shared" si="234"/>
        <v>204750</v>
      </c>
      <c r="P89" s="161">
        <v>174</v>
      </c>
      <c r="Q89" s="161">
        <v>50</v>
      </c>
      <c r="R89" s="230">
        <f t="shared" si="235"/>
        <v>0.28735632183908044</v>
      </c>
      <c r="S89" s="164">
        <f t="shared" si="236"/>
        <v>452586</v>
      </c>
      <c r="T89" s="165">
        <f t="shared" si="237"/>
        <v>58836</v>
      </c>
      <c r="U89" s="166">
        <f t="shared" si="238"/>
        <v>1.3136288995463374E-7</v>
      </c>
      <c r="V89" s="87">
        <v>0.13</v>
      </c>
      <c r="W89" s="224" t="s">
        <v>225</v>
      </c>
      <c r="X89" s="23">
        <v>44980</v>
      </c>
      <c r="Y89" s="20" t="s">
        <v>197</v>
      </c>
      <c r="Z89" s="20"/>
      <c r="AA89" s="20"/>
      <c r="AB89" s="168"/>
      <c r="AC89" s="211"/>
      <c r="AD89" s="211"/>
      <c r="AE89" s="219"/>
    </row>
    <row r="90" spans="1:31" s="8" customFormat="1" x14ac:dyDescent="0.25">
      <c r="A90" s="208">
        <v>1</v>
      </c>
      <c r="B90" s="92" t="s">
        <v>208</v>
      </c>
      <c r="C90" s="90" t="str">
        <f>VLOOKUP($F90,Admin!$A$16:$E$19,2,FALSE)</f>
        <v>Alkalmazott (ipari) kutatás – Működési költség</v>
      </c>
      <c r="D90" s="161" t="s">
        <v>129</v>
      </c>
      <c r="E90" s="90" t="str">
        <f>VLOOKUP($F90,Admin!$A$16:$E$19,4,FALSE)</f>
        <v>54. Bérköltség - Kutató-fejlesztő munkatárs</v>
      </c>
      <c r="F90" s="90" t="s">
        <v>171</v>
      </c>
      <c r="G90" s="161" t="s">
        <v>174</v>
      </c>
      <c r="H90" s="161" t="s">
        <v>207</v>
      </c>
      <c r="I90" s="90" t="str">
        <f>VLOOKUP($F90,Admin!$A$16:$E$19,5,FALSE)</f>
        <v>K+F munkatárs</v>
      </c>
      <c r="J90" s="161" t="s">
        <v>43</v>
      </c>
      <c r="K90" s="161" t="str">
        <f t="shared" ref="K90" si="239">J90</f>
        <v>2022.04</v>
      </c>
      <c r="L90" s="91" t="s">
        <v>8</v>
      </c>
      <c r="M90" s="92" t="s">
        <v>78</v>
      </c>
      <c r="N90" s="162">
        <v>610000</v>
      </c>
      <c r="O90" s="163">
        <f t="shared" ref="O90" si="240">ROUND(N90*V90,0)</f>
        <v>79300</v>
      </c>
      <c r="P90" s="161">
        <v>174</v>
      </c>
      <c r="Q90" s="161">
        <v>60</v>
      </c>
      <c r="R90" s="230">
        <f t="shared" ref="R90" si="241">Q90/P90</f>
        <v>0.34482758620689657</v>
      </c>
      <c r="S90" s="164">
        <v>210172</v>
      </c>
      <c r="T90" s="165">
        <f t="shared" ref="T90" si="242">ROUND(S90*V90,0)</f>
        <v>27322</v>
      </c>
      <c r="U90" s="166">
        <f t="shared" ref="U90" si="243">Q90/P90-S90/N90</f>
        <v>2.833239118146258E-4</v>
      </c>
      <c r="V90" s="87">
        <v>0.13</v>
      </c>
      <c r="W90" s="224"/>
      <c r="X90" s="23">
        <v>44650</v>
      </c>
      <c r="Y90" s="20" t="s">
        <v>197</v>
      </c>
      <c r="Z90" s="20"/>
      <c r="AA90" s="20"/>
      <c r="AB90" s="168">
        <v>1</v>
      </c>
    </row>
    <row r="91" spans="1:31" s="8" customFormat="1" x14ac:dyDescent="0.25">
      <c r="A91" s="208">
        <v>1</v>
      </c>
      <c r="B91" s="92" t="s">
        <v>208</v>
      </c>
      <c r="C91" s="90" t="str">
        <f>VLOOKUP($F91,Admin!$A$16:$E$19,2,FALSE)</f>
        <v>Alkalmazott (ipari) kutatás – Működési költség</v>
      </c>
      <c r="D91" s="161" t="s">
        <v>129</v>
      </c>
      <c r="E91" s="90" t="str">
        <f>VLOOKUP($F91,Admin!$A$16:$E$19,4,FALSE)</f>
        <v>54. Bérköltség - Kutató-fejlesztő munkatárs</v>
      </c>
      <c r="F91" s="90" t="s">
        <v>171</v>
      </c>
      <c r="G91" s="161" t="s">
        <v>174</v>
      </c>
      <c r="H91" s="161" t="s">
        <v>207</v>
      </c>
      <c r="I91" s="90" t="str">
        <f>VLOOKUP($F91,Admin!$A$16:$E$19,5,FALSE)</f>
        <v>K+F munkatárs</v>
      </c>
      <c r="J91" s="161" t="s">
        <v>44</v>
      </c>
      <c r="K91" s="161" t="str">
        <f t="shared" ref="K91:K92" si="244">J91</f>
        <v>2022.05</v>
      </c>
      <c r="L91" s="91" t="s">
        <v>8</v>
      </c>
      <c r="M91" s="92" t="s">
        <v>78</v>
      </c>
      <c r="N91" s="162">
        <v>610000</v>
      </c>
      <c r="O91" s="163">
        <f t="shared" ref="O91:O92" si="245">ROUND(N91*V91,0)</f>
        <v>79300</v>
      </c>
      <c r="P91" s="161">
        <v>174</v>
      </c>
      <c r="Q91" s="161">
        <v>60</v>
      </c>
      <c r="R91" s="230">
        <f t="shared" ref="R91:R92" si="246">Q91/P91</f>
        <v>0.34482758620689657</v>
      </c>
      <c r="S91" s="164">
        <v>210172</v>
      </c>
      <c r="T91" s="165">
        <f t="shared" ref="T91:T92" si="247">ROUND(S91*V91,0)</f>
        <v>27322</v>
      </c>
      <c r="U91" s="166">
        <f t="shared" ref="U91:U92" si="248">Q91/P91-S91/N91</f>
        <v>2.833239118146258E-4</v>
      </c>
      <c r="V91" s="87">
        <v>0.13</v>
      </c>
      <c r="W91" s="224"/>
      <c r="X91" s="23">
        <v>44650</v>
      </c>
      <c r="Y91" s="20" t="s">
        <v>197</v>
      </c>
      <c r="Z91" s="20"/>
      <c r="AA91" s="20"/>
      <c r="AB91" s="168">
        <v>1</v>
      </c>
    </row>
    <row r="92" spans="1:31" s="8" customFormat="1" x14ac:dyDescent="0.25">
      <c r="A92" s="208">
        <v>1</v>
      </c>
      <c r="B92" s="92" t="s">
        <v>208</v>
      </c>
      <c r="C92" s="90" t="str">
        <f>VLOOKUP($F92,Admin!$A$16:$E$19,2,FALSE)</f>
        <v>Alkalmazott (ipari) kutatás – Működési költség</v>
      </c>
      <c r="D92" s="161" t="s">
        <v>129</v>
      </c>
      <c r="E92" s="90" t="str">
        <f>VLOOKUP($F92,Admin!$A$16:$E$19,4,FALSE)</f>
        <v>54. Bérköltség - Kutató-fejlesztő munkatárs</v>
      </c>
      <c r="F92" s="90" t="s">
        <v>171</v>
      </c>
      <c r="G92" s="161" t="s">
        <v>174</v>
      </c>
      <c r="H92" s="161" t="s">
        <v>207</v>
      </c>
      <c r="I92" s="90" t="str">
        <f>VLOOKUP($F92,Admin!$A$16:$E$19,5,FALSE)</f>
        <v>K+F munkatárs</v>
      </c>
      <c r="J92" s="161" t="s">
        <v>45</v>
      </c>
      <c r="K92" s="161" t="str">
        <f t="shared" si="244"/>
        <v>2022.06</v>
      </c>
      <c r="L92" s="91" t="s">
        <v>8</v>
      </c>
      <c r="M92" s="92" t="s">
        <v>78</v>
      </c>
      <c r="N92" s="162">
        <v>610000</v>
      </c>
      <c r="O92" s="163">
        <f t="shared" si="245"/>
        <v>79300</v>
      </c>
      <c r="P92" s="161">
        <v>174</v>
      </c>
      <c r="Q92" s="161">
        <v>57</v>
      </c>
      <c r="R92" s="230">
        <f t="shared" si="246"/>
        <v>0.32758620689655171</v>
      </c>
      <c r="S92" s="164">
        <f t="shared" ref="S92" si="249">ROUND(N92*Q92/P92,0)</f>
        <v>199828</v>
      </c>
      <c r="T92" s="165">
        <f t="shared" si="247"/>
        <v>25978</v>
      </c>
      <c r="U92" s="166">
        <f t="shared" si="248"/>
        <v>-6.783493499140647E-7</v>
      </c>
      <c r="V92" s="87">
        <v>0.13</v>
      </c>
      <c r="W92" s="224"/>
      <c r="X92" s="23">
        <v>44712</v>
      </c>
      <c r="Y92" s="20" t="s">
        <v>197</v>
      </c>
      <c r="Z92" s="20"/>
      <c r="AA92" s="20"/>
      <c r="AB92" s="168">
        <v>1</v>
      </c>
    </row>
    <row r="93" spans="1:31" s="8" customFormat="1" x14ac:dyDescent="0.25">
      <c r="A93" s="208">
        <v>1</v>
      </c>
      <c r="B93" s="92" t="s">
        <v>208</v>
      </c>
      <c r="C93" s="90" t="str">
        <f>VLOOKUP($F93,Admin!$A$16:$E$19,2,FALSE)</f>
        <v>Alkalmazott (ipari) kutatás – Működési költség</v>
      </c>
      <c r="D93" s="161" t="s">
        <v>129</v>
      </c>
      <c r="E93" s="90" t="str">
        <f>VLOOKUP($F93,Admin!$A$16:$E$19,4,FALSE)</f>
        <v>54. Bérköltség - Kutató-fejlesztő munkatárs</v>
      </c>
      <c r="F93" s="90" t="s">
        <v>171</v>
      </c>
      <c r="G93" s="161" t="s">
        <v>174</v>
      </c>
      <c r="H93" s="161" t="s">
        <v>207</v>
      </c>
      <c r="I93" s="90" t="str">
        <f>VLOOKUP($F93,Admin!$A$16:$E$19,5,FALSE)</f>
        <v>K+F munkatárs</v>
      </c>
      <c r="J93" s="161" t="s">
        <v>46</v>
      </c>
      <c r="K93" s="161" t="str">
        <f t="shared" ref="K93:K95" si="250">J93</f>
        <v>2022.07</v>
      </c>
      <c r="L93" s="91" t="s">
        <v>8</v>
      </c>
      <c r="M93" s="92" t="s">
        <v>78</v>
      </c>
      <c r="N93" s="162">
        <v>610000</v>
      </c>
      <c r="O93" s="163">
        <f t="shared" ref="O93" si="251">ROUND(N93*V93,0)</f>
        <v>79300</v>
      </c>
      <c r="P93" s="161">
        <v>174</v>
      </c>
      <c r="Q93" s="161">
        <v>57</v>
      </c>
      <c r="R93" s="230">
        <f t="shared" ref="R93" si="252">Q93/P93</f>
        <v>0.32758620689655171</v>
      </c>
      <c r="S93" s="164">
        <f t="shared" ref="S93" si="253">ROUND(N93*Q93/P93,0)</f>
        <v>199828</v>
      </c>
      <c r="T93" s="165">
        <f t="shared" ref="T93" si="254">ROUND(S93*V93,0)</f>
        <v>25978</v>
      </c>
      <c r="U93" s="166">
        <f t="shared" ref="U93" si="255">Q93/P93-S93/N93</f>
        <v>-6.783493499140647E-7</v>
      </c>
      <c r="V93" s="87">
        <v>0.13</v>
      </c>
      <c r="W93" s="224"/>
      <c r="X93" s="23">
        <v>44734</v>
      </c>
      <c r="Y93" s="20" t="s">
        <v>197</v>
      </c>
      <c r="Z93" s="20"/>
      <c r="AA93" s="20"/>
      <c r="AB93" s="168">
        <v>1</v>
      </c>
    </row>
    <row r="94" spans="1:31" s="8" customFormat="1" x14ac:dyDescent="0.25">
      <c r="A94" s="208">
        <v>1</v>
      </c>
      <c r="B94" s="92" t="s">
        <v>208</v>
      </c>
      <c r="C94" s="90" t="str">
        <f>VLOOKUP($F94,Admin!$A$16:$E$19,2,FALSE)</f>
        <v>Alkalmazott (ipari) kutatás – Működési költség</v>
      </c>
      <c r="D94" s="161" t="s">
        <v>129</v>
      </c>
      <c r="E94" s="90" t="str">
        <f>VLOOKUP($F94,Admin!$A$16:$E$19,4,FALSE)</f>
        <v>54. Bérköltség - Kutató-fejlesztő munkatárs</v>
      </c>
      <c r="F94" s="90" t="s">
        <v>171</v>
      </c>
      <c r="G94" s="161" t="s">
        <v>174</v>
      </c>
      <c r="H94" s="161" t="s">
        <v>207</v>
      </c>
      <c r="I94" s="90" t="str">
        <f>VLOOKUP($F94,Admin!$A$16:$E$19,5,FALSE)</f>
        <v>K+F munkatárs</v>
      </c>
      <c r="J94" s="161" t="s">
        <v>47</v>
      </c>
      <c r="K94" s="161" t="str">
        <f t="shared" si="250"/>
        <v>2022.08</v>
      </c>
      <c r="L94" s="91" t="s">
        <v>8</v>
      </c>
      <c r="M94" s="92" t="s">
        <v>78</v>
      </c>
      <c r="N94" s="162">
        <v>477391</v>
      </c>
      <c r="O94" s="163">
        <f t="shared" ref="O94:O95" si="256">ROUND(N94*V94,0)</f>
        <v>62061</v>
      </c>
      <c r="P94" s="161">
        <v>174</v>
      </c>
      <c r="Q94" s="161">
        <v>57</v>
      </c>
      <c r="R94" s="230">
        <f t="shared" ref="R94:R95" si="257">Q94/P94</f>
        <v>0.32758620689655171</v>
      </c>
      <c r="S94" s="164">
        <f t="shared" ref="S94:S95" si="258">ROUND(N94*Q94/P94,0)</f>
        <v>156387</v>
      </c>
      <c r="T94" s="165">
        <f t="shared" ref="T94:T95" si="259">ROUND(S94*V94,0)</f>
        <v>20330</v>
      </c>
      <c r="U94" s="166">
        <f t="shared" ref="U94:U95" si="260">Q94/P94-S94/N94</f>
        <v>-6.1396936323898643E-7</v>
      </c>
      <c r="V94" s="87">
        <v>0.13</v>
      </c>
      <c r="W94" s="224"/>
      <c r="X94" s="23">
        <v>44734</v>
      </c>
      <c r="Y94" s="20" t="s">
        <v>197</v>
      </c>
      <c r="Z94" s="20"/>
      <c r="AA94" s="20"/>
      <c r="AB94" s="168">
        <v>1</v>
      </c>
    </row>
    <row r="95" spans="1:31" s="8" customFormat="1" x14ac:dyDescent="0.25">
      <c r="A95" s="208">
        <v>1</v>
      </c>
      <c r="B95" s="92" t="s">
        <v>208</v>
      </c>
      <c r="C95" s="90" t="str">
        <f>VLOOKUP($F95,Admin!$A$16:$E$19,2,FALSE)</f>
        <v>Alkalmazott (ipari) kutatás – Működési költség</v>
      </c>
      <c r="D95" s="161" t="s">
        <v>129</v>
      </c>
      <c r="E95" s="90" t="str">
        <f>VLOOKUP($F95,Admin!$A$16:$E$19,4,FALSE)</f>
        <v>54. Bérköltség - Kutató-fejlesztő munkatárs</v>
      </c>
      <c r="F95" s="90" t="s">
        <v>171</v>
      </c>
      <c r="G95" s="161" t="s">
        <v>174</v>
      </c>
      <c r="H95" s="161" t="s">
        <v>207</v>
      </c>
      <c r="I95" s="90" t="str">
        <f>VLOOKUP($F95,Admin!$A$16:$E$19,5,FALSE)</f>
        <v>K+F munkatárs</v>
      </c>
      <c r="J95" s="161" t="s">
        <v>48</v>
      </c>
      <c r="K95" s="161" t="str">
        <f t="shared" si="250"/>
        <v>2022.09</v>
      </c>
      <c r="L95" s="91" t="s">
        <v>8</v>
      </c>
      <c r="M95" s="92" t="s">
        <v>78</v>
      </c>
      <c r="N95" s="162">
        <v>610000</v>
      </c>
      <c r="O95" s="163">
        <f t="shared" si="256"/>
        <v>79300</v>
      </c>
      <c r="P95" s="161">
        <v>174</v>
      </c>
      <c r="Q95" s="161">
        <v>57</v>
      </c>
      <c r="R95" s="230">
        <f t="shared" si="257"/>
        <v>0.32758620689655171</v>
      </c>
      <c r="S95" s="164">
        <f t="shared" si="258"/>
        <v>199828</v>
      </c>
      <c r="T95" s="165">
        <f t="shared" si="259"/>
        <v>25978</v>
      </c>
      <c r="U95" s="166">
        <f t="shared" si="260"/>
        <v>-6.783493499140647E-7</v>
      </c>
      <c r="V95" s="87">
        <v>0.13</v>
      </c>
      <c r="W95" s="224"/>
      <c r="X95" s="23">
        <v>44734</v>
      </c>
      <c r="Y95" s="20" t="s">
        <v>197</v>
      </c>
      <c r="Z95" s="20"/>
      <c r="AA95" s="20"/>
      <c r="AB95" s="168">
        <v>4</v>
      </c>
    </row>
    <row r="96" spans="1:31" s="8" customFormat="1" x14ac:dyDescent="0.25">
      <c r="A96" s="189"/>
      <c r="B96" s="92" t="s">
        <v>208</v>
      </c>
      <c r="C96" s="90" t="str">
        <f>VLOOKUP($F96,Admin!$A$16:$E$19,2,FALSE)</f>
        <v>Alkalmazott (ipari) kutatás – Működési költség</v>
      </c>
      <c r="D96" s="161" t="s">
        <v>129</v>
      </c>
      <c r="E96" s="90" t="str">
        <f>VLOOKUP($F96,Admin!$A$16:$E$19,4,FALSE)</f>
        <v>54. Bérköltség - Kutató-fejlesztő munkatárs</v>
      </c>
      <c r="F96" s="90" t="s">
        <v>171</v>
      </c>
      <c r="G96" s="161" t="s">
        <v>174</v>
      </c>
      <c r="H96" s="161" t="s">
        <v>207</v>
      </c>
      <c r="I96" s="90" t="str">
        <f>VLOOKUP($F96,Admin!$A$16:$E$19,5,FALSE)</f>
        <v>K+F munkatárs</v>
      </c>
      <c r="J96" s="161" t="s">
        <v>49</v>
      </c>
      <c r="K96" s="161" t="str">
        <f t="shared" ref="K96:K98" si="261">J96</f>
        <v>2022.10</v>
      </c>
      <c r="L96" s="91" t="s">
        <v>8</v>
      </c>
      <c r="M96" s="92" t="s">
        <v>78</v>
      </c>
      <c r="N96" s="162">
        <v>660000</v>
      </c>
      <c r="O96" s="163">
        <f t="shared" ref="O96" si="262">ROUND(N96*V96,0)</f>
        <v>85800</v>
      </c>
      <c r="P96" s="161">
        <v>174</v>
      </c>
      <c r="Q96" s="161">
        <v>53</v>
      </c>
      <c r="R96" s="230">
        <f t="shared" ref="R96" si="263">Q96/P96</f>
        <v>0.3045977011494253</v>
      </c>
      <c r="S96" s="164">
        <f t="shared" ref="S96" si="264">ROUND(N96*Q96/P96,0)</f>
        <v>201034</v>
      </c>
      <c r="T96" s="165">
        <f t="shared" ref="T96" si="265">ROUND(S96*V96,0)</f>
        <v>26134</v>
      </c>
      <c r="U96" s="166">
        <f t="shared" ref="U96" si="266">Q96/P96-S96/N96</f>
        <v>7.3145245560457539E-7</v>
      </c>
      <c r="V96" s="87">
        <v>0.13</v>
      </c>
      <c r="W96" s="224"/>
      <c r="X96" s="23">
        <v>44832</v>
      </c>
      <c r="Y96" s="20" t="s">
        <v>197</v>
      </c>
      <c r="Z96" s="20"/>
      <c r="AA96" s="20"/>
      <c r="AB96" s="168">
        <v>1</v>
      </c>
    </row>
    <row r="97" spans="1:31" s="8" customFormat="1" x14ac:dyDescent="0.25">
      <c r="A97" s="189"/>
      <c r="B97" s="92" t="s">
        <v>208</v>
      </c>
      <c r="C97" s="90" t="str">
        <f>VLOOKUP($F97,Admin!$A$16:$E$19,2,FALSE)</f>
        <v>Alkalmazott (ipari) kutatás – Működési költség</v>
      </c>
      <c r="D97" s="161" t="s">
        <v>129</v>
      </c>
      <c r="E97" s="90" t="str">
        <f>VLOOKUP($F97,Admin!$A$16:$E$19,4,FALSE)</f>
        <v>54. Bérköltség - Kutató-fejlesztő munkatárs</v>
      </c>
      <c r="F97" s="90" t="s">
        <v>171</v>
      </c>
      <c r="G97" s="161" t="s">
        <v>174</v>
      </c>
      <c r="H97" s="161" t="s">
        <v>207</v>
      </c>
      <c r="I97" s="90" t="str">
        <f>VLOOKUP($F97,Admin!$A$16:$E$19,5,FALSE)</f>
        <v>K+F munkatárs</v>
      </c>
      <c r="J97" s="161" t="s">
        <v>50</v>
      </c>
      <c r="K97" s="161" t="str">
        <f t="shared" si="261"/>
        <v>2022.11</v>
      </c>
      <c r="L97" s="91" t="s">
        <v>8</v>
      </c>
      <c r="M97" s="92" t="s">
        <v>78</v>
      </c>
      <c r="N97" s="162">
        <v>660000</v>
      </c>
      <c r="O97" s="163">
        <f t="shared" ref="O97" si="267">ROUND(N97*V97,0)</f>
        <v>85800</v>
      </c>
      <c r="P97" s="161">
        <v>174</v>
      </c>
      <c r="Q97" s="161">
        <v>53</v>
      </c>
      <c r="R97" s="230">
        <f t="shared" ref="R97" si="268">Q97/P97</f>
        <v>0.3045977011494253</v>
      </c>
      <c r="S97" s="164">
        <f t="shared" ref="S97" si="269">ROUND(N97*Q97/P97,0)</f>
        <v>201034</v>
      </c>
      <c r="T97" s="165">
        <f t="shared" ref="T97" si="270">ROUND(S97*V97,0)</f>
        <v>26134</v>
      </c>
      <c r="U97" s="166">
        <f t="shared" ref="U97" si="271">Q97/P97-S97/N97</f>
        <v>7.3145245560457539E-7</v>
      </c>
      <c r="V97" s="87">
        <v>0.13</v>
      </c>
      <c r="W97" s="224" t="s">
        <v>226</v>
      </c>
      <c r="X97" s="23">
        <v>44875</v>
      </c>
      <c r="Y97" s="20" t="s">
        <v>197</v>
      </c>
      <c r="Z97" s="20"/>
      <c r="AA97" s="20"/>
      <c r="AB97" s="168">
        <v>1</v>
      </c>
      <c r="AC97" s="211" t="e">
        <v>#N/A</v>
      </c>
      <c r="AD97" s="212" t="e">
        <v>#N/A</v>
      </c>
      <c r="AE97" s="211" t="e">
        <v>#N/A</v>
      </c>
    </row>
    <row r="98" spans="1:31" s="8" customFormat="1" x14ac:dyDescent="0.25">
      <c r="A98" s="189"/>
      <c r="B98" s="92" t="s">
        <v>208</v>
      </c>
      <c r="C98" s="90" t="str">
        <f>VLOOKUP($F98,Admin!$A$16:$E$19,2,FALSE)</f>
        <v>Alkalmazott (ipari) kutatás – Működési költség</v>
      </c>
      <c r="D98" s="161" t="s">
        <v>129</v>
      </c>
      <c r="E98" s="90" t="str">
        <f>VLOOKUP($F98,Admin!$A$16:$E$19,4,FALSE)</f>
        <v>54. Bérköltség - Kutató-fejlesztő munkatárs</v>
      </c>
      <c r="F98" s="90" t="s">
        <v>171</v>
      </c>
      <c r="G98" s="161" t="s">
        <v>174</v>
      </c>
      <c r="H98" s="161" t="s">
        <v>207</v>
      </c>
      <c r="I98" s="90" t="str">
        <f>VLOOKUP($F98,Admin!$A$16:$E$19,5,FALSE)</f>
        <v>K+F munkatárs</v>
      </c>
      <c r="J98" s="161" t="s">
        <v>51</v>
      </c>
      <c r="K98" s="161" t="str">
        <f t="shared" si="261"/>
        <v>2022.12</v>
      </c>
      <c r="L98" s="91" t="s">
        <v>8</v>
      </c>
      <c r="M98" s="92" t="s">
        <v>78</v>
      </c>
      <c r="N98" s="162">
        <v>660000</v>
      </c>
      <c r="O98" s="163">
        <f t="shared" ref="O98" si="272">ROUND(N98*V98,0)</f>
        <v>85800</v>
      </c>
      <c r="P98" s="161">
        <v>174</v>
      </c>
      <c r="Q98" s="161">
        <v>53</v>
      </c>
      <c r="R98" s="230">
        <f t="shared" ref="R98" si="273">Q98/P98</f>
        <v>0.3045977011494253</v>
      </c>
      <c r="S98" s="164">
        <f t="shared" ref="S98" si="274">ROUND(N98*Q98/P98,0)</f>
        <v>201034</v>
      </c>
      <c r="T98" s="165">
        <f t="shared" ref="T98" si="275">ROUND(S98*V98,0)</f>
        <v>26134</v>
      </c>
      <c r="U98" s="166">
        <f t="shared" ref="U98" si="276">Q98/P98-S98/N98</f>
        <v>7.3145245560457539E-7</v>
      </c>
      <c r="V98" s="87">
        <v>0.13</v>
      </c>
      <c r="W98" s="224" t="s">
        <v>226</v>
      </c>
      <c r="X98" s="23">
        <v>44875</v>
      </c>
      <c r="Y98" s="20" t="s">
        <v>197</v>
      </c>
      <c r="Z98" s="20"/>
      <c r="AA98" s="20"/>
      <c r="AB98" s="168">
        <v>1</v>
      </c>
      <c r="AC98" s="211" t="s">
        <v>249</v>
      </c>
      <c r="AD98" s="211" t="s">
        <v>250</v>
      </c>
      <c r="AE98" s="211" t="s">
        <v>250</v>
      </c>
    </row>
    <row r="99" spans="1:31" s="8" customFormat="1" x14ac:dyDescent="0.25">
      <c r="A99" s="189"/>
      <c r="B99" s="92" t="s">
        <v>208</v>
      </c>
      <c r="C99" s="90" t="str">
        <f>VLOOKUP($F99,Admin!$A$16:$E$19,2,FALSE)</f>
        <v>Alkalmazott (ipari) kutatás – Működési költség</v>
      </c>
      <c r="D99" s="161" t="s">
        <v>129</v>
      </c>
      <c r="E99" s="90" t="str">
        <f>VLOOKUP($F99,Admin!$A$16:$E$19,4,FALSE)</f>
        <v>54. Bérköltség - Kutató-fejlesztő munkatárs</v>
      </c>
      <c r="F99" s="90" t="s">
        <v>171</v>
      </c>
      <c r="G99" s="161" t="s">
        <v>174</v>
      </c>
      <c r="H99" s="161" t="s">
        <v>207</v>
      </c>
      <c r="I99" s="90" t="str">
        <f>VLOOKUP($F99,Admin!$A$16:$E$19,5,FALSE)</f>
        <v>K+F munkatárs</v>
      </c>
      <c r="J99" s="161" t="s">
        <v>64</v>
      </c>
      <c r="K99" s="161" t="str">
        <f t="shared" ref="K99:K100" si="277">J99</f>
        <v>2023.01</v>
      </c>
      <c r="L99" s="91" t="s">
        <v>8</v>
      </c>
      <c r="M99" s="92" t="s">
        <v>78</v>
      </c>
      <c r="N99" s="162">
        <v>700000</v>
      </c>
      <c r="O99" s="163">
        <f t="shared" ref="O99" si="278">ROUND(N99*V99,0)</f>
        <v>91000</v>
      </c>
      <c r="P99" s="161">
        <v>174</v>
      </c>
      <c r="Q99" s="161">
        <v>50</v>
      </c>
      <c r="R99" s="230">
        <f t="shared" ref="R99" si="279">Q99/P99</f>
        <v>0.28735632183908044</v>
      </c>
      <c r="S99" s="164">
        <f t="shared" ref="S99" si="280">ROUND(N99*Q99/P99,0)</f>
        <v>201149</v>
      </c>
      <c r="T99" s="165">
        <f t="shared" ref="T99" si="281">ROUND(S99*V99,0)</f>
        <v>26149</v>
      </c>
      <c r="U99" s="166">
        <f t="shared" ref="U99" si="282">Q99/P99-S99/N99</f>
        <v>6.0755336617202005E-7</v>
      </c>
      <c r="V99" s="87">
        <v>0.13</v>
      </c>
      <c r="W99" s="224" t="s">
        <v>226</v>
      </c>
      <c r="X99" s="23">
        <v>44944</v>
      </c>
      <c r="Y99" s="20" t="s">
        <v>197</v>
      </c>
      <c r="Z99" s="20"/>
      <c r="AA99" s="20"/>
      <c r="AB99" s="168">
        <v>1</v>
      </c>
      <c r="AC99" s="211" t="s">
        <v>249</v>
      </c>
      <c r="AD99" s="211">
        <v>0</v>
      </c>
      <c r="AE99" s="211">
        <v>0</v>
      </c>
    </row>
    <row r="100" spans="1:31" s="8" customFormat="1" x14ac:dyDescent="0.25">
      <c r="A100" s="189"/>
      <c r="B100" s="92" t="s">
        <v>208</v>
      </c>
      <c r="C100" s="90" t="str">
        <f>VLOOKUP($F100,Admin!$A$16:$E$19,2,FALSE)</f>
        <v>Alkalmazott (ipari) kutatás – Működési költség</v>
      </c>
      <c r="D100" s="161" t="s">
        <v>129</v>
      </c>
      <c r="E100" s="90" t="str">
        <f>VLOOKUP($F100,Admin!$A$16:$E$19,4,FALSE)</f>
        <v>54. Bérköltség - Kutató-fejlesztő munkatárs</v>
      </c>
      <c r="F100" s="90" t="s">
        <v>171</v>
      </c>
      <c r="G100" s="161" t="s">
        <v>174</v>
      </c>
      <c r="H100" s="161" t="s">
        <v>207</v>
      </c>
      <c r="I100" s="90" t="str">
        <f>VLOOKUP($F100,Admin!$A$16:$E$19,5,FALSE)</f>
        <v>K+F munkatárs</v>
      </c>
      <c r="J100" s="161" t="s">
        <v>65</v>
      </c>
      <c r="K100" s="161" t="str">
        <f t="shared" si="277"/>
        <v>2023.02</v>
      </c>
      <c r="L100" s="91" t="s">
        <v>8</v>
      </c>
      <c r="M100" s="92" t="s">
        <v>78</v>
      </c>
      <c r="N100" s="162">
        <v>700000</v>
      </c>
      <c r="O100" s="163">
        <f t="shared" ref="O100" si="283">ROUND(N100*V100,0)</f>
        <v>91000</v>
      </c>
      <c r="P100" s="161">
        <v>174</v>
      </c>
      <c r="Q100" s="161">
        <v>50</v>
      </c>
      <c r="R100" s="230">
        <f t="shared" ref="R100" si="284">Q100/P100</f>
        <v>0.28735632183908044</v>
      </c>
      <c r="S100" s="164">
        <f t="shared" ref="S100" si="285">ROUND(N100*Q100/P100,0)</f>
        <v>201149</v>
      </c>
      <c r="T100" s="165">
        <f t="shared" ref="T100" si="286">ROUND(S100*V100,0)</f>
        <v>26149</v>
      </c>
      <c r="U100" s="166">
        <f t="shared" ref="U100" si="287">Q100/P100-S100/N100</f>
        <v>6.0755336617202005E-7</v>
      </c>
      <c r="V100" s="87">
        <v>0.13</v>
      </c>
      <c r="W100" s="224" t="s">
        <v>226</v>
      </c>
      <c r="X100" s="23">
        <v>44944</v>
      </c>
      <c r="Y100" s="20" t="s">
        <v>197</v>
      </c>
      <c r="Z100" s="20"/>
      <c r="AA100" s="20"/>
      <c r="AB100" s="168">
        <v>1</v>
      </c>
      <c r="AC100" s="8" t="str">
        <f>IF(VLOOKUP($W100,'Havi béradatok'!$B:$E,2,FALSE)=H100,"EGYEZIK","HIBÁS")</f>
        <v>EGYEZIK</v>
      </c>
      <c r="AD100" s="8">
        <f>VLOOKUP($W100,'Havi béradatok'!$B:$E,3,FALSE)-N100</f>
        <v>0</v>
      </c>
      <c r="AE100" s="8">
        <f>VLOOKUP($W100,'Havi béradatok'!$B:$E,4,FALSE)-O100</f>
        <v>0</v>
      </c>
    </row>
    <row r="101" spans="1:31" s="8" customFormat="1" x14ac:dyDescent="0.25">
      <c r="A101" s="189"/>
      <c r="B101" s="92" t="s">
        <v>208</v>
      </c>
      <c r="C101" s="90" t="str">
        <f>VLOOKUP($F101,Admin!$A$16:$E$19,2,FALSE)</f>
        <v>Alkalmazott (ipari) kutatás – Működési költség</v>
      </c>
      <c r="D101" s="161" t="s">
        <v>129</v>
      </c>
      <c r="E101" s="90" t="str">
        <f>VLOOKUP($F101,Admin!$A$16:$E$19,4,FALSE)</f>
        <v>54. Bérköltség - Kutató-fejlesztő munkatárs</v>
      </c>
      <c r="F101" s="90" t="s">
        <v>171</v>
      </c>
      <c r="G101" s="161" t="s">
        <v>174</v>
      </c>
      <c r="H101" s="161" t="s">
        <v>207</v>
      </c>
      <c r="I101" s="90" t="str">
        <f>VLOOKUP($F101,Admin!$A$16:$E$19,5,FALSE)</f>
        <v>K+F munkatárs</v>
      </c>
      <c r="J101" s="161" t="s">
        <v>66</v>
      </c>
      <c r="K101" s="161" t="str">
        <f t="shared" ref="K101" si="288">J101</f>
        <v>2023.03</v>
      </c>
      <c r="L101" s="91" t="s">
        <v>8</v>
      </c>
      <c r="M101" s="92" t="s">
        <v>78</v>
      </c>
      <c r="N101" s="162">
        <v>700000</v>
      </c>
      <c r="O101" s="163">
        <f t="shared" ref="O101" si="289">ROUND(N101*V101,0)</f>
        <v>91000</v>
      </c>
      <c r="P101" s="161">
        <v>174</v>
      </c>
      <c r="Q101" s="161">
        <v>50</v>
      </c>
      <c r="R101" s="230">
        <f t="shared" ref="R101" si="290">Q101/P101</f>
        <v>0.28735632183908044</v>
      </c>
      <c r="S101" s="164">
        <f t="shared" ref="S101" si="291">ROUND(N101*Q101/P101,0)</f>
        <v>201149</v>
      </c>
      <c r="T101" s="165">
        <f t="shared" ref="T101" si="292">ROUND(S101*V101,0)</f>
        <v>26149</v>
      </c>
      <c r="U101" s="166">
        <f t="shared" ref="U101" si="293">Q101/P101-S101/N101</f>
        <v>6.0755336617202005E-7</v>
      </c>
      <c r="V101" s="87">
        <v>0.13</v>
      </c>
      <c r="W101" s="224" t="s">
        <v>226</v>
      </c>
      <c r="X101" s="23">
        <v>44980</v>
      </c>
      <c r="Y101" s="20" t="s">
        <v>197</v>
      </c>
      <c r="Z101" s="20"/>
      <c r="AA101" s="20"/>
      <c r="AB101" s="168">
        <v>1</v>
      </c>
      <c r="AC101" s="8" t="str">
        <f>IF(VLOOKUP($W101,'Havi béradatok'!$B:$E,2,FALSE)=H101,"EGYEZIK","HIBÁS")</f>
        <v>EGYEZIK</v>
      </c>
      <c r="AD101" s="8">
        <f>VLOOKUP($W101,'Havi béradatok'!$B:$E,3,FALSE)-N101</f>
        <v>0</v>
      </c>
      <c r="AE101" s="8">
        <f>VLOOKUP($W101,'Havi béradatok'!$B:$E,4,FALSE)-O101</f>
        <v>0</v>
      </c>
    </row>
    <row r="102" spans="1:31" s="8" customFormat="1" x14ac:dyDescent="0.25">
      <c r="A102" s="189"/>
      <c r="B102" s="92" t="s">
        <v>208</v>
      </c>
      <c r="C102" s="90" t="str">
        <f>VLOOKUP($F102,Admin!$A$16:$E$19,2,FALSE)</f>
        <v>Alkalmazott (ipari) kutatás – Működési költség</v>
      </c>
      <c r="D102" s="161" t="s">
        <v>129</v>
      </c>
      <c r="E102" s="90" t="str">
        <f>VLOOKUP($F102,Admin!$A$16:$E$19,4,FALSE)</f>
        <v>54. Bérköltség - Kutató-fejlesztő munkatárs</v>
      </c>
      <c r="F102" s="90" t="s">
        <v>171</v>
      </c>
      <c r="G102" s="161" t="s">
        <v>174</v>
      </c>
      <c r="H102" s="161" t="s">
        <v>207</v>
      </c>
      <c r="I102" s="90" t="str">
        <f>VLOOKUP($F102,Admin!$A$16:$E$19,5,FALSE)</f>
        <v>K+F munkatárs</v>
      </c>
      <c r="J102" s="161" t="s">
        <v>67</v>
      </c>
      <c r="K102" s="161" t="str">
        <f t="shared" ref="K102:K104" si="294">J102</f>
        <v>2023.04</v>
      </c>
      <c r="L102" s="91" t="s">
        <v>9</v>
      </c>
      <c r="M102" s="92" t="s">
        <v>78</v>
      </c>
      <c r="N102" s="162">
        <v>700000</v>
      </c>
      <c r="O102" s="163">
        <f t="shared" ref="O102" si="295">ROUND(N102*V102,0)</f>
        <v>91000</v>
      </c>
      <c r="P102" s="161">
        <v>174</v>
      </c>
      <c r="Q102" s="161">
        <v>50</v>
      </c>
      <c r="R102" s="230">
        <f t="shared" ref="R102" si="296">Q102/P102</f>
        <v>0.28735632183908044</v>
      </c>
      <c r="S102" s="164">
        <f t="shared" ref="S102" si="297">ROUND(N102*Q102/P102,0)</f>
        <v>201149</v>
      </c>
      <c r="T102" s="165">
        <f t="shared" ref="T102" si="298">ROUND(S102*V102,0)</f>
        <v>26149</v>
      </c>
      <c r="U102" s="166">
        <f t="shared" ref="U102" si="299">Q102/P102-S102/N102</f>
        <v>6.0755336617202005E-7</v>
      </c>
      <c r="V102" s="87">
        <v>0.13</v>
      </c>
      <c r="W102" s="224" t="s">
        <v>226</v>
      </c>
      <c r="X102" s="23">
        <v>45002</v>
      </c>
      <c r="Y102" s="20" t="s">
        <v>197</v>
      </c>
      <c r="Z102" s="20"/>
      <c r="AA102" s="20"/>
      <c r="AB102" s="168"/>
      <c r="AC102" s="211"/>
      <c r="AD102" s="211"/>
      <c r="AE102" s="211"/>
    </row>
    <row r="103" spans="1:31" s="8" customFormat="1" x14ac:dyDescent="0.25">
      <c r="A103" s="189"/>
      <c r="B103" s="92" t="s">
        <v>208</v>
      </c>
      <c r="C103" s="90" t="str">
        <f>VLOOKUP($F103,Admin!$A$16:$E$19,2,FALSE)</f>
        <v>Alkalmazott (ipari) kutatás – Működési költség</v>
      </c>
      <c r="D103" s="161" t="s">
        <v>129</v>
      </c>
      <c r="E103" s="90" t="str">
        <f>VLOOKUP($F103,Admin!$A$16:$E$19,4,FALSE)</f>
        <v>54. Bérköltség - Kutató-fejlesztő munkatárs</v>
      </c>
      <c r="F103" s="90" t="s">
        <v>171</v>
      </c>
      <c r="G103" s="161" t="s">
        <v>174</v>
      </c>
      <c r="H103" s="161" t="s">
        <v>207</v>
      </c>
      <c r="I103" s="90" t="str">
        <f>VLOOKUP($F103,Admin!$A$16:$E$19,5,FALSE)</f>
        <v>K+F munkatárs</v>
      </c>
      <c r="J103" s="161" t="s">
        <v>68</v>
      </c>
      <c r="K103" s="161" t="str">
        <f t="shared" si="294"/>
        <v>2023.05</v>
      </c>
      <c r="L103" s="91" t="s">
        <v>9</v>
      </c>
      <c r="M103" s="92" t="s">
        <v>78</v>
      </c>
      <c r="N103" s="162">
        <v>700000</v>
      </c>
      <c r="O103" s="163">
        <f t="shared" ref="O103:O104" si="300">ROUND(N103*V103,0)</f>
        <v>91000</v>
      </c>
      <c r="P103" s="161">
        <v>174</v>
      </c>
      <c r="Q103" s="161">
        <v>50</v>
      </c>
      <c r="R103" s="230">
        <f t="shared" ref="R103:R104" si="301">Q103/P103</f>
        <v>0.28735632183908044</v>
      </c>
      <c r="S103" s="164">
        <f t="shared" ref="S103:S104" si="302">ROUND(N103*Q103/P103,0)</f>
        <v>201149</v>
      </c>
      <c r="T103" s="165">
        <f t="shared" ref="T103:T104" si="303">ROUND(S103*V103,0)</f>
        <v>26149</v>
      </c>
      <c r="U103" s="166">
        <f t="shared" ref="U103:U104" si="304">Q103/P103-S103/N103</f>
        <v>6.0755336617202005E-7</v>
      </c>
      <c r="V103" s="87">
        <v>0.13</v>
      </c>
      <c r="W103" s="224" t="s">
        <v>226</v>
      </c>
      <c r="X103" s="23">
        <v>45002</v>
      </c>
      <c r="Y103" s="20" t="s">
        <v>197</v>
      </c>
      <c r="Z103" s="20"/>
      <c r="AA103" s="20"/>
      <c r="AB103" s="168"/>
      <c r="AC103" s="211"/>
      <c r="AD103" s="211"/>
      <c r="AE103" s="211"/>
    </row>
    <row r="104" spans="1:31" s="8" customFormat="1" x14ac:dyDescent="0.25">
      <c r="A104" s="189"/>
      <c r="B104" s="92" t="s">
        <v>208</v>
      </c>
      <c r="C104" s="90" t="str">
        <f>VLOOKUP($F104,Admin!$A$16:$E$19,2,FALSE)</f>
        <v>Alkalmazott (ipari) kutatás – Működési költség</v>
      </c>
      <c r="D104" s="161" t="s">
        <v>129</v>
      </c>
      <c r="E104" s="90" t="str">
        <f>VLOOKUP($F104,Admin!$A$16:$E$19,4,FALSE)</f>
        <v>54. Bérköltség - Kutató-fejlesztő munkatárs</v>
      </c>
      <c r="F104" s="90" t="s">
        <v>171</v>
      </c>
      <c r="G104" s="161" t="s">
        <v>174</v>
      </c>
      <c r="H104" s="161" t="s">
        <v>207</v>
      </c>
      <c r="I104" s="90" t="str">
        <f>VLOOKUP($F104,Admin!$A$16:$E$19,5,FALSE)</f>
        <v>K+F munkatárs</v>
      </c>
      <c r="J104" s="161" t="s">
        <v>69</v>
      </c>
      <c r="K104" s="161" t="str">
        <f t="shared" si="294"/>
        <v>2023.06</v>
      </c>
      <c r="L104" s="91" t="s">
        <v>9</v>
      </c>
      <c r="M104" s="92" t="s">
        <v>78</v>
      </c>
      <c r="N104" s="162">
        <v>700000</v>
      </c>
      <c r="O104" s="163">
        <f t="shared" si="300"/>
        <v>91000</v>
      </c>
      <c r="P104" s="161">
        <v>174</v>
      </c>
      <c r="Q104" s="161">
        <v>50</v>
      </c>
      <c r="R104" s="230">
        <f t="shared" si="301"/>
        <v>0.28735632183908044</v>
      </c>
      <c r="S104" s="164">
        <f t="shared" si="302"/>
        <v>201149</v>
      </c>
      <c r="T104" s="165">
        <f t="shared" si="303"/>
        <v>26149</v>
      </c>
      <c r="U104" s="166">
        <f t="shared" si="304"/>
        <v>6.0755336617202005E-7</v>
      </c>
      <c r="V104" s="87">
        <v>0.13</v>
      </c>
      <c r="W104" s="224" t="s">
        <v>226</v>
      </c>
      <c r="X104" s="23">
        <v>45002</v>
      </c>
      <c r="Y104" s="20" t="s">
        <v>197</v>
      </c>
      <c r="Z104" s="20"/>
      <c r="AA104" s="20"/>
      <c r="AB104" s="168"/>
      <c r="AC104" s="211"/>
      <c r="AD104" s="211"/>
      <c r="AE104" s="211"/>
    </row>
    <row r="105" spans="1:31" s="8" customFormat="1" x14ac:dyDescent="0.25">
      <c r="A105" s="208">
        <v>1</v>
      </c>
      <c r="B105" s="92" t="s">
        <v>203</v>
      </c>
      <c r="C105" s="90" t="str">
        <f>VLOOKUP($F105,Admin!$A$16:$E$19,2,FALSE)</f>
        <v>Alkalmazott (ipari) kutatás – Működési költség</v>
      </c>
      <c r="D105" s="161" t="s">
        <v>129</v>
      </c>
      <c r="E105" s="90" t="str">
        <f>VLOOKUP($F105,Admin!$A$16:$E$19,4,FALSE)</f>
        <v>54. Bérköltség - technikus segédszemélyzet</v>
      </c>
      <c r="F105" s="90" t="s">
        <v>173</v>
      </c>
      <c r="G105" s="161" t="s">
        <v>174</v>
      </c>
      <c r="H105" s="161" t="s">
        <v>204</v>
      </c>
      <c r="I105" s="90" t="str">
        <f>VLOOKUP($F105,Admin!$A$16:$E$19,5,FALSE)</f>
        <v>Technikus</v>
      </c>
      <c r="J105" s="161" t="s">
        <v>43</v>
      </c>
      <c r="K105" s="161" t="str">
        <f t="shared" si="128"/>
        <v>2022.04</v>
      </c>
      <c r="L105" s="91" t="s">
        <v>8</v>
      </c>
      <c r="M105" s="92" t="s">
        <v>78</v>
      </c>
      <c r="N105" s="162">
        <v>505000</v>
      </c>
      <c r="O105" s="163">
        <f t="shared" si="129"/>
        <v>65650</v>
      </c>
      <c r="P105" s="161">
        <v>174</v>
      </c>
      <c r="Q105" s="161">
        <v>69</v>
      </c>
      <c r="R105" s="230">
        <f t="shared" si="130"/>
        <v>0.39655172413793105</v>
      </c>
      <c r="S105" s="164">
        <f t="shared" si="131"/>
        <v>200259</v>
      </c>
      <c r="T105" s="165">
        <f t="shared" si="132"/>
        <v>26034</v>
      </c>
      <c r="U105" s="166">
        <f t="shared" si="133"/>
        <v>-7.5110959368851482E-7</v>
      </c>
      <c r="V105" s="87">
        <v>0.13</v>
      </c>
      <c r="W105" s="224"/>
      <c r="X105" s="23">
        <v>44648</v>
      </c>
      <c r="Y105" s="20" t="s">
        <v>197</v>
      </c>
      <c r="Z105" s="20"/>
      <c r="AA105" s="20"/>
      <c r="AB105" s="168">
        <v>1</v>
      </c>
    </row>
    <row r="106" spans="1:31" s="8" customFormat="1" x14ac:dyDescent="0.25">
      <c r="A106" s="208">
        <v>1</v>
      </c>
      <c r="B106" s="92" t="s">
        <v>203</v>
      </c>
      <c r="C106" s="90" t="str">
        <f>VLOOKUP($F106,Admin!$A$16:$E$19,2,FALSE)</f>
        <v>Alkalmazott (ipari) kutatás – Működési költség</v>
      </c>
      <c r="D106" s="161" t="s">
        <v>129</v>
      </c>
      <c r="E106" s="90" t="str">
        <f>VLOOKUP($F106,Admin!$A$16:$E$19,4,FALSE)</f>
        <v>54. Bérköltség - technikus segédszemélyzet</v>
      </c>
      <c r="F106" s="90" t="s">
        <v>173</v>
      </c>
      <c r="G106" s="161" t="s">
        <v>174</v>
      </c>
      <c r="H106" s="161" t="s">
        <v>204</v>
      </c>
      <c r="I106" s="90" t="str">
        <f>VLOOKUP($F106,Admin!$A$16:$E$19,5,FALSE)</f>
        <v>Technikus</v>
      </c>
      <c r="J106" s="161" t="s">
        <v>44</v>
      </c>
      <c r="K106" s="161" t="str">
        <f t="shared" si="128"/>
        <v>2022.05</v>
      </c>
      <c r="L106" s="91" t="s">
        <v>8</v>
      </c>
      <c r="M106" s="92" t="s">
        <v>78</v>
      </c>
      <c r="N106" s="162">
        <v>505000</v>
      </c>
      <c r="O106" s="163">
        <f t="shared" ref="O106:O107" si="305">ROUND(N106*V106,0)</f>
        <v>65650</v>
      </c>
      <c r="P106" s="161">
        <v>174</v>
      </c>
      <c r="Q106" s="161">
        <v>69</v>
      </c>
      <c r="R106" s="230">
        <f t="shared" ref="R106:R107" si="306">Q106/P106</f>
        <v>0.39655172413793105</v>
      </c>
      <c r="S106" s="164">
        <f t="shared" ref="S106:S107" si="307">ROUND(N106*Q106/P106,0)</f>
        <v>200259</v>
      </c>
      <c r="T106" s="165">
        <f t="shared" ref="T106:T107" si="308">ROUND(S106*V106,0)</f>
        <v>26034</v>
      </c>
      <c r="U106" s="166">
        <f t="shared" ref="U106:U107" si="309">Q106/P106-S106/N106</f>
        <v>-7.5110959368851482E-7</v>
      </c>
      <c r="V106" s="87">
        <v>0.13</v>
      </c>
      <c r="W106" s="224"/>
      <c r="X106" s="23">
        <v>44648</v>
      </c>
      <c r="Y106" s="20" t="s">
        <v>197</v>
      </c>
      <c r="Z106" s="20"/>
      <c r="AA106" s="20"/>
      <c r="AB106" s="168">
        <v>1</v>
      </c>
    </row>
    <row r="107" spans="1:31" s="8" customFormat="1" x14ac:dyDescent="0.25">
      <c r="A107" s="208">
        <v>1</v>
      </c>
      <c r="B107" s="92" t="s">
        <v>203</v>
      </c>
      <c r="C107" s="90" t="str">
        <f>VLOOKUP($F107,Admin!$A$16:$E$19,2,FALSE)</f>
        <v>Alkalmazott (ipari) kutatás – Működési költség</v>
      </c>
      <c r="D107" s="161" t="s">
        <v>129</v>
      </c>
      <c r="E107" s="90" t="str">
        <f>VLOOKUP($F107,Admin!$A$16:$E$19,4,FALSE)</f>
        <v>54. Bérköltség - technikus segédszemélyzet</v>
      </c>
      <c r="F107" s="90" t="s">
        <v>173</v>
      </c>
      <c r="G107" s="161" t="s">
        <v>174</v>
      </c>
      <c r="H107" s="161" t="s">
        <v>204</v>
      </c>
      <c r="I107" s="90" t="str">
        <f>VLOOKUP($F107,Admin!$A$16:$E$19,5,FALSE)</f>
        <v>Technikus</v>
      </c>
      <c r="J107" s="161" t="s">
        <v>45</v>
      </c>
      <c r="K107" s="161" t="str">
        <f t="shared" si="128"/>
        <v>2022.06</v>
      </c>
      <c r="L107" s="91" t="s">
        <v>8</v>
      </c>
      <c r="M107" s="92" t="s">
        <v>78</v>
      </c>
      <c r="N107" s="162">
        <v>505000</v>
      </c>
      <c r="O107" s="163">
        <f t="shared" si="305"/>
        <v>65650</v>
      </c>
      <c r="P107" s="161">
        <v>174</v>
      </c>
      <c r="Q107" s="161">
        <v>69</v>
      </c>
      <c r="R107" s="230">
        <f t="shared" si="306"/>
        <v>0.39655172413793105</v>
      </c>
      <c r="S107" s="164">
        <f t="shared" si="307"/>
        <v>200259</v>
      </c>
      <c r="T107" s="165">
        <f t="shared" si="308"/>
        <v>26034</v>
      </c>
      <c r="U107" s="166">
        <f t="shared" si="309"/>
        <v>-7.5110959368851482E-7</v>
      </c>
      <c r="V107" s="87">
        <v>0.13</v>
      </c>
      <c r="W107" s="224"/>
      <c r="X107" s="23">
        <v>44648</v>
      </c>
      <c r="Y107" s="20" t="s">
        <v>197</v>
      </c>
      <c r="Z107" s="20"/>
      <c r="AA107" s="20"/>
      <c r="AB107" s="168">
        <v>1</v>
      </c>
    </row>
    <row r="108" spans="1:31" s="8" customFormat="1" x14ac:dyDescent="0.25">
      <c r="A108" s="208">
        <v>1</v>
      </c>
      <c r="B108" s="92" t="s">
        <v>203</v>
      </c>
      <c r="C108" s="90" t="str">
        <f>VLOOKUP($F108,Admin!$A$16:$E$19,2,FALSE)</f>
        <v>Alkalmazott (ipari) kutatás – Működési költség</v>
      </c>
      <c r="D108" s="161" t="s">
        <v>129</v>
      </c>
      <c r="E108" s="90" t="str">
        <f>VLOOKUP($F108,Admin!$A$16:$E$19,4,FALSE)</f>
        <v>54. Bérköltség - technikus segédszemélyzet</v>
      </c>
      <c r="F108" s="90" t="s">
        <v>173</v>
      </c>
      <c r="G108" s="161" t="s">
        <v>174</v>
      </c>
      <c r="H108" s="161" t="s">
        <v>204</v>
      </c>
      <c r="I108" s="90" t="str">
        <f>VLOOKUP($F108,Admin!$A$16:$E$19,5,FALSE)</f>
        <v>Technikus</v>
      </c>
      <c r="J108" s="161" t="s">
        <v>46</v>
      </c>
      <c r="K108" s="161" t="str">
        <f t="shared" ref="K108:K110" si="310">J108</f>
        <v>2022.07</v>
      </c>
      <c r="L108" s="91" t="s">
        <v>8</v>
      </c>
      <c r="M108" s="92" t="s">
        <v>78</v>
      </c>
      <c r="N108" s="162">
        <v>505000</v>
      </c>
      <c r="O108" s="163">
        <f t="shared" ref="O108" si="311">ROUND(N108*V108,0)</f>
        <v>65650</v>
      </c>
      <c r="P108" s="161">
        <v>174</v>
      </c>
      <c r="Q108" s="161">
        <v>69</v>
      </c>
      <c r="R108" s="230">
        <f t="shared" ref="R108" si="312">Q108/P108</f>
        <v>0.39655172413793105</v>
      </c>
      <c r="S108" s="164">
        <f t="shared" ref="S108" si="313">ROUND(N108*Q108/P108,0)</f>
        <v>200259</v>
      </c>
      <c r="T108" s="165">
        <f t="shared" ref="T108" si="314">ROUND(S108*V108,0)</f>
        <v>26034</v>
      </c>
      <c r="U108" s="166">
        <f t="shared" ref="U108" si="315">Q108/P108-S108/N108</f>
        <v>-7.5110959368851482E-7</v>
      </c>
      <c r="V108" s="87">
        <v>0.13</v>
      </c>
      <c r="W108" s="224"/>
      <c r="X108" s="23">
        <v>44729</v>
      </c>
      <c r="Y108" s="20" t="s">
        <v>197</v>
      </c>
      <c r="Z108" s="20"/>
      <c r="AA108" s="20"/>
      <c r="AB108" s="168">
        <v>1</v>
      </c>
    </row>
    <row r="109" spans="1:31" s="8" customFormat="1" x14ac:dyDescent="0.25">
      <c r="A109" s="208">
        <v>1</v>
      </c>
      <c r="B109" s="92" t="s">
        <v>203</v>
      </c>
      <c r="C109" s="90" t="str">
        <f>VLOOKUP($F109,Admin!$A$16:$E$19,2,FALSE)</f>
        <v>Alkalmazott (ipari) kutatás – Működési költség</v>
      </c>
      <c r="D109" s="161" t="s">
        <v>129</v>
      </c>
      <c r="E109" s="90" t="str">
        <f>VLOOKUP($F109,Admin!$A$16:$E$19,4,FALSE)</f>
        <v>54. Bérköltség - technikus segédszemélyzet</v>
      </c>
      <c r="F109" s="90" t="s">
        <v>173</v>
      </c>
      <c r="G109" s="161" t="s">
        <v>174</v>
      </c>
      <c r="H109" s="161" t="s">
        <v>204</v>
      </c>
      <c r="I109" s="90" t="str">
        <f>VLOOKUP($F109,Admin!$A$16:$E$19,5,FALSE)</f>
        <v>Technikus</v>
      </c>
      <c r="J109" s="161" t="s">
        <v>47</v>
      </c>
      <c r="K109" s="161" t="str">
        <f t="shared" si="310"/>
        <v>2022.08</v>
      </c>
      <c r="L109" s="91" t="s">
        <v>8</v>
      </c>
      <c r="M109" s="92" t="s">
        <v>78</v>
      </c>
      <c r="N109" s="162">
        <v>395217</v>
      </c>
      <c r="O109" s="163">
        <f t="shared" ref="O109:O110" si="316">ROUND(N109*V109,0)</f>
        <v>51378</v>
      </c>
      <c r="P109" s="161">
        <v>174</v>
      </c>
      <c r="Q109" s="161">
        <v>69</v>
      </c>
      <c r="R109" s="230">
        <f t="shared" ref="R109:R110" si="317">Q109/P109</f>
        <v>0.39655172413793105</v>
      </c>
      <c r="S109" s="164">
        <f t="shared" ref="S109:S110" si="318">ROUND(N109*Q109/P109,0)</f>
        <v>156724</v>
      </c>
      <c r="T109" s="165">
        <f t="shared" ref="T109:T110" si="319">ROUND(S109*V109,0)</f>
        <v>20374</v>
      </c>
      <c r="U109" s="166">
        <f t="shared" ref="U109:U110" si="320">Q109/P109-S109/N109</f>
        <v>-4.3625095313970519E-8</v>
      </c>
      <c r="V109" s="87">
        <v>0.13</v>
      </c>
      <c r="W109" s="224"/>
      <c r="X109" s="23">
        <v>44729</v>
      </c>
      <c r="Y109" s="20" t="s">
        <v>197</v>
      </c>
      <c r="Z109" s="20"/>
      <c r="AA109" s="20"/>
      <c r="AB109" s="168">
        <v>1</v>
      </c>
    </row>
    <row r="110" spans="1:31" s="8" customFormat="1" x14ac:dyDescent="0.25">
      <c r="A110" s="208">
        <v>1</v>
      </c>
      <c r="B110" s="92" t="s">
        <v>203</v>
      </c>
      <c r="C110" s="90" t="str">
        <f>VLOOKUP($F110,Admin!$A$16:$E$19,2,FALSE)</f>
        <v>Alkalmazott (ipari) kutatás – Működési költség</v>
      </c>
      <c r="D110" s="161" t="s">
        <v>129</v>
      </c>
      <c r="E110" s="90" t="str">
        <f>VLOOKUP($F110,Admin!$A$16:$E$19,4,FALSE)</f>
        <v>54. Bérköltség - technikus segédszemélyzet</v>
      </c>
      <c r="F110" s="90" t="s">
        <v>173</v>
      </c>
      <c r="G110" s="161" t="s">
        <v>174</v>
      </c>
      <c r="H110" s="161" t="s">
        <v>204</v>
      </c>
      <c r="I110" s="90" t="str">
        <f>VLOOKUP($F110,Admin!$A$16:$E$19,5,FALSE)</f>
        <v>Technikus</v>
      </c>
      <c r="J110" s="161" t="s">
        <v>48</v>
      </c>
      <c r="K110" s="161" t="str">
        <f t="shared" si="310"/>
        <v>2022.09</v>
      </c>
      <c r="L110" s="91" t="s">
        <v>8</v>
      </c>
      <c r="M110" s="92" t="s">
        <v>78</v>
      </c>
      <c r="N110" s="162">
        <v>505000</v>
      </c>
      <c r="O110" s="163">
        <f t="shared" si="316"/>
        <v>65650</v>
      </c>
      <c r="P110" s="161">
        <v>174</v>
      </c>
      <c r="Q110" s="161">
        <v>69</v>
      </c>
      <c r="R110" s="230">
        <f t="shared" si="317"/>
        <v>0.39655172413793105</v>
      </c>
      <c r="S110" s="164">
        <f t="shared" si="318"/>
        <v>200259</v>
      </c>
      <c r="T110" s="165">
        <f t="shared" si="319"/>
        <v>26034</v>
      </c>
      <c r="U110" s="166">
        <f t="shared" si="320"/>
        <v>-7.5110959368851482E-7</v>
      </c>
      <c r="V110" s="87">
        <v>0.13</v>
      </c>
      <c r="W110" s="224"/>
      <c r="X110" s="23">
        <v>44729</v>
      </c>
      <c r="Y110" s="20" t="s">
        <v>197</v>
      </c>
      <c r="Z110" s="20"/>
      <c r="AA110" s="20"/>
      <c r="AB110" s="168">
        <v>4</v>
      </c>
    </row>
    <row r="111" spans="1:31" s="8" customFormat="1" x14ac:dyDescent="0.25">
      <c r="A111" s="189"/>
      <c r="B111" s="92" t="s">
        <v>203</v>
      </c>
      <c r="C111" s="90" t="str">
        <f>VLOOKUP($F111,Admin!$A$16:$E$19,2,FALSE)</f>
        <v>Alkalmazott (ipari) kutatás – Működési költség</v>
      </c>
      <c r="D111" s="161" t="s">
        <v>129</v>
      </c>
      <c r="E111" s="90" t="str">
        <f>VLOOKUP($F111,Admin!$A$16:$E$19,4,FALSE)</f>
        <v>54. Bérköltség - technikus segédszemélyzet</v>
      </c>
      <c r="F111" s="90" t="s">
        <v>173</v>
      </c>
      <c r="G111" s="161" t="s">
        <v>174</v>
      </c>
      <c r="H111" s="161" t="s">
        <v>204</v>
      </c>
      <c r="I111" s="90" t="str">
        <f>VLOOKUP($F111,Admin!$A$16:$E$19,5,FALSE)</f>
        <v>Technikus</v>
      </c>
      <c r="J111" s="161" t="s">
        <v>49</v>
      </c>
      <c r="K111" s="161" t="str">
        <f t="shared" ref="K111:K113" si="321">J111</f>
        <v>2022.10</v>
      </c>
      <c r="L111" s="91" t="s">
        <v>8</v>
      </c>
      <c r="M111" s="92" t="s">
        <v>78</v>
      </c>
      <c r="N111" s="162">
        <v>505000</v>
      </c>
      <c r="O111" s="163">
        <f t="shared" ref="O111" si="322">ROUND(N111*V111,0)</f>
        <v>65650</v>
      </c>
      <c r="P111" s="161">
        <v>174</v>
      </c>
      <c r="Q111" s="161">
        <v>69</v>
      </c>
      <c r="R111" s="230">
        <f t="shared" ref="R111" si="323">Q111/P111</f>
        <v>0.39655172413793105</v>
      </c>
      <c r="S111" s="164">
        <f t="shared" ref="S111" si="324">ROUND(N111*Q111/P111,0)</f>
        <v>200259</v>
      </c>
      <c r="T111" s="165">
        <f t="shared" ref="T111" si="325">ROUND(S111*V111,0)</f>
        <v>26034</v>
      </c>
      <c r="U111" s="166">
        <f t="shared" ref="U111" si="326">Q111/P111-S111/N111</f>
        <v>-7.5110959368851482E-7</v>
      </c>
      <c r="V111" s="87">
        <v>0.13</v>
      </c>
      <c r="W111" s="224"/>
      <c r="X111" s="23">
        <v>44830</v>
      </c>
      <c r="Y111" s="20" t="s">
        <v>197</v>
      </c>
      <c r="Z111" s="20"/>
      <c r="AA111" s="20"/>
      <c r="AB111" s="168">
        <v>1</v>
      </c>
    </row>
    <row r="112" spans="1:31" s="8" customFormat="1" x14ac:dyDescent="0.25">
      <c r="A112" s="189"/>
      <c r="B112" s="92" t="s">
        <v>203</v>
      </c>
      <c r="C112" s="90" t="str">
        <f>VLOOKUP($F112,Admin!$A$16:$E$19,2,FALSE)</f>
        <v>Alkalmazott (ipari) kutatás – Működési költség</v>
      </c>
      <c r="D112" s="161" t="s">
        <v>129</v>
      </c>
      <c r="E112" s="90" t="str">
        <f>VLOOKUP($F112,Admin!$A$16:$E$19,4,FALSE)</f>
        <v>54. Bérköltség - technikus segédszemélyzet</v>
      </c>
      <c r="F112" s="90" t="s">
        <v>173</v>
      </c>
      <c r="G112" s="161" t="s">
        <v>174</v>
      </c>
      <c r="H112" s="161" t="s">
        <v>204</v>
      </c>
      <c r="I112" s="90" t="str">
        <f>VLOOKUP($F112,Admin!$A$16:$E$19,5,FALSE)</f>
        <v>Technikus</v>
      </c>
      <c r="J112" s="161" t="s">
        <v>50</v>
      </c>
      <c r="K112" s="161" t="str">
        <f t="shared" si="321"/>
        <v>2022.11</v>
      </c>
      <c r="L112" s="91" t="s">
        <v>8</v>
      </c>
      <c r="M112" s="92" t="s">
        <v>78</v>
      </c>
      <c r="N112" s="162">
        <v>505000</v>
      </c>
      <c r="O112" s="163">
        <f t="shared" ref="O112:O113" si="327">ROUND(N112*V112,0)</f>
        <v>65650</v>
      </c>
      <c r="P112" s="161">
        <v>174</v>
      </c>
      <c r="Q112" s="161">
        <v>69</v>
      </c>
      <c r="R112" s="230">
        <f t="shared" ref="R112:R113" si="328">Q112/P112</f>
        <v>0.39655172413793105</v>
      </c>
      <c r="S112" s="164">
        <f t="shared" ref="S112:S113" si="329">ROUND(N112*Q112/P112,0)</f>
        <v>200259</v>
      </c>
      <c r="T112" s="165">
        <f t="shared" ref="T112:T113" si="330">ROUND(S112*V112,0)</f>
        <v>26034</v>
      </c>
      <c r="U112" s="166">
        <f t="shared" ref="U112:U113" si="331">Q112/P112-S112/N112</f>
        <v>-7.5110959368851482E-7</v>
      </c>
      <c r="V112" s="87">
        <v>0.13</v>
      </c>
      <c r="W112" s="224" t="s">
        <v>227</v>
      </c>
      <c r="X112" s="23">
        <v>44830</v>
      </c>
      <c r="Y112" s="20" t="s">
        <v>197</v>
      </c>
      <c r="Z112" s="20"/>
      <c r="AA112" s="20"/>
      <c r="AB112" s="168">
        <v>1</v>
      </c>
      <c r="AC112" s="211" t="e">
        <v>#N/A</v>
      </c>
      <c r="AD112" s="211" t="e">
        <v>#N/A</v>
      </c>
      <c r="AE112" s="211" t="e">
        <v>#N/A</v>
      </c>
    </row>
    <row r="113" spans="1:31" s="8" customFormat="1" x14ac:dyDescent="0.25">
      <c r="A113" s="189"/>
      <c r="B113" s="92" t="s">
        <v>203</v>
      </c>
      <c r="C113" s="90" t="str">
        <f>VLOOKUP($F113,Admin!$A$16:$E$19,2,FALSE)</f>
        <v>Alkalmazott (ipari) kutatás – Működési költség</v>
      </c>
      <c r="D113" s="161" t="s">
        <v>129</v>
      </c>
      <c r="E113" s="90" t="str">
        <f>VLOOKUP($F113,Admin!$A$16:$E$19,4,FALSE)</f>
        <v>54. Bérköltség - technikus segédszemélyzet</v>
      </c>
      <c r="F113" s="90" t="s">
        <v>173</v>
      </c>
      <c r="G113" s="161" t="s">
        <v>174</v>
      </c>
      <c r="H113" s="161" t="s">
        <v>204</v>
      </c>
      <c r="I113" s="90" t="str">
        <f>VLOOKUP($F113,Admin!$A$16:$E$19,5,FALSE)</f>
        <v>Technikus</v>
      </c>
      <c r="J113" s="161" t="s">
        <v>51</v>
      </c>
      <c r="K113" s="161" t="str">
        <f t="shared" si="321"/>
        <v>2022.12</v>
      </c>
      <c r="L113" s="91" t="s">
        <v>8</v>
      </c>
      <c r="M113" s="92" t="s">
        <v>78</v>
      </c>
      <c r="N113" s="162">
        <v>504999</v>
      </c>
      <c r="O113" s="163">
        <f t="shared" si="327"/>
        <v>65650</v>
      </c>
      <c r="P113" s="161">
        <v>174</v>
      </c>
      <c r="Q113" s="161">
        <v>69</v>
      </c>
      <c r="R113" s="230">
        <f t="shared" si="328"/>
        <v>0.39655172413793105</v>
      </c>
      <c r="S113" s="164">
        <f t="shared" si="329"/>
        <v>200258</v>
      </c>
      <c r="T113" s="165">
        <f t="shared" si="330"/>
        <v>26034</v>
      </c>
      <c r="U113" s="166">
        <f t="shared" si="331"/>
        <v>4.4383836611538996E-7</v>
      </c>
      <c r="V113" s="87">
        <v>0.13</v>
      </c>
      <c r="W113" s="224" t="s">
        <v>227</v>
      </c>
      <c r="X113" s="23">
        <v>44830</v>
      </c>
      <c r="Y113" s="20" t="s">
        <v>197</v>
      </c>
      <c r="Z113" s="20"/>
      <c r="AA113" s="20"/>
      <c r="AB113" s="168">
        <v>1</v>
      </c>
      <c r="AC113" s="211" t="s">
        <v>249</v>
      </c>
      <c r="AD113" s="211" t="s">
        <v>250</v>
      </c>
      <c r="AE113" s="219" t="s">
        <v>250</v>
      </c>
    </row>
    <row r="114" spans="1:31" s="8" customFormat="1" x14ac:dyDescent="0.25">
      <c r="A114" s="189"/>
      <c r="B114" s="92" t="s">
        <v>203</v>
      </c>
      <c r="C114" s="90" t="str">
        <f>VLOOKUP($F114,Admin!$A$16:$E$19,2,FALSE)</f>
        <v>Alkalmazott (ipari) kutatás – Működési költség</v>
      </c>
      <c r="D114" s="161" t="s">
        <v>129</v>
      </c>
      <c r="E114" s="90" t="str">
        <f>VLOOKUP($F114,Admin!$A$16:$E$19,4,FALSE)</f>
        <v>54. Bérköltség - technikus segédszemélyzet</v>
      </c>
      <c r="F114" s="90" t="s">
        <v>173</v>
      </c>
      <c r="G114" s="161" t="s">
        <v>174</v>
      </c>
      <c r="H114" s="161" t="s">
        <v>204</v>
      </c>
      <c r="I114" s="90" t="str">
        <f>VLOOKUP($F114,Admin!$A$16:$E$19,5,FALSE)</f>
        <v>Technikus</v>
      </c>
      <c r="J114" s="161" t="s">
        <v>64</v>
      </c>
      <c r="K114" s="161" t="str">
        <f t="shared" ref="K114:K116" si="332">J114</f>
        <v>2023.01</v>
      </c>
      <c r="L114" s="91" t="s">
        <v>8</v>
      </c>
      <c r="M114" s="92" t="s">
        <v>78</v>
      </c>
      <c r="N114" s="162">
        <v>555500</v>
      </c>
      <c r="O114" s="163">
        <f t="shared" ref="O114" si="333">ROUND(N114*V114,0)</f>
        <v>72215</v>
      </c>
      <c r="P114" s="161">
        <v>174</v>
      </c>
      <c r="Q114" s="161">
        <v>62</v>
      </c>
      <c r="R114" s="230">
        <f t="shared" ref="R114" si="334">Q114/P114</f>
        <v>0.35632183908045978</v>
      </c>
      <c r="S114" s="164">
        <f t="shared" ref="S114" si="335">ROUND(N114*Q114/P114,0)</f>
        <v>197937</v>
      </c>
      <c r="T114" s="165">
        <f t="shared" ref="T114" si="336">ROUND(S114*V114,0)</f>
        <v>25732</v>
      </c>
      <c r="U114" s="166">
        <f t="shared" ref="U114" si="337">Q114/P114-S114/N114</f>
        <v>-3.9314276256696701E-7</v>
      </c>
      <c r="V114" s="87">
        <v>0.13</v>
      </c>
      <c r="W114" s="224" t="s">
        <v>227</v>
      </c>
      <c r="X114" s="23">
        <v>44943</v>
      </c>
      <c r="Y114" s="20" t="s">
        <v>197</v>
      </c>
      <c r="Z114" s="20"/>
      <c r="AA114" s="20"/>
      <c r="AB114" s="168">
        <v>1</v>
      </c>
      <c r="AC114" s="211" t="s">
        <v>249</v>
      </c>
      <c r="AD114" s="211">
        <v>0</v>
      </c>
      <c r="AE114" s="211">
        <v>0</v>
      </c>
    </row>
    <row r="115" spans="1:31" s="8" customFormat="1" x14ac:dyDescent="0.25">
      <c r="A115" s="189"/>
      <c r="B115" s="92" t="s">
        <v>203</v>
      </c>
      <c r="C115" s="90" t="str">
        <f>VLOOKUP($F115,Admin!$A$16:$E$19,2,FALSE)</f>
        <v>Alkalmazott (ipari) kutatás – Működési költség</v>
      </c>
      <c r="D115" s="161" t="s">
        <v>129</v>
      </c>
      <c r="E115" s="90" t="str">
        <f>VLOOKUP($F115,Admin!$A$16:$E$19,4,FALSE)</f>
        <v>54. Bérköltség - technikus segédszemélyzet</v>
      </c>
      <c r="F115" s="90" t="s">
        <v>173</v>
      </c>
      <c r="G115" s="161" t="s">
        <v>174</v>
      </c>
      <c r="H115" s="161" t="s">
        <v>204</v>
      </c>
      <c r="I115" s="90" t="str">
        <f>VLOOKUP($F115,Admin!$A$16:$E$19,5,FALSE)</f>
        <v>Technikus</v>
      </c>
      <c r="J115" s="161" t="s">
        <v>65</v>
      </c>
      <c r="K115" s="161" t="str">
        <f t="shared" si="332"/>
        <v>2023.02</v>
      </c>
      <c r="L115" s="91" t="s">
        <v>8</v>
      </c>
      <c r="M115" s="92" t="s">
        <v>78</v>
      </c>
      <c r="N115" s="162">
        <v>555500</v>
      </c>
      <c r="O115" s="163">
        <f t="shared" ref="O115:O116" si="338">ROUND(N115*V115,0)</f>
        <v>72215</v>
      </c>
      <c r="P115" s="161">
        <v>174</v>
      </c>
      <c r="Q115" s="161">
        <v>62</v>
      </c>
      <c r="R115" s="230">
        <f t="shared" ref="R115:R116" si="339">Q115/P115</f>
        <v>0.35632183908045978</v>
      </c>
      <c r="S115" s="164">
        <f t="shared" ref="S115:S116" si="340">ROUND(N115*Q115/P115,0)</f>
        <v>197937</v>
      </c>
      <c r="T115" s="165">
        <f t="shared" ref="T115:T116" si="341">ROUND(S115*V115,0)</f>
        <v>25732</v>
      </c>
      <c r="U115" s="166">
        <f t="shared" ref="U115:U116" si="342">Q115/P115-S115/N115</f>
        <v>-3.9314276256696701E-7</v>
      </c>
      <c r="V115" s="87">
        <v>0.13</v>
      </c>
      <c r="W115" s="224" t="s">
        <v>227</v>
      </c>
      <c r="X115" s="23">
        <v>44943</v>
      </c>
      <c r="Y115" s="20" t="s">
        <v>197</v>
      </c>
      <c r="Z115" s="20"/>
      <c r="AA115" s="20"/>
      <c r="AB115" s="168">
        <v>1</v>
      </c>
      <c r="AC115" s="8" t="str">
        <f>IF(VLOOKUP($W115,'Havi béradatok'!$B:$E,2,FALSE)=H115,"EGYEZIK","HIBÁS")</f>
        <v>EGYEZIK</v>
      </c>
      <c r="AD115" s="8">
        <f>VLOOKUP($W115,'Havi béradatok'!$B:$E,3,FALSE)-N115</f>
        <v>-1</v>
      </c>
      <c r="AE115" s="8">
        <f>VLOOKUP($W115,'Havi béradatok'!$B:$E,4,FALSE)-O115</f>
        <v>0</v>
      </c>
    </row>
    <row r="116" spans="1:31" s="8" customFormat="1" x14ac:dyDescent="0.25">
      <c r="A116" s="189"/>
      <c r="B116" s="92" t="s">
        <v>203</v>
      </c>
      <c r="C116" s="90" t="str">
        <f>VLOOKUP($F116,Admin!$A$16:$E$19,2,FALSE)</f>
        <v>Alkalmazott (ipari) kutatás – Működési költség</v>
      </c>
      <c r="D116" s="161" t="s">
        <v>129</v>
      </c>
      <c r="E116" s="90" t="str">
        <f>VLOOKUP($F116,Admin!$A$16:$E$19,4,FALSE)</f>
        <v>54. Bérköltség - technikus segédszemélyzet</v>
      </c>
      <c r="F116" s="90" t="s">
        <v>173</v>
      </c>
      <c r="G116" s="161" t="s">
        <v>174</v>
      </c>
      <c r="H116" s="161" t="s">
        <v>204</v>
      </c>
      <c r="I116" s="90" t="str">
        <f>VLOOKUP($F116,Admin!$A$16:$E$19,5,FALSE)</f>
        <v>Technikus</v>
      </c>
      <c r="J116" s="161" t="s">
        <v>66</v>
      </c>
      <c r="K116" s="161" t="str">
        <f t="shared" si="332"/>
        <v>2023.03</v>
      </c>
      <c r="L116" s="91" t="s">
        <v>8</v>
      </c>
      <c r="M116" s="92" t="s">
        <v>78</v>
      </c>
      <c r="N116" s="162">
        <v>555499</v>
      </c>
      <c r="O116" s="163">
        <f t="shared" si="338"/>
        <v>72215</v>
      </c>
      <c r="P116" s="161">
        <v>174</v>
      </c>
      <c r="Q116" s="161">
        <v>62</v>
      </c>
      <c r="R116" s="230">
        <f t="shared" si="339"/>
        <v>0.35632183908045978</v>
      </c>
      <c r="S116" s="164">
        <f t="shared" si="340"/>
        <v>197936</v>
      </c>
      <c r="T116" s="165">
        <f t="shared" si="341"/>
        <v>25732</v>
      </c>
      <c r="U116" s="166">
        <f t="shared" si="342"/>
        <v>7.6559517897534235E-7</v>
      </c>
      <c r="V116" s="87">
        <v>0.13</v>
      </c>
      <c r="W116" s="224" t="s">
        <v>227</v>
      </c>
      <c r="X116" s="23">
        <v>44943</v>
      </c>
      <c r="Y116" s="20" t="s">
        <v>197</v>
      </c>
      <c r="Z116" s="20"/>
      <c r="AA116" s="20"/>
      <c r="AB116" s="168">
        <v>1</v>
      </c>
      <c r="AC116" s="8" t="str">
        <f>IF(VLOOKUP($W116,'Havi béradatok'!$B:$E,2,FALSE)=H116,"EGYEZIK","HIBÁS")</f>
        <v>EGYEZIK</v>
      </c>
      <c r="AD116" s="8">
        <f>VLOOKUP($W116,'Havi béradatok'!$B:$E,3,FALSE)-N116</f>
        <v>0</v>
      </c>
      <c r="AE116" s="8">
        <f>VLOOKUP($W116,'Havi béradatok'!$B:$E,4,FALSE)-O116</f>
        <v>0</v>
      </c>
    </row>
    <row r="117" spans="1:31" s="8" customFormat="1" x14ac:dyDescent="0.25">
      <c r="A117" s="189"/>
      <c r="B117" s="92" t="s">
        <v>203</v>
      </c>
      <c r="C117" s="90" t="str">
        <f>VLOOKUP($F117,Admin!$A$16:$E$19,2,FALSE)</f>
        <v>Alkalmazott (ipari) kutatás – Működési költség</v>
      </c>
      <c r="D117" s="161" t="s">
        <v>129</v>
      </c>
      <c r="E117" s="90" t="str">
        <f>VLOOKUP($F117,Admin!$A$16:$E$19,4,FALSE)</f>
        <v>54. Bérköltség - technikus segédszemélyzet</v>
      </c>
      <c r="F117" s="90" t="s">
        <v>173</v>
      </c>
      <c r="G117" s="161" t="s">
        <v>174</v>
      </c>
      <c r="H117" s="161" t="s">
        <v>204</v>
      </c>
      <c r="I117" s="90" t="str">
        <f>VLOOKUP($F117,Admin!$A$16:$E$19,5,FALSE)</f>
        <v>Technikus</v>
      </c>
      <c r="J117" s="161" t="s">
        <v>67</v>
      </c>
      <c r="K117" s="161" t="str">
        <f t="shared" ref="K117:K119" si="343">J117</f>
        <v>2023.04</v>
      </c>
      <c r="L117" s="91" t="s">
        <v>9</v>
      </c>
      <c r="M117" s="92" t="s">
        <v>78</v>
      </c>
      <c r="N117" s="162">
        <v>555500</v>
      </c>
      <c r="O117" s="163">
        <f t="shared" ref="O117" si="344">ROUND(N117*V117,0)</f>
        <v>72215</v>
      </c>
      <c r="P117" s="161">
        <v>174</v>
      </c>
      <c r="Q117" s="161">
        <v>62</v>
      </c>
      <c r="R117" s="230">
        <f t="shared" ref="R117" si="345">Q117/P117</f>
        <v>0.35632183908045978</v>
      </c>
      <c r="S117" s="164">
        <f t="shared" ref="S117" si="346">ROUND(N117*Q117/P117,0)</f>
        <v>197937</v>
      </c>
      <c r="T117" s="165">
        <f t="shared" ref="T117" si="347">ROUND(S117*V117,0)</f>
        <v>25732</v>
      </c>
      <c r="U117" s="166">
        <f t="shared" ref="U117" si="348">Q117/P117-S117/N117</f>
        <v>-3.9314276256696701E-7</v>
      </c>
      <c r="V117" s="87">
        <v>0.13</v>
      </c>
      <c r="W117" s="224" t="s">
        <v>227</v>
      </c>
      <c r="X117" s="23">
        <v>44998</v>
      </c>
      <c r="Y117" s="20" t="s">
        <v>197</v>
      </c>
      <c r="Z117" s="20"/>
      <c r="AA117" s="20"/>
      <c r="AB117" s="168"/>
      <c r="AC117" s="211"/>
      <c r="AD117" s="211"/>
      <c r="AE117" s="219"/>
    </row>
    <row r="118" spans="1:31" s="8" customFormat="1" x14ac:dyDescent="0.25">
      <c r="A118" s="189"/>
      <c r="B118" s="92" t="s">
        <v>203</v>
      </c>
      <c r="C118" s="90" t="str">
        <f>VLOOKUP($F118,Admin!$A$16:$E$19,2,FALSE)</f>
        <v>Alkalmazott (ipari) kutatás – Működési költség</v>
      </c>
      <c r="D118" s="161" t="s">
        <v>129</v>
      </c>
      <c r="E118" s="90" t="str">
        <f>VLOOKUP($F118,Admin!$A$16:$E$19,4,FALSE)</f>
        <v>54. Bérköltség - technikus segédszemélyzet</v>
      </c>
      <c r="F118" s="90" t="s">
        <v>173</v>
      </c>
      <c r="G118" s="161" t="s">
        <v>174</v>
      </c>
      <c r="H118" s="161" t="s">
        <v>204</v>
      </c>
      <c r="I118" s="90" t="str">
        <f>VLOOKUP($F118,Admin!$A$16:$E$19,5,FALSE)</f>
        <v>Technikus</v>
      </c>
      <c r="J118" s="161" t="s">
        <v>68</v>
      </c>
      <c r="K118" s="161" t="str">
        <f t="shared" si="343"/>
        <v>2023.05</v>
      </c>
      <c r="L118" s="91" t="s">
        <v>9</v>
      </c>
      <c r="M118" s="92" t="s">
        <v>78</v>
      </c>
      <c r="N118" s="162">
        <v>555500</v>
      </c>
      <c r="O118" s="163">
        <f t="shared" ref="O118:O119" si="349">ROUND(N118*V118,0)</f>
        <v>72215</v>
      </c>
      <c r="P118" s="161">
        <v>174</v>
      </c>
      <c r="Q118" s="161">
        <v>62</v>
      </c>
      <c r="R118" s="230">
        <f t="shared" ref="R118:R119" si="350">Q118/P118</f>
        <v>0.35632183908045978</v>
      </c>
      <c r="S118" s="164">
        <f t="shared" ref="S118:S119" si="351">ROUND(N118*Q118/P118,0)</f>
        <v>197937</v>
      </c>
      <c r="T118" s="165">
        <f t="shared" ref="T118:T119" si="352">ROUND(S118*V118,0)</f>
        <v>25732</v>
      </c>
      <c r="U118" s="166">
        <f t="shared" ref="U118:U119" si="353">Q118/P118-S118/N118</f>
        <v>-3.9314276256696701E-7</v>
      </c>
      <c r="V118" s="87">
        <v>0.13</v>
      </c>
      <c r="W118" s="224" t="s">
        <v>227</v>
      </c>
      <c r="X118" s="23">
        <v>44998</v>
      </c>
      <c r="Y118" s="20" t="s">
        <v>197</v>
      </c>
      <c r="Z118" s="20"/>
      <c r="AA118" s="20"/>
      <c r="AB118" s="168"/>
      <c r="AC118" s="211"/>
      <c r="AD118" s="211"/>
      <c r="AE118" s="219"/>
    </row>
    <row r="119" spans="1:31" s="8" customFormat="1" x14ac:dyDescent="0.25">
      <c r="A119" s="189"/>
      <c r="B119" s="92" t="s">
        <v>203</v>
      </c>
      <c r="C119" s="90" t="str">
        <f>VLOOKUP($F119,Admin!$A$16:$E$19,2,FALSE)</f>
        <v>Alkalmazott (ipari) kutatás – Működési költség</v>
      </c>
      <c r="D119" s="161" t="s">
        <v>129</v>
      </c>
      <c r="E119" s="90" t="str">
        <f>VLOOKUP($F119,Admin!$A$16:$E$19,4,FALSE)</f>
        <v>54. Bérköltség - technikus segédszemélyzet</v>
      </c>
      <c r="F119" s="90" t="s">
        <v>173</v>
      </c>
      <c r="G119" s="161" t="s">
        <v>174</v>
      </c>
      <c r="H119" s="161" t="s">
        <v>204</v>
      </c>
      <c r="I119" s="90" t="str">
        <f>VLOOKUP($F119,Admin!$A$16:$E$19,5,FALSE)</f>
        <v>Technikus</v>
      </c>
      <c r="J119" s="161" t="s">
        <v>69</v>
      </c>
      <c r="K119" s="161" t="str">
        <f t="shared" si="343"/>
        <v>2023.06</v>
      </c>
      <c r="L119" s="91" t="s">
        <v>9</v>
      </c>
      <c r="M119" s="92" t="s">
        <v>78</v>
      </c>
      <c r="N119" s="162">
        <v>555500</v>
      </c>
      <c r="O119" s="163">
        <f t="shared" si="349"/>
        <v>72215</v>
      </c>
      <c r="P119" s="161">
        <v>174</v>
      </c>
      <c r="Q119" s="161">
        <v>62</v>
      </c>
      <c r="R119" s="230">
        <f t="shared" si="350"/>
        <v>0.35632183908045978</v>
      </c>
      <c r="S119" s="164">
        <f t="shared" si="351"/>
        <v>197937</v>
      </c>
      <c r="T119" s="165">
        <f t="shared" si="352"/>
        <v>25732</v>
      </c>
      <c r="U119" s="166">
        <f t="shared" si="353"/>
        <v>-3.9314276256696701E-7</v>
      </c>
      <c r="V119" s="87">
        <v>0.13</v>
      </c>
      <c r="W119" s="224" t="s">
        <v>227</v>
      </c>
      <c r="X119" s="23">
        <v>44998</v>
      </c>
      <c r="Y119" s="20" t="s">
        <v>197</v>
      </c>
      <c r="Z119" s="20"/>
      <c r="AA119" s="20"/>
      <c r="AB119" s="168"/>
      <c r="AC119" s="211"/>
      <c r="AD119" s="211"/>
      <c r="AE119" s="219"/>
    </row>
    <row r="120" spans="1:31" s="8" customFormat="1" x14ac:dyDescent="0.25">
      <c r="A120" s="208">
        <v>1</v>
      </c>
      <c r="B120" s="92" t="s">
        <v>191</v>
      </c>
      <c r="C120" s="90" t="str">
        <f>VLOOKUP($F120,Admin!$A$16:$E$19,2,FALSE)</f>
        <v>Alkalmazott (ipari) kutatás – Működési költség</v>
      </c>
      <c r="D120" s="161" t="s">
        <v>129</v>
      </c>
      <c r="E120" s="90" t="str">
        <f>VLOOKUP($F120,Admin!$A$16:$E$19,4,FALSE)</f>
        <v>54. Bérköltség - Kutató-fejlesztő munkatárs</v>
      </c>
      <c r="F120" s="90" t="s">
        <v>171</v>
      </c>
      <c r="G120" s="161" t="s">
        <v>174</v>
      </c>
      <c r="H120" s="161" t="s">
        <v>195</v>
      </c>
      <c r="I120" s="90" t="str">
        <f>VLOOKUP($F120,Admin!$A$16:$E$19,5,FALSE)</f>
        <v>K+F munkatárs</v>
      </c>
      <c r="J120" s="194">
        <v>44578</v>
      </c>
      <c r="K120" s="194">
        <v>44592</v>
      </c>
      <c r="L120" s="91" t="s">
        <v>8</v>
      </c>
      <c r="M120" s="92" t="s">
        <v>78</v>
      </c>
      <c r="N120" s="162">
        <v>261905</v>
      </c>
      <c r="O120" s="163">
        <f t="shared" si="129"/>
        <v>34048</v>
      </c>
      <c r="P120" s="161">
        <v>87</v>
      </c>
      <c r="Q120" s="161">
        <v>87</v>
      </c>
      <c r="R120" s="230">
        <f t="shared" si="130"/>
        <v>1</v>
      </c>
      <c r="S120" s="164">
        <f t="shared" si="131"/>
        <v>261905</v>
      </c>
      <c r="T120" s="165">
        <f t="shared" si="132"/>
        <v>34048</v>
      </c>
      <c r="U120" s="166">
        <f t="shared" si="133"/>
        <v>0</v>
      </c>
      <c r="V120" s="87">
        <v>0.13</v>
      </c>
      <c r="W120" s="224"/>
      <c r="X120" s="23">
        <v>44564</v>
      </c>
      <c r="Y120" s="20" t="s">
        <v>197</v>
      </c>
      <c r="Z120" s="20"/>
      <c r="AA120" s="20"/>
      <c r="AB120" s="168">
        <v>1</v>
      </c>
    </row>
    <row r="121" spans="1:31" s="8" customFormat="1" x14ac:dyDescent="0.25">
      <c r="A121" s="208">
        <v>1</v>
      </c>
      <c r="B121" s="92" t="s">
        <v>191</v>
      </c>
      <c r="C121" s="90" t="str">
        <f>VLOOKUP($F121,Admin!$A$16:$E$19,2,FALSE)</f>
        <v>Alkalmazott (ipari) kutatás – Működési költség</v>
      </c>
      <c r="D121" s="161" t="s">
        <v>129</v>
      </c>
      <c r="E121" s="90" t="str">
        <f>VLOOKUP($F121,Admin!$A$16:$E$19,4,FALSE)</f>
        <v>54. Bérköltség - Kutató-fejlesztő munkatárs</v>
      </c>
      <c r="F121" s="90" t="s">
        <v>171</v>
      </c>
      <c r="G121" s="161" t="s">
        <v>174</v>
      </c>
      <c r="H121" s="161" t="s">
        <v>195</v>
      </c>
      <c r="I121" s="90" t="str">
        <f>VLOOKUP($F121,Admin!$A$16:$E$19,5,FALSE)</f>
        <v>K+F munkatárs</v>
      </c>
      <c r="J121" s="161" t="s">
        <v>41</v>
      </c>
      <c r="K121" s="161" t="str">
        <f t="shared" si="128"/>
        <v>2022.02</v>
      </c>
      <c r="L121" s="91" t="s">
        <v>8</v>
      </c>
      <c r="M121" s="92" t="s">
        <v>78</v>
      </c>
      <c r="N121" s="162">
        <v>500000</v>
      </c>
      <c r="O121" s="163">
        <f t="shared" si="129"/>
        <v>65000</v>
      </c>
      <c r="P121" s="161">
        <v>87</v>
      </c>
      <c r="Q121" s="161">
        <v>87</v>
      </c>
      <c r="R121" s="230">
        <f t="shared" si="130"/>
        <v>1</v>
      </c>
      <c r="S121" s="164">
        <f t="shared" si="131"/>
        <v>500000</v>
      </c>
      <c r="T121" s="165">
        <f t="shared" si="132"/>
        <v>65000</v>
      </c>
      <c r="U121" s="166">
        <f t="shared" si="133"/>
        <v>0</v>
      </c>
      <c r="V121" s="87">
        <v>0.13</v>
      </c>
      <c r="W121" s="224"/>
      <c r="X121" s="23">
        <v>44564</v>
      </c>
      <c r="Y121" s="20" t="s">
        <v>197</v>
      </c>
      <c r="Z121" s="20"/>
      <c r="AA121" s="20"/>
      <c r="AB121" s="168">
        <v>1</v>
      </c>
    </row>
    <row r="122" spans="1:31" s="8" customFormat="1" x14ac:dyDescent="0.25">
      <c r="A122" s="208">
        <v>1</v>
      </c>
      <c r="B122" s="92" t="s">
        <v>191</v>
      </c>
      <c r="C122" s="90" t="str">
        <f>VLOOKUP($F122,Admin!$A$16:$E$19,2,FALSE)</f>
        <v>Alkalmazott (ipari) kutatás – Működési költség</v>
      </c>
      <c r="D122" s="161" t="s">
        <v>129</v>
      </c>
      <c r="E122" s="90" t="str">
        <f>VLOOKUP($F122,Admin!$A$16:$E$19,4,FALSE)</f>
        <v>54. Bérköltség - Kutató-fejlesztő munkatárs</v>
      </c>
      <c r="F122" s="90" t="s">
        <v>171</v>
      </c>
      <c r="G122" s="161" t="s">
        <v>174</v>
      </c>
      <c r="H122" s="161" t="s">
        <v>195</v>
      </c>
      <c r="I122" s="90" t="str">
        <f>VLOOKUP($F122,Admin!$A$16:$E$19,5,FALSE)</f>
        <v>K+F munkatárs</v>
      </c>
      <c r="J122" s="161" t="s">
        <v>42</v>
      </c>
      <c r="K122" s="161" t="str">
        <f t="shared" si="128"/>
        <v>2022.03</v>
      </c>
      <c r="L122" s="91" t="s">
        <v>8</v>
      </c>
      <c r="M122" s="92" t="s">
        <v>78</v>
      </c>
      <c r="N122" s="162">
        <v>500000</v>
      </c>
      <c r="O122" s="163">
        <f t="shared" si="129"/>
        <v>65000</v>
      </c>
      <c r="P122" s="161">
        <v>87</v>
      </c>
      <c r="Q122" s="161">
        <v>87</v>
      </c>
      <c r="R122" s="230">
        <f t="shared" si="130"/>
        <v>1</v>
      </c>
      <c r="S122" s="164">
        <f t="shared" si="131"/>
        <v>500000</v>
      </c>
      <c r="T122" s="165">
        <f t="shared" si="132"/>
        <v>65000</v>
      </c>
      <c r="U122" s="166">
        <f t="shared" si="133"/>
        <v>0</v>
      </c>
      <c r="V122" s="87">
        <v>0.13</v>
      </c>
      <c r="W122" s="224"/>
      <c r="X122" s="23">
        <v>44564</v>
      </c>
      <c r="Y122" s="20" t="s">
        <v>197</v>
      </c>
      <c r="Z122" s="20"/>
      <c r="AA122" s="20"/>
      <c r="AB122" s="168">
        <v>1</v>
      </c>
    </row>
    <row r="123" spans="1:31" s="8" customFormat="1" x14ac:dyDescent="0.25">
      <c r="A123" s="208">
        <v>1</v>
      </c>
      <c r="B123" s="92" t="s">
        <v>191</v>
      </c>
      <c r="C123" s="90" t="str">
        <f>VLOOKUP($F123,Admin!$A$16:$E$19,2,FALSE)</f>
        <v>Alkalmazott (ipari) kutatás – Működési költség</v>
      </c>
      <c r="D123" s="161" t="s">
        <v>129</v>
      </c>
      <c r="E123" s="90" t="str">
        <f>VLOOKUP($F123,Admin!$A$16:$E$19,4,FALSE)</f>
        <v>54. Bérköltség - Kutató-fejlesztő munkatárs</v>
      </c>
      <c r="F123" s="90" t="s">
        <v>171</v>
      </c>
      <c r="G123" s="161" t="s">
        <v>174</v>
      </c>
      <c r="H123" s="161" t="s">
        <v>195</v>
      </c>
      <c r="I123" s="90" t="str">
        <f>VLOOKUP($F123,Admin!$A$16:$E$19,5,FALSE)</f>
        <v>K+F munkatárs</v>
      </c>
      <c r="J123" s="161" t="s">
        <v>43</v>
      </c>
      <c r="K123" s="161" t="str">
        <f t="shared" si="128"/>
        <v>2022.04</v>
      </c>
      <c r="L123" s="91" t="s">
        <v>8</v>
      </c>
      <c r="M123" s="92" t="s">
        <v>78</v>
      </c>
      <c r="N123" s="162">
        <v>500000</v>
      </c>
      <c r="O123" s="163">
        <f t="shared" si="129"/>
        <v>65000</v>
      </c>
      <c r="P123" s="161">
        <v>87</v>
      </c>
      <c r="Q123" s="161">
        <v>87</v>
      </c>
      <c r="R123" s="230">
        <f t="shared" si="130"/>
        <v>1</v>
      </c>
      <c r="S123" s="164">
        <f t="shared" si="131"/>
        <v>500000</v>
      </c>
      <c r="T123" s="165">
        <f t="shared" si="132"/>
        <v>65000</v>
      </c>
      <c r="U123" s="166">
        <f t="shared" si="133"/>
        <v>0</v>
      </c>
      <c r="V123" s="87">
        <v>0.13</v>
      </c>
      <c r="W123" s="224"/>
      <c r="X123" s="23">
        <v>44564</v>
      </c>
      <c r="Y123" s="20" t="s">
        <v>197</v>
      </c>
      <c r="Z123" s="20"/>
      <c r="AA123" s="20"/>
      <c r="AB123" s="168">
        <v>1</v>
      </c>
    </row>
    <row r="124" spans="1:31" s="8" customFormat="1" x14ac:dyDescent="0.25">
      <c r="A124" s="208">
        <v>1</v>
      </c>
      <c r="B124" s="92" t="s">
        <v>191</v>
      </c>
      <c r="C124" s="90" t="str">
        <f>VLOOKUP($F124,Admin!$A$16:$E$19,2,FALSE)</f>
        <v>Alkalmazott (ipari) kutatás – Működési költség</v>
      </c>
      <c r="D124" s="161" t="s">
        <v>129</v>
      </c>
      <c r="E124" s="90" t="str">
        <f>VLOOKUP($F124,Admin!$A$16:$E$19,4,FALSE)</f>
        <v>54. Bérköltség - Kutató-fejlesztő munkatárs</v>
      </c>
      <c r="F124" s="90" t="s">
        <v>171</v>
      </c>
      <c r="G124" s="161" t="s">
        <v>174</v>
      </c>
      <c r="H124" s="161" t="s">
        <v>195</v>
      </c>
      <c r="I124" s="90" t="str">
        <f>VLOOKUP($F124,Admin!$A$16:$E$19,5,FALSE)</f>
        <v>K+F munkatárs</v>
      </c>
      <c r="J124" s="161" t="s">
        <v>44</v>
      </c>
      <c r="K124" s="161" t="str">
        <f t="shared" si="128"/>
        <v>2022.05</v>
      </c>
      <c r="L124" s="91" t="s">
        <v>8</v>
      </c>
      <c r="M124" s="92" t="s">
        <v>78</v>
      </c>
      <c r="N124" s="162">
        <v>500000</v>
      </c>
      <c r="O124" s="163">
        <f t="shared" si="129"/>
        <v>65000</v>
      </c>
      <c r="P124" s="161">
        <v>87</v>
      </c>
      <c r="Q124" s="161">
        <v>87</v>
      </c>
      <c r="R124" s="230">
        <f t="shared" si="130"/>
        <v>1</v>
      </c>
      <c r="S124" s="164">
        <f t="shared" si="131"/>
        <v>500000</v>
      </c>
      <c r="T124" s="165">
        <f t="shared" si="132"/>
        <v>65000</v>
      </c>
      <c r="U124" s="166">
        <f t="shared" si="133"/>
        <v>0</v>
      </c>
      <c r="V124" s="87">
        <v>0.13</v>
      </c>
      <c r="W124" s="224"/>
      <c r="X124" s="23">
        <v>44564</v>
      </c>
      <c r="Y124" s="20" t="s">
        <v>197</v>
      </c>
      <c r="Z124" s="20"/>
      <c r="AA124" s="20"/>
      <c r="AB124" s="168">
        <v>1</v>
      </c>
    </row>
    <row r="125" spans="1:31" s="8" customFormat="1" x14ac:dyDescent="0.25">
      <c r="A125" s="208">
        <v>1</v>
      </c>
      <c r="B125" s="92" t="s">
        <v>191</v>
      </c>
      <c r="C125" s="90" t="str">
        <f>VLOOKUP($F125,Admin!$A$16:$E$19,2,FALSE)</f>
        <v>Alkalmazott (ipari) kutatás – Működési költség</v>
      </c>
      <c r="D125" s="161" t="s">
        <v>129</v>
      </c>
      <c r="E125" s="90" t="str">
        <f>VLOOKUP($F125,Admin!$A$16:$E$19,4,FALSE)</f>
        <v>54. Bérköltség - Kutató-fejlesztő munkatárs</v>
      </c>
      <c r="F125" s="90" t="s">
        <v>171</v>
      </c>
      <c r="G125" s="161" t="s">
        <v>174</v>
      </c>
      <c r="H125" s="161" t="s">
        <v>195</v>
      </c>
      <c r="I125" s="90" t="str">
        <f>VLOOKUP($F125,Admin!$A$16:$E$19,5,FALSE)</f>
        <v>K+F munkatárs</v>
      </c>
      <c r="J125" s="161" t="s">
        <v>45</v>
      </c>
      <c r="K125" s="161" t="str">
        <f t="shared" si="128"/>
        <v>2022.06</v>
      </c>
      <c r="L125" s="91" t="s">
        <v>8</v>
      </c>
      <c r="M125" s="92" t="s">
        <v>78</v>
      </c>
      <c r="N125" s="162">
        <v>500000</v>
      </c>
      <c r="O125" s="163">
        <f t="shared" si="129"/>
        <v>65000</v>
      </c>
      <c r="P125" s="161">
        <v>87</v>
      </c>
      <c r="Q125" s="161">
        <v>87</v>
      </c>
      <c r="R125" s="230">
        <f t="shared" si="130"/>
        <v>1</v>
      </c>
      <c r="S125" s="164">
        <f t="shared" si="131"/>
        <v>500000</v>
      </c>
      <c r="T125" s="165">
        <f t="shared" si="132"/>
        <v>65000</v>
      </c>
      <c r="U125" s="166">
        <f t="shared" si="133"/>
        <v>0</v>
      </c>
      <c r="V125" s="87">
        <v>0.13</v>
      </c>
      <c r="W125" s="224"/>
      <c r="X125" s="23">
        <v>44564</v>
      </c>
      <c r="Y125" s="20" t="s">
        <v>197</v>
      </c>
      <c r="Z125" s="20"/>
      <c r="AA125" s="20"/>
      <c r="AB125" s="168">
        <v>1</v>
      </c>
    </row>
    <row r="126" spans="1:31" s="8" customFormat="1" x14ac:dyDescent="0.25">
      <c r="A126" s="208">
        <v>1</v>
      </c>
      <c r="B126" s="92" t="s">
        <v>191</v>
      </c>
      <c r="C126" s="90" t="str">
        <f>VLOOKUP($F126,Admin!$A$16:$E$19,2,FALSE)</f>
        <v>Alkalmazott (ipari) kutatás – Működési költség</v>
      </c>
      <c r="D126" s="161" t="s">
        <v>129</v>
      </c>
      <c r="E126" s="90" t="str">
        <f>VLOOKUP($F126,Admin!$A$16:$E$19,4,FALSE)</f>
        <v>54. Bérköltség - Kutató-fejlesztő munkatárs</v>
      </c>
      <c r="F126" s="90" t="s">
        <v>171</v>
      </c>
      <c r="G126" s="161" t="s">
        <v>174</v>
      </c>
      <c r="H126" s="161" t="s">
        <v>195</v>
      </c>
      <c r="I126" s="90" t="str">
        <f>VLOOKUP($F126,Admin!$A$16:$E$19,5,FALSE)</f>
        <v>K+F munkatárs</v>
      </c>
      <c r="J126" s="161" t="s">
        <v>46</v>
      </c>
      <c r="K126" s="161" t="str">
        <f t="shared" ref="K126:K128" si="354">J126</f>
        <v>2022.07</v>
      </c>
      <c r="L126" s="91" t="s">
        <v>8</v>
      </c>
      <c r="M126" s="92" t="s">
        <v>78</v>
      </c>
      <c r="N126" s="162">
        <v>500000</v>
      </c>
      <c r="O126" s="163">
        <f t="shared" ref="O126" si="355">ROUND(N126*V126,0)</f>
        <v>65000</v>
      </c>
      <c r="P126" s="161">
        <v>87</v>
      </c>
      <c r="Q126" s="161">
        <v>87</v>
      </c>
      <c r="R126" s="230">
        <f t="shared" ref="R126" si="356">Q126/P126</f>
        <v>1</v>
      </c>
      <c r="S126" s="164">
        <f t="shared" ref="S126" si="357">ROUND(N126*Q126/P126,0)</f>
        <v>500000</v>
      </c>
      <c r="T126" s="165">
        <f t="shared" ref="T126" si="358">ROUND(S126*V126,0)</f>
        <v>65000</v>
      </c>
      <c r="U126" s="166">
        <f t="shared" ref="U126" si="359">Q126/P126-S126/N126</f>
        <v>0</v>
      </c>
      <c r="V126" s="87">
        <v>0.13</v>
      </c>
      <c r="W126" s="224"/>
      <c r="X126" s="23">
        <v>44726</v>
      </c>
      <c r="Y126" s="20" t="s">
        <v>197</v>
      </c>
      <c r="Z126" s="20"/>
      <c r="AA126" s="20"/>
      <c r="AB126" s="168">
        <v>1</v>
      </c>
    </row>
    <row r="127" spans="1:31" s="8" customFormat="1" x14ac:dyDescent="0.25">
      <c r="A127" s="208">
        <v>1</v>
      </c>
      <c r="B127" s="92" t="s">
        <v>191</v>
      </c>
      <c r="C127" s="90" t="str">
        <f>VLOOKUP($F127,Admin!$A$16:$E$19,2,FALSE)</f>
        <v>Alkalmazott (ipari) kutatás – Működési költség</v>
      </c>
      <c r="D127" s="161" t="s">
        <v>129</v>
      </c>
      <c r="E127" s="90" t="str">
        <f>VLOOKUP($F127,Admin!$A$16:$E$19,4,FALSE)</f>
        <v>54. Bérköltség - Kutató-fejlesztő munkatárs</v>
      </c>
      <c r="F127" s="90" t="s">
        <v>171</v>
      </c>
      <c r="G127" s="161" t="s">
        <v>174</v>
      </c>
      <c r="H127" s="161" t="s">
        <v>195</v>
      </c>
      <c r="I127" s="90" t="str">
        <f>VLOOKUP($F127,Admin!$A$16:$E$19,5,FALSE)</f>
        <v>K+F munkatárs</v>
      </c>
      <c r="J127" s="161" t="s">
        <v>47</v>
      </c>
      <c r="K127" s="161" t="str">
        <f t="shared" si="354"/>
        <v>2022.08</v>
      </c>
      <c r="L127" s="91" t="s">
        <v>8</v>
      </c>
      <c r="M127" s="92" t="s">
        <v>78</v>
      </c>
      <c r="N127" s="162">
        <v>391304</v>
      </c>
      <c r="O127" s="163">
        <f t="shared" ref="O127:O128" si="360">ROUND(N127*V127,0)</f>
        <v>50870</v>
      </c>
      <c r="P127" s="161">
        <v>87</v>
      </c>
      <c r="Q127" s="161">
        <v>87</v>
      </c>
      <c r="R127" s="230">
        <f t="shared" ref="R127:R128" si="361">Q127/P127</f>
        <v>1</v>
      </c>
      <c r="S127" s="164">
        <f t="shared" ref="S127:S128" si="362">ROUND(N127*Q127/P127,0)</f>
        <v>391304</v>
      </c>
      <c r="T127" s="165">
        <f t="shared" ref="T127:T128" si="363">ROUND(S127*V127,0)</f>
        <v>50870</v>
      </c>
      <c r="U127" s="166">
        <f t="shared" ref="U127:U128" si="364">Q127/P127-S127/N127</f>
        <v>0</v>
      </c>
      <c r="V127" s="87">
        <v>0.13</v>
      </c>
      <c r="W127" s="224"/>
      <c r="X127" s="23">
        <v>44726</v>
      </c>
      <c r="Y127" s="20" t="s">
        <v>197</v>
      </c>
      <c r="Z127" s="20"/>
      <c r="AA127" s="20"/>
      <c r="AB127" s="168">
        <v>1</v>
      </c>
    </row>
    <row r="128" spans="1:31" s="8" customFormat="1" x14ac:dyDescent="0.25">
      <c r="A128" s="208">
        <v>1</v>
      </c>
      <c r="B128" s="92" t="s">
        <v>191</v>
      </c>
      <c r="C128" s="90" t="str">
        <f>VLOOKUP($F128,Admin!$A$16:$E$19,2,FALSE)</f>
        <v>Alkalmazott (ipari) kutatás – Működési költség</v>
      </c>
      <c r="D128" s="161" t="s">
        <v>129</v>
      </c>
      <c r="E128" s="90" t="str">
        <f>VLOOKUP($F128,Admin!$A$16:$E$19,4,FALSE)</f>
        <v>54. Bérköltség - Kutató-fejlesztő munkatárs</v>
      </c>
      <c r="F128" s="90" t="s">
        <v>171</v>
      </c>
      <c r="G128" s="161" t="s">
        <v>174</v>
      </c>
      <c r="H128" s="161" t="s">
        <v>195</v>
      </c>
      <c r="I128" s="90" t="str">
        <f>VLOOKUP($F128,Admin!$A$16:$E$19,5,FALSE)</f>
        <v>K+F munkatárs</v>
      </c>
      <c r="J128" s="161" t="s">
        <v>48</v>
      </c>
      <c r="K128" s="161" t="str">
        <f t="shared" si="354"/>
        <v>2022.09</v>
      </c>
      <c r="L128" s="91" t="s">
        <v>8</v>
      </c>
      <c r="M128" s="92" t="s">
        <v>78</v>
      </c>
      <c r="N128" s="162">
        <v>500000</v>
      </c>
      <c r="O128" s="163">
        <f t="shared" si="360"/>
        <v>65000</v>
      </c>
      <c r="P128" s="161">
        <v>87</v>
      </c>
      <c r="Q128" s="161">
        <v>87</v>
      </c>
      <c r="R128" s="230">
        <f t="shared" si="361"/>
        <v>1</v>
      </c>
      <c r="S128" s="164">
        <f t="shared" si="362"/>
        <v>500000</v>
      </c>
      <c r="T128" s="165">
        <f t="shared" si="363"/>
        <v>65000</v>
      </c>
      <c r="U128" s="166">
        <f t="shared" si="364"/>
        <v>0</v>
      </c>
      <c r="V128" s="87">
        <v>0.13</v>
      </c>
      <c r="W128" s="224"/>
      <c r="X128" s="23">
        <v>44726</v>
      </c>
      <c r="Y128" s="20" t="s">
        <v>197</v>
      </c>
      <c r="Z128" s="20"/>
      <c r="AA128" s="20"/>
      <c r="AB128" s="168">
        <v>4</v>
      </c>
    </row>
    <row r="129" spans="1:31" s="8" customFormat="1" x14ac:dyDescent="0.25">
      <c r="A129" s="189"/>
      <c r="B129" s="92" t="s">
        <v>191</v>
      </c>
      <c r="C129" s="90" t="str">
        <f>VLOOKUP($F129,Admin!$A$16:$E$19,2,FALSE)</f>
        <v>Alkalmazott (ipari) kutatás – Működési költség</v>
      </c>
      <c r="D129" s="161" t="s">
        <v>129</v>
      </c>
      <c r="E129" s="90" t="str">
        <f>VLOOKUP($F129,Admin!$A$16:$E$19,4,FALSE)</f>
        <v>54. Bérköltség - Kutató-fejlesztő munkatárs</v>
      </c>
      <c r="F129" s="90" t="s">
        <v>171</v>
      </c>
      <c r="G129" s="161" t="s">
        <v>174</v>
      </c>
      <c r="H129" s="161" t="s">
        <v>195</v>
      </c>
      <c r="I129" s="90" t="str">
        <f>VLOOKUP($F129,Admin!$A$16:$E$19,5,FALSE)</f>
        <v>K+F munkatárs</v>
      </c>
      <c r="J129" s="161" t="s">
        <v>49</v>
      </c>
      <c r="K129" s="161" t="str">
        <f t="shared" ref="K129:K131" si="365">J129</f>
        <v>2022.10</v>
      </c>
      <c r="L129" s="91" t="s">
        <v>8</v>
      </c>
      <c r="M129" s="92" t="s">
        <v>78</v>
      </c>
      <c r="N129" s="162">
        <v>500000</v>
      </c>
      <c r="O129" s="163">
        <f t="shared" ref="O129" si="366">ROUND(N129*V129,0)</f>
        <v>65000</v>
      </c>
      <c r="P129" s="161">
        <v>87</v>
      </c>
      <c r="Q129" s="161">
        <v>87</v>
      </c>
      <c r="R129" s="230">
        <f t="shared" ref="R129" si="367">Q129/P129</f>
        <v>1</v>
      </c>
      <c r="S129" s="164">
        <f t="shared" ref="S129" si="368">ROUND(N129*Q129/P129,0)</f>
        <v>500000</v>
      </c>
      <c r="T129" s="165">
        <f t="shared" ref="T129" si="369">ROUND(S129*V129,0)</f>
        <v>65000</v>
      </c>
      <c r="U129" s="166">
        <f t="shared" ref="U129" si="370">Q129/P129-S129/N129</f>
        <v>0</v>
      </c>
      <c r="V129" s="87">
        <v>0.13</v>
      </c>
      <c r="W129" s="224"/>
      <c r="X129" s="23">
        <v>44826</v>
      </c>
      <c r="Y129" s="20" t="s">
        <v>197</v>
      </c>
      <c r="Z129" s="20"/>
      <c r="AA129" s="20"/>
      <c r="AB129" s="168">
        <v>1</v>
      </c>
    </row>
    <row r="130" spans="1:31" s="8" customFormat="1" x14ac:dyDescent="0.25">
      <c r="A130" s="189"/>
      <c r="B130" s="92" t="s">
        <v>191</v>
      </c>
      <c r="C130" s="90" t="str">
        <f>VLOOKUP($F130,Admin!$A$16:$E$19,2,FALSE)</f>
        <v>Alkalmazott (ipari) kutatás – Működési költség</v>
      </c>
      <c r="D130" s="161" t="s">
        <v>129</v>
      </c>
      <c r="E130" s="90" t="str">
        <f>VLOOKUP($F130,Admin!$A$16:$E$19,4,FALSE)</f>
        <v>54. Bérköltség - Kutató-fejlesztő munkatárs</v>
      </c>
      <c r="F130" s="90" t="s">
        <v>171</v>
      </c>
      <c r="G130" s="161" t="s">
        <v>174</v>
      </c>
      <c r="H130" s="161" t="s">
        <v>195</v>
      </c>
      <c r="I130" s="90" t="str">
        <f>VLOOKUP($F130,Admin!$A$16:$E$19,5,FALSE)</f>
        <v>K+F munkatárs</v>
      </c>
      <c r="J130" s="161" t="s">
        <v>50</v>
      </c>
      <c r="K130" s="161" t="str">
        <f t="shared" si="365"/>
        <v>2022.11</v>
      </c>
      <c r="L130" s="91" t="s">
        <v>8</v>
      </c>
      <c r="M130" s="92" t="s">
        <v>78</v>
      </c>
      <c r="N130" s="162">
        <v>500000</v>
      </c>
      <c r="O130" s="163">
        <f t="shared" ref="O130:O131" si="371">ROUND(N130*V130,0)</f>
        <v>65000</v>
      </c>
      <c r="P130" s="161">
        <v>87</v>
      </c>
      <c r="Q130" s="161">
        <v>87</v>
      </c>
      <c r="R130" s="230">
        <f t="shared" ref="R130:R131" si="372">Q130/P130</f>
        <v>1</v>
      </c>
      <c r="S130" s="164">
        <f t="shared" ref="S130:S131" si="373">ROUND(N130*Q130/P130,0)</f>
        <v>500000</v>
      </c>
      <c r="T130" s="165">
        <f t="shared" ref="T130:T131" si="374">ROUND(S130*V130,0)</f>
        <v>65000</v>
      </c>
      <c r="U130" s="166">
        <f t="shared" ref="U130:U131" si="375">Q130/P130-S130/N130</f>
        <v>0</v>
      </c>
      <c r="V130" s="87">
        <v>0.13</v>
      </c>
      <c r="W130" s="224" t="s">
        <v>228</v>
      </c>
      <c r="X130" s="23">
        <v>44826</v>
      </c>
      <c r="Y130" s="20" t="s">
        <v>197</v>
      </c>
      <c r="Z130" s="20"/>
      <c r="AA130" s="20"/>
      <c r="AB130" s="168">
        <v>1</v>
      </c>
      <c r="AC130" s="211" t="e">
        <v>#N/A</v>
      </c>
      <c r="AD130" s="211" t="e">
        <v>#N/A</v>
      </c>
      <c r="AE130" s="211" t="e">
        <v>#N/A</v>
      </c>
    </row>
    <row r="131" spans="1:31" s="8" customFormat="1" x14ac:dyDescent="0.25">
      <c r="A131" s="189"/>
      <c r="B131" s="92" t="s">
        <v>191</v>
      </c>
      <c r="C131" s="90" t="str">
        <f>VLOOKUP($F131,Admin!$A$16:$E$19,2,FALSE)</f>
        <v>Alkalmazott (ipari) kutatás – Működési költség</v>
      </c>
      <c r="D131" s="161" t="s">
        <v>129</v>
      </c>
      <c r="E131" s="90" t="str">
        <f>VLOOKUP($F131,Admin!$A$16:$E$19,4,FALSE)</f>
        <v>54. Bérköltség - Kutató-fejlesztő munkatárs</v>
      </c>
      <c r="F131" s="90" t="s">
        <v>171</v>
      </c>
      <c r="G131" s="161" t="s">
        <v>174</v>
      </c>
      <c r="H131" s="161" t="s">
        <v>195</v>
      </c>
      <c r="I131" s="90" t="str">
        <f>VLOOKUP($F131,Admin!$A$16:$E$19,5,FALSE)</f>
        <v>K+F munkatárs</v>
      </c>
      <c r="J131" s="161" t="s">
        <v>51</v>
      </c>
      <c r="K131" s="161" t="str">
        <f t="shared" si="365"/>
        <v>2022.12</v>
      </c>
      <c r="L131" s="91" t="s">
        <v>8</v>
      </c>
      <c r="M131" s="92" t="s">
        <v>78</v>
      </c>
      <c r="N131" s="162">
        <v>500000</v>
      </c>
      <c r="O131" s="163">
        <f t="shared" si="371"/>
        <v>65000</v>
      </c>
      <c r="P131" s="161">
        <v>87</v>
      </c>
      <c r="Q131" s="161">
        <v>87</v>
      </c>
      <c r="R131" s="230">
        <f t="shared" si="372"/>
        <v>1</v>
      </c>
      <c r="S131" s="164">
        <f t="shared" si="373"/>
        <v>500000</v>
      </c>
      <c r="T131" s="165">
        <f t="shared" si="374"/>
        <v>65000</v>
      </c>
      <c r="U131" s="166">
        <f t="shared" si="375"/>
        <v>0</v>
      </c>
      <c r="V131" s="87">
        <v>0.13</v>
      </c>
      <c r="W131" s="224" t="s">
        <v>228</v>
      </c>
      <c r="X131" s="23">
        <v>44826</v>
      </c>
      <c r="Y131" s="20" t="s">
        <v>197</v>
      </c>
      <c r="Z131" s="20"/>
      <c r="AA131" s="20"/>
      <c r="AB131" s="168">
        <v>1</v>
      </c>
      <c r="AC131" s="211" t="s">
        <v>249</v>
      </c>
      <c r="AD131" s="211" t="s">
        <v>249</v>
      </c>
      <c r="AE131" s="211" t="s">
        <v>249</v>
      </c>
    </row>
    <row r="132" spans="1:31" s="8" customFormat="1" x14ac:dyDescent="0.25">
      <c r="A132" s="189"/>
      <c r="B132" s="92" t="s">
        <v>191</v>
      </c>
      <c r="C132" s="90" t="str">
        <f>VLOOKUP($F132,Admin!$A$16:$E$19,2,FALSE)</f>
        <v>Alkalmazott (ipari) kutatás – Működési költség</v>
      </c>
      <c r="D132" s="161" t="s">
        <v>129</v>
      </c>
      <c r="E132" s="90" t="str">
        <f>VLOOKUP($F132,Admin!$A$16:$E$19,4,FALSE)</f>
        <v>54. Bérköltség - Kutató-fejlesztő munkatárs</v>
      </c>
      <c r="F132" s="90" t="s">
        <v>171</v>
      </c>
      <c r="G132" s="161" t="s">
        <v>174</v>
      </c>
      <c r="H132" s="161" t="s">
        <v>195</v>
      </c>
      <c r="I132" s="90" t="str">
        <f>VLOOKUP($F132,Admin!$A$16:$E$19,5,FALSE)</f>
        <v>K+F munkatárs</v>
      </c>
      <c r="J132" s="161" t="s">
        <v>64</v>
      </c>
      <c r="K132" s="161" t="str">
        <f t="shared" ref="K132" si="376">J132</f>
        <v>2023.01</v>
      </c>
      <c r="L132" s="91" t="s">
        <v>8</v>
      </c>
      <c r="M132" s="92" t="s">
        <v>78</v>
      </c>
      <c r="N132" s="162">
        <v>500000</v>
      </c>
      <c r="O132" s="163">
        <f t="shared" ref="O132" si="377">ROUND(N132*V132,0)</f>
        <v>65000</v>
      </c>
      <c r="P132" s="161">
        <v>87</v>
      </c>
      <c r="Q132" s="161">
        <v>87</v>
      </c>
      <c r="R132" s="230">
        <f t="shared" ref="R132" si="378">Q132/P132</f>
        <v>1</v>
      </c>
      <c r="S132" s="164">
        <f t="shared" ref="S132" si="379">ROUND(N132*Q132/P132,0)</f>
        <v>500000</v>
      </c>
      <c r="T132" s="165">
        <f t="shared" ref="T132" si="380">ROUND(S132*V132,0)</f>
        <v>65000</v>
      </c>
      <c r="U132" s="166">
        <f t="shared" ref="U132" si="381">Q132/P132-S132/N132</f>
        <v>0</v>
      </c>
      <c r="V132" s="87">
        <v>0.13</v>
      </c>
      <c r="W132" s="224" t="s">
        <v>228</v>
      </c>
      <c r="X132" s="23">
        <v>44908</v>
      </c>
      <c r="Y132" s="20" t="s">
        <v>197</v>
      </c>
      <c r="Z132" s="20"/>
      <c r="AA132" s="20"/>
      <c r="AB132" s="168">
        <v>1</v>
      </c>
      <c r="AC132" s="211" t="s">
        <v>249</v>
      </c>
      <c r="AD132" s="211">
        <v>0</v>
      </c>
      <c r="AE132" s="211">
        <v>0</v>
      </c>
    </row>
    <row r="133" spans="1:31" s="8" customFormat="1" x14ac:dyDescent="0.25">
      <c r="A133" s="208">
        <v>1</v>
      </c>
      <c r="B133" s="92" t="s">
        <v>209</v>
      </c>
      <c r="C133" s="90" t="str">
        <f>VLOOKUP($F133,Admin!$A$16:$E$19,2,FALSE)</f>
        <v>Alkalmazott (ipari) kutatás – Működési költség</v>
      </c>
      <c r="D133" s="161" t="s">
        <v>129</v>
      </c>
      <c r="E133" s="90" t="str">
        <f>VLOOKUP($F133,Admin!$A$16:$E$19,4,FALSE)</f>
        <v>54. Bérköltség - technikus segédszemélyzet</v>
      </c>
      <c r="F133" s="90" t="s">
        <v>173</v>
      </c>
      <c r="G133" s="161" t="s">
        <v>174</v>
      </c>
      <c r="H133" s="161" t="s">
        <v>207</v>
      </c>
      <c r="I133" s="90" t="str">
        <f>VLOOKUP($F133,Admin!$A$16:$E$19,5,FALSE)</f>
        <v>Technikus</v>
      </c>
      <c r="J133" s="161" t="s">
        <v>45</v>
      </c>
      <c r="K133" s="161" t="str">
        <f t="shared" ref="K133:K135" si="382">J133</f>
        <v>2022.06</v>
      </c>
      <c r="L133" s="91" t="s">
        <v>8</v>
      </c>
      <c r="M133" s="92" t="s">
        <v>78</v>
      </c>
      <c r="N133" s="162">
        <v>220000</v>
      </c>
      <c r="O133" s="163">
        <f t="shared" si="129"/>
        <v>28600</v>
      </c>
      <c r="P133" s="161">
        <v>87</v>
      </c>
      <c r="Q133" s="161">
        <v>87</v>
      </c>
      <c r="R133" s="230">
        <f t="shared" si="130"/>
        <v>1</v>
      </c>
      <c r="S133" s="164">
        <f t="shared" si="131"/>
        <v>220000</v>
      </c>
      <c r="T133" s="165">
        <f t="shared" si="132"/>
        <v>28600</v>
      </c>
      <c r="U133" s="166">
        <f t="shared" si="133"/>
        <v>0</v>
      </c>
      <c r="V133" s="87">
        <v>0.13</v>
      </c>
      <c r="W133" s="224"/>
      <c r="X133" s="23">
        <v>44712</v>
      </c>
      <c r="Y133" s="20" t="s">
        <v>197</v>
      </c>
      <c r="Z133" s="20"/>
      <c r="AA133" s="20"/>
      <c r="AB133" s="168">
        <v>1</v>
      </c>
    </row>
    <row r="134" spans="1:31" s="8" customFormat="1" x14ac:dyDescent="0.25">
      <c r="A134" s="208">
        <v>1</v>
      </c>
      <c r="B134" s="92" t="s">
        <v>209</v>
      </c>
      <c r="C134" s="90" t="str">
        <f>VLOOKUP($F134,Admin!$A$16:$E$19,2,FALSE)</f>
        <v>Alkalmazott (ipari) kutatás – Működési költség</v>
      </c>
      <c r="D134" s="161" t="s">
        <v>129</v>
      </c>
      <c r="E134" s="90" t="str">
        <f>VLOOKUP($F134,Admin!$A$16:$E$19,4,FALSE)</f>
        <v>54. Bérköltség - technikus segédszemélyzet</v>
      </c>
      <c r="F134" s="90" t="s">
        <v>173</v>
      </c>
      <c r="G134" s="161" t="s">
        <v>174</v>
      </c>
      <c r="H134" s="161" t="s">
        <v>207</v>
      </c>
      <c r="I134" s="90" t="str">
        <f>VLOOKUP($F134,Admin!$A$16:$E$19,5,FALSE)</f>
        <v>Technikus</v>
      </c>
      <c r="J134" s="161" t="s">
        <v>46</v>
      </c>
      <c r="K134" s="161" t="str">
        <f t="shared" si="382"/>
        <v>2022.07</v>
      </c>
      <c r="L134" s="91" t="s">
        <v>8</v>
      </c>
      <c r="M134" s="92" t="s">
        <v>78</v>
      </c>
      <c r="N134" s="162">
        <v>220000</v>
      </c>
      <c r="O134" s="163">
        <f t="shared" ref="O134" si="383">ROUND(N134*V134,0)</f>
        <v>28600</v>
      </c>
      <c r="P134" s="161">
        <v>87</v>
      </c>
      <c r="Q134" s="161">
        <v>87</v>
      </c>
      <c r="R134" s="230">
        <f t="shared" ref="R134:R135" si="384">Q134/P134</f>
        <v>1</v>
      </c>
      <c r="S134" s="164">
        <f t="shared" ref="S134:S135" si="385">ROUND(N134*Q134/P134,0)</f>
        <v>220000</v>
      </c>
      <c r="T134" s="165">
        <f t="shared" ref="T134" si="386">ROUND(S134*V134,0)</f>
        <v>28600</v>
      </c>
      <c r="U134" s="166">
        <f t="shared" ref="U134:U135" si="387">Q134/P134-S134/N134</f>
        <v>0</v>
      </c>
      <c r="V134" s="87">
        <v>0.13</v>
      </c>
      <c r="W134" s="224"/>
      <c r="X134" s="23">
        <v>44712</v>
      </c>
      <c r="Y134" s="20" t="s">
        <v>197</v>
      </c>
      <c r="Z134" s="20"/>
      <c r="AA134" s="20"/>
      <c r="AB134" s="168">
        <v>1</v>
      </c>
    </row>
    <row r="135" spans="1:31" s="8" customFormat="1" x14ac:dyDescent="0.25">
      <c r="A135" s="208">
        <v>1</v>
      </c>
      <c r="B135" s="92" t="s">
        <v>209</v>
      </c>
      <c r="C135" s="90" t="str">
        <f>VLOOKUP($F135,Admin!$A$16:$E$19,2,FALSE)</f>
        <v>Alkalmazott (ipari) kutatás – Működési költség</v>
      </c>
      <c r="D135" s="161" t="s">
        <v>129</v>
      </c>
      <c r="E135" s="90" t="str">
        <f>VLOOKUP($F135,Admin!$A$16:$E$19,4,FALSE)</f>
        <v>54. Bérköltség - technikus segédszemélyzet</v>
      </c>
      <c r="F135" s="90" t="s">
        <v>173</v>
      </c>
      <c r="G135" s="161" t="s">
        <v>174</v>
      </c>
      <c r="H135" s="161" t="s">
        <v>207</v>
      </c>
      <c r="I135" s="90" t="str">
        <f>VLOOKUP($F135,Admin!$A$16:$E$19,5,FALSE)</f>
        <v>Technikus</v>
      </c>
      <c r="J135" s="161" t="s">
        <v>47</v>
      </c>
      <c r="K135" s="161" t="str">
        <f t="shared" si="382"/>
        <v>2022.08</v>
      </c>
      <c r="L135" s="91" t="s">
        <v>8</v>
      </c>
      <c r="M135" s="92" t="s">
        <v>78</v>
      </c>
      <c r="N135" s="162">
        <v>172174</v>
      </c>
      <c r="O135" s="163">
        <v>2035</v>
      </c>
      <c r="P135" s="161">
        <v>87</v>
      </c>
      <c r="Q135" s="161">
        <v>87</v>
      </c>
      <c r="R135" s="230">
        <f t="shared" si="384"/>
        <v>1</v>
      </c>
      <c r="S135" s="164">
        <f t="shared" si="385"/>
        <v>172174</v>
      </c>
      <c r="T135" s="165">
        <v>2035</v>
      </c>
      <c r="U135" s="166">
        <f t="shared" si="387"/>
        <v>0</v>
      </c>
      <c r="V135" s="87">
        <v>0.13</v>
      </c>
      <c r="W135" s="224"/>
      <c r="X135" s="23">
        <v>44712</v>
      </c>
      <c r="Y135" s="20" t="s">
        <v>197</v>
      </c>
      <c r="Z135" s="20"/>
      <c r="AA135" s="20"/>
      <c r="AB135" s="168">
        <v>1</v>
      </c>
    </row>
    <row r="136" spans="1:31" s="8" customFormat="1" x14ac:dyDescent="0.25">
      <c r="A136" s="208">
        <v>1</v>
      </c>
      <c r="B136" s="92" t="s">
        <v>209</v>
      </c>
      <c r="C136" s="90" t="str">
        <f>VLOOKUP($F136,Admin!$A$16:$E$19,2,FALSE)</f>
        <v>Alkalmazott (ipari) kutatás – Működési költség</v>
      </c>
      <c r="D136" s="161" t="s">
        <v>129</v>
      </c>
      <c r="E136" s="90" t="str">
        <f>VLOOKUP($F136,Admin!$A$16:$E$19,4,FALSE)</f>
        <v>54. Bérköltség - technikus segédszemélyzet</v>
      </c>
      <c r="F136" s="90" t="s">
        <v>173</v>
      </c>
      <c r="G136" s="161" t="s">
        <v>174</v>
      </c>
      <c r="H136" s="161" t="s">
        <v>207</v>
      </c>
      <c r="I136" s="90" t="str">
        <f>VLOOKUP($F136,Admin!$A$16:$E$19,5,FALSE)</f>
        <v>Technikus</v>
      </c>
      <c r="J136" s="161" t="s">
        <v>48</v>
      </c>
      <c r="K136" s="161" t="str">
        <f t="shared" ref="K136" si="388">J136</f>
        <v>2022.09</v>
      </c>
      <c r="L136" s="91" t="s">
        <v>8</v>
      </c>
      <c r="M136" s="92" t="s">
        <v>78</v>
      </c>
      <c r="N136" s="162">
        <v>375000</v>
      </c>
      <c r="O136" s="163">
        <f t="shared" ref="O136" si="389">ROUND(N136*V136,0)</f>
        <v>48750</v>
      </c>
      <c r="P136" s="161">
        <v>130</v>
      </c>
      <c r="Q136" s="161">
        <v>130</v>
      </c>
      <c r="R136" s="230">
        <f t="shared" ref="R136" si="390">Q136/P136</f>
        <v>1</v>
      </c>
      <c r="S136" s="164">
        <f t="shared" ref="S136" si="391">ROUND(N136*Q136/P136,0)</f>
        <v>375000</v>
      </c>
      <c r="T136" s="165">
        <f t="shared" ref="T136" si="392">ROUND(S136*V136,0)</f>
        <v>48750</v>
      </c>
      <c r="U136" s="166">
        <f t="shared" ref="U136" si="393">Q136/P136-S136/N136</f>
        <v>0</v>
      </c>
      <c r="V136" s="87">
        <v>0.13</v>
      </c>
      <c r="W136" s="224"/>
      <c r="X136" s="23">
        <v>44791</v>
      </c>
      <c r="Y136" s="20" t="s">
        <v>197</v>
      </c>
      <c r="Z136" s="20"/>
      <c r="AA136" s="20"/>
      <c r="AB136" s="168">
        <v>4</v>
      </c>
    </row>
    <row r="137" spans="1:31" s="8" customFormat="1" x14ac:dyDescent="0.25">
      <c r="A137" s="189"/>
      <c r="B137" s="92" t="s">
        <v>209</v>
      </c>
      <c r="C137" s="90" t="str">
        <f>VLOOKUP($F137,Admin!$A$16:$E$19,2,FALSE)</f>
        <v>Alkalmazott (ipari) kutatás – Működési költség</v>
      </c>
      <c r="D137" s="161" t="s">
        <v>129</v>
      </c>
      <c r="E137" s="90" t="str">
        <f>VLOOKUP($F137,Admin!$A$16:$E$19,4,FALSE)</f>
        <v>54. Bérköltség - technikus segédszemélyzet</v>
      </c>
      <c r="F137" s="90" t="s">
        <v>173</v>
      </c>
      <c r="G137" s="161" t="s">
        <v>174</v>
      </c>
      <c r="H137" s="161" t="s">
        <v>207</v>
      </c>
      <c r="I137" s="90" t="str">
        <f>VLOOKUP($F137,Admin!$A$16:$E$19,5,FALSE)</f>
        <v>Technikus</v>
      </c>
      <c r="J137" s="161" t="s">
        <v>49</v>
      </c>
      <c r="K137" s="161" t="str">
        <f t="shared" ref="K137:K139" si="394">J137</f>
        <v>2022.10</v>
      </c>
      <c r="L137" s="91" t="s">
        <v>8</v>
      </c>
      <c r="M137" s="92" t="s">
        <v>78</v>
      </c>
      <c r="N137" s="162">
        <v>375000</v>
      </c>
      <c r="O137" s="163">
        <f t="shared" ref="O137" si="395">ROUND(N137*V137,0)</f>
        <v>48750</v>
      </c>
      <c r="P137" s="161">
        <v>130</v>
      </c>
      <c r="Q137" s="161">
        <v>43</v>
      </c>
      <c r="R137" s="230">
        <f t="shared" ref="R137" si="396">Q137/P137</f>
        <v>0.33076923076923076</v>
      </c>
      <c r="S137" s="164">
        <f t="shared" ref="S137" si="397">ROUND(N137*Q137/P137,0)</f>
        <v>124038</v>
      </c>
      <c r="T137" s="165">
        <f t="shared" ref="T137" si="398">ROUND(S137*V137,0)</f>
        <v>16125</v>
      </c>
      <c r="U137" s="166">
        <f t="shared" ref="U137" si="399">Q137/P137-S137/N137</f>
        <v>1.2307692307533813E-6</v>
      </c>
      <c r="V137" s="87">
        <v>0.13</v>
      </c>
      <c r="W137" s="224"/>
      <c r="X137" s="23">
        <v>44832</v>
      </c>
      <c r="Y137" s="20" t="s">
        <v>197</v>
      </c>
      <c r="Z137" s="20"/>
      <c r="AA137" s="20"/>
      <c r="AB137" s="168">
        <v>1</v>
      </c>
    </row>
    <row r="138" spans="1:31" s="8" customFormat="1" x14ac:dyDescent="0.25">
      <c r="A138" s="189"/>
      <c r="B138" s="92" t="s">
        <v>209</v>
      </c>
      <c r="C138" s="90" t="str">
        <f>VLOOKUP($F138,Admin!$A$16:$E$19,2,FALSE)</f>
        <v>Alkalmazott (ipari) kutatás – Működési költség</v>
      </c>
      <c r="D138" s="161" t="s">
        <v>129</v>
      </c>
      <c r="E138" s="90" t="str">
        <f>VLOOKUP($F138,Admin!$A$16:$E$19,4,FALSE)</f>
        <v>54. Bérköltség - technikus segédszemélyzet</v>
      </c>
      <c r="F138" s="90" t="s">
        <v>173</v>
      </c>
      <c r="G138" s="161" t="s">
        <v>174</v>
      </c>
      <c r="H138" s="161" t="s">
        <v>207</v>
      </c>
      <c r="I138" s="90" t="str">
        <f>VLOOKUP($F138,Admin!$A$16:$E$19,5,FALSE)</f>
        <v>Technikus</v>
      </c>
      <c r="J138" s="161" t="s">
        <v>50</v>
      </c>
      <c r="K138" s="161" t="str">
        <f t="shared" si="394"/>
        <v>2022.11</v>
      </c>
      <c r="L138" s="91" t="s">
        <v>8</v>
      </c>
      <c r="M138" s="92" t="s">
        <v>78</v>
      </c>
      <c r="N138" s="162">
        <v>374999</v>
      </c>
      <c r="O138" s="163">
        <v>22750</v>
      </c>
      <c r="P138" s="161">
        <v>130</v>
      </c>
      <c r="Q138" s="161">
        <v>87</v>
      </c>
      <c r="R138" s="230">
        <f t="shared" ref="R138" si="400">Q138/P138</f>
        <v>0.66923076923076918</v>
      </c>
      <c r="S138" s="164">
        <f t="shared" ref="S138" si="401">ROUND(N138*Q138/P138,0)</f>
        <v>250961</v>
      </c>
      <c r="T138" s="165">
        <v>15225</v>
      </c>
      <c r="U138" s="166">
        <f t="shared" ref="U138" si="402">Q138/P138-S138/N138</f>
        <v>-3.4871887866216866E-7</v>
      </c>
      <c r="V138" s="87">
        <v>0.13</v>
      </c>
      <c r="W138" s="224" t="s">
        <v>229</v>
      </c>
      <c r="X138" s="23">
        <v>44875</v>
      </c>
      <c r="Y138" s="20" t="s">
        <v>197</v>
      </c>
      <c r="Z138" s="20"/>
      <c r="AA138" s="20"/>
      <c r="AB138" s="168">
        <v>1</v>
      </c>
      <c r="AC138" s="211" t="e">
        <v>#N/A</v>
      </c>
      <c r="AD138" s="211" t="e">
        <v>#N/A</v>
      </c>
      <c r="AE138" s="211" t="e">
        <v>#N/A</v>
      </c>
    </row>
    <row r="139" spans="1:31" s="8" customFormat="1" x14ac:dyDescent="0.25">
      <c r="A139" s="189"/>
      <c r="B139" s="92" t="s">
        <v>209</v>
      </c>
      <c r="C139" s="90" t="str">
        <f>VLOOKUP($F139,Admin!$A$16:$E$19,2,FALSE)</f>
        <v>Alkalmazott (ipari) kutatás – Működési költség</v>
      </c>
      <c r="D139" s="161" t="s">
        <v>129</v>
      </c>
      <c r="E139" s="90" t="str">
        <f>VLOOKUP($F139,Admin!$A$16:$E$19,4,FALSE)</f>
        <v>54. Bérköltség - technikus segédszemélyzet</v>
      </c>
      <c r="F139" s="90" t="s">
        <v>173</v>
      </c>
      <c r="G139" s="161" t="s">
        <v>174</v>
      </c>
      <c r="H139" s="161" t="s">
        <v>207</v>
      </c>
      <c r="I139" s="90" t="str">
        <f>VLOOKUP($F139,Admin!$A$16:$E$19,5,FALSE)</f>
        <v>Technikus</v>
      </c>
      <c r="J139" s="161" t="s">
        <v>51</v>
      </c>
      <c r="K139" s="161" t="str">
        <f t="shared" si="394"/>
        <v>2022.12</v>
      </c>
      <c r="L139" s="91" t="s">
        <v>8</v>
      </c>
      <c r="M139" s="92" t="s">
        <v>78</v>
      </c>
      <c r="N139" s="162">
        <v>375000</v>
      </c>
      <c r="O139" s="163">
        <v>23024</v>
      </c>
      <c r="P139" s="161">
        <v>130</v>
      </c>
      <c r="Q139" s="161">
        <v>87</v>
      </c>
      <c r="R139" s="230">
        <f t="shared" ref="R139" si="403">Q139/P139</f>
        <v>0.66923076923076918</v>
      </c>
      <c r="S139" s="164">
        <f t="shared" ref="S139" si="404">ROUND(N139*Q139/P139,0)</f>
        <v>250962</v>
      </c>
      <c r="T139" s="165">
        <f>ROUND(O139*Q139/P139,0)</f>
        <v>15408</v>
      </c>
      <c r="U139" s="166">
        <f t="shared" ref="U139" si="405">Q139/P139-S139/N139</f>
        <v>-1.2307692308644036E-6</v>
      </c>
      <c r="V139" s="87">
        <v>0.13</v>
      </c>
      <c r="W139" s="224" t="s">
        <v>229</v>
      </c>
      <c r="X139" s="23">
        <v>44875</v>
      </c>
      <c r="Y139" s="20" t="s">
        <v>197</v>
      </c>
      <c r="Z139" s="20"/>
      <c r="AA139" s="20"/>
      <c r="AB139" s="168">
        <v>1</v>
      </c>
      <c r="AC139" s="211" t="s">
        <v>249</v>
      </c>
      <c r="AD139" s="211" t="s">
        <v>250</v>
      </c>
      <c r="AE139" s="211" t="s">
        <v>250</v>
      </c>
    </row>
    <row r="140" spans="1:31" s="8" customFormat="1" x14ac:dyDescent="0.25">
      <c r="A140" s="189"/>
      <c r="B140" s="92" t="s">
        <v>209</v>
      </c>
      <c r="C140" s="90" t="str">
        <f>VLOOKUP($F140,Admin!$A$16:$E$19,2,FALSE)</f>
        <v>Alkalmazott (ipari) kutatás – Működési költség</v>
      </c>
      <c r="D140" s="161" t="s">
        <v>129</v>
      </c>
      <c r="E140" s="90" t="str">
        <f>VLOOKUP($F140,Admin!$A$16:$E$19,4,FALSE)</f>
        <v>54. Bérköltség - technikus segédszemélyzet</v>
      </c>
      <c r="F140" s="90" t="s">
        <v>173</v>
      </c>
      <c r="G140" s="161" t="s">
        <v>174</v>
      </c>
      <c r="H140" s="161" t="s">
        <v>207</v>
      </c>
      <c r="I140" s="90" t="str">
        <f>VLOOKUP($F140,Admin!$A$16:$E$19,5,FALSE)</f>
        <v>Technikus</v>
      </c>
      <c r="J140" s="161" t="s">
        <v>64</v>
      </c>
      <c r="K140" s="161" t="str">
        <f t="shared" ref="K140:K141" si="406">J140</f>
        <v>2023.01</v>
      </c>
      <c r="L140" s="91" t="s">
        <v>8</v>
      </c>
      <c r="M140" s="92" t="s">
        <v>78</v>
      </c>
      <c r="N140" s="162">
        <v>550000</v>
      </c>
      <c r="O140" s="163">
        <v>41340</v>
      </c>
      <c r="P140" s="161">
        <v>174</v>
      </c>
      <c r="Q140" s="161">
        <v>95</v>
      </c>
      <c r="R140" s="230">
        <f t="shared" ref="R140" si="407">Q140/P140</f>
        <v>0.54597701149425293</v>
      </c>
      <c r="S140" s="164">
        <f t="shared" ref="S140" si="408">ROUND(N140*Q140/P140,0)</f>
        <v>300287</v>
      </c>
      <c r="T140" s="165">
        <v>22571</v>
      </c>
      <c r="U140" s="166">
        <f t="shared" ref="U140" si="409">Q140/P140-S140/N140</f>
        <v>6.4785788933541255E-7</v>
      </c>
      <c r="V140" s="87">
        <v>0.13</v>
      </c>
      <c r="W140" s="224" t="s">
        <v>229</v>
      </c>
      <c r="X140" s="23">
        <v>44936</v>
      </c>
      <c r="Y140" s="20" t="s">
        <v>197</v>
      </c>
      <c r="Z140" s="20"/>
      <c r="AA140" s="20"/>
      <c r="AB140" s="168">
        <v>1</v>
      </c>
      <c r="AC140" s="211" t="s">
        <v>249</v>
      </c>
      <c r="AD140" s="211">
        <v>0</v>
      </c>
      <c r="AE140" s="211">
        <v>0</v>
      </c>
    </row>
    <row r="141" spans="1:31" s="8" customFormat="1" x14ac:dyDescent="0.25">
      <c r="A141" s="189"/>
      <c r="B141" s="92" t="s">
        <v>209</v>
      </c>
      <c r="C141" s="90" t="str">
        <f>VLOOKUP($F141,Admin!$A$16:$E$19,2,FALSE)</f>
        <v>Alkalmazott (ipari) kutatás – Működési költség</v>
      </c>
      <c r="D141" s="161" t="s">
        <v>129</v>
      </c>
      <c r="E141" s="90" t="str">
        <f>VLOOKUP($F141,Admin!$A$16:$E$19,4,FALSE)</f>
        <v>54. Bérköltség - technikus segédszemélyzet</v>
      </c>
      <c r="F141" s="90" t="s">
        <v>173</v>
      </c>
      <c r="G141" s="161" t="s">
        <v>174</v>
      </c>
      <c r="H141" s="161" t="s">
        <v>207</v>
      </c>
      <c r="I141" s="90" t="str">
        <f>VLOOKUP($F141,Admin!$A$16:$E$19,5,FALSE)</f>
        <v>Technikus</v>
      </c>
      <c r="J141" s="161" t="s">
        <v>65</v>
      </c>
      <c r="K141" s="161" t="str">
        <f t="shared" si="406"/>
        <v>2023.02</v>
      </c>
      <c r="L141" s="91" t="s">
        <v>8</v>
      </c>
      <c r="M141" s="92" t="s">
        <v>78</v>
      </c>
      <c r="N141" s="162">
        <v>550000</v>
      </c>
      <c r="O141" s="163">
        <v>41340</v>
      </c>
      <c r="P141" s="161">
        <v>174</v>
      </c>
      <c r="Q141" s="161">
        <v>95</v>
      </c>
      <c r="R141" s="230">
        <f t="shared" ref="R141" si="410">Q141/P141</f>
        <v>0.54597701149425293</v>
      </c>
      <c r="S141" s="164">
        <f t="shared" ref="S141" si="411">ROUND(N141*Q141/P141,0)</f>
        <v>300287</v>
      </c>
      <c r="T141" s="165">
        <f t="shared" ref="T141" si="412">ROUND(S141*V141,0)</f>
        <v>39037</v>
      </c>
      <c r="U141" s="166">
        <f t="shared" ref="U141" si="413">Q141/P141-S141/N141</f>
        <v>6.4785788933541255E-7</v>
      </c>
      <c r="V141" s="87">
        <v>0.13</v>
      </c>
      <c r="W141" s="224" t="s">
        <v>229</v>
      </c>
      <c r="X141" s="23">
        <v>44936</v>
      </c>
      <c r="Y141" s="20" t="s">
        <v>197</v>
      </c>
      <c r="Z141" s="20"/>
      <c r="AA141" s="20"/>
      <c r="AB141" s="168">
        <v>1</v>
      </c>
      <c r="AC141" s="8" t="str">
        <f>IF(VLOOKUP($W141,'Havi béradatok'!$B:$E,2,FALSE)=H141,"EGYEZIK","HIBÁS")</f>
        <v>EGYEZIK</v>
      </c>
      <c r="AD141" s="8">
        <f>VLOOKUP($W141,'Havi béradatok'!$B:$E,3,FALSE)-N141</f>
        <v>-175000</v>
      </c>
      <c r="AE141" s="8">
        <f>VLOOKUP($W141,'Havi béradatok'!$B:$E,4,FALSE)-O141</f>
        <v>-22750</v>
      </c>
    </row>
    <row r="142" spans="1:31" s="8" customFormat="1" x14ac:dyDescent="0.25">
      <c r="A142" s="189"/>
      <c r="B142" s="92" t="s">
        <v>209</v>
      </c>
      <c r="C142" s="90" t="str">
        <f>VLOOKUP($F142,Admin!$A$16:$E$19,2,FALSE)</f>
        <v>Alkalmazott (ipari) kutatás – Működési költség</v>
      </c>
      <c r="D142" s="161" t="s">
        <v>129</v>
      </c>
      <c r="E142" s="90" t="str">
        <f>VLOOKUP($F142,Admin!$A$16:$E$19,4,FALSE)</f>
        <v>54. Bérköltség - technikus segédszemélyzet</v>
      </c>
      <c r="F142" s="90" t="s">
        <v>173</v>
      </c>
      <c r="G142" s="161" t="s">
        <v>174</v>
      </c>
      <c r="H142" s="161" t="s">
        <v>207</v>
      </c>
      <c r="I142" s="90" t="str">
        <f>VLOOKUP($F142,Admin!$A$16:$E$19,5,FALSE)</f>
        <v>Technikus</v>
      </c>
      <c r="J142" s="194">
        <v>44986</v>
      </c>
      <c r="K142" s="194">
        <v>45007</v>
      </c>
      <c r="L142" s="91" t="s">
        <v>8</v>
      </c>
      <c r="M142" s="92" t="s">
        <v>78</v>
      </c>
      <c r="N142" s="162">
        <v>375000</v>
      </c>
      <c r="O142" s="163">
        <v>18590</v>
      </c>
      <c r="P142" s="161">
        <v>174</v>
      </c>
      <c r="Q142" s="161">
        <v>95</v>
      </c>
      <c r="R142" s="230">
        <f t="shared" ref="R142" si="414">Q142/P142</f>
        <v>0.54597701149425293</v>
      </c>
      <c r="S142" s="164">
        <f t="shared" ref="S142" si="415">ROUND(N142*Q142/P142,0)</f>
        <v>204741</v>
      </c>
      <c r="T142" s="165">
        <v>10150</v>
      </c>
      <c r="U142" s="166">
        <f t="shared" ref="U142" si="416">Q142/P142-S142/N142</f>
        <v>1.0114942529115822E-6</v>
      </c>
      <c r="V142" s="87">
        <v>0.13</v>
      </c>
      <c r="W142" s="224" t="s">
        <v>229</v>
      </c>
      <c r="X142" s="23">
        <v>44977</v>
      </c>
      <c r="Y142" s="20" t="s">
        <v>197</v>
      </c>
      <c r="Z142" s="20"/>
      <c r="AA142" s="20"/>
      <c r="AB142" s="168">
        <v>1</v>
      </c>
      <c r="AC142" s="8" t="str">
        <f>IF(VLOOKUP($W142,'Havi béradatok'!$B:$E,2,FALSE)=H142,"EGYEZIK","HIBÁS")</f>
        <v>EGYEZIK</v>
      </c>
      <c r="AD142" s="8">
        <f>VLOOKUP($W142,'Havi béradatok'!$B:$E,3,FALSE)-N142</f>
        <v>0</v>
      </c>
      <c r="AE142" s="8">
        <f>VLOOKUP($W142,'Havi béradatok'!$B:$E,4,FALSE)-O142</f>
        <v>0</v>
      </c>
    </row>
    <row r="143" spans="1:31" s="8" customFormat="1" x14ac:dyDescent="0.25">
      <c r="A143" s="189"/>
      <c r="B143" s="92" t="s">
        <v>209</v>
      </c>
      <c r="C143" s="90" t="str">
        <f>VLOOKUP($F143,Admin!$A$16:$E$19,2,FALSE)</f>
        <v>Alkalmazott (ipari) kutatás – Működési költség</v>
      </c>
      <c r="D143" s="161" t="s">
        <v>129</v>
      </c>
      <c r="E143" s="90" t="str">
        <f>VLOOKUP($F143,Admin!$A$16:$E$19,4,FALSE)</f>
        <v>54. Bérköltség - technikus segédszemélyzet</v>
      </c>
      <c r="F143" s="90" t="s">
        <v>173</v>
      </c>
      <c r="G143" s="161" t="s">
        <v>174</v>
      </c>
      <c r="H143" s="161" t="s">
        <v>207</v>
      </c>
      <c r="I143" s="90" t="str">
        <f>VLOOKUP($F143,Admin!$A$16:$E$19,5,FALSE)</f>
        <v>Technikus</v>
      </c>
      <c r="J143" s="161" t="s">
        <v>67</v>
      </c>
      <c r="K143" s="161" t="str">
        <f t="shared" ref="K143:K145" si="417">J143</f>
        <v>2023.04</v>
      </c>
      <c r="L143" s="91" t="s">
        <v>9</v>
      </c>
      <c r="M143" s="92" t="s">
        <v>78</v>
      </c>
      <c r="N143" s="162">
        <v>550000</v>
      </c>
      <c r="O143" s="163">
        <f t="shared" ref="O143:O145" si="418">ROUND(N143*V143,0)</f>
        <v>71500</v>
      </c>
      <c r="P143" s="161">
        <v>174</v>
      </c>
      <c r="Q143" s="161">
        <v>95</v>
      </c>
      <c r="R143" s="230">
        <f t="shared" ref="R143:R145" si="419">Q143/P143</f>
        <v>0.54597701149425293</v>
      </c>
      <c r="S143" s="164">
        <f t="shared" ref="S143:S145" si="420">ROUND(N143*Q143/P143,0)</f>
        <v>300287</v>
      </c>
      <c r="T143" s="165">
        <f t="shared" ref="T143:T145" si="421">ROUND(S143*V143,0)</f>
        <v>39037</v>
      </c>
      <c r="U143" s="166">
        <f t="shared" ref="U143:U145" si="422">Q143/P143-S143/N143</f>
        <v>6.4785788933541255E-7</v>
      </c>
      <c r="V143" s="87">
        <v>0.13</v>
      </c>
      <c r="W143" s="224" t="s">
        <v>229</v>
      </c>
      <c r="X143" s="23">
        <v>44977</v>
      </c>
      <c r="Y143" s="20" t="s">
        <v>197</v>
      </c>
      <c r="Z143" s="20"/>
      <c r="AA143" s="20"/>
      <c r="AB143" s="168"/>
    </row>
    <row r="144" spans="1:31" s="8" customFormat="1" x14ac:dyDescent="0.25">
      <c r="A144" s="189"/>
      <c r="B144" s="92" t="s">
        <v>209</v>
      </c>
      <c r="C144" s="90" t="str">
        <f>VLOOKUP($F144,Admin!$A$16:$E$19,2,FALSE)</f>
        <v>Alkalmazott (ipari) kutatás – Működési költség</v>
      </c>
      <c r="D144" s="161" t="s">
        <v>129</v>
      </c>
      <c r="E144" s="90" t="str">
        <f>VLOOKUP($F144,Admin!$A$16:$E$19,4,FALSE)</f>
        <v>54. Bérköltség - technikus segédszemélyzet</v>
      </c>
      <c r="F144" s="90" t="s">
        <v>173</v>
      </c>
      <c r="G144" s="161" t="s">
        <v>174</v>
      </c>
      <c r="H144" s="161" t="s">
        <v>207</v>
      </c>
      <c r="I144" s="90" t="str">
        <f>VLOOKUP($F144,Admin!$A$16:$E$19,5,FALSE)</f>
        <v>Technikus</v>
      </c>
      <c r="J144" s="161" t="s">
        <v>68</v>
      </c>
      <c r="K144" s="161" t="str">
        <f t="shared" si="417"/>
        <v>2023.05</v>
      </c>
      <c r="L144" s="91" t="s">
        <v>9</v>
      </c>
      <c r="M144" s="92" t="s">
        <v>78</v>
      </c>
      <c r="N144" s="162">
        <v>550000</v>
      </c>
      <c r="O144" s="163">
        <f t="shared" si="418"/>
        <v>71500</v>
      </c>
      <c r="P144" s="161">
        <v>174</v>
      </c>
      <c r="Q144" s="161">
        <v>95</v>
      </c>
      <c r="R144" s="230">
        <f t="shared" si="419"/>
        <v>0.54597701149425293</v>
      </c>
      <c r="S144" s="164">
        <f t="shared" si="420"/>
        <v>300287</v>
      </c>
      <c r="T144" s="165">
        <f t="shared" si="421"/>
        <v>39037</v>
      </c>
      <c r="U144" s="166">
        <f t="shared" si="422"/>
        <v>6.4785788933541255E-7</v>
      </c>
      <c r="V144" s="87">
        <v>0.13</v>
      </c>
      <c r="W144" s="224" t="s">
        <v>229</v>
      </c>
      <c r="X144" s="23">
        <v>44977</v>
      </c>
      <c r="Y144" s="20" t="s">
        <v>197</v>
      </c>
      <c r="Z144" s="20"/>
      <c r="AA144" s="20"/>
      <c r="AB144" s="168"/>
    </row>
    <row r="145" spans="1:31" s="8" customFormat="1" x14ac:dyDescent="0.25">
      <c r="A145" s="189"/>
      <c r="B145" s="92" t="s">
        <v>209</v>
      </c>
      <c r="C145" s="90" t="str">
        <f>VLOOKUP($F145,Admin!$A$16:$E$19,2,FALSE)</f>
        <v>Alkalmazott (ipari) kutatás – Működési költség</v>
      </c>
      <c r="D145" s="161" t="s">
        <v>129</v>
      </c>
      <c r="E145" s="90" t="str">
        <f>VLOOKUP($F145,Admin!$A$16:$E$19,4,FALSE)</f>
        <v>54. Bérköltség - technikus segédszemélyzet</v>
      </c>
      <c r="F145" s="90" t="s">
        <v>173</v>
      </c>
      <c r="G145" s="161" t="s">
        <v>174</v>
      </c>
      <c r="H145" s="161" t="s">
        <v>207</v>
      </c>
      <c r="I145" s="90" t="str">
        <f>VLOOKUP($F145,Admin!$A$16:$E$19,5,FALSE)</f>
        <v>Technikus</v>
      </c>
      <c r="J145" s="161" t="s">
        <v>69</v>
      </c>
      <c r="K145" s="161" t="str">
        <f t="shared" si="417"/>
        <v>2023.06</v>
      </c>
      <c r="L145" s="91" t="s">
        <v>9</v>
      </c>
      <c r="M145" s="92" t="s">
        <v>78</v>
      </c>
      <c r="N145" s="162">
        <v>550000</v>
      </c>
      <c r="O145" s="163">
        <f t="shared" si="418"/>
        <v>71500</v>
      </c>
      <c r="P145" s="161">
        <v>174</v>
      </c>
      <c r="Q145" s="161">
        <v>95</v>
      </c>
      <c r="R145" s="230">
        <f t="shared" si="419"/>
        <v>0.54597701149425293</v>
      </c>
      <c r="S145" s="164">
        <f t="shared" si="420"/>
        <v>300287</v>
      </c>
      <c r="T145" s="165">
        <f t="shared" si="421"/>
        <v>39037</v>
      </c>
      <c r="U145" s="166">
        <f t="shared" si="422"/>
        <v>6.4785788933541255E-7</v>
      </c>
      <c r="V145" s="87">
        <v>0.13</v>
      </c>
      <c r="W145" s="224" t="s">
        <v>229</v>
      </c>
      <c r="X145" s="23">
        <v>44977</v>
      </c>
      <c r="Y145" s="20" t="s">
        <v>197</v>
      </c>
      <c r="Z145" s="20"/>
      <c r="AA145" s="20"/>
      <c r="AB145" s="168"/>
    </row>
    <row r="146" spans="1:31" s="8" customFormat="1" x14ac:dyDescent="0.25">
      <c r="A146" s="208">
        <v>1</v>
      </c>
      <c r="B146" s="92" t="s">
        <v>200</v>
      </c>
      <c r="C146" s="90" t="str">
        <f>VLOOKUP($F146,Admin!$A$16:$E$19,2,FALSE)</f>
        <v>Alkalmazott (ipari) kutatás – Működési költség</v>
      </c>
      <c r="D146" s="161" t="s">
        <v>129</v>
      </c>
      <c r="E146" s="90" t="str">
        <f>VLOOKUP($F146,Admin!$A$16:$E$19,4,FALSE)</f>
        <v>54. Bérköltség - technikus segédszemélyzet</v>
      </c>
      <c r="F146" s="90" t="s">
        <v>173</v>
      </c>
      <c r="G146" s="161" t="s">
        <v>174</v>
      </c>
      <c r="H146" s="161" t="s">
        <v>196</v>
      </c>
      <c r="I146" s="90" t="str">
        <f>VLOOKUP($F146,Admin!$A$16:$E$19,5,FALSE)</f>
        <v>Technikus</v>
      </c>
      <c r="J146" s="161" t="s">
        <v>43</v>
      </c>
      <c r="K146" s="161" t="str">
        <f t="shared" si="128"/>
        <v>2022.04</v>
      </c>
      <c r="L146" s="91" t="s">
        <v>8</v>
      </c>
      <c r="M146" s="92" t="s">
        <v>78</v>
      </c>
      <c r="N146" s="162">
        <v>175999</v>
      </c>
      <c r="O146" s="163">
        <f t="shared" ref="O146" si="423">ROUND(N146*V146,0)</f>
        <v>22880</v>
      </c>
      <c r="P146" s="161">
        <v>87</v>
      </c>
      <c r="Q146" s="161">
        <v>47</v>
      </c>
      <c r="R146" s="230">
        <f t="shared" ref="R146" si="424">Q146/P146</f>
        <v>0.54022988505747127</v>
      </c>
      <c r="S146" s="164">
        <f t="shared" ref="S146" si="425">ROUND(N146*Q146/P146,0)</f>
        <v>95080</v>
      </c>
      <c r="T146" s="165">
        <f t="shared" ref="T146" si="426">ROUND(S146*V146,0)</f>
        <v>12360</v>
      </c>
      <c r="U146" s="166">
        <f t="shared" ref="U146" si="427">Q146/P146-S146/N146</f>
        <v>-4.5716038221677024E-7</v>
      </c>
      <c r="V146" s="87">
        <v>0.13</v>
      </c>
      <c r="W146" s="224"/>
      <c r="X146" s="23">
        <v>44641</v>
      </c>
      <c r="Y146" s="20" t="s">
        <v>197</v>
      </c>
      <c r="Z146" s="20"/>
      <c r="AA146" s="20"/>
      <c r="AB146" s="168">
        <v>2</v>
      </c>
    </row>
    <row r="147" spans="1:31" s="8" customFormat="1" x14ac:dyDescent="0.25">
      <c r="A147" s="208">
        <v>1</v>
      </c>
      <c r="B147" s="92" t="s">
        <v>200</v>
      </c>
      <c r="C147" s="90" t="str">
        <f>VLOOKUP($F147,Admin!$A$16:$E$19,2,FALSE)</f>
        <v>Alkalmazott (ipari) kutatás – Működési költség</v>
      </c>
      <c r="D147" s="161" t="s">
        <v>129</v>
      </c>
      <c r="E147" s="90" t="str">
        <f>VLOOKUP($F147,Admin!$A$16:$E$19,4,FALSE)</f>
        <v>54. Bérköltség - technikus segédszemélyzet</v>
      </c>
      <c r="F147" s="90" t="s">
        <v>173</v>
      </c>
      <c r="G147" s="161" t="s">
        <v>174</v>
      </c>
      <c r="H147" s="161" t="s">
        <v>196</v>
      </c>
      <c r="I147" s="90" t="str">
        <f>VLOOKUP($F147,Admin!$A$16:$E$19,5,FALSE)</f>
        <v>Technikus</v>
      </c>
      <c r="J147" s="161" t="s">
        <v>44</v>
      </c>
      <c r="K147" s="161" t="str">
        <f t="shared" si="128"/>
        <v>2022.05</v>
      </c>
      <c r="L147" s="91" t="s">
        <v>8</v>
      </c>
      <c r="M147" s="92" t="s">
        <v>78</v>
      </c>
      <c r="N147" s="162">
        <v>176000</v>
      </c>
      <c r="O147" s="163">
        <f t="shared" ref="O147:O150" si="428">ROUND(N147*V147,0)</f>
        <v>22880</v>
      </c>
      <c r="P147" s="161">
        <v>87</v>
      </c>
      <c r="Q147" s="161">
        <v>47</v>
      </c>
      <c r="R147" s="230">
        <f t="shared" ref="R147:R150" si="429">Q147/P147</f>
        <v>0.54022988505747127</v>
      </c>
      <c r="S147" s="164">
        <f t="shared" ref="S147:S150" si="430">ROUND(N147*Q147/P147,0)</f>
        <v>95080</v>
      </c>
      <c r="T147" s="165">
        <f t="shared" ref="T147:T150" si="431">ROUND(S147*V147,0)</f>
        <v>12360</v>
      </c>
      <c r="U147" s="166">
        <f t="shared" ref="U147:U150" si="432">Q147/P147-S147/N147</f>
        <v>2.6123301984926073E-6</v>
      </c>
      <c r="V147" s="87">
        <v>0.13</v>
      </c>
      <c r="W147" s="224"/>
      <c r="X147" s="23">
        <v>44641</v>
      </c>
      <c r="Y147" s="20" t="s">
        <v>197</v>
      </c>
      <c r="Z147" s="20"/>
      <c r="AA147" s="20"/>
      <c r="AB147" s="168">
        <v>2</v>
      </c>
    </row>
    <row r="148" spans="1:31" s="8" customFormat="1" x14ac:dyDescent="0.25">
      <c r="A148" s="208">
        <v>1</v>
      </c>
      <c r="B148" s="92" t="s">
        <v>200</v>
      </c>
      <c r="C148" s="90" t="str">
        <f>VLOOKUP($F148,Admin!$A$16:$E$19,2,FALSE)</f>
        <v>Alkalmazott (ipari) kutatás – Működési költség</v>
      </c>
      <c r="D148" s="161" t="s">
        <v>129</v>
      </c>
      <c r="E148" s="90" t="str">
        <f>VLOOKUP($F148,Admin!$A$16:$E$19,4,FALSE)</f>
        <v>54. Bérköltség - technikus segédszemélyzet</v>
      </c>
      <c r="F148" s="90" t="s">
        <v>173</v>
      </c>
      <c r="G148" s="161" t="s">
        <v>174</v>
      </c>
      <c r="H148" s="161" t="s">
        <v>196</v>
      </c>
      <c r="I148" s="90" t="str">
        <f>VLOOKUP($F148,Admin!$A$16:$E$19,5,FALSE)</f>
        <v>Technikus</v>
      </c>
      <c r="J148" s="161" t="s">
        <v>45</v>
      </c>
      <c r="K148" s="161" t="str">
        <f t="shared" si="128"/>
        <v>2022.06</v>
      </c>
      <c r="L148" s="91" t="s">
        <v>8</v>
      </c>
      <c r="M148" s="92" t="s">
        <v>78</v>
      </c>
      <c r="N148" s="162">
        <v>176000</v>
      </c>
      <c r="O148" s="163">
        <f t="shared" si="428"/>
        <v>22880</v>
      </c>
      <c r="P148" s="161">
        <v>87</v>
      </c>
      <c r="Q148" s="161">
        <v>47</v>
      </c>
      <c r="R148" s="230">
        <f t="shared" si="429"/>
        <v>0.54022988505747127</v>
      </c>
      <c r="S148" s="164">
        <f t="shared" si="430"/>
        <v>95080</v>
      </c>
      <c r="T148" s="165">
        <f t="shared" si="431"/>
        <v>12360</v>
      </c>
      <c r="U148" s="166">
        <f t="shared" si="432"/>
        <v>2.6123301984926073E-6</v>
      </c>
      <c r="V148" s="87">
        <v>0.13</v>
      </c>
      <c r="W148" s="224"/>
      <c r="X148" s="23">
        <v>44641</v>
      </c>
      <c r="Y148" s="20" t="s">
        <v>197</v>
      </c>
      <c r="Z148" s="20"/>
      <c r="AA148" s="20"/>
      <c r="AB148" s="168">
        <v>2</v>
      </c>
    </row>
    <row r="149" spans="1:31" s="8" customFormat="1" x14ac:dyDescent="0.25">
      <c r="A149" s="208">
        <v>1</v>
      </c>
      <c r="B149" s="92" t="s">
        <v>200</v>
      </c>
      <c r="C149" s="90" t="str">
        <f>VLOOKUP($F149,Admin!$A$16:$E$19,2,FALSE)</f>
        <v>Alkalmazott (ipari) kutatás – Működési költség</v>
      </c>
      <c r="D149" s="161" t="s">
        <v>129</v>
      </c>
      <c r="E149" s="90" t="str">
        <f>VLOOKUP($F149,Admin!$A$16:$E$19,4,FALSE)</f>
        <v>54. Bérköltség - technikus segédszemélyzet</v>
      </c>
      <c r="F149" s="90" t="s">
        <v>173</v>
      </c>
      <c r="G149" s="161" t="s">
        <v>174</v>
      </c>
      <c r="H149" s="161" t="s">
        <v>196</v>
      </c>
      <c r="I149" s="90" t="str">
        <f>VLOOKUP($F149,Admin!$A$16:$E$19,5,FALSE)</f>
        <v>Technikus</v>
      </c>
      <c r="J149" s="161" t="s">
        <v>46</v>
      </c>
      <c r="K149" s="161" t="str">
        <f t="shared" si="128"/>
        <v>2022.07</v>
      </c>
      <c r="L149" s="91" t="s">
        <v>8</v>
      </c>
      <c r="M149" s="92" t="s">
        <v>78</v>
      </c>
      <c r="N149" s="162">
        <v>176000</v>
      </c>
      <c r="O149" s="163">
        <f t="shared" si="428"/>
        <v>22880</v>
      </c>
      <c r="P149" s="161">
        <v>87</v>
      </c>
      <c r="Q149" s="161">
        <v>47</v>
      </c>
      <c r="R149" s="230">
        <f t="shared" si="429"/>
        <v>0.54022988505747127</v>
      </c>
      <c r="S149" s="164">
        <f t="shared" si="430"/>
        <v>95080</v>
      </c>
      <c r="T149" s="165">
        <f t="shared" si="431"/>
        <v>12360</v>
      </c>
      <c r="U149" s="166">
        <f t="shared" si="432"/>
        <v>2.6123301984926073E-6</v>
      </c>
      <c r="V149" s="87">
        <v>0.13</v>
      </c>
      <c r="W149" s="224"/>
      <c r="X149" s="23">
        <v>44641</v>
      </c>
      <c r="Y149" s="20" t="s">
        <v>197</v>
      </c>
      <c r="Z149" s="20"/>
      <c r="AA149" s="20"/>
      <c r="AB149" s="168">
        <v>2</v>
      </c>
    </row>
    <row r="150" spans="1:31" s="8" customFormat="1" x14ac:dyDescent="0.25">
      <c r="A150" s="208">
        <v>1</v>
      </c>
      <c r="B150" s="92" t="s">
        <v>200</v>
      </c>
      <c r="C150" s="90" t="str">
        <f>VLOOKUP($F150,Admin!$A$16:$E$19,2,FALSE)</f>
        <v>Alkalmazott (ipari) kutatás – Működési költség</v>
      </c>
      <c r="D150" s="161" t="s">
        <v>129</v>
      </c>
      <c r="E150" s="90" t="str">
        <f>VLOOKUP($F150,Admin!$A$16:$E$19,4,FALSE)</f>
        <v>54. Bérköltség - technikus segédszemélyzet</v>
      </c>
      <c r="F150" s="90" t="s">
        <v>173</v>
      </c>
      <c r="G150" s="161" t="s">
        <v>174</v>
      </c>
      <c r="H150" s="161" t="s">
        <v>196</v>
      </c>
      <c r="I150" s="90" t="str">
        <f>VLOOKUP($F150,Admin!$A$16:$E$19,5,FALSE)</f>
        <v>Technikus</v>
      </c>
      <c r="J150" s="161" t="s">
        <v>47</v>
      </c>
      <c r="K150" s="161" t="str">
        <f t="shared" si="128"/>
        <v>2022.08</v>
      </c>
      <c r="L150" s="91" t="s">
        <v>8</v>
      </c>
      <c r="M150" s="92" t="s">
        <v>78</v>
      </c>
      <c r="N150" s="162">
        <v>137738</v>
      </c>
      <c r="O150" s="163">
        <f t="shared" si="428"/>
        <v>17906</v>
      </c>
      <c r="P150" s="161">
        <v>87</v>
      </c>
      <c r="Q150" s="161">
        <v>47</v>
      </c>
      <c r="R150" s="230">
        <f t="shared" si="429"/>
        <v>0.54022988505747127</v>
      </c>
      <c r="S150" s="164">
        <f t="shared" si="430"/>
        <v>74410</v>
      </c>
      <c r="T150" s="165">
        <f t="shared" si="431"/>
        <v>9673</v>
      </c>
      <c r="U150" s="166">
        <f t="shared" si="432"/>
        <v>1.3352019484491606E-6</v>
      </c>
      <c r="V150" s="87">
        <v>0.13</v>
      </c>
      <c r="W150" s="224"/>
      <c r="X150" s="23">
        <v>44641</v>
      </c>
      <c r="Y150" s="20" t="s">
        <v>197</v>
      </c>
      <c r="Z150" s="20"/>
      <c r="AA150" s="20"/>
      <c r="AB150" s="168">
        <v>2</v>
      </c>
    </row>
    <row r="151" spans="1:31" s="8" customFormat="1" x14ac:dyDescent="0.25">
      <c r="A151" s="208">
        <v>1</v>
      </c>
      <c r="B151" s="92" t="s">
        <v>200</v>
      </c>
      <c r="C151" s="90" t="str">
        <f>VLOOKUP($F151,Admin!$A$16:$E$19,2,FALSE)</f>
        <v>Alkalmazott (ipari) kutatás – Működési költség</v>
      </c>
      <c r="D151" s="161" t="s">
        <v>129</v>
      </c>
      <c r="E151" s="90" t="str">
        <f>VLOOKUP($F151,Admin!$A$16:$E$19,4,FALSE)</f>
        <v>54. Bérköltség - technikus segédszemélyzet</v>
      </c>
      <c r="F151" s="90" t="s">
        <v>173</v>
      </c>
      <c r="G151" s="161" t="s">
        <v>174</v>
      </c>
      <c r="H151" s="161" t="s">
        <v>196</v>
      </c>
      <c r="I151" s="90" t="str">
        <f>VLOOKUP($F151,Admin!$A$16:$E$19,5,FALSE)</f>
        <v>Technikus</v>
      </c>
      <c r="J151" s="161" t="s">
        <v>48</v>
      </c>
      <c r="K151" s="161" t="str">
        <f t="shared" ref="K151:K154" si="433">J151</f>
        <v>2022.09</v>
      </c>
      <c r="L151" s="91" t="s">
        <v>8</v>
      </c>
      <c r="M151" s="92" t="s">
        <v>78</v>
      </c>
      <c r="N151" s="162">
        <v>176000</v>
      </c>
      <c r="O151" s="163">
        <f t="shared" ref="O151" si="434">ROUND(N151*V151,0)</f>
        <v>22880</v>
      </c>
      <c r="P151" s="161">
        <v>87</v>
      </c>
      <c r="Q151" s="161">
        <v>47</v>
      </c>
      <c r="R151" s="230">
        <f t="shared" ref="R151" si="435">Q151/P151</f>
        <v>0.54022988505747127</v>
      </c>
      <c r="S151" s="164">
        <f t="shared" ref="S151" si="436">ROUND(N151*Q151/P151,0)</f>
        <v>95080</v>
      </c>
      <c r="T151" s="165">
        <f t="shared" ref="T151" si="437">ROUND(S151*V151,0)</f>
        <v>12360</v>
      </c>
      <c r="U151" s="166">
        <f t="shared" ref="U151" si="438">Q151/P151-S151/N151</f>
        <v>2.6123301984926073E-6</v>
      </c>
      <c r="V151" s="87">
        <v>0.13</v>
      </c>
      <c r="W151" s="224"/>
      <c r="X151" s="23">
        <v>44799</v>
      </c>
      <c r="Y151" s="20" t="s">
        <v>197</v>
      </c>
      <c r="Z151" s="20"/>
      <c r="AA151" s="20"/>
      <c r="AB151" s="168">
        <v>5</v>
      </c>
    </row>
    <row r="152" spans="1:31" s="8" customFormat="1" x14ac:dyDescent="0.25">
      <c r="A152" s="189"/>
      <c r="B152" s="92" t="s">
        <v>200</v>
      </c>
      <c r="C152" s="90" t="str">
        <f>VLOOKUP($F152,Admin!$A$16:$E$19,2,FALSE)</f>
        <v>Alkalmazott (ipari) kutatás – Működési költség</v>
      </c>
      <c r="D152" s="161" t="s">
        <v>129</v>
      </c>
      <c r="E152" s="90" t="str">
        <f>VLOOKUP($F152,Admin!$A$16:$E$19,4,FALSE)</f>
        <v>54. Bérköltség - technikus segédszemélyzet</v>
      </c>
      <c r="F152" s="90" t="s">
        <v>173</v>
      </c>
      <c r="G152" s="161" t="s">
        <v>174</v>
      </c>
      <c r="H152" s="161" t="s">
        <v>196</v>
      </c>
      <c r="I152" s="90" t="str">
        <f>VLOOKUP($F152,Admin!$A$16:$E$19,5,FALSE)</f>
        <v>Technikus</v>
      </c>
      <c r="J152" s="161" t="s">
        <v>49</v>
      </c>
      <c r="K152" s="161" t="str">
        <f t="shared" si="433"/>
        <v>2022.10</v>
      </c>
      <c r="L152" s="91" t="s">
        <v>8</v>
      </c>
      <c r="M152" s="92" t="s">
        <v>78</v>
      </c>
      <c r="N152" s="162">
        <v>176000</v>
      </c>
      <c r="O152" s="163">
        <f t="shared" ref="O152:O154" si="439">ROUND(N152*V152,0)</f>
        <v>22880</v>
      </c>
      <c r="P152" s="161">
        <v>87</v>
      </c>
      <c r="Q152" s="161">
        <v>47</v>
      </c>
      <c r="R152" s="230">
        <f t="shared" ref="R152:R154" si="440">Q152/P152</f>
        <v>0.54022988505747127</v>
      </c>
      <c r="S152" s="164">
        <f t="shared" ref="S152:S154" si="441">ROUND(N152*Q152/P152,0)</f>
        <v>95080</v>
      </c>
      <c r="T152" s="165">
        <f t="shared" ref="T152:T154" si="442">ROUND(S152*V152,0)</f>
        <v>12360</v>
      </c>
      <c r="U152" s="166">
        <f t="shared" ref="U152:U154" si="443">Q152/P152-S152/N152</f>
        <v>2.6123301984926073E-6</v>
      </c>
      <c r="V152" s="87">
        <v>0.13</v>
      </c>
      <c r="W152" s="224"/>
      <c r="X152" s="23">
        <v>44799</v>
      </c>
      <c r="Y152" s="20" t="s">
        <v>197</v>
      </c>
      <c r="Z152" s="20"/>
      <c r="AA152" s="20"/>
      <c r="AB152" s="168">
        <v>2</v>
      </c>
    </row>
    <row r="153" spans="1:31" s="8" customFormat="1" x14ac:dyDescent="0.25">
      <c r="A153" s="189"/>
      <c r="B153" s="92" t="s">
        <v>200</v>
      </c>
      <c r="C153" s="90" t="str">
        <f>VLOOKUP($F153,Admin!$A$16:$E$19,2,FALSE)</f>
        <v>Alkalmazott (ipari) kutatás – Működési költség</v>
      </c>
      <c r="D153" s="161" t="s">
        <v>129</v>
      </c>
      <c r="E153" s="90" t="str">
        <f>VLOOKUP($F153,Admin!$A$16:$E$19,4,FALSE)</f>
        <v>54. Bérköltség - technikus segédszemélyzet</v>
      </c>
      <c r="F153" s="90" t="s">
        <v>173</v>
      </c>
      <c r="G153" s="161" t="s">
        <v>174</v>
      </c>
      <c r="H153" s="161" t="s">
        <v>196</v>
      </c>
      <c r="I153" s="90" t="str">
        <f>VLOOKUP($F153,Admin!$A$16:$E$19,5,FALSE)</f>
        <v>Technikus</v>
      </c>
      <c r="J153" s="161" t="s">
        <v>50</v>
      </c>
      <c r="K153" s="161" t="str">
        <f t="shared" si="433"/>
        <v>2022.11</v>
      </c>
      <c r="L153" s="91" t="s">
        <v>8</v>
      </c>
      <c r="M153" s="92" t="s">
        <v>78</v>
      </c>
      <c r="N153" s="162">
        <v>176000</v>
      </c>
      <c r="O153" s="163">
        <f t="shared" si="439"/>
        <v>22880</v>
      </c>
      <c r="P153" s="161">
        <v>87</v>
      </c>
      <c r="Q153" s="161">
        <v>47</v>
      </c>
      <c r="R153" s="230">
        <f t="shared" si="440"/>
        <v>0.54022988505747127</v>
      </c>
      <c r="S153" s="164">
        <f t="shared" si="441"/>
        <v>95080</v>
      </c>
      <c r="T153" s="165">
        <f t="shared" si="442"/>
        <v>12360</v>
      </c>
      <c r="U153" s="166">
        <f t="shared" si="443"/>
        <v>2.6123301984926073E-6</v>
      </c>
      <c r="V153" s="87">
        <v>0.13</v>
      </c>
      <c r="W153" s="224" t="s">
        <v>230</v>
      </c>
      <c r="X153" s="23">
        <v>44799</v>
      </c>
      <c r="Y153" s="20" t="s">
        <v>197</v>
      </c>
      <c r="Z153" s="20"/>
      <c r="AA153" s="20"/>
      <c r="AB153" s="168">
        <v>2</v>
      </c>
      <c r="AC153" s="211" t="e">
        <v>#N/A</v>
      </c>
      <c r="AD153" s="211" t="e">
        <v>#N/A</v>
      </c>
      <c r="AE153" s="212" t="e">
        <v>#N/A</v>
      </c>
    </row>
    <row r="154" spans="1:31" s="8" customFormat="1" x14ac:dyDescent="0.25">
      <c r="A154" s="189"/>
      <c r="B154" s="92" t="s">
        <v>200</v>
      </c>
      <c r="C154" s="90" t="str">
        <f>VLOOKUP($F154,Admin!$A$16:$E$19,2,FALSE)</f>
        <v>Alkalmazott (ipari) kutatás – Működési költség</v>
      </c>
      <c r="D154" s="161" t="s">
        <v>129</v>
      </c>
      <c r="E154" s="90" t="str">
        <f>VLOOKUP($F154,Admin!$A$16:$E$19,4,FALSE)</f>
        <v>54. Bérköltség - technikus segédszemélyzet</v>
      </c>
      <c r="F154" s="90" t="s">
        <v>173</v>
      </c>
      <c r="G154" s="161" t="s">
        <v>174</v>
      </c>
      <c r="H154" s="161" t="s">
        <v>196</v>
      </c>
      <c r="I154" s="90" t="str">
        <f>VLOOKUP($F154,Admin!$A$16:$E$19,5,FALSE)</f>
        <v>Technikus</v>
      </c>
      <c r="J154" s="161" t="s">
        <v>51</v>
      </c>
      <c r="K154" s="161" t="str">
        <f t="shared" si="433"/>
        <v>2022.12</v>
      </c>
      <c r="L154" s="91" t="s">
        <v>8</v>
      </c>
      <c r="M154" s="92" t="s">
        <v>78</v>
      </c>
      <c r="N154" s="162">
        <v>176000</v>
      </c>
      <c r="O154" s="163">
        <f t="shared" si="439"/>
        <v>22880</v>
      </c>
      <c r="P154" s="161">
        <v>87</v>
      </c>
      <c r="Q154" s="161">
        <v>47</v>
      </c>
      <c r="R154" s="230">
        <f t="shared" si="440"/>
        <v>0.54022988505747127</v>
      </c>
      <c r="S154" s="164">
        <f t="shared" si="441"/>
        <v>95080</v>
      </c>
      <c r="T154" s="165">
        <f t="shared" si="442"/>
        <v>12360</v>
      </c>
      <c r="U154" s="166">
        <f t="shared" si="443"/>
        <v>2.6123301984926073E-6</v>
      </c>
      <c r="V154" s="87">
        <v>0.13</v>
      </c>
      <c r="W154" s="224" t="s">
        <v>230</v>
      </c>
      <c r="X154" s="23">
        <v>44799</v>
      </c>
      <c r="Y154" s="20" t="s">
        <v>197</v>
      </c>
      <c r="Z154" s="20"/>
      <c r="AA154" s="20"/>
      <c r="AB154" s="168">
        <v>2</v>
      </c>
      <c r="AC154" s="211" t="s">
        <v>249</v>
      </c>
      <c r="AD154" s="219" t="s">
        <v>250</v>
      </c>
      <c r="AE154" s="211" t="s">
        <v>250</v>
      </c>
    </row>
    <row r="155" spans="1:31" s="8" customFormat="1" x14ac:dyDescent="0.25">
      <c r="A155" s="189"/>
      <c r="B155" s="92" t="s">
        <v>200</v>
      </c>
      <c r="C155" s="90" t="str">
        <f>VLOOKUP($F155,Admin!$A$16:$E$19,2,FALSE)</f>
        <v>Alkalmazott (ipari) kutatás – Működési költség</v>
      </c>
      <c r="D155" s="161" t="s">
        <v>129</v>
      </c>
      <c r="E155" s="90" t="str">
        <f>VLOOKUP($F155,Admin!$A$16:$E$19,4,FALSE)</f>
        <v>54. Bérköltség - technikus segédszemélyzet</v>
      </c>
      <c r="F155" s="90" t="s">
        <v>173</v>
      </c>
      <c r="G155" s="161" t="s">
        <v>174</v>
      </c>
      <c r="H155" s="161" t="s">
        <v>196</v>
      </c>
      <c r="I155" s="90" t="str">
        <f>VLOOKUP($F155,Admin!$A$16:$E$19,5,FALSE)</f>
        <v>Technikus</v>
      </c>
      <c r="J155" s="161" t="s">
        <v>64</v>
      </c>
      <c r="K155" s="161" t="str">
        <f t="shared" ref="K155:K157" si="444">J155</f>
        <v>2023.01</v>
      </c>
      <c r="L155" s="91" t="s">
        <v>8</v>
      </c>
      <c r="M155" s="92" t="s">
        <v>78</v>
      </c>
      <c r="N155" s="162">
        <v>202399</v>
      </c>
      <c r="O155" s="163">
        <f t="shared" ref="O155" si="445">ROUND(N155*V155,0)</f>
        <v>26312</v>
      </c>
      <c r="P155" s="161">
        <v>87</v>
      </c>
      <c r="Q155" s="161">
        <v>43</v>
      </c>
      <c r="R155" s="230">
        <f t="shared" ref="R155" si="446">Q155/P155</f>
        <v>0.4942528735632184</v>
      </c>
      <c r="S155" s="164">
        <f t="shared" ref="S155" si="447">ROUND(N155*Q155/P155,0)</f>
        <v>100036</v>
      </c>
      <c r="T155" s="165">
        <f t="shared" ref="T155" si="448">ROUND(S155*V155,0)</f>
        <v>13005</v>
      </c>
      <c r="U155" s="166">
        <f t="shared" ref="U155" si="449">Q155/P155-S155/N155</f>
        <v>1.4197516877145766E-6</v>
      </c>
      <c r="V155" s="87">
        <v>0.13</v>
      </c>
      <c r="W155" s="224" t="s">
        <v>230</v>
      </c>
      <c r="X155" s="23">
        <v>44945</v>
      </c>
      <c r="Y155" s="20" t="s">
        <v>197</v>
      </c>
      <c r="Z155" s="20"/>
      <c r="AA155" s="20"/>
      <c r="AB155" s="168">
        <v>2</v>
      </c>
      <c r="AC155" s="211" t="s">
        <v>249</v>
      </c>
      <c r="AD155" s="211">
        <v>0</v>
      </c>
      <c r="AE155" s="211">
        <v>0</v>
      </c>
    </row>
    <row r="156" spans="1:31" s="8" customFormat="1" x14ac:dyDescent="0.25">
      <c r="A156" s="189"/>
      <c r="B156" s="92" t="s">
        <v>200</v>
      </c>
      <c r="C156" s="90" t="str">
        <f>VLOOKUP($F156,Admin!$A$16:$E$19,2,FALSE)</f>
        <v>Alkalmazott (ipari) kutatás – Működési költség</v>
      </c>
      <c r="D156" s="161" t="s">
        <v>129</v>
      </c>
      <c r="E156" s="90" t="str">
        <f>VLOOKUP($F156,Admin!$A$16:$E$19,4,FALSE)</f>
        <v>54. Bérköltség - technikus segédszemélyzet</v>
      </c>
      <c r="F156" s="90" t="s">
        <v>173</v>
      </c>
      <c r="G156" s="161" t="s">
        <v>174</v>
      </c>
      <c r="H156" s="161" t="s">
        <v>251</v>
      </c>
      <c r="I156" s="90" t="str">
        <f>VLOOKUP($F156,Admin!$A$16:$E$19,5,FALSE)</f>
        <v>Technikus</v>
      </c>
      <c r="J156" s="161" t="s">
        <v>65</v>
      </c>
      <c r="K156" s="161" t="str">
        <f t="shared" si="444"/>
        <v>2023.02</v>
      </c>
      <c r="L156" s="91" t="s">
        <v>8</v>
      </c>
      <c r="M156" s="92" t="s">
        <v>78</v>
      </c>
      <c r="N156" s="162">
        <v>202400</v>
      </c>
      <c r="O156" s="163">
        <f t="shared" ref="O156:O157" si="450">ROUND(N156*V156,0)</f>
        <v>26312</v>
      </c>
      <c r="P156" s="161">
        <v>87</v>
      </c>
      <c r="Q156" s="161">
        <v>43</v>
      </c>
      <c r="R156" s="230">
        <f t="shared" ref="R156:R157" si="451">Q156/P156</f>
        <v>0.4942528735632184</v>
      </c>
      <c r="S156" s="164">
        <f t="shared" ref="S156:S157" si="452">ROUND(N156*Q156/P156,0)</f>
        <v>100037</v>
      </c>
      <c r="T156" s="165">
        <f t="shared" ref="T156:T157" si="453">ROUND(S156*V156,0)</f>
        <v>13005</v>
      </c>
      <c r="U156" s="166">
        <f t="shared" ref="U156:U157" si="454">Q156/P156-S156/N156</f>
        <v>-1.0790059515874972E-6</v>
      </c>
      <c r="V156" s="87">
        <v>0.13</v>
      </c>
      <c r="W156" s="224" t="s">
        <v>230</v>
      </c>
      <c r="X156" s="23">
        <v>44945</v>
      </c>
      <c r="Y156" s="20" t="s">
        <v>197</v>
      </c>
      <c r="Z156" s="20"/>
      <c r="AA156" s="20"/>
      <c r="AB156" s="168">
        <v>2</v>
      </c>
      <c r="AC156" s="8" t="str">
        <f>IF(VLOOKUP($W156,'Havi béradatok'!$B:$E,2,FALSE)=H156,"EGYEZIK","HIBÁS")</f>
        <v>EGYEZIK</v>
      </c>
      <c r="AD156" s="8">
        <f>VLOOKUP($W156,'Havi béradatok'!$B:$E,3,FALSE)-N156</f>
        <v>0</v>
      </c>
      <c r="AE156" s="8">
        <f>VLOOKUP($W156,'Havi béradatok'!$B:$E,4,FALSE)-O156</f>
        <v>0</v>
      </c>
    </row>
    <row r="157" spans="1:31" s="8" customFormat="1" x14ac:dyDescent="0.25">
      <c r="A157" s="189"/>
      <c r="B157" s="92" t="s">
        <v>200</v>
      </c>
      <c r="C157" s="90" t="str">
        <f>VLOOKUP($F157,Admin!$A$16:$E$19,2,FALSE)</f>
        <v>Alkalmazott (ipari) kutatás – Működési költség</v>
      </c>
      <c r="D157" s="161" t="s">
        <v>129</v>
      </c>
      <c r="E157" s="90" t="str">
        <f>VLOOKUP($F157,Admin!$A$16:$E$19,4,FALSE)</f>
        <v>54. Bérköltség - technikus segédszemélyzet</v>
      </c>
      <c r="F157" s="90" t="s">
        <v>173</v>
      </c>
      <c r="G157" s="161" t="s">
        <v>174</v>
      </c>
      <c r="H157" s="161" t="s">
        <v>251</v>
      </c>
      <c r="I157" s="90" t="str">
        <f>VLOOKUP($F157,Admin!$A$16:$E$19,5,FALSE)</f>
        <v>Technikus</v>
      </c>
      <c r="J157" s="161" t="s">
        <v>66</v>
      </c>
      <c r="K157" s="161" t="str">
        <f t="shared" si="444"/>
        <v>2023.03</v>
      </c>
      <c r="L157" s="91" t="s">
        <v>8</v>
      </c>
      <c r="M157" s="92" t="s">
        <v>78</v>
      </c>
      <c r="N157" s="162">
        <v>202400</v>
      </c>
      <c r="O157" s="163">
        <f t="shared" si="450"/>
        <v>26312</v>
      </c>
      <c r="P157" s="161">
        <v>87</v>
      </c>
      <c r="Q157" s="161">
        <v>43</v>
      </c>
      <c r="R157" s="230">
        <f t="shared" si="451"/>
        <v>0.4942528735632184</v>
      </c>
      <c r="S157" s="164">
        <f t="shared" si="452"/>
        <v>100037</v>
      </c>
      <c r="T157" s="165">
        <f t="shared" si="453"/>
        <v>13005</v>
      </c>
      <c r="U157" s="166">
        <f t="shared" si="454"/>
        <v>-1.0790059515874972E-6</v>
      </c>
      <c r="V157" s="87">
        <v>0.13</v>
      </c>
      <c r="W157" s="224" t="s">
        <v>230</v>
      </c>
      <c r="X157" s="23">
        <v>44945</v>
      </c>
      <c r="Y157" s="20" t="s">
        <v>197</v>
      </c>
      <c r="Z157" s="20"/>
      <c r="AA157" s="20"/>
      <c r="AB157" s="168">
        <v>2</v>
      </c>
      <c r="AC157" s="8" t="str">
        <f>IF(VLOOKUP($W157,'Havi béradatok'!$B:$E,2,FALSE)=H157,"EGYEZIK","HIBÁS")</f>
        <v>EGYEZIK</v>
      </c>
      <c r="AD157" s="8">
        <f>VLOOKUP($W157,'Havi béradatok'!$B:$E,3,FALSE)-N157</f>
        <v>0</v>
      </c>
      <c r="AE157" s="8">
        <f>VLOOKUP($W157,'Havi béradatok'!$B:$E,4,FALSE)-O157</f>
        <v>0</v>
      </c>
    </row>
    <row r="158" spans="1:31" s="8" customFormat="1" x14ac:dyDescent="0.25">
      <c r="A158" s="208">
        <v>1</v>
      </c>
      <c r="B158" s="92" t="s">
        <v>206</v>
      </c>
      <c r="C158" s="90" t="str">
        <f>VLOOKUP($F158,Admin!$A$16:$E$19,2,FALSE)</f>
        <v>Alkalmazott (ipari) kutatás – Működési költség</v>
      </c>
      <c r="D158" s="161" t="s">
        <v>129</v>
      </c>
      <c r="E158" s="90" t="str">
        <f>VLOOKUP($F158,Admin!$A$16:$E$19,4,FALSE)</f>
        <v>54. Bérköltség - Kutató-fejlesztő munkatárs</v>
      </c>
      <c r="F158" s="90" t="s">
        <v>171</v>
      </c>
      <c r="G158" s="161" t="s">
        <v>174</v>
      </c>
      <c r="H158" s="161" t="s">
        <v>207</v>
      </c>
      <c r="I158" s="90" t="str">
        <f>VLOOKUP($F158,Admin!$A$16:$E$19,5,FALSE)</f>
        <v>K+F munkatárs</v>
      </c>
      <c r="J158" s="161" t="s">
        <v>43</v>
      </c>
      <c r="K158" s="161" t="str">
        <f t="shared" si="128"/>
        <v>2022.04</v>
      </c>
      <c r="L158" s="91" t="s">
        <v>8</v>
      </c>
      <c r="M158" s="92" t="s">
        <v>78</v>
      </c>
      <c r="N158" s="162">
        <v>1004800</v>
      </c>
      <c r="O158" s="163">
        <f t="shared" ref="O158" si="455">ROUND(N158*V158,0)</f>
        <v>130624</v>
      </c>
      <c r="P158" s="161">
        <v>174</v>
      </c>
      <c r="Q158" s="161">
        <v>34</v>
      </c>
      <c r="R158" s="230">
        <f t="shared" ref="R158" si="456">Q158/P158</f>
        <v>0.19540229885057472</v>
      </c>
      <c r="S158" s="164">
        <f t="shared" ref="S158" si="457">ROUND(N158*Q158/P158,0)</f>
        <v>196340</v>
      </c>
      <c r="T158" s="165">
        <f t="shared" ref="T158" si="458">ROUND(S158*V158,0)</f>
        <v>25524</v>
      </c>
      <c r="U158" s="166">
        <f t="shared" ref="U158" si="459">Q158/P158-S158/N158</f>
        <v>2.2878688046845674E-7</v>
      </c>
      <c r="V158" s="87">
        <v>0.13</v>
      </c>
      <c r="W158" s="224"/>
      <c r="X158" s="23">
        <v>44649</v>
      </c>
      <c r="Y158" s="20" t="s">
        <v>197</v>
      </c>
      <c r="Z158" s="20"/>
      <c r="AA158" s="20"/>
      <c r="AB158" s="168">
        <v>1</v>
      </c>
    </row>
    <row r="159" spans="1:31" s="8" customFormat="1" x14ac:dyDescent="0.25">
      <c r="A159" s="208">
        <v>1</v>
      </c>
      <c r="B159" s="92" t="s">
        <v>206</v>
      </c>
      <c r="C159" s="90" t="str">
        <f>VLOOKUP($F159,Admin!$A$16:$E$19,2,FALSE)</f>
        <v>Alkalmazott (ipari) kutatás – Működési költség</v>
      </c>
      <c r="D159" s="161" t="s">
        <v>129</v>
      </c>
      <c r="E159" s="90" t="str">
        <f>VLOOKUP($F159,Admin!$A$16:$E$19,4,FALSE)</f>
        <v>54. Bérköltség - Kutató-fejlesztő munkatárs</v>
      </c>
      <c r="F159" s="90" t="s">
        <v>171</v>
      </c>
      <c r="G159" s="161" t="s">
        <v>174</v>
      </c>
      <c r="H159" s="161" t="s">
        <v>207</v>
      </c>
      <c r="I159" s="90" t="str">
        <f>VLOOKUP($F159,Admin!$A$16:$E$19,5,FALSE)</f>
        <v>K+F munkatárs</v>
      </c>
      <c r="J159" s="161" t="s">
        <v>44</v>
      </c>
      <c r="K159" s="161" t="str">
        <f t="shared" ref="K159:K160" si="460">J159</f>
        <v>2022.05</v>
      </c>
      <c r="L159" s="91" t="s">
        <v>8</v>
      </c>
      <c r="M159" s="92" t="s">
        <v>78</v>
      </c>
      <c r="N159" s="162">
        <v>1004800</v>
      </c>
      <c r="O159" s="163">
        <f t="shared" ref="O159:O160" si="461">ROUND(N159*V159,0)</f>
        <v>130624</v>
      </c>
      <c r="P159" s="161">
        <v>174</v>
      </c>
      <c r="Q159" s="161">
        <v>34</v>
      </c>
      <c r="R159" s="230">
        <f t="shared" ref="R159:R160" si="462">Q159/P159</f>
        <v>0.19540229885057472</v>
      </c>
      <c r="S159" s="164">
        <f t="shared" ref="S159:S160" si="463">ROUND(N159*Q159/P159,0)</f>
        <v>196340</v>
      </c>
      <c r="T159" s="165">
        <f t="shared" ref="T159:T160" si="464">ROUND(S159*V159,0)</f>
        <v>25524</v>
      </c>
      <c r="U159" s="166">
        <f t="shared" ref="U159:U160" si="465">Q159/P159-S159/N159</f>
        <v>2.2878688046845674E-7</v>
      </c>
      <c r="V159" s="87">
        <v>0.13</v>
      </c>
      <c r="W159" s="224"/>
      <c r="X159" s="23">
        <v>44649</v>
      </c>
      <c r="Y159" s="20" t="s">
        <v>197</v>
      </c>
      <c r="Z159" s="20"/>
      <c r="AA159" s="20"/>
      <c r="AB159" s="168">
        <v>1</v>
      </c>
    </row>
    <row r="160" spans="1:31" s="8" customFormat="1" x14ac:dyDescent="0.25">
      <c r="A160" s="208">
        <v>1</v>
      </c>
      <c r="B160" s="92" t="s">
        <v>206</v>
      </c>
      <c r="C160" s="90" t="str">
        <f>VLOOKUP($F160,Admin!$A$16:$E$19,2,FALSE)</f>
        <v>Alkalmazott (ipari) kutatás – Működési költség</v>
      </c>
      <c r="D160" s="161" t="s">
        <v>129</v>
      </c>
      <c r="E160" s="90" t="str">
        <f>VLOOKUP($F160,Admin!$A$16:$E$19,4,FALSE)</f>
        <v>54. Bérköltség - Kutató-fejlesztő munkatárs</v>
      </c>
      <c r="F160" s="90" t="s">
        <v>171</v>
      </c>
      <c r="G160" s="161" t="s">
        <v>174</v>
      </c>
      <c r="H160" s="161" t="s">
        <v>207</v>
      </c>
      <c r="I160" s="90" t="str">
        <f>VLOOKUP($F160,Admin!$A$16:$E$19,5,FALSE)</f>
        <v>K+F munkatárs</v>
      </c>
      <c r="J160" s="161" t="s">
        <v>45</v>
      </c>
      <c r="K160" s="161" t="str">
        <f t="shared" si="460"/>
        <v>2022.06</v>
      </c>
      <c r="L160" s="91" t="s">
        <v>8</v>
      </c>
      <c r="M160" s="92" t="s">
        <v>78</v>
      </c>
      <c r="N160" s="162">
        <v>1004800</v>
      </c>
      <c r="O160" s="163">
        <f t="shared" si="461"/>
        <v>130624</v>
      </c>
      <c r="P160" s="161">
        <v>174</v>
      </c>
      <c r="Q160" s="161">
        <v>34</v>
      </c>
      <c r="R160" s="230">
        <f t="shared" si="462"/>
        <v>0.19540229885057472</v>
      </c>
      <c r="S160" s="164">
        <f t="shared" si="463"/>
        <v>196340</v>
      </c>
      <c r="T160" s="165">
        <f t="shared" si="464"/>
        <v>25524</v>
      </c>
      <c r="U160" s="166">
        <f t="shared" si="465"/>
        <v>2.2878688046845674E-7</v>
      </c>
      <c r="V160" s="87">
        <v>0.13</v>
      </c>
      <c r="W160" s="224"/>
      <c r="X160" s="23">
        <v>44713</v>
      </c>
      <c r="Y160" s="20" t="s">
        <v>197</v>
      </c>
      <c r="Z160" s="20"/>
      <c r="AA160" s="20"/>
      <c r="AB160" s="168">
        <v>1</v>
      </c>
    </row>
    <row r="161" spans="1:31" s="8" customFormat="1" x14ac:dyDescent="0.25">
      <c r="A161" s="208">
        <v>1</v>
      </c>
      <c r="B161" s="92" t="s">
        <v>206</v>
      </c>
      <c r="C161" s="90" t="str">
        <f>VLOOKUP($F161,Admin!$A$16:$E$19,2,FALSE)</f>
        <v>Alkalmazott (ipari) kutatás – Működési költség</v>
      </c>
      <c r="D161" s="161" t="s">
        <v>129</v>
      </c>
      <c r="E161" s="90" t="str">
        <f>VLOOKUP($F161,Admin!$A$16:$E$19,4,FALSE)</f>
        <v>54. Bérköltség - Kutató-fejlesztő munkatárs</v>
      </c>
      <c r="F161" s="90" t="s">
        <v>171</v>
      </c>
      <c r="G161" s="161" t="s">
        <v>174</v>
      </c>
      <c r="H161" s="161" t="s">
        <v>207</v>
      </c>
      <c r="I161" s="90" t="str">
        <f>VLOOKUP($F161,Admin!$A$16:$E$19,5,FALSE)</f>
        <v>K+F munkatárs</v>
      </c>
      <c r="J161" s="161" t="s">
        <v>46</v>
      </c>
      <c r="K161" s="161" t="str">
        <f t="shared" ref="K161:K163" si="466">J161</f>
        <v>2022.07</v>
      </c>
      <c r="L161" s="91" t="s">
        <v>8</v>
      </c>
      <c r="M161" s="92" t="s">
        <v>78</v>
      </c>
      <c r="N161" s="162">
        <v>1004799</v>
      </c>
      <c r="O161" s="163">
        <f t="shared" ref="O161" si="467">ROUND(N161*V161,0)</f>
        <v>130624</v>
      </c>
      <c r="P161" s="161">
        <v>174</v>
      </c>
      <c r="Q161" s="161">
        <v>34</v>
      </c>
      <c r="R161" s="230">
        <f t="shared" ref="R161" si="468">Q161/P161</f>
        <v>0.19540229885057472</v>
      </c>
      <c r="S161" s="164">
        <f t="shared" ref="S161" si="469">ROUND(N161*Q161/P161,0)</f>
        <v>196340</v>
      </c>
      <c r="T161" s="165">
        <f t="shared" ref="T161" si="470">ROUND(S161*V161,0)</f>
        <v>25524</v>
      </c>
      <c r="U161" s="166">
        <f t="shared" ref="U161" si="471">Q161/P161-S161/N161</f>
        <v>3.4318066222116528E-8</v>
      </c>
      <c r="V161" s="87">
        <v>0.13</v>
      </c>
      <c r="W161" s="224"/>
      <c r="X161" s="23">
        <v>44735</v>
      </c>
      <c r="Y161" s="20" t="s">
        <v>197</v>
      </c>
      <c r="Z161" s="20"/>
      <c r="AA161" s="20"/>
      <c r="AB161" s="168">
        <v>1</v>
      </c>
    </row>
    <row r="162" spans="1:31" s="8" customFormat="1" x14ac:dyDescent="0.25">
      <c r="A162" s="208">
        <v>1</v>
      </c>
      <c r="B162" s="92" t="s">
        <v>206</v>
      </c>
      <c r="C162" s="90" t="str">
        <f>VLOOKUP($F162,Admin!$A$16:$E$19,2,FALSE)</f>
        <v>Alkalmazott (ipari) kutatás – Működési költség</v>
      </c>
      <c r="D162" s="161" t="s">
        <v>129</v>
      </c>
      <c r="E162" s="90" t="str">
        <f>VLOOKUP($F162,Admin!$A$16:$E$19,4,FALSE)</f>
        <v>54. Bérköltség - Kutató-fejlesztő munkatárs</v>
      </c>
      <c r="F162" s="90" t="s">
        <v>171</v>
      </c>
      <c r="G162" s="161" t="s">
        <v>174</v>
      </c>
      <c r="H162" s="161" t="s">
        <v>207</v>
      </c>
      <c r="I162" s="90" t="str">
        <f>VLOOKUP($F162,Admin!$A$16:$E$19,5,FALSE)</f>
        <v>K+F munkatárs</v>
      </c>
      <c r="J162" s="161" t="s">
        <v>47</v>
      </c>
      <c r="K162" s="161" t="str">
        <f t="shared" si="466"/>
        <v>2022.08</v>
      </c>
      <c r="L162" s="91" t="s">
        <v>8</v>
      </c>
      <c r="M162" s="92" t="s">
        <v>78</v>
      </c>
      <c r="N162" s="162">
        <v>786365</v>
      </c>
      <c r="O162" s="163">
        <f t="shared" ref="O162:O163" si="472">ROUND(N162*V162,0)</f>
        <v>102227</v>
      </c>
      <c r="P162" s="161">
        <v>174</v>
      </c>
      <c r="Q162" s="161">
        <v>34</v>
      </c>
      <c r="R162" s="230">
        <f t="shared" ref="R162:R163" si="473">Q162/P162</f>
        <v>0.19540229885057472</v>
      </c>
      <c r="S162" s="164">
        <f t="shared" ref="S162:S163" si="474">ROUND(N162*Q162/P162,0)</f>
        <v>153658</v>
      </c>
      <c r="T162" s="165">
        <f t="shared" ref="T162:T163" si="475">ROUND(S162*V162,0)</f>
        <v>19976</v>
      </c>
      <c r="U162" s="166">
        <f t="shared" ref="U162:U163" si="476">Q162/P162-S162/N162</f>
        <v>-5.9929468859687418E-7</v>
      </c>
      <c r="V162" s="87">
        <v>0.13</v>
      </c>
      <c r="W162" s="224"/>
      <c r="X162" s="23">
        <v>44735</v>
      </c>
      <c r="Y162" s="20" t="s">
        <v>197</v>
      </c>
      <c r="Z162" s="20"/>
      <c r="AA162" s="20"/>
      <c r="AB162" s="168">
        <v>1</v>
      </c>
    </row>
    <row r="163" spans="1:31" s="8" customFormat="1" x14ac:dyDescent="0.25">
      <c r="A163" s="208">
        <v>1</v>
      </c>
      <c r="B163" s="92" t="s">
        <v>206</v>
      </c>
      <c r="C163" s="90" t="str">
        <f>VLOOKUP($F163,Admin!$A$16:$E$19,2,FALSE)</f>
        <v>Alkalmazott (ipari) kutatás – Működési költség</v>
      </c>
      <c r="D163" s="161" t="s">
        <v>129</v>
      </c>
      <c r="E163" s="90" t="str">
        <f>VLOOKUP($F163,Admin!$A$16:$E$19,4,FALSE)</f>
        <v>54. Bérköltség - Kutató-fejlesztő munkatárs</v>
      </c>
      <c r="F163" s="90" t="s">
        <v>171</v>
      </c>
      <c r="G163" s="161" t="s">
        <v>174</v>
      </c>
      <c r="H163" s="161" t="s">
        <v>207</v>
      </c>
      <c r="I163" s="90" t="str">
        <f>VLOOKUP($F163,Admin!$A$16:$E$19,5,FALSE)</f>
        <v>K+F munkatárs</v>
      </c>
      <c r="J163" s="161" t="s">
        <v>48</v>
      </c>
      <c r="K163" s="161" t="str">
        <f t="shared" si="466"/>
        <v>2022.09</v>
      </c>
      <c r="L163" s="91" t="s">
        <v>8</v>
      </c>
      <c r="M163" s="92" t="s">
        <v>78</v>
      </c>
      <c r="N163" s="162">
        <v>1004800</v>
      </c>
      <c r="O163" s="163">
        <f t="shared" si="472"/>
        <v>130624</v>
      </c>
      <c r="P163" s="161">
        <v>174</v>
      </c>
      <c r="Q163" s="161">
        <v>34</v>
      </c>
      <c r="R163" s="230">
        <f t="shared" si="473"/>
        <v>0.19540229885057472</v>
      </c>
      <c r="S163" s="164">
        <f t="shared" si="474"/>
        <v>196340</v>
      </c>
      <c r="T163" s="165">
        <f t="shared" si="475"/>
        <v>25524</v>
      </c>
      <c r="U163" s="166">
        <f t="shared" si="476"/>
        <v>2.2878688046845674E-7</v>
      </c>
      <c r="V163" s="87">
        <v>0.13</v>
      </c>
      <c r="W163" s="224"/>
      <c r="X163" s="23">
        <v>44735</v>
      </c>
      <c r="Y163" s="20" t="s">
        <v>197</v>
      </c>
      <c r="Z163" s="20"/>
      <c r="AA163" s="20"/>
      <c r="AB163" s="168">
        <v>4</v>
      </c>
    </row>
    <row r="164" spans="1:31" s="8" customFormat="1" x14ac:dyDescent="0.25">
      <c r="A164" s="189"/>
      <c r="B164" s="92" t="s">
        <v>206</v>
      </c>
      <c r="C164" s="90" t="str">
        <f>VLOOKUP($F164,Admin!$A$16:$E$19,2,FALSE)</f>
        <v>Alkalmazott (ipari) kutatás – Működési költség</v>
      </c>
      <c r="D164" s="161" t="s">
        <v>129</v>
      </c>
      <c r="E164" s="90" t="str">
        <f>VLOOKUP($F164,Admin!$A$16:$E$19,4,FALSE)</f>
        <v>54. Bérköltség - Kutató-fejlesztő munkatárs</v>
      </c>
      <c r="F164" s="90" t="s">
        <v>171</v>
      </c>
      <c r="G164" s="161" t="s">
        <v>174</v>
      </c>
      <c r="H164" s="161" t="s">
        <v>207</v>
      </c>
      <c r="I164" s="90" t="str">
        <f>VLOOKUP($F164,Admin!$A$16:$E$19,5,FALSE)</f>
        <v>K+F munkatárs</v>
      </c>
      <c r="J164" s="161" t="s">
        <v>49</v>
      </c>
      <c r="K164" s="161" t="str">
        <f t="shared" ref="K164:K166" si="477">J164</f>
        <v>2022.10</v>
      </c>
      <c r="L164" s="91" t="s">
        <v>8</v>
      </c>
      <c r="M164" s="92" t="s">
        <v>78</v>
      </c>
      <c r="N164" s="162">
        <v>1054800</v>
      </c>
      <c r="O164" s="163">
        <f t="shared" ref="O164" si="478">ROUND(N164*V164,0)</f>
        <v>137124</v>
      </c>
      <c r="P164" s="161">
        <v>174</v>
      </c>
      <c r="Q164" s="161">
        <v>53</v>
      </c>
      <c r="R164" s="230">
        <f t="shared" ref="R164" si="479">Q164/P164</f>
        <v>0.3045977011494253</v>
      </c>
      <c r="S164" s="164">
        <f t="shared" ref="S164" si="480">ROUND(N164*Q164/P164,0)</f>
        <v>321290</v>
      </c>
      <c r="T164" s="165">
        <f t="shared" ref="T164" si="481">ROUND(S164*V164,0)</f>
        <v>41768</v>
      </c>
      <c r="U164" s="166">
        <f t="shared" ref="U164" si="482">Q164/P164-S164/N164</f>
        <v>-3.269127665794791E-7</v>
      </c>
      <c r="V164" s="87">
        <v>0.13</v>
      </c>
      <c r="W164" s="224"/>
      <c r="X164" s="23">
        <v>44830</v>
      </c>
      <c r="Y164" s="20" t="s">
        <v>197</v>
      </c>
      <c r="Z164" s="20"/>
      <c r="AA164" s="20"/>
      <c r="AB164" s="168">
        <v>1</v>
      </c>
    </row>
    <row r="165" spans="1:31" s="8" customFormat="1" x14ac:dyDescent="0.25">
      <c r="A165" s="189"/>
      <c r="B165" s="92" t="s">
        <v>206</v>
      </c>
      <c r="C165" s="90" t="str">
        <f>VLOOKUP($F165,Admin!$A$16:$E$19,2,FALSE)</f>
        <v>Alkalmazott (ipari) kutatás – Működési költség</v>
      </c>
      <c r="D165" s="161" t="s">
        <v>129</v>
      </c>
      <c r="E165" s="90" t="str">
        <f>VLOOKUP($F165,Admin!$A$16:$E$19,4,FALSE)</f>
        <v>54. Bérköltség - Kutató-fejlesztő munkatárs</v>
      </c>
      <c r="F165" s="90" t="s">
        <v>171</v>
      </c>
      <c r="G165" s="161" t="s">
        <v>174</v>
      </c>
      <c r="H165" s="161" t="s">
        <v>207</v>
      </c>
      <c r="I165" s="90" t="str">
        <f>VLOOKUP($F165,Admin!$A$16:$E$19,5,FALSE)</f>
        <v>K+F munkatárs</v>
      </c>
      <c r="J165" s="161" t="s">
        <v>50</v>
      </c>
      <c r="K165" s="161" t="str">
        <f t="shared" si="477"/>
        <v>2022.11</v>
      </c>
      <c r="L165" s="91" t="s">
        <v>8</v>
      </c>
      <c r="M165" s="92" t="s">
        <v>78</v>
      </c>
      <c r="N165" s="162">
        <v>1054800</v>
      </c>
      <c r="O165" s="163">
        <f t="shared" ref="O165:O166" si="483">ROUND(N165*V165,0)</f>
        <v>137124</v>
      </c>
      <c r="P165" s="161">
        <v>174</v>
      </c>
      <c r="Q165" s="161">
        <v>53</v>
      </c>
      <c r="R165" s="230">
        <f t="shared" ref="R165:R166" si="484">Q165/P165</f>
        <v>0.3045977011494253</v>
      </c>
      <c r="S165" s="164">
        <f t="shared" ref="S165:S166" si="485">ROUND(N165*Q165/P165,0)</f>
        <v>321290</v>
      </c>
      <c r="T165" s="165">
        <f t="shared" ref="T165:T166" si="486">ROUND(S165*V165,0)</f>
        <v>41768</v>
      </c>
      <c r="U165" s="166">
        <f t="shared" ref="U165:U166" si="487">Q165/P165-S165/N165</f>
        <v>-3.269127665794791E-7</v>
      </c>
      <c r="V165" s="87">
        <v>0.13</v>
      </c>
      <c r="W165" s="224" t="s">
        <v>231</v>
      </c>
      <c r="X165" s="23">
        <v>44830</v>
      </c>
      <c r="Y165" s="20" t="s">
        <v>197</v>
      </c>
      <c r="Z165" s="20"/>
      <c r="AA165" s="20"/>
      <c r="AB165" s="168">
        <v>1</v>
      </c>
      <c r="AC165" s="211" t="e">
        <v>#N/A</v>
      </c>
      <c r="AD165" s="211" t="e">
        <v>#N/A</v>
      </c>
      <c r="AE165" s="211" t="e">
        <v>#N/A</v>
      </c>
    </row>
    <row r="166" spans="1:31" s="8" customFormat="1" x14ac:dyDescent="0.25">
      <c r="A166" s="189"/>
      <c r="B166" s="92" t="s">
        <v>206</v>
      </c>
      <c r="C166" s="90" t="str">
        <f>VLOOKUP($F166,Admin!$A$16:$E$19,2,FALSE)</f>
        <v>Alkalmazott (ipari) kutatás – Működési költség</v>
      </c>
      <c r="D166" s="161" t="s">
        <v>129</v>
      </c>
      <c r="E166" s="90" t="str">
        <f>VLOOKUP($F166,Admin!$A$16:$E$19,4,FALSE)</f>
        <v>54. Bérköltség - Kutató-fejlesztő munkatárs</v>
      </c>
      <c r="F166" s="90" t="s">
        <v>171</v>
      </c>
      <c r="G166" s="161" t="s">
        <v>174</v>
      </c>
      <c r="H166" s="161" t="s">
        <v>207</v>
      </c>
      <c r="I166" s="90" t="str">
        <f>VLOOKUP($F166,Admin!$A$16:$E$19,5,FALSE)</f>
        <v>K+F munkatárs</v>
      </c>
      <c r="J166" s="161" t="s">
        <v>51</v>
      </c>
      <c r="K166" s="161" t="str">
        <f t="shared" si="477"/>
        <v>2022.12</v>
      </c>
      <c r="L166" s="91" t="s">
        <v>8</v>
      </c>
      <c r="M166" s="92" t="s">
        <v>78</v>
      </c>
      <c r="N166" s="162">
        <v>1054800</v>
      </c>
      <c r="O166" s="163">
        <f t="shared" si="483"/>
        <v>137124</v>
      </c>
      <c r="P166" s="161">
        <v>174</v>
      </c>
      <c r="Q166" s="161">
        <v>53</v>
      </c>
      <c r="R166" s="230">
        <f t="shared" si="484"/>
        <v>0.3045977011494253</v>
      </c>
      <c r="S166" s="164">
        <f t="shared" si="485"/>
        <v>321290</v>
      </c>
      <c r="T166" s="165">
        <f t="shared" si="486"/>
        <v>41768</v>
      </c>
      <c r="U166" s="166">
        <f t="shared" si="487"/>
        <v>-3.269127665794791E-7</v>
      </c>
      <c r="V166" s="87">
        <v>0.13</v>
      </c>
      <c r="W166" s="224" t="s">
        <v>231</v>
      </c>
      <c r="X166" s="23">
        <v>44830</v>
      </c>
      <c r="Y166" s="20" t="s">
        <v>197</v>
      </c>
      <c r="Z166" s="20"/>
      <c r="AA166" s="20"/>
      <c r="AB166" s="168">
        <v>1</v>
      </c>
      <c r="AC166" s="211" t="s">
        <v>249</v>
      </c>
      <c r="AD166" s="219" t="s">
        <v>250</v>
      </c>
      <c r="AE166" s="211" t="s">
        <v>250</v>
      </c>
    </row>
    <row r="167" spans="1:31" s="8" customFormat="1" x14ac:dyDescent="0.25">
      <c r="A167" s="189"/>
      <c r="B167" s="92" t="s">
        <v>206</v>
      </c>
      <c r="C167" s="90" t="str">
        <f>VLOOKUP($F167,Admin!$A$16:$E$19,2,FALSE)</f>
        <v>Alkalmazott (ipari) kutatás – Működési költség</v>
      </c>
      <c r="D167" s="161" t="s">
        <v>129</v>
      </c>
      <c r="E167" s="90" t="str">
        <f>VLOOKUP($F167,Admin!$A$16:$E$19,4,FALSE)</f>
        <v>54. Bérköltség - Kutató-fejlesztő munkatárs</v>
      </c>
      <c r="F167" s="90" t="s">
        <v>171</v>
      </c>
      <c r="G167" s="161" t="s">
        <v>174</v>
      </c>
      <c r="H167" s="161" t="s">
        <v>207</v>
      </c>
      <c r="I167" s="90" t="str">
        <f>VLOOKUP($F167,Admin!$A$16:$E$19,5,FALSE)</f>
        <v>K+F munkatárs</v>
      </c>
      <c r="J167" s="161" t="s">
        <v>64</v>
      </c>
      <c r="K167" s="161" t="str">
        <f t="shared" ref="K167:K169" si="488">J167</f>
        <v>2023.01</v>
      </c>
      <c r="L167" s="91" t="s">
        <v>8</v>
      </c>
      <c r="M167" s="92" t="s">
        <v>78</v>
      </c>
      <c r="N167" s="162">
        <v>1150000</v>
      </c>
      <c r="O167" s="163">
        <f t="shared" ref="O167" si="489">ROUND(N167*V167,0)</f>
        <v>149500</v>
      </c>
      <c r="P167" s="161">
        <v>174</v>
      </c>
      <c r="Q167" s="161">
        <v>31</v>
      </c>
      <c r="R167" s="230">
        <f t="shared" ref="R167" si="490">Q167/P167</f>
        <v>0.17816091954022989</v>
      </c>
      <c r="S167" s="164">
        <f t="shared" ref="S167" si="491">ROUND(N167*Q167/P167,0)</f>
        <v>204885</v>
      </c>
      <c r="T167" s="165">
        <f t="shared" ref="T167" si="492">ROUND(S167*V167,0)</f>
        <v>26635</v>
      </c>
      <c r="U167" s="166">
        <f t="shared" ref="U167" si="493">Q167/P167-S167/N167</f>
        <v>4.9975012489378301E-8</v>
      </c>
      <c r="V167" s="87">
        <v>0.13</v>
      </c>
      <c r="W167" s="224" t="s">
        <v>231</v>
      </c>
      <c r="X167" s="23">
        <v>44938</v>
      </c>
      <c r="Y167" s="20" t="s">
        <v>197</v>
      </c>
      <c r="Z167" s="20"/>
      <c r="AA167" s="20"/>
      <c r="AB167" s="168">
        <v>1</v>
      </c>
      <c r="AC167" s="211" t="s">
        <v>249</v>
      </c>
      <c r="AD167" s="219">
        <v>1</v>
      </c>
      <c r="AE167" s="211">
        <v>0</v>
      </c>
    </row>
    <row r="168" spans="1:31" s="8" customFormat="1" x14ac:dyDescent="0.25">
      <c r="A168" s="189"/>
      <c r="B168" s="92" t="s">
        <v>206</v>
      </c>
      <c r="C168" s="90" t="str">
        <f>VLOOKUP($F168,Admin!$A$16:$E$19,2,FALSE)</f>
        <v>Alkalmazott (ipari) kutatás – Működési költség</v>
      </c>
      <c r="D168" s="161" t="s">
        <v>129</v>
      </c>
      <c r="E168" s="90" t="str">
        <f>VLOOKUP($F168,Admin!$A$16:$E$19,4,FALSE)</f>
        <v>54. Bérköltség - Kutató-fejlesztő munkatárs</v>
      </c>
      <c r="F168" s="90" t="s">
        <v>171</v>
      </c>
      <c r="G168" s="161" t="s">
        <v>174</v>
      </c>
      <c r="H168" s="161" t="s">
        <v>207</v>
      </c>
      <c r="I168" s="90" t="str">
        <f>VLOOKUP($F168,Admin!$A$16:$E$19,5,FALSE)</f>
        <v>K+F munkatárs</v>
      </c>
      <c r="J168" s="161" t="s">
        <v>65</v>
      </c>
      <c r="K168" s="161" t="str">
        <f t="shared" si="488"/>
        <v>2023.02</v>
      </c>
      <c r="L168" s="91" t="s">
        <v>8</v>
      </c>
      <c r="M168" s="92" t="s">
        <v>78</v>
      </c>
      <c r="N168" s="162">
        <v>1150000</v>
      </c>
      <c r="O168" s="163">
        <f t="shared" ref="O168:O169" si="494">ROUND(N168*V168,0)</f>
        <v>149500</v>
      </c>
      <c r="P168" s="161">
        <v>174</v>
      </c>
      <c r="Q168" s="161">
        <v>31</v>
      </c>
      <c r="R168" s="230">
        <f t="shared" ref="R168:R169" si="495">Q168/P168</f>
        <v>0.17816091954022989</v>
      </c>
      <c r="S168" s="164">
        <f t="shared" ref="S168:S169" si="496">ROUND(N168*Q168/P168,0)</f>
        <v>204885</v>
      </c>
      <c r="T168" s="165">
        <f t="shared" ref="T168:T169" si="497">ROUND(S168*V168,0)</f>
        <v>26635</v>
      </c>
      <c r="U168" s="166">
        <f t="shared" ref="U168:U169" si="498">Q168/P168-S168/N168</f>
        <v>4.9975012489378301E-8</v>
      </c>
      <c r="V168" s="87">
        <v>0.13</v>
      </c>
      <c r="W168" s="224" t="s">
        <v>231</v>
      </c>
      <c r="X168" s="23">
        <v>44938</v>
      </c>
      <c r="Y168" s="20" t="s">
        <v>197</v>
      </c>
      <c r="Z168" s="20"/>
      <c r="AA168" s="20"/>
      <c r="AB168" s="168">
        <v>1</v>
      </c>
      <c r="AC168" s="8" t="str">
        <f>IF(VLOOKUP($W168,'Havi béradatok'!$B:$E,2,FALSE)=H168,"EGYEZIK","HIBÁS")</f>
        <v>EGYEZIK</v>
      </c>
      <c r="AD168" s="8">
        <f>VLOOKUP($W168,'Havi béradatok'!$B:$E,3,FALSE)-N168</f>
        <v>0</v>
      </c>
      <c r="AE168" s="8">
        <f>VLOOKUP($W168,'Havi béradatok'!$B:$E,4,FALSE)-O168</f>
        <v>0</v>
      </c>
    </row>
    <row r="169" spans="1:31" s="8" customFormat="1" x14ac:dyDescent="0.25">
      <c r="A169" s="189"/>
      <c r="B169" s="92" t="s">
        <v>206</v>
      </c>
      <c r="C169" s="90" t="str">
        <f>VLOOKUP($F169,Admin!$A$16:$E$19,2,FALSE)</f>
        <v>Alkalmazott (ipari) kutatás – Működési költség</v>
      </c>
      <c r="D169" s="161" t="s">
        <v>129</v>
      </c>
      <c r="E169" s="90" t="str">
        <f>VLOOKUP($F169,Admin!$A$16:$E$19,4,FALSE)</f>
        <v>54. Bérköltség - Kutató-fejlesztő munkatárs</v>
      </c>
      <c r="F169" s="90" t="s">
        <v>171</v>
      </c>
      <c r="G169" s="161" t="s">
        <v>174</v>
      </c>
      <c r="H169" s="161" t="s">
        <v>207</v>
      </c>
      <c r="I169" s="90" t="str">
        <f>VLOOKUP($F169,Admin!$A$16:$E$19,5,FALSE)</f>
        <v>K+F munkatárs</v>
      </c>
      <c r="J169" s="161" t="s">
        <v>66</v>
      </c>
      <c r="K169" s="161" t="str">
        <f t="shared" si="488"/>
        <v>2023.03</v>
      </c>
      <c r="L169" s="91" t="s">
        <v>8</v>
      </c>
      <c r="M169" s="92" t="s">
        <v>78</v>
      </c>
      <c r="N169" s="162">
        <v>1150000</v>
      </c>
      <c r="O169" s="163">
        <f t="shared" si="494"/>
        <v>149500</v>
      </c>
      <c r="P169" s="161">
        <v>174</v>
      </c>
      <c r="Q169" s="161">
        <v>31</v>
      </c>
      <c r="R169" s="230">
        <f t="shared" si="495"/>
        <v>0.17816091954022989</v>
      </c>
      <c r="S169" s="164">
        <f t="shared" si="496"/>
        <v>204885</v>
      </c>
      <c r="T169" s="165">
        <f t="shared" si="497"/>
        <v>26635</v>
      </c>
      <c r="U169" s="166">
        <f t="shared" si="498"/>
        <v>4.9975012489378301E-8</v>
      </c>
      <c r="V169" s="87">
        <v>0.13</v>
      </c>
      <c r="W169" s="224" t="s">
        <v>231</v>
      </c>
      <c r="X169" s="23">
        <v>44938</v>
      </c>
      <c r="Y169" s="20" t="s">
        <v>197</v>
      </c>
      <c r="Z169" s="20"/>
      <c r="AA169" s="20"/>
      <c r="AB169" s="168">
        <v>1</v>
      </c>
      <c r="AC169" s="8" t="str">
        <f>IF(VLOOKUP($W169,'Havi béradatok'!$B:$E,2,FALSE)=H169,"EGYEZIK","HIBÁS")</f>
        <v>EGYEZIK</v>
      </c>
      <c r="AD169" s="8">
        <f>VLOOKUP($W169,'Havi béradatok'!$B:$E,3,FALSE)-N169</f>
        <v>0</v>
      </c>
      <c r="AE169" s="8">
        <f>VLOOKUP($W169,'Havi béradatok'!$B:$E,4,FALSE)-O169</f>
        <v>0</v>
      </c>
    </row>
    <row r="170" spans="1:31" s="8" customFormat="1" x14ac:dyDescent="0.25">
      <c r="A170" s="189"/>
      <c r="B170" s="92" t="s">
        <v>206</v>
      </c>
      <c r="C170" s="90" t="str">
        <f>VLOOKUP($F170,Admin!$A$16:$E$19,2,FALSE)</f>
        <v>Alkalmazott (ipari) kutatás – Működési költség</v>
      </c>
      <c r="D170" s="161" t="s">
        <v>129</v>
      </c>
      <c r="E170" s="90" t="str">
        <f>VLOOKUP($F170,Admin!$A$16:$E$19,4,FALSE)</f>
        <v>54. Bérköltség - Kutató-fejlesztő munkatárs</v>
      </c>
      <c r="F170" s="90" t="s">
        <v>171</v>
      </c>
      <c r="G170" s="161" t="s">
        <v>174</v>
      </c>
      <c r="H170" s="161" t="s">
        <v>207</v>
      </c>
      <c r="I170" s="90" t="str">
        <f>VLOOKUP($F170,Admin!$A$16:$E$19,5,FALSE)</f>
        <v>K+F munkatárs</v>
      </c>
      <c r="J170" s="161" t="s">
        <v>67</v>
      </c>
      <c r="K170" s="161" t="str">
        <f t="shared" ref="K170:K174" si="499">J170</f>
        <v>2023.04</v>
      </c>
      <c r="L170" s="91" t="s">
        <v>9</v>
      </c>
      <c r="M170" s="92" t="s">
        <v>78</v>
      </c>
      <c r="N170" s="162">
        <v>1150000</v>
      </c>
      <c r="O170" s="163">
        <f t="shared" ref="O170" si="500">ROUND(N170*V170,0)</f>
        <v>149500</v>
      </c>
      <c r="P170" s="161">
        <v>174</v>
      </c>
      <c r="Q170" s="161">
        <v>31</v>
      </c>
      <c r="R170" s="230">
        <f t="shared" ref="R170" si="501">Q170/P170</f>
        <v>0.17816091954022989</v>
      </c>
      <c r="S170" s="164">
        <f t="shared" ref="S170" si="502">ROUND(N170*Q170/P170,0)</f>
        <v>204885</v>
      </c>
      <c r="T170" s="165">
        <f t="shared" ref="T170" si="503">ROUND(S170*V170,0)</f>
        <v>26635</v>
      </c>
      <c r="U170" s="166">
        <f t="shared" ref="U170" si="504">Q170/P170-S170/N170</f>
        <v>4.9975012489378301E-8</v>
      </c>
      <c r="V170" s="87">
        <v>0.13</v>
      </c>
      <c r="W170" s="224" t="s">
        <v>231</v>
      </c>
      <c r="X170" s="23">
        <v>45002</v>
      </c>
      <c r="Y170" s="20" t="s">
        <v>197</v>
      </c>
      <c r="Z170" s="20"/>
      <c r="AA170" s="20"/>
      <c r="AB170" s="168"/>
    </row>
    <row r="171" spans="1:31" s="8" customFormat="1" x14ac:dyDescent="0.25">
      <c r="A171" s="189"/>
      <c r="B171" s="92" t="s">
        <v>206</v>
      </c>
      <c r="C171" s="90" t="str">
        <f>VLOOKUP($F171,Admin!$A$16:$E$19,2,FALSE)</f>
        <v>Alkalmazott (ipari) kutatás – Működési költség</v>
      </c>
      <c r="D171" s="161" t="s">
        <v>129</v>
      </c>
      <c r="E171" s="90" t="str">
        <f>VLOOKUP($F171,Admin!$A$16:$E$19,4,FALSE)</f>
        <v>54. Bérköltség - Kutató-fejlesztő munkatárs</v>
      </c>
      <c r="F171" s="90" t="s">
        <v>171</v>
      </c>
      <c r="G171" s="161" t="s">
        <v>174</v>
      </c>
      <c r="H171" s="161" t="s">
        <v>207</v>
      </c>
      <c r="I171" s="90" t="str">
        <f>VLOOKUP($F171,Admin!$A$16:$E$19,5,FALSE)</f>
        <v>K+F munkatárs</v>
      </c>
      <c r="J171" s="161" t="s">
        <v>68</v>
      </c>
      <c r="K171" s="161" t="str">
        <f t="shared" si="499"/>
        <v>2023.05</v>
      </c>
      <c r="L171" s="91" t="s">
        <v>9</v>
      </c>
      <c r="M171" s="92" t="s">
        <v>78</v>
      </c>
      <c r="N171" s="162">
        <v>1150000</v>
      </c>
      <c r="O171" s="163">
        <f t="shared" ref="O171:O174" si="505">ROUND(N171*V171,0)</f>
        <v>149500</v>
      </c>
      <c r="P171" s="161">
        <v>174</v>
      </c>
      <c r="Q171" s="161">
        <v>31</v>
      </c>
      <c r="R171" s="230">
        <f t="shared" ref="R171:R174" si="506">Q171/P171</f>
        <v>0.17816091954022989</v>
      </c>
      <c r="S171" s="164">
        <f t="shared" ref="S171:S174" si="507">ROUND(N171*Q171/P171,0)</f>
        <v>204885</v>
      </c>
      <c r="T171" s="165">
        <f t="shared" ref="T171:T174" si="508">ROUND(S171*V171,0)</f>
        <v>26635</v>
      </c>
      <c r="U171" s="166">
        <f t="shared" ref="U171:U174" si="509">Q171/P171-S171/N171</f>
        <v>4.9975012489378301E-8</v>
      </c>
      <c r="V171" s="87">
        <v>0.13</v>
      </c>
      <c r="W171" s="224" t="s">
        <v>231</v>
      </c>
      <c r="X171" s="23">
        <v>45002</v>
      </c>
      <c r="Y171" s="20" t="s">
        <v>197</v>
      </c>
      <c r="Z171" s="20"/>
      <c r="AA171" s="20"/>
      <c r="AB171" s="168"/>
    </row>
    <row r="172" spans="1:31" s="8" customFormat="1" x14ac:dyDescent="0.25">
      <c r="A172" s="189"/>
      <c r="B172" s="92" t="s">
        <v>206</v>
      </c>
      <c r="C172" s="90" t="str">
        <f>VLOOKUP($F172,Admin!$A$16:$E$19,2,FALSE)</f>
        <v>Alkalmazott (ipari) kutatás – Működési költség</v>
      </c>
      <c r="D172" s="161" t="s">
        <v>129</v>
      </c>
      <c r="E172" s="90" t="str">
        <f>VLOOKUP($F172,Admin!$A$16:$E$19,4,FALSE)</f>
        <v>54. Bérköltség - Kutató-fejlesztő munkatárs</v>
      </c>
      <c r="F172" s="90" t="s">
        <v>171</v>
      </c>
      <c r="G172" s="161" t="s">
        <v>174</v>
      </c>
      <c r="H172" s="161" t="s">
        <v>207</v>
      </c>
      <c r="I172" s="90" t="str">
        <f>VLOOKUP($F172,Admin!$A$16:$E$19,5,FALSE)</f>
        <v>K+F munkatárs</v>
      </c>
      <c r="J172" s="161" t="s">
        <v>69</v>
      </c>
      <c r="K172" s="161" t="str">
        <f t="shared" si="499"/>
        <v>2023.06</v>
      </c>
      <c r="L172" s="91" t="s">
        <v>9</v>
      </c>
      <c r="M172" s="92" t="s">
        <v>78</v>
      </c>
      <c r="N172" s="162">
        <v>1150000</v>
      </c>
      <c r="O172" s="163">
        <f t="shared" si="505"/>
        <v>149500</v>
      </c>
      <c r="P172" s="161">
        <v>174</v>
      </c>
      <c r="Q172" s="161">
        <v>31</v>
      </c>
      <c r="R172" s="230">
        <f t="shared" si="506"/>
        <v>0.17816091954022989</v>
      </c>
      <c r="S172" s="164">
        <f t="shared" si="507"/>
        <v>204885</v>
      </c>
      <c r="T172" s="165">
        <f t="shared" si="508"/>
        <v>26635</v>
      </c>
      <c r="U172" s="166">
        <f t="shared" si="509"/>
        <v>4.9975012489378301E-8</v>
      </c>
      <c r="V172" s="87">
        <v>0.13</v>
      </c>
      <c r="W172" s="224" t="s">
        <v>231</v>
      </c>
      <c r="X172" s="23">
        <v>45002</v>
      </c>
      <c r="Y172" s="20" t="s">
        <v>197</v>
      </c>
      <c r="Z172" s="20"/>
      <c r="AA172" s="20"/>
      <c r="AB172" s="168"/>
    </row>
    <row r="173" spans="1:31" s="8" customFormat="1" x14ac:dyDescent="0.25">
      <c r="A173" s="189"/>
      <c r="B173" s="92" t="s">
        <v>206</v>
      </c>
      <c r="C173" s="90" t="str">
        <f>VLOOKUP($F173,Admin!$A$16:$E$19,2,FALSE)</f>
        <v>Alkalmazott (ipari) kutatás – Működési költség</v>
      </c>
      <c r="D173" s="161" t="s">
        <v>129</v>
      </c>
      <c r="E173" s="90" t="str">
        <f>VLOOKUP($F173,Admin!$A$16:$E$19,4,FALSE)</f>
        <v>54. Bérköltség - Kutató-fejlesztő munkatárs</v>
      </c>
      <c r="F173" s="90" t="s">
        <v>171</v>
      </c>
      <c r="G173" s="161" t="s">
        <v>174</v>
      </c>
      <c r="H173" s="161" t="s">
        <v>207</v>
      </c>
      <c r="I173" s="90" t="str">
        <f>VLOOKUP($F173,Admin!$A$16:$E$19,5,FALSE)</f>
        <v>K+F munkatárs</v>
      </c>
      <c r="J173" s="161" t="s">
        <v>70</v>
      </c>
      <c r="K173" s="161" t="str">
        <f t="shared" si="499"/>
        <v>2023.07</v>
      </c>
      <c r="L173" s="91" t="s">
        <v>9</v>
      </c>
      <c r="M173" s="92" t="s">
        <v>78</v>
      </c>
      <c r="N173" s="162">
        <v>1150000</v>
      </c>
      <c r="O173" s="163">
        <f t="shared" si="505"/>
        <v>149500</v>
      </c>
      <c r="P173" s="161">
        <v>174</v>
      </c>
      <c r="Q173" s="161">
        <v>31</v>
      </c>
      <c r="R173" s="230">
        <f t="shared" si="506"/>
        <v>0.17816091954022989</v>
      </c>
      <c r="S173" s="164">
        <f t="shared" si="507"/>
        <v>204885</v>
      </c>
      <c r="T173" s="165">
        <f t="shared" si="508"/>
        <v>26635</v>
      </c>
      <c r="U173" s="166">
        <f t="shared" si="509"/>
        <v>4.9975012489378301E-8</v>
      </c>
      <c r="V173" s="87">
        <v>0.13</v>
      </c>
      <c r="W173" s="224" t="s">
        <v>231</v>
      </c>
      <c r="X173" s="23">
        <v>45002</v>
      </c>
      <c r="Y173" s="20" t="s">
        <v>197</v>
      </c>
      <c r="Z173" s="20"/>
      <c r="AA173" s="20"/>
      <c r="AB173" s="168"/>
    </row>
    <row r="174" spans="1:31" s="8" customFormat="1" x14ac:dyDescent="0.25">
      <c r="A174" s="189"/>
      <c r="B174" s="92" t="s">
        <v>206</v>
      </c>
      <c r="C174" s="90" t="str">
        <f>VLOOKUP($F174,Admin!$A$16:$E$19,2,FALSE)</f>
        <v>Alkalmazott (ipari) kutatás – Működési költség</v>
      </c>
      <c r="D174" s="161" t="s">
        <v>129</v>
      </c>
      <c r="E174" s="90" t="str">
        <f>VLOOKUP($F174,Admin!$A$16:$E$19,4,FALSE)</f>
        <v>54. Bérköltség - Kutató-fejlesztő munkatárs</v>
      </c>
      <c r="F174" s="90" t="s">
        <v>171</v>
      </c>
      <c r="G174" s="161" t="s">
        <v>174</v>
      </c>
      <c r="H174" s="161" t="s">
        <v>207</v>
      </c>
      <c r="I174" s="90" t="str">
        <f>VLOOKUP($F174,Admin!$A$16:$E$19,5,FALSE)</f>
        <v>K+F munkatárs</v>
      </c>
      <c r="J174" s="161" t="s">
        <v>71</v>
      </c>
      <c r="K174" s="161" t="str">
        <f t="shared" si="499"/>
        <v>2023.08</v>
      </c>
      <c r="L174" s="91" t="s">
        <v>9</v>
      </c>
      <c r="M174" s="92" t="s">
        <v>78</v>
      </c>
      <c r="N174" s="162">
        <v>1150000</v>
      </c>
      <c r="O174" s="163">
        <f t="shared" si="505"/>
        <v>149500</v>
      </c>
      <c r="P174" s="161">
        <v>174</v>
      </c>
      <c r="Q174" s="161">
        <v>31</v>
      </c>
      <c r="R174" s="230">
        <f t="shared" si="506"/>
        <v>0.17816091954022989</v>
      </c>
      <c r="S174" s="164">
        <f t="shared" si="507"/>
        <v>204885</v>
      </c>
      <c r="T174" s="165">
        <f t="shared" si="508"/>
        <v>26635</v>
      </c>
      <c r="U174" s="166">
        <f t="shared" si="509"/>
        <v>4.9975012489378301E-8</v>
      </c>
      <c r="V174" s="87">
        <v>0.13</v>
      </c>
      <c r="W174" s="224" t="s">
        <v>231</v>
      </c>
      <c r="X174" s="23">
        <v>45002</v>
      </c>
      <c r="Y174" s="20" t="s">
        <v>197</v>
      </c>
      <c r="Z174" s="20"/>
      <c r="AA174" s="20"/>
      <c r="AB174" s="168"/>
    </row>
    <row r="175" spans="1:31" s="8" customFormat="1" x14ac:dyDescent="0.25">
      <c r="A175" s="208">
        <v>1</v>
      </c>
      <c r="B175" s="92" t="s">
        <v>205</v>
      </c>
      <c r="C175" s="90" t="str">
        <f>VLOOKUP($F175,Admin!$A$16:$E$19,2,FALSE)</f>
        <v>Alkalmazott (ipari) kutatás – Működési költség</v>
      </c>
      <c r="D175" s="161" t="s">
        <v>129</v>
      </c>
      <c r="E175" s="90" t="str">
        <f>VLOOKUP($F175,Admin!$A$16:$E$19,4,FALSE)</f>
        <v>54. Bérköltség - Kutató-fejlesztő munkatárs</v>
      </c>
      <c r="F175" s="90" t="s">
        <v>171</v>
      </c>
      <c r="G175" s="161" t="s">
        <v>174</v>
      </c>
      <c r="H175" s="161" t="s">
        <v>194</v>
      </c>
      <c r="I175" s="90" t="str">
        <f>VLOOKUP($F175,Admin!$A$16:$E$19,5,FALSE)</f>
        <v>K+F munkatárs</v>
      </c>
      <c r="J175" s="161" t="s">
        <v>43</v>
      </c>
      <c r="K175" s="161" t="str">
        <f t="shared" si="128"/>
        <v>2022.04</v>
      </c>
      <c r="L175" s="91" t="s">
        <v>8</v>
      </c>
      <c r="M175" s="92" t="s">
        <v>78</v>
      </c>
      <c r="N175" s="162">
        <v>621000</v>
      </c>
      <c r="O175" s="163">
        <f t="shared" ref="O175" si="510">ROUND(N175*V175,0)</f>
        <v>80730</v>
      </c>
      <c r="P175" s="161">
        <v>174</v>
      </c>
      <c r="Q175" s="161">
        <v>28</v>
      </c>
      <c r="R175" s="230">
        <f t="shared" ref="R175" si="511">Q175/P175</f>
        <v>0.16091954022988506</v>
      </c>
      <c r="S175" s="164">
        <f t="shared" ref="S175" si="512">ROUND(N175*Q175/P175,0)</f>
        <v>99931</v>
      </c>
      <c r="T175" s="165">
        <f t="shared" ref="T175" si="513">ROUND(S175*V175,0)</f>
        <v>12991</v>
      </c>
      <c r="U175" s="166">
        <f t="shared" ref="U175" si="514">Q175/P175-S175/N175</f>
        <v>5.5527791670284543E-8</v>
      </c>
      <c r="V175" s="87">
        <v>0.13</v>
      </c>
      <c r="W175" s="224"/>
      <c r="X175" s="23">
        <v>44649</v>
      </c>
      <c r="Y175" s="20" t="s">
        <v>197</v>
      </c>
      <c r="Z175" s="20"/>
      <c r="AA175" s="20"/>
      <c r="AB175" s="168">
        <v>1</v>
      </c>
    </row>
    <row r="176" spans="1:31" s="8" customFormat="1" x14ac:dyDescent="0.25">
      <c r="A176" s="208">
        <v>1</v>
      </c>
      <c r="B176" s="92" t="s">
        <v>205</v>
      </c>
      <c r="C176" s="90" t="str">
        <f>VLOOKUP($F176,Admin!$A$16:$E$19,2,FALSE)</f>
        <v>Alkalmazott (ipari) kutatás – Működési költség</v>
      </c>
      <c r="D176" s="161" t="s">
        <v>129</v>
      </c>
      <c r="E176" s="90" t="str">
        <f>VLOOKUP($F176,Admin!$A$16:$E$19,4,FALSE)</f>
        <v>54. Bérköltség - Kutató-fejlesztő munkatárs</v>
      </c>
      <c r="F176" s="90" t="s">
        <v>171</v>
      </c>
      <c r="G176" s="161" t="s">
        <v>174</v>
      </c>
      <c r="H176" s="161" t="s">
        <v>194</v>
      </c>
      <c r="I176" s="90" t="str">
        <f>VLOOKUP($F176,Admin!$A$16:$E$19,5,FALSE)</f>
        <v>K+F munkatárs</v>
      </c>
      <c r="J176" s="161" t="s">
        <v>44</v>
      </c>
      <c r="K176" s="161" t="str">
        <f t="shared" ref="K176:K177" si="515">J176</f>
        <v>2022.05</v>
      </c>
      <c r="L176" s="91" t="s">
        <v>8</v>
      </c>
      <c r="M176" s="92" t="s">
        <v>78</v>
      </c>
      <c r="N176" s="162">
        <v>621000</v>
      </c>
      <c r="O176" s="163">
        <f t="shared" ref="O176:O177" si="516">ROUND(N176*V176,0)</f>
        <v>80730</v>
      </c>
      <c r="P176" s="161">
        <v>174</v>
      </c>
      <c r="Q176" s="161">
        <v>28</v>
      </c>
      <c r="R176" s="230">
        <f t="shared" ref="R176:R177" si="517">Q176/P176</f>
        <v>0.16091954022988506</v>
      </c>
      <c r="S176" s="164">
        <f t="shared" ref="S176:S177" si="518">ROUND(N176*Q176/P176,0)</f>
        <v>99931</v>
      </c>
      <c r="T176" s="165">
        <f t="shared" ref="T176:T177" si="519">ROUND(S176*V176,0)</f>
        <v>12991</v>
      </c>
      <c r="U176" s="166">
        <f t="shared" ref="U176:U177" si="520">Q176/P176-S176/N176</f>
        <v>5.5527791670284543E-8</v>
      </c>
      <c r="V176" s="87">
        <v>0.13</v>
      </c>
      <c r="W176" s="224"/>
      <c r="X176" s="23">
        <v>44649</v>
      </c>
      <c r="Y176" s="20" t="s">
        <v>197</v>
      </c>
      <c r="Z176" s="20"/>
      <c r="AA176" s="20"/>
      <c r="AB176" s="168">
        <v>1</v>
      </c>
    </row>
    <row r="177" spans="1:31" s="8" customFormat="1" x14ac:dyDescent="0.25">
      <c r="A177" s="208">
        <v>1</v>
      </c>
      <c r="B177" s="92" t="s">
        <v>205</v>
      </c>
      <c r="C177" s="90" t="str">
        <f>VLOOKUP($F177,Admin!$A$16:$E$19,2,FALSE)</f>
        <v>Alkalmazott (ipari) kutatás – Működési költség</v>
      </c>
      <c r="D177" s="161" t="s">
        <v>129</v>
      </c>
      <c r="E177" s="90" t="str">
        <f>VLOOKUP($F177,Admin!$A$16:$E$19,4,FALSE)</f>
        <v>54. Bérköltség - Kutató-fejlesztő munkatárs</v>
      </c>
      <c r="F177" s="90" t="s">
        <v>171</v>
      </c>
      <c r="G177" s="161" t="s">
        <v>174</v>
      </c>
      <c r="H177" s="161" t="s">
        <v>194</v>
      </c>
      <c r="I177" s="90" t="str">
        <f>VLOOKUP($F177,Admin!$A$16:$E$19,5,FALSE)</f>
        <v>K+F munkatárs</v>
      </c>
      <c r="J177" s="161" t="s">
        <v>45</v>
      </c>
      <c r="K177" s="161" t="str">
        <f t="shared" si="515"/>
        <v>2022.06</v>
      </c>
      <c r="L177" s="91" t="s">
        <v>8</v>
      </c>
      <c r="M177" s="92" t="s">
        <v>78</v>
      </c>
      <c r="N177" s="162">
        <v>620998</v>
      </c>
      <c r="O177" s="163">
        <f t="shared" si="516"/>
        <v>80730</v>
      </c>
      <c r="P177" s="161">
        <v>174</v>
      </c>
      <c r="Q177" s="161">
        <v>28</v>
      </c>
      <c r="R177" s="230">
        <f t="shared" si="517"/>
        <v>0.16091954022988506</v>
      </c>
      <c r="S177" s="164">
        <f t="shared" si="518"/>
        <v>99931</v>
      </c>
      <c r="T177" s="165">
        <f t="shared" si="519"/>
        <v>12991</v>
      </c>
      <c r="U177" s="166">
        <f t="shared" si="520"/>
        <v>-4.6273308745847785E-7</v>
      </c>
      <c r="V177" s="87">
        <v>0.13</v>
      </c>
      <c r="W177" s="224"/>
      <c r="X177" s="23">
        <v>44713</v>
      </c>
      <c r="Y177" s="20" t="s">
        <v>197</v>
      </c>
      <c r="Z177" s="20"/>
      <c r="AA177" s="20"/>
      <c r="AB177" s="168">
        <v>1</v>
      </c>
    </row>
    <row r="178" spans="1:31" s="8" customFormat="1" x14ac:dyDescent="0.25">
      <c r="A178" s="208">
        <v>1</v>
      </c>
      <c r="B178" s="92" t="s">
        <v>205</v>
      </c>
      <c r="C178" s="90" t="str">
        <f>VLOOKUP($F178,Admin!$A$16:$E$19,2,FALSE)</f>
        <v>Alkalmazott (ipari) kutatás – Működési költség</v>
      </c>
      <c r="D178" s="161" t="s">
        <v>129</v>
      </c>
      <c r="E178" s="90" t="str">
        <f>VLOOKUP($F178,Admin!$A$16:$E$19,4,FALSE)</f>
        <v>54. Bérköltség - Kutató-fejlesztő munkatárs</v>
      </c>
      <c r="F178" s="90" t="s">
        <v>171</v>
      </c>
      <c r="G178" s="161" t="s">
        <v>174</v>
      </c>
      <c r="H178" s="161" t="s">
        <v>194</v>
      </c>
      <c r="I178" s="90" t="str">
        <f>VLOOKUP($F178,Admin!$A$16:$E$19,5,FALSE)</f>
        <v>K+F munkatárs</v>
      </c>
      <c r="J178" s="161" t="s">
        <v>46</v>
      </c>
      <c r="K178" s="161" t="str">
        <f t="shared" ref="K178:K180" si="521">J178</f>
        <v>2022.07</v>
      </c>
      <c r="L178" s="91" t="s">
        <v>8</v>
      </c>
      <c r="M178" s="92" t="s">
        <v>78</v>
      </c>
      <c r="N178" s="162">
        <v>592998</v>
      </c>
      <c r="O178" s="163">
        <f t="shared" ref="O178" si="522">ROUND(N178*V178,0)</f>
        <v>77090</v>
      </c>
      <c r="P178" s="161">
        <v>174</v>
      </c>
      <c r="Q178" s="161">
        <v>29</v>
      </c>
      <c r="R178" s="230">
        <f t="shared" ref="R178" si="523">Q178/P178</f>
        <v>0.16666666666666666</v>
      </c>
      <c r="S178" s="164">
        <f t="shared" ref="S178" si="524">ROUND(N178*Q178/P178,0)</f>
        <v>98833</v>
      </c>
      <c r="T178" s="165">
        <f t="shared" ref="T178" si="525">ROUND(S178*V178,0)</f>
        <v>12848</v>
      </c>
      <c r="U178" s="166">
        <f t="shared" ref="U178" si="526">Q178/P178-S178/N178</f>
        <v>0</v>
      </c>
      <c r="V178" s="87">
        <v>0.13</v>
      </c>
      <c r="W178" s="224"/>
      <c r="X178" s="23">
        <v>44742</v>
      </c>
      <c r="Y178" s="20" t="s">
        <v>197</v>
      </c>
      <c r="Z178" s="20"/>
      <c r="AA178" s="20"/>
      <c r="AB178" s="168">
        <v>1</v>
      </c>
    </row>
    <row r="179" spans="1:31" s="8" customFormat="1" x14ac:dyDescent="0.25">
      <c r="A179" s="208">
        <v>1</v>
      </c>
      <c r="B179" s="92" t="s">
        <v>205</v>
      </c>
      <c r="C179" s="90" t="str">
        <f>VLOOKUP($F179,Admin!$A$16:$E$19,2,FALSE)</f>
        <v>Alkalmazott (ipari) kutatás – Működési költség</v>
      </c>
      <c r="D179" s="161" t="s">
        <v>129</v>
      </c>
      <c r="E179" s="90" t="str">
        <f>VLOOKUP($F179,Admin!$A$16:$E$19,4,FALSE)</f>
        <v>54. Bérköltség - Kutató-fejlesztő munkatárs</v>
      </c>
      <c r="F179" s="90" t="s">
        <v>171</v>
      </c>
      <c r="G179" s="161" t="s">
        <v>174</v>
      </c>
      <c r="H179" s="161" t="s">
        <v>194</v>
      </c>
      <c r="I179" s="90" t="str">
        <f>VLOOKUP($F179,Admin!$A$16:$E$19,5,FALSE)</f>
        <v>K+F munkatárs</v>
      </c>
      <c r="J179" s="161" t="s">
        <v>47</v>
      </c>
      <c r="K179" s="161" t="str">
        <f t="shared" si="521"/>
        <v>2022.08</v>
      </c>
      <c r="L179" s="91" t="s">
        <v>8</v>
      </c>
      <c r="M179" s="92" t="s">
        <v>78</v>
      </c>
      <c r="N179" s="162">
        <v>515652</v>
      </c>
      <c r="O179" s="163">
        <f t="shared" ref="O179:O190" si="527">ROUND(N179*V179,0)</f>
        <v>67035</v>
      </c>
      <c r="P179" s="161">
        <v>174</v>
      </c>
      <c r="Q179" s="161">
        <v>29</v>
      </c>
      <c r="R179" s="230">
        <f t="shared" ref="R179:R190" si="528">Q179/P179</f>
        <v>0.16666666666666666</v>
      </c>
      <c r="S179" s="164">
        <f t="shared" ref="S179:S190" si="529">ROUND(N179*Q179/P179,0)</f>
        <v>85942</v>
      </c>
      <c r="T179" s="165">
        <f t="shared" ref="T179:T190" si="530">ROUND(S179*V179,0)</f>
        <v>11172</v>
      </c>
      <c r="U179" s="166">
        <f t="shared" ref="U179:U190" si="531">Q179/P179-S179/N179</f>
        <v>0</v>
      </c>
      <c r="V179" s="87">
        <v>0.13</v>
      </c>
      <c r="W179" s="224"/>
      <c r="X179" s="23">
        <v>44742</v>
      </c>
      <c r="Y179" s="20" t="s">
        <v>197</v>
      </c>
      <c r="Z179" s="20"/>
      <c r="AA179" s="20"/>
      <c r="AB179" s="168">
        <v>1</v>
      </c>
    </row>
    <row r="180" spans="1:31" s="8" customFormat="1" x14ac:dyDescent="0.25">
      <c r="A180" s="208">
        <v>1</v>
      </c>
      <c r="B180" s="92" t="s">
        <v>205</v>
      </c>
      <c r="C180" s="90" t="str">
        <f>VLOOKUP($F180,Admin!$A$16:$E$19,2,FALSE)</f>
        <v>Alkalmazott (ipari) kutatás – Működési költség</v>
      </c>
      <c r="D180" s="161" t="s">
        <v>129</v>
      </c>
      <c r="E180" s="90" t="str">
        <f>VLOOKUP($F180,Admin!$A$16:$E$19,4,FALSE)</f>
        <v>54. Bérköltség - Kutató-fejlesztő munkatárs</v>
      </c>
      <c r="F180" s="90" t="s">
        <v>171</v>
      </c>
      <c r="G180" s="161" t="s">
        <v>174</v>
      </c>
      <c r="H180" s="161" t="s">
        <v>194</v>
      </c>
      <c r="I180" s="90" t="str">
        <f>VLOOKUP($F180,Admin!$A$16:$E$19,5,FALSE)</f>
        <v>K+F munkatárs</v>
      </c>
      <c r="J180" s="161" t="s">
        <v>48</v>
      </c>
      <c r="K180" s="161" t="str">
        <f t="shared" si="521"/>
        <v>2022.09</v>
      </c>
      <c r="L180" s="91" t="s">
        <v>8</v>
      </c>
      <c r="M180" s="92" t="s">
        <v>78</v>
      </c>
      <c r="N180" s="162">
        <v>593000</v>
      </c>
      <c r="O180" s="163">
        <f t="shared" si="527"/>
        <v>77090</v>
      </c>
      <c r="P180" s="161">
        <v>174</v>
      </c>
      <c r="Q180" s="161">
        <v>29</v>
      </c>
      <c r="R180" s="230">
        <f t="shared" si="528"/>
        <v>0.16666666666666666</v>
      </c>
      <c r="S180" s="164">
        <f t="shared" si="529"/>
        <v>98833</v>
      </c>
      <c r="T180" s="165">
        <f t="shared" si="530"/>
        <v>12848</v>
      </c>
      <c r="U180" s="166">
        <f t="shared" si="531"/>
        <v>5.6211354693136428E-7</v>
      </c>
      <c r="V180" s="87">
        <v>0.13</v>
      </c>
      <c r="W180" s="224"/>
      <c r="X180" s="23">
        <v>44742</v>
      </c>
      <c r="Y180" s="20" t="s">
        <v>197</v>
      </c>
      <c r="Z180" s="20"/>
      <c r="AA180" s="20"/>
      <c r="AB180" s="168">
        <v>4</v>
      </c>
    </row>
    <row r="181" spans="1:31" s="8" customFormat="1" x14ac:dyDescent="0.25">
      <c r="A181" s="189"/>
      <c r="B181" s="92" t="s">
        <v>205</v>
      </c>
      <c r="C181" s="90" t="str">
        <f>VLOOKUP($F181,Admin!$A$16:$E$19,2,FALSE)</f>
        <v>Alkalmazott (ipari) kutatás – Működési költség</v>
      </c>
      <c r="D181" s="161" t="s">
        <v>129</v>
      </c>
      <c r="E181" s="90" t="str">
        <f>VLOOKUP($F181,Admin!$A$16:$E$19,4,FALSE)</f>
        <v>54. Bérköltség - Kutató-fejlesztő munkatárs</v>
      </c>
      <c r="F181" s="90" t="s">
        <v>171</v>
      </c>
      <c r="G181" s="161" t="s">
        <v>174</v>
      </c>
      <c r="H181" s="161" t="s">
        <v>194</v>
      </c>
      <c r="I181" s="90" t="str">
        <f>VLOOKUP($F181,Admin!$A$16:$E$19,5,FALSE)</f>
        <v>K+F munkatárs</v>
      </c>
      <c r="J181" s="161" t="s">
        <v>49</v>
      </c>
      <c r="K181" s="161" t="str">
        <f t="shared" ref="K181:K183" si="532">J181</f>
        <v>2022.10</v>
      </c>
      <c r="L181" s="91" t="s">
        <v>8</v>
      </c>
      <c r="M181" s="92" t="s">
        <v>78</v>
      </c>
      <c r="N181" s="162">
        <v>450000</v>
      </c>
      <c r="O181" s="163">
        <f t="shared" ref="O181" si="533">ROUND(N181*V181,0)</f>
        <v>58500</v>
      </c>
      <c r="P181" s="161">
        <v>174</v>
      </c>
      <c r="Q181" s="161">
        <v>39</v>
      </c>
      <c r="R181" s="230">
        <f t="shared" ref="R181" si="534">Q181/P181</f>
        <v>0.22413793103448276</v>
      </c>
      <c r="S181" s="164">
        <f t="shared" ref="S181" si="535">ROUND(N181*Q181/P181,0)</f>
        <v>100862</v>
      </c>
      <c r="T181" s="165">
        <f t="shared" ref="T181" si="536">ROUND(S181*V181,0)</f>
        <v>13112</v>
      </c>
      <c r="U181" s="166">
        <f t="shared" ref="U181" si="537">Q181/P181-S181/N181</f>
        <v>1.5325670499333199E-7</v>
      </c>
      <c r="V181" s="87">
        <v>0.13</v>
      </c>
      <c r="W181" s="224"/>
      <c r="X181" s="23">
        <v>44830</v>
      </c>
      <c r="Y181" s="20" t="s">
        <v>197</v>
      </c>
      <c r="Z181" s="20"/>
      <c r="AA181" s="20"/>
      <c r="AB181" s="168">
        <v>1</v>
      </c>
    </row>
    <row r="182" spans="1:31" s="8" customFormat="1" x14ac:dyDescent="0.25">
      <c r="A182" s="189"/>
      <c r="B182" s="92" t="s">
        <v>205</v>
      </c>
      <c r="C182" s="90" t="str">
        <f>VLOOKUP($F182,Admin!$A$16:$E$19,2,FALSE)</f>
        <v>Alkalmazott (ipari) kutatás – Működési költség</v>
      </c>
      <c r="D182" s="161" t="s">
        <v>129</v>
      </c>
      <c r="E182" s="90" t="str">
        <f>VLOOKUP($F182,Admin!$A$16:$E$19,4,FALSE)</f>
        <v>54. Bérköltség - Kutató-fejlesztő munkatárs</v>
      </c>
      <c r="F182" s="90" t="s">
        <v>171</v>
      </c>
      <c r="G182" s="161" t="s">
        <v>174</v>
      </c>
      <c r="H182" s="161" t="s">
        <v>194</v>
      </c>
      <c r="I182" s="90" t="str">
        <f>VLOOKUP($F182,Admin!$A$16:$E$19,5,FALSE)</f>
        <v>K+F munkatárs</v>
      </c>
      <c r="J182" s="161" t="s">
        <v>50</v>
      </c>
      <c r="K182" s="161" t="str">
        <f t="shared" si="532"/>
        <v>2022.11</v>
      </c>
      <c r="L182" s="91" t="s">
        <v>8</v>
      </c>
      <c r="M182" s="92" t="s">
        <v>78</v>
      </c>
      <c r="N182" s="162">
        <v>450000</v>
      </c>
      <c r="O182" s="163">
        <f t="shared" ref="O182:O183" si="538">ROUND(N182*V182,0)</f>
        <v>58500</v>
      </c>
      <c r="P182" s="161">
        <v>174</v>
      </c>
      <c r="Q182" s="161">
        <v>39</v>
      </c>
      <c r="R182" s="230">
        <f t="shared" ref="R182:R183" si="539">Q182/P182</f>
        <v>0.22413793103448276</v>
      </c>
      <c r="S182" s="164">
        <f t="shared" ref="S182:S183" si="540">ROUND(N182*Q182/P182,0)</f>
        <v>100862</v>
      </c>
      <c r="T182" s="165">
        <f t="shared" ref="T182:T183" si="541">ROUND(S182*V182,0)</f>
        <v>13112</v>
      </c>
      <c r="U182" s="166">
        <f t="shared" ref="U182:U183" si="542">Q182/P182-S182/N182</f>
        <v>1.5325670499333199E-7</v>
      </c>
      <c r="V182" s="87">
        <v>0.13</v>
      </c>
      <c r="W182" s="224" t="s">
        <v>221</v>
      </c>
      <c r="X182" s="23">
        <v>44830</v>
      </c>
      <c r="Y182" s="20" t="s">
        <v>197</v>
      </c>
      <c r="Z182" s="20"/>
      <c r="AA182" s="20"/>
      <c r="AB182" s="168">
        <v>1</v>
      </c>
      <c r="AC182" s="211" t="e">
        <v>#N/A</v>
      </c>
      <c r="AD182" s="211" t="e">
        <v>#N/A</v>
      </c>
      <c r="AE182" s="211" t="e">
        <v>#N/A</v>
      </c>
    </row>
    <row r="183" spans="1:31" s="8" customFormat="1" x14ac:dyDescent="0.25">
      <c r="A183" s="189"/>
      <c r="B183" s="92" t="s">
        <v>205</v>
      </c>
      <c r="C183" s="90" t="str">
        <f>VLOOKUP($F183,Admin!$A$16:$E$19,2,FALSE)</f>
        <v>Alkalmazott (ipari) kutatás – Működési költség</v>
      </c>
      <c r="D183" s="161" t="s">
        <v>129</v>
      </c>
      <c r="E183" s="90" t="str">
        <f>VLOOKUP($F183,Admin!$A$16:$E$19,4,FALSE)</f>
        <v>54. Bérköltség - Kutató-fejlesztő munkatárs</v>
      </c>
      <c r="F183" s="90" t="s">
        <v>171</v>
      </c>
      <c r="G183" s="161" t="s">
        <v>174</v>
      </c>
      <c r="H183" s="161" t="s">
        <v>194</v>
      </c>
      <c r="I183" s="90" t="str">
        <f>VLOOKUP($F183,Admin!$A$16:$E$19,5,FALSE)</f>
        <v>K+F munkatárs</v>
      </c>
      <c r="J183" s="161" t="s">
        <v>51</v>
      </c>
      <c r="K183" s="161" t="str">
        <f t="shared" si="532"/>
        <v>2022.12</v>
      </c>
      <c r="L183" s="91" t="s">
        <v>8</v>
      </c>
      <c r="M183" s="92" t="s">
        <v>78</v>
      </c>
      <c r="N183" s="162">
        <v>449999</v>
      </c>
      <c r="O183" s="163">
        <f t="shared" si="538"/>
        <v>58500</v>
      </c>
      <c r="P183" s="161">
        <v>174</v>
      </c>
      <c r="Q183" s="161">
        <v>39</v>
      </c>
      <c r="R183" s="230">
        <f t="shared" si="539"/>
        <v>0.22413793103448276</v>
      </c>
      <c r="S183" s="164">
        <f t="shared" si="540"/>
        <v>100862</v>
      </c>
      <c r="T183" s="165">
        <f t="shared" si="541"/>
        <v>13112</v>
      </c>
      <c r="U183" s="166">
        <f t="shared" si="542"/>
        <v>-3.4482835248317301E-7</v>
      </c>
      <c r="V183" s="87">
        <v>0.13</v>
      </c>
      <c r="W183" s="224" t="s">
        <v>221</v>
      </c>
      <c r="X183" s="23">
        <v>44830</v>
      </c>
      <c r="Y183" s="20" t="s">
        <v>197</v>
      </c>
      <c r="Z183" s="20"/>
      <c r="AA183" s="20"/>
      <c r="AB183" s="168">
        <v>1</v>
      </c>
      <c r="AC183" s="211" t="s">
        <v>249</v>
      </c>
      <c r="AD183" s="211" t="s">
        <v>250</v>
      </c>
      <c r="AE183" s="211" t="s">
        <v>250</v>
      </c>
    </row>
    <row r="184" spans="1:31" s="8" customFormat="1" x14ac:dyDescent="0.25">
      <c r="A184" s="189"/>
      <c r="B184" s="92" t="s">
        <v>205</v>
      </c>
      <c r="C184" s="90" t="str">
        <f>VLOOKUP($F184,Admin!$A$16:$E$19,2,FALSE)</f>
        <v>Alkalmazott (ipari) kutatás – Működési költség</v>
      </c>
      <c r="D184" s="161" t="s">
        <v>129</v>
      </c>
      <c r="E184" s="90" t="str">
        <f>VLOOKUP($F184,Admin!$A$16:$E$19,4,FALSE)</f>
        <v>54. Bérköltség - Kutató-fejlesztő munkatárs</v>
      </c>
      <c r="F184" s="90" t="s">
        <v>171</v>
      </c>
      <c r="G184" s="161" t="s">
        <v>174</v>
      </c>
      <c r="H184" s="161" t="s">
        <v>194</v>
      </c>
      <c r="I184" s="90" t="str">
        <f>VLOOKUP($F184,Admin!$A$16:$E$19,5,FALSE)</f>
        <v>K+F munkatárs</v>
      </c>
      <c r="J184" s="161" t="s">
        <v>64</v>
      </c>
      <c r="K184" s="161" t="str">
        <f t="shared" ref="K184:K186" si="543">J184</f>
        <v>2023.01</v>
      </c>
      <c r="L184" s="91" t="s">
        <v>8</v>
      </c>
      <c r="M184" s="92" t="s">
        <v>78</v>
      </c>
      <c r="N184" s="162">
        <v>494999</v>
      </c>
      <c r="O184" s="163">
        <f t="shared" ref="O184" si="544">ROUND(N184*V184,0)</f>
        <v>64350</v>
      </c>
      <c r="P184" s="161">
        <v>174</v>
      </c>
      <c r="Q184" s="161">
        <v>36</v>
      </c>
      <c r="R184" s="230">
        <f t="shared" ref="R184" si="545">Q184/P184</f>
        <v>0.20689655172413793</v>
      </c>
      <c r="S184" s="164">
        <f t="shared" ref="S184" si="546">ROUND(N184*Q184/P184,0)</f>
        <v>102414</v>
      </c>
      <c r="T184" s="165">
        <f t="shared" ref="T184" si="547">ROUND(S184*V184,0)</f>
        <v>13314</v>
      </c>
      <c r="U184" s="166">
        <f t="shared" ref="U184" si="548">Q184/P184-S184/N184</f>
        <v>-8.35947352312294E-7</v>
      </c>
      <c r="V184" s="87">
        <v>0.13</v>
      </c>
      <c r="W184" s="224" t="s">
        <v>221</v>
      </c>
      <c r="X184" s="23">
        <v>44944</v>
      </c>
      <c r="Y184" s="20" t="s">
        <v>197</v>
      </c>
      <c r="Z184" s="20"/>
      <c r="AA184" s="20"/>
      <c r="AB184" s="168">
        <v>1</v>
      </c>
      <c r="AC184" s="211" t="s">
        <v>249</v>
      </c>
      <c r="AD184" s="211">
        <v>0</v>
      </c>
      <c r="AE184" s="211">
        <v>0</v>
      </c>
    </row>
    <row r="185" spans="1:31" s="8" customFormat="1" x14ac:dyDescent="0.25">
      <c r="A185" s="189"/>
      <c r="B185" s="92" t="s">
        <v>205</v>
      </c>
      <c r="C185" s="90" t="str">
        <f>VLOOKUP($F185,Admin!$A$16:$E$19,2,FALSE)</f>
        <v>Alkalmazott (ipari) kutatás – Működési költség</v>
      </c>
      <c r="D185" s="161" t="s">
        <v>129</v>
      </c>
      <c r="E185" s="90" t="str">
        <f>VLOOKUP($F185,Admin!$A$16:$E$19,4,FALSE)</f>
        <v>54. Bérköltség - Kutató-fejlesztő munkatárs</v>
      </c>
      <c r="F185" s="90" t="s">
        <v>171</v>
      </c>
      <c r="G185" s="161" t="s">
        <v>174</v>
      </c>
      <c r="H185" s="161" t="s">
        <v>194</v>
      </c>
      <c r="I185" s="90" t="str">
        <f>VLOOKUP($F185,Admin!$A$16:$E$19,5,FALSE)</f>
        <v>K+F munkatárs</v>
      </c>
      <c r="J185" s="161" t="s">
        <v>65</v>
      </c>
      <c r="K185" s="161" t="str">
        <f t="shared" si="543"/>
        <v>2023.02</v>
      </c>
      <c r="L185" s="91" t="s">
        <v>8</v>
      </c>
      <c r="M185" s="92" t="s">
        <v>78</v>
      </c>
      <c r="N185" s="162">
        <v>495000</v>
      </c>
      <c r="O185" s="163">
        <f t="shared" ref="O185:O186" si="549">ROUND(N185*V185,0)</f>
        <v>64350</v>
      </c>
      <c r="P185" s="161">
        <v>174</v>
      </c>
      <c r="Q185" s="161">
        <v>36</v>
      </c>
      <c r="R185" s="230">
        <f t="shared" ref="R185:R186" si="550">Q185/P185</f>
        <v>0.20689655172413793</v>
      </c>
      <c r="S185" s="164">
        <f t="shared" ref="S185:S186" si="551">ROUND(N185*Q185/P185,0)</f>
        <v>102414</v>
      </c>
      <c r="T185" s="165">
        <f t="shared" ref="T185:T186" si="552">ROUND(S185*V185,0)</f>
        <v>13314</v>
      </c>
      <c r="U185" s="166">
        <f t="shared" ref="U185:U186" si="553">Q185/P185-S185/N185</f>
        <v>-4.1797283176214783E-7</v>
      </c>
      <c r="V185" s="87">
        <v>0.13</v>
      </c>
      <c r="W185" s="224" t="s">
        <v>221</v>
      </c>
      <c r="X185" s="23">
        <v>44944</v>
      </c>
      <c r="Y185" s="20" t="s">
        <v>197</v>
      </c>
      <c r="Z185" s="20"/>
      <c r="AA185" s="20"/>
      <c r="AB185" s="168">
        <v>1</v>
      </c>
      <c r="AC185" s="8" t="str">
        <f>IF(VLOOKUP($W185,'Havi béradatok'!$B:$E,2,FALSE)=H185,"EGYEZIK","HIBÁS")</f>
        <v>EGYEZIK</v>
      </c>
      <c r="AD185" s="8">
        <f>VLOOKUP($W185,'Havi béradatok'!$B:$E,3,FALSE)-N185</f>
        <v>175000</v>
      </c>
      <c r="AE185" s="8">
        <f>VLOOKUP($W185,'Havi béradatok'!$B:$E,4,FALSE)-O185</f>
        <v>22750</v>
      </c>
    </row>
    <row r="186" spans="1:31" s="8" customFormat="1" x14ac:dyDescent="0.25">
      <c r="A186" s="189"/>
      <c r="B186" s="92" t="s">
        <v>205</v>
      </c>
      <c r="C186" s="90" t="str">
        <f>VLOOKUP($F186,Admin!$A$16:$E$19,2,FALSE)</f>
        <v>Alkalmazott (ipari) kutatás – Működési költség</v>
      </c>
      <c r="D186" s="161" t="s">
        <v>129</v>
      </c>
      <c r="E186" s="90" t="str">
        <f>VLOOKUP($F186,Admin!$A$16:$E$19,4,FALSE)</f>
        <v>54. Bérköltség - Kutató-fejlesztő munkatárs</v>
      </c>
      <c r="F186" s="90" t="s">
        <v>171</v>
      </c>
      <c r="G186" s="161" t="s">
        <v>174</v>
      </c>
      <c r="H186" s="161" t="s">
        <v>194</v>
      </c>
      <c r="I186" s="90" t="str">
        <f>VLOOKUP($F186,Admin!$A$16:$E$19,5,FALSE)</f>
        <v>K+F munkatárs</v>
      </c>
      <c r="J186" s="161" t="s">
        <v>66</v>
      </c>
      <c r="K186" s="161" t="str">
        <f t="shared" si="543"/>
        <v>2023.03</v>
      </c>
      <c r="L186" s="91" t="s">
        <v>8</v>
      </c>
      <c r="M186" s="92" t="s">
        <v>78</v>
      </c>
      <c r="N186" s="162">
        <v>670000</v>
      </c>
      <c r="O186" s="163">
        <f t="shared" si="549"/>
        <v>87100</v>
      </c>
      <c r="P186" s="161">
        <v>174</v>
      </c>
      <c r="Q186" s="161">
        <v>89</v>
      </c>
      <c r="R186" s="230">
        <f t="shared" si="550"/>
        <v>0.5114942528735632</v>
      </c>
      <c r="S186" s="164">
        <f t="shared" si="551"/>
        <v>342701</v>
      </c>
      <c r="T186" s="165">
        <f t="shared" si="552"/>
        <v>44551</v>
      </c>
      <c r="U186" s="166">
        <f t="shared" si="553"/>
        <v>2.2302281688091341E-7</v>
      </c>
      <c r="V186" s="87">
        <v>0.13</v>
      </c>
      <c r="W186" s="224" t="s">
        <v>221</v>
      </c>
      <c r="X186" s="23">
        <v>44980</v>
      </c>
      <c r="Y186" s="20" t="s">
        <v>197</v>
      </c>
      <c r="Z186" s="20"/>
      <c r="AA186" s="20"/>
      <c r="AB186" s="168">
        <v>1</v>
      </c>
      <c r="AC186" s="8" t="str">
        <f>IF(VLOOKUP($W186,'Havi béradatok'!$B:$E,2,FALSE)=H186,"EGYEZIK","HIBÁS")</f>
        <v>EGYEZIK</v>
      </c>
      <c r="AD186" s="8">
        <f>VLOOKUP($W186,'Havi béradatok'!$B:$E,3,FALSE)-N186</f>
        <v>0</v>
      </c>
      <c r="AE186" s="8">
        <f>VLOOKUP($W186,'Havi béradatok'!$B:$E,4,FALSE)-O186</f>
        <v>0</v>
      </c>
    </row>
    <row r="187" spans="1:31" s="8" customFormat="1" x14ac:dyDescent="0.25">
      <c r="A187" s="189"/>
      <c r="B187" s="92" t="s">
        <v>205</v>
      </c>
      <c r="C187" s="90" t="str">
        <f>VLOOKUP($F187,Admin!$A$16:$E$19,2,FALSE)</f>
        <v>Alkalmazott (ipari) kutatás – Működési költség</v>
      </c>
      <c r="D187" s="161" t="s">
        <v>129</v>
      </c>
      <c r="E187" s="90" t="str">
        <f>VLOOKUP($F187,Admin!$A$16:$E$19,4,FALSE)</f>
        <v>54. Bérköltség - Kutató-fejlesztő munkatárs</v>
      </c>
      <c r="F187" s="90" t="s">
        <v>171</v>
      </c>
      <c r="G187" s="161" t="s">
        <v>174</v>
      </c>
      <c r="H187" s="161" t="s">
        <v>194</v>
      </c>
      <c r="I187" s="90" t="str">
        <f>VLOOKUP($F187,Admin!$A$16:$E$19,5,FALSE)</f>
        <v>K+F munkatárs</v>
      </c>
      <c r="J187" s="161" t="s">
        <v>67</v>
      </c>
      <c r="K187" s="161" t="str">
        <f t="shared" ref="K187:K189" si="554">J187</f>
        <v>2023.04</v>
      </c>
      <c r="L187" s="91" t="s">
        <v>9</v>
      </c>
      <c r="M187" s="92" t="s">
        <v>78</v>
      </c>
      <c r="N187" s="162">
        <v>670000</v>
      </c>
      <c r="O187" s="163">
        <f t="shared" ref="O187:O188" si="555">ROUND(N187*V187,0)</f>
        <v>87100</v>
      </c>
      <c r="P187" s="161">
        <v>174</v>
      </c>
      <c r="Q187" s="161">
        <v>89</v>
      </c>
      <c r="R187" s="230">
        <f t="shared" ref="R187:R188" si="556">Q187/P187</f>
        <v>0.5114942528735632</v>
      </c>
      <c r="S187" s="164">
        <f t="shared" ref="S187:S188" si="557">ROUND(N187*Q187/P187,0)</f>
        <v>342701</v>
      </c>
      <c r="T187" s="165">
        <f t="shared" ref="T187:T188" si="558">ROUND(S187*V187,0)</f>
        <v>44551</v>
      </c>
      <c r="U187" s="166">
        <f t="shared" ref="U187:U188" si="559">Q187/P187-S187/N187</f>
        <v>2.2302281688091341E-7</v>
      </c>
      <c r="V187" s="87">
        <v>0.13</v>
      </c>
      <c r="W187" s="224" t="s">
        <v>221</v>
      </c>
      <c r="X187" s="23">
        <v>44980</v>
      </c>
      <c r="Y187" s="20" t="s">
        <v>197</v>
      </c>
      <c r="Z187" s="20"/>
      <c r="AA187" s="20"/>
      <c r="AB187" s="168"/>
      <c r="AC187" s="211"/>
      <c r="AD187" s="211"/>
      <c r="AE187" s="211"/>
    </row>
    <row r="188" spans="1:31" s="8" customFormat="1" x14ac:dyDescent="0.25">
      <c r="A188" s="189"/>
      <c r="B188" s="92" t="s">
        <v>205</v>
      </c>
      <c r="C188" s="90" t="str">
        <f>VLOOKUP($F188,Admin!$A$16:$E$19,2,FALSE)</f>
        <v>Alkalmazott (ipari) kutatás – Működési költség</v>
      </c>
      <c r="D188" s="161" t="s">
        <v>129</v>
      </c>
      <c r="E188" s="90" t="str">
        <f>VLOOKUP($F188,Admin!$A$16:$E$19,4,FALSE)</f>
        <v>54. Bérköltség - Kutató-fejlesztő munkatárs</v>
      </c>
      <c r="F188" s="90" t="s">
        <v>171</v>
      </c>
      <c r="G188" s="161" t="s">
        <v>174</v>
      </c>
      <c r="H188" s="161" t="s">
        <v>194</v>
      </c>
      <c r="I188" s="90" t="str">
        <f>VLOOKUP($F188,Admin!$A$16:$E$19,5,FALSE)</f>
        <v>K+F munkatárs</v>
      </c>
      <c r="J188" s="161" t="s">
        <v>68</v>
      </c>
      <c r="K188" s="161" t="str">
        <f t="shared" si="554"/>
        <v>2023.05</v>
      </c>
      <c r="L188" s="91" t="s">
        <v>9</v>
      </c>
      <c r="M188" s="92" t="s">
        <v>78</v>
      </c>
      <c r="N188" s="162">
        <v>712000</v>
      </c>
      <c r="O188" s="163">
        <f t="shared" si="555"/>
        <v>92560</v>
      </c>
      <c r="P188" s="161">
        <v>174</v>
      </c>
      <c r="Q188" s="161">
        <v>89</v>
      </c>
      <c r="R188" s="230">
        <f t="shared" si="556"/>
        <v>0.5114942528735632</v>
      </c>
      <c r="S188" s="164">
        <f t="shared" si="557"/>
        <v>364184</v>
      </c>
      <c r="T188" s="165">
        <f t="shared" si="558"/>
        <v>47344</v>
      </c>
      <c r="U188" s="166">
        <f t="shared" si="559"/>
        <v>-1.2914890867854467E-7</v>
      </c>
      <c r="V188" s="87">
        <v>0.13</v>
      </c>
      <c r="W188" s="224" t="s">
        <v>221</v>
      </c>
      <c r="X188" s="23">
        <v>45041</v>
      </c>
      <c r="Y188" s="20"/>
      <c r="Z188" s="20"/>
      <c r="AA188" s="20"/>
      <c r="AB188" s="168"/>
      <c r="AC188" s="211"/>
      <c r="AD188" s="211"/>
      <c r="AE188" s="211"/>
    </row>
    <row r="189" spans="1:31" s="8" customFormat="1" x14ac:dyDescent="0.25">
      <c r="A189" s="189"/>
      <c r="B189" s="92" t="s">
        <v>205</v>
      </c>
      <c r="C189" s="90" t="str">
        <f>VLOOKUP($F189,Admin!$A$16:$E$19,2,FALSE)</f>
        <v>Alkalmazott (ipari) kutatás – Működési költség</v>
      </c>
      <c r="D189" s="161" t="s">
        <v>129</v>
      </c>
      <c r="E189" s="90" t="str">
        <f>VLOOKUP($F189,Admin!$A$16:$E$19,4,FALSE)</f>
        <v>54. Bérköltség - Kutató-fejlesztő munkatárs</v>
      </c>
      <c r="F189" s="90" t="s">
        <v>171</v>
      </c>
      <c r="G189" s="161" t="s">
        <v>174</v>
      </c>
      <c r="H189" s="161" t="s">
        <v>194</v>
      </c>
      <c r="I189" s="90" t="str">
        <f>VLOOKUP($F189,Admin!$A$16:$E$19,5,FALSE)</f>
        <v>K+F munkatárs</v>
      </c>
      <c r="J189" s="161" t="s">
        <v>69</v>
      </c>
      <c r="K189" s="161" t="str">
        <f t="shared" si="554"/>
        <v>2023.06</v>
      </c>
      <c r="L189" s="91" t="s">
        <v>9</v>
      </c>
      <c r="M189" s="92" t="s">
        <v>78</v>
      </c>
      <c r="N189" s="162">
        <v>712000</v>
      </c>
      <c r="O189" s="163">
        <f t="shared" ref="O189" si="560">ROUND(N189*V189,0)</f>
        <v>92560</v>
      </c>
      <c r="P189" s="161">
        <v>174</v>
      </c>
      <c r="Q189" s="161">
        <v>89</v>
      </c>
      <c r="R189" s="230">
        <f t="shared" ref="R189" si="561">Q189/P189</f>
        <v>0.5114942528735632</v>
      </c>
      <c r="S189" s="164">
        <f t="shared" ref="S189" si="562">ROUND(N189*Q189/P189,0)</f>
        <v>364184</v>
      </c>
      <c r="T189" s="165">
        <f t="shared" ref="T189" si="563">ROUND(S189*V189,0)</f>
        <v>47344</v>
      </c>
      <c r="U189" s="166">
        <f t="shared" ref="U189" si="564">Q189/P189-S189/N189</f>
        <v>-1.2914890867854467E-7</v>
      </c>
      <c r="V189" s="87">
        <v>0.13</v>
      </c>
      <c r="W189" s="224" t="s">
        <v>221</v>
      </c>
      <c r="X189" s="23">
        <v>45041</v>
      </c>
      <c r="Y189" s="20"/>
      <c r="Z189" s="20"/>
      <c r="AA189" s="20"/>
      <c r="AB189" s="168"/>
      <c r="AC189" s="211"/>
      <c r="AD189" s="211"/>
      <c r="AE189" s="211"/>
    </row>
    <row r="190" spans="1:31" s="8" customFormat="1" x14ac:dyDescent="0.25">
      <c r="A190" s="208">
        <v>1</v>
      </c>
      <c r="B190" s="92" t="s">
        <v>211</v>
      </c>
      <c r="C190" s="90" t="str">
        <f>VLOOKUP($F190,Admin!$A$16:$E$19,2,FALSE)</f>
        <v>Alkalmazott (ipari) kutatás – Működési költség</v>
      </c>
      <c r="D190" s="161" t="s">
        <v>129</v>
      </c>
      <c r="E190" s="90" t="str">
        <f>VLOOKUP($F190,Admin!$A$16:$E$19,4,FALSE)</f>
        <v>54. Bérköltség - technikus segédszemélyzet</v>
      </c>
      <c r="F190" s="90" t="s">
        <v>173</v>
      </c>
      <c r="G190" s="161" t="s">
        <v>174</v>
      </c>
      <c r="H190" s="161" t="s">
        <v>195</v>
      </c>
      <c r="I190" s="90" t="str">
        <f>VLOOKUP($F190,Admin!$A$16:$E$19,5,FALSE)</f>
        <v>Technikus</v>
      </c>
      <c r="J190" s="161" t="s">
        <v>48</v>
      </c>
      <c r="K190" s="161" t="str">
        <f t="shared" ref="K190" si="565">J190</f>
        <v>2022.09</v>
      </c>
      <c r="L190" s="91" t="s">
        <v>8</v>
      </c>
      <c r="M190" s="92" t="s">
        <v>78</v>
      </c>
      <c r="N190" s="162">
        <v>470500</v>
      </c>
      <c r="O190" s="163">
        <f t="shared" si="527"/>
        <v>61165</v>
      </c>
      <c r="P190" s="161">
        <v>174</v>
      </c>
      <c r="Q190" s="161">
        <v>74</v>
      </c>
      <c r="R190" s="230">
        <f t="shared" si="528"/>
        <v>0.42528735632183906</v>
      </c>
      <c r="S190" s="164">
        <f t="shared" si="529"/>
        <v>200098</v>
      </c>
      <c r="T190" s="165">
        <f t="shared" si="530"/>
        <v>26013</v>
      </c>
      <c r="U190" s="166">
        <f t="shared" si="531"/>
        <v>-6.3517656689882074E-7</v>
      </c>
      <c r="V190" s="87">
        <v>0.13</v>
      </c>
      <c r="W190" s="224"/>
      <c r="X190" s="23">
        <v>44798</v>
      </c>
      <c r="Y190" s="20" t="s">
        <v>197</v>
      </c>
      <c r="Z190" s="20"/>
      <c r="AA190" s="20"/>
      <c r="AB190" s="168">
        <v>4</v>
      </c>
    </row>
    <row r="191" spans="1:31" s="8" customFormat="1" x14ac:dyDescent="0.25">
      <c r="A191" s="189"/>
      <c r="B191" s="92" t="s">
        <v>211</v>
      </c>
      <c r="C191" s="90" t="str">
        <f>VLOOKUP($F191,Admin!$A$16:$E$19,2,FALSE)</f>
        <v>Alkalmazott (ipari) kutatás – Működési költség</v>
      </c>
      <c r="D191" s="161" t="s">
        <v>129</v>
      </c>
      <c r="E191" s="90" t="str">
        <f>VLOOKUP($F191,Admin!$A$16:$E$19,4,FALSE)</f>
        <v>54. Bérköltség - technikus segédszemélyzet</v>
      </c>
      <c r="F191" s="90" t="s">
        <v>173</v>
      </c>
      <c r="G191" s="161" t="s">
        <v>174</v>
      </c>
      <c r="H191" s="161" t="s">
        <v>195</v>
      </c>
      <c r="I191" s="90" t="str">
        <f>VLOOKUP($F191,Admin!$A$16:$E$19,5,FALSE)</f>
        <v>Technikus</v>
      </c>
      <c r="J191" s="161" t="s">
        <v>49</v>
      </c>
      <c r="K191" s="161" t="str">
        <f t="shared" ref="K191:K193" si="566">J191</f>
        <v>2022.10</v>
      </c>
      <c r="L191" s="91" t="s">
        <v>8</v>
      </c>
      <c r="M191" s="92" t="s">
        <v>78</v>
      </c>
      <c r="N191" s="162">
        <v>470500</v>
      </c>
      <c r="O191" s="163">
        <f t="shared" ref="O191" si="567">ROUND(N191*V191,0)</f>
        <v>61165</v>
      </c>
      <c r="P191" s="161">
        <v>174</v>
      </c>
      <c r="Q191" s="161">
        <v>74</v>
      </c>
      <c r="R191" s="230">
        <f t="shared" ref="R191" si="568">Q191/P191</f>
        <v>0.42528735632183906</v>
      </c>
      <c r="S191" s="164">
        <f t="shared" ref="S191" si="569">ROUND(N191*Q191/P191,0)</f>
        <v>200098</v>
      </c>
      <c r="T191" s="165">
        <f t="shared" ref="T191" si="570">ROUND(S191*V191,0)</f>
        <v>26013</v>
      </c>
      <c r="U191" s="166">
        <f t="shared" ref="U191" si="571">Q191/P191-S191/N191</f>
        <v>-6.3517656689882074E-7</v>
      </c>
      <c r="V191" s="87">
        <v>0.13</v>
      </c>
      <c r="W191" s="224"/>
      <c r="X191" s="23">
        <v>44825</v>
      </c>
      <c r="Y191" s="20" t="s">
        <v>197</v>
      </c>
      <c r="Z191" s="20"/>
      <c r="AA191" s="20"/>
      <c r="AB191" s="168">
        <v>1</v>
      </c>
    </row>
    <row r="192" spans="1:31" s="8" customFormat="1" x14ac:dyDescent="0.25">
      <c r="A192" s="189"/>
      <c r="B192" s="92" t="s">
        <v>211</v>
      </c>
      <c r="C192" s="90" t="str">
        <f>VLOOKUP($F192,Admin!$A$16:$E$19,2,FALSE)</f>
        <v>Alkalmazott (ipari) kutatás – Működési költség</v>
      </c>
      <c r="D192" s="161" t="s">
        <v>129</v>
      </c>
      <c r="E192" s="90" t="str">
        <f>VLOOKUP($F192,Admin!$A$16:$E$19,4,FALSE)</f>
        <v>54. Bérköltség - technikus segédszemélyzet</v>
      </c>
      <c r="F192" s="90" t="s">
        <v>173</v>
      </c>
      <c r="G192" s="161" t="s">
        <v>174</v>
      </c>
      <c r="H192" s="161" t="s">
        <v>195</v>
      </c>
      <c r="I192" s="90" t="str">
        <f>VLOOKUP($F192,Admin!$A$16:$E$19,5,FALSE)</f>
        <v>Technikus</v>
      </c>
      <c r="J192" s="161" t="s">
        <v>50</v>
      </c>
      <c r="K192" s="161" t="str">
        <f t="shared" si="566"/>
        <v>2022.11</v>
      </c>
      <c r="L192" s="91" t="s">
        <v>8</v>
      </c>
      <c r="M192" s="92" t="s">
        <v>78</v>
      </c>
      <c r="N192" s="162">
        <v>470500</v>
      </c>
      <c r="O192" s="163">
        <f t="shared" ref="O192:O193" si="572">ROUND(N192*V192,0)</f>
        <v>61165</v>
      </c>
      <c r="P192" s="161">
        <v>174</v>
      </c>
      <c r="Q192" s="161">
        <v>74</v>
      </c>
      <c r="R192" s="230">
        <f t="shared" ref="R192:R193" si="573">Q192/P192</f>
        <v>0.42528735632183906</v>
      </c>
      <c r="S192" s="164">
        <f t="shared" ref="S192:S193" si="574">ROUND(N192*Q192/P192,0)</f>
        <v>200098</v>
      </c>
      <c r="T192" s="165">
        <f t="shared" ref="T192:T193" si="575">ROUND(S192*V192,0)</f>
        <v>26013</v>
      </c>
      <c r="U192" s="166">
        <f t="shared" ref="U192:U193" si="576">Q192/P192-S192/N192</f>
        <v>-6.3517656689882074E-7</v>
      </c>
      <c r="V192" s="87">
        <v>0.13</v>
      </c>
      <c r="W192" s="224" t="s">
        <v>232</v>
      </c>
      <c r="X192" s="23">
        <v>44825</v>
      </c>
      <c r="Y192" s="20" t="s">
        <v>197</v>
      </c>
      <c r="Z192" s="20"/>
      <c r="AA192" s="20"/>
      <c r="AB192" s="168">
        <v>1</v>
      </c>
      <c r="AC192" s="212" t="e">
        <v>#N/A</v>
      </c>
      <c r="AD192" s="212" t="e">
        <v>#N/A</v>
      </c>
      <c r="AE192" s="212" t="e">
        <v>#N/A</v>
      </c>
    </row>
    <row r="193" spans="1:31" s="8" customFormat="1" x14ac:dyDescent="0.25">
      <c r="A193" s="189"/>
      <c r="B193" s="92" t="s">
        <v>211</v>
      </c>
      <c r="C193" s="90" t="str">
        <f>VLOOKUP($F193,Admin!$A$16:$E$19,2,FALSE)</f>
        <v>Alkalmazott (ipari) kutatás – Működési költség</v>
      </c>
      <c r="D193" s="161" t="s">
        <v>129</v>
      </c>
      <c r="E193" s="90" t="str">
        <f>VLOOKUP($F193,Admin!$A$16:$E$19,4,FALSE)</f>
        <v>54. Bérköltség - technikus segédszemélyzet</v>
      </c>
      <c r="F193" s="90" t="s">
        <v>173</v>
      </c>
      <c r="G193" s="161" t="s">
        <v>174</v>
      </c>
      <c r="H193" s="161" t="s">
        <v>195</v>
      </c>
      <c r="I193" s="90" t="str">
        <f>VLOOKUP($F193,Admin!$A$16:$E$19,5,FALSE)</f>
        <v>Technikus</v>
      </c>
      <c r="J193" s="161" t="s">
        <v>51</v>
      </c>
      <c r="K193" s="161" t="str">
        <f t="shared" si="566"/>
        <v>2022.12</v>
      </c>
      <c r="L193" s="91" t="s">
        <v>8</v>
      </c>
      <c r="M193" s="92" t="s">
        <v>78</v>
      </c>
      <c r="N193" s="162">
        <v>470500</v>
      </c>
      <c r="O193" s="163">
        <f t="shared" si="572"/>
        <v>61165</v>
      </c>
      <c r="P193" s="161">
        <v>174</v>
      </c>
      <c r="Q193" s="161">
        <v>74</v>
      </c>
      <c r="R193" s="230">
        <f t="shared" si="573"/>
        <v>0.42528735632183906</v>
      </c>
      <c r="S193" s="164">
        <f t="shared" si="574"/>
        <v>200098</v>
      </c>
      <c r="T193" s="165">
        <f t="shared" si="575"/>
        <v>26013</v>
      </c>
      <c r="U193" s="166">
        <f t="shared" si="576"/>
        <v>-6.3517656689882074E-7</v>
      </c>
      <c r="V193" s="87">
        <v>0.13</v>
      </c>
      <c r="W193" s="224" t="s">
        <v>232</v>
      </c>
      <c r="X193" s="23">
        <v>44825</v>
      </c>
      <c r="Y193" s="20" t="s">
        <v>197</v>
      </c>
      <c r="Z193" s="20"/>
      <c r="AA193" s="20"/>
      <c r="AB193" s="168">
        <v>1</v>
      </c>
      <c r="AC193" s="211" t="s">
        <v>249</v>
      </c>
      <c r="AD193" s="211" t="s">
        <v>250</v>
      </c>
      <c r="AE193" s="211" t="s">
        <v>250</v>
      </c>
    </row>
    <row r="194" spans="1:31" s="8" customFormat="1" x14ac:dyDescent="0.25">
      <c r="A194" s="189"/>
      <c r="B194" s="92" t="s">
        <v>211</v>
      </c>
      <c r="C194" s="90" t="str">
        <f>VLOOKUP($F194,Admin!$A$16:$E$19,2,FALSE)</f>
        <v>Alkalmazott (ipari) kutatás – Működési költség</v>
      </c>
      <c r="D194" s="161" t="s">
        <v>129</v>
      </c>
      <c r="E194" s="90" t="str">
        <f>VLOOKUP($F194,Admin!$A$16:$E$19,4,FALSE)</f>
        <v>54. Bérköltség - technikus segédszemélyzet</v>
      </c>
      <c r="F194" s="90" t="s">
        <v>173</v>
      </c>
      <c r="G194" s="161" t="s">
        <v>174</v>
      </c>
      <c r="H194" s="161" t="s">
        <v>195</v>
      </c>
      <c r="I194" s="90" t="str">
        <f>VLOOKUP($F194,Admin!$A$16:$E$19,5,FALSE)</f>
        <v>Technikus</v>
      </c>
      <c r="J194" s="161" t="s">
        <v>64</v>
      </c>
      <c r="K194" s="161" t="str">
        <f t="shared" ref="K194:K196" si="577">J194</f>
        <v>2023.01</v>
      </c>
      <c r="L194" s="91" t="s">
        <v>8</v>
      </c>
      <c r="M194" s="92" t="s">
        <v>78</v>
      </c>
      <c r="N194" s="162">
        <v>517600</v>
      </c>
      <c r="O194" s="163">
        <f t="shared" ref="O194" si="578">ROUND(N194*V194,0)</f>
        <v>67288</v>
      </c>
      <c r="P194" s="161">
        <v>174</v>
      </c>
      <c r="Q194" s="161">
        <v>67</v>
      </c>
      <c r="R194" s="230">
        <f t="shared" ref="R194" si="579">Q194/P194</f>
        <v>0.38505747126436779</v>
      </c>
      <c r="S194" s="164">
        <f t="shared" ref="S194" si="580">ROUND(N194*Q194/P194,0)</f>
        <v>199306</v>
      </c>
      <c r="T194" s="165">
        <f t="shared" ref="T194" si="581">ROUND(S194*V194,0)</f>
        <v>25910</v>
      </c>
      <c r="U194" s="166">
        <f t="shared" ref="U194" si="582">Q194/P194-S194/N194</f>
        <v>-4.8855016082649527E-7</v>
      </c>
      <c r="V194" s="87">
        <v>0.13</v>
      </c>
      <c r="W194" s="224" t="s">
        <v>232</v>
      </c>
      <c r="X194" s="23">
        <v>44938</v>
      </c>
      <c r="Y194" s="20" t="s">
        <v>197</v>
      </c>
      <c r="Z194" s="20"/>
      <c r="AA194" s="20"/>
      <c r="AB194" s="168">
        <v>1</v>
      </c>
      <c r="AC194" s="211" t="s">
        <v>249</v>
      </c>
      <c r="AD194" s="219">
        <v>1</v>
      </c>
      <c r="AE194" s="211">
        <v>0</v>
      </c>
    </row>
    <row r="195" spans="1:31" s="8" customFormat="1" x14ac:dyDescent="0.25">
      <c r="A195" s="189"/>
      <c r="B195" s="92" t="s">
        <v>211</v>
      </c>
      <c r="C195" s="90" t="str">
        <f>VLOOKUP($F195,Admin!$A$16:$E$19,2,FALSE)</f>
        <v>Alkalmazott (ipari) kutatás – Működési költség</v>
      </c>
      <c r="D195" s="161" t="s">
        <v>129</v>
      </c>
      <c r="E195" s="90" t="str">
        <f>VLOOKUP($F195,Admin!$A$16:$E$19,4,FALSE)</f>
        <v>54. Bérköltség - technikus segédszemélyzet</v>
      </c>
      <c r="F195" s="90" t="s">
        <v>173</v>
      </c>
      <c r="G195" s="161" t="s">
        <v>174</v>
      </c>
      <c r="H195" s="161" t="s">
        <v>195</v>
      </c>
      <c r="I195" s="90" t="str">
        <f>VLOOKUP($F195,Admin!$A$16:$E$19,5,FALSE)</f>
        <v>Technikus</v>
      </c>
      <c r="J195" s="161" t="s">
        <v>65</v>
      </c>
      <c r="K195" s="161" t="str">
        <f t="shared" si="577"/>
        <v>2023.02</v>
      </c>
      <c r="L195" s="91" t="s">
        <v>8</v>
      </c>
      <c r="M195" s="92" t="s">
        <v>78</v>
      </c>
      <c r="N195" s="162">
        <v>517600</v>
      </c>
      <c r="O195" s="163">
        <f t="shared" ref="O195:O196" si="583">ROUND(N195*V195,0)</f>
        <v>67288</v>
      </c>
      <c r="P195" s="161">
        <v>174</v>
      </c>
      <c r="Q195" s="161">
        <v>67</v>
      </c>
      <c r="R195" s="230">
        <f t="shared" ref="R195:R196" si="584">Q195/P195</f>
        <v>0.38505747126436779</v>
      </c>
      <c r="S195" s="164">
        <f t="shared" ref="S195:S196" si="585">ROUND(N195*Q195/P195,0)</f>
        <v>199306</v>
      </c>
      <c r="T195" s="165">
        <f t="shared" ref="T195:T196" si="586">ROUND(S195*V195,0)</f>
        <v>25910</v>
      </c>
      <c r="U195" s="166">
        <f t="shared" ref="U195:U196" si="587">Q195/P195-S195/N195</f>
        <v>-4.8855016082649527E-7</v>
      </c>
      <c r="V195" s="87">
        <v>0.13</v>
      </c>
      <c r="W195" s="224" t="s">
        <v>232</v>
      </c>
      <c r="X195" s="23">
        <v>44938</v>
      </c>
      <c r="Y195" s="20" t="s">
        <v>197</v>
      </c>
      <c r="Z195" s="20"/>
      <c r="AA195" s="20"/>
      <c r="AB195" s="168">
        <v>1</v>
      </c>
      <c r="AC195" s="8" t="str">
        <f>IF(VLOOKUP($W195,'Havi béradatok'!$B:$E,2,FALSE)=H195,"EGYEZIK","HIBÁS")</f>
        <v>EGYEZIK</v>
      </c>
      <c r="AD195" s="8">
        <f>VLOOKUP($W195,'Havi béradatok'!$B:$E,3,FALSE)-N195</f>
        <v>0</v>
      </c>
      <c r="AE195" s="8">
        <f>VLOOKUP($W195,'Havi béradatok'!$B:$E,4,FALSE)-O195</f>
        <v>0</v>
      </c>
    </row>
    <row r="196" spans="1:31" s="8" customFormat="1" x14ac:dyDescent="0.25">
      <c r="A196" s="189"/>
      <c r="B196" s="92" t="s">
        <v>211</v>
      </c>
      <c r="C196" s="90" t="str">
        <f>VLOOKUP($F196,Admin!$A$16:$E$19,2,FALSE)</f>
        <v>Alkalmazott (ipari) kutatás – Működési költség</v>
      </c>
      <c r="D196" s="161" t="s">
        <v>129</v>
      </c>
      <c r="E196" s="90" t="str">
        <f>VLOOKUP($F196,Admin!$A$16:$E$19,4,FALSE)</f>
        <v>54. Bérköltség - technikus segédszemélyzet</v>
      </c>
      <c r="F196" s="90" t="s">
        <v>173</v>
      </c>
      <c r="G196" s="161" t="s">
        <v>174</v>
      </c>
      <c r="H196" s="161" t="s">
        <v>195</v>
      </c>
      <c r="I196" s="90" t="str">
        <f>VLOOKUP($F196,Admin!$A$16:$E$19,5,FALSE)</f>
        <v>Technikus</v>
      </c>
      <c r="J196" s="161" t="s">
        <v>66</v>
      </c>
      <c r="K196" s="161" t="str">
        <f t="shared" si="577"/>
        <v>2023.03</v>
      </c>
      <c r="L196" s="91" t="s">
        <v>8</v>
      </c>
      <c r="M196" s="92" t="s">
        <v>78</v>
      </c>
      <c r="N196" s="162">
        <v>517600</v>
      </c>
      <c r="O196" s="163">
        <f t="shared" si="583"/>
        <v>67288</v>
      </c>
      <c r="P196" s="161">
        <v>174</v>
      </c>
      <c r="Q196" s="161">
        <v>67</v>
      </c>
      <c r="R196" s="230">
        <f t="shared" si="584"/>
        <v>0.38505747126436779</v>
      </c>
      <c r="S196" s="164">
        <f t="shared" si="585"/>
        <v>199306</v>
      </c>
      <c r="T196" s="165">
        <f t="shared" si="586"/>
        <v>25910</v>
      </c>
      <c r="U196" s="166">
        <f t="shared" si="587"/>
        <v>-4.8855016082649527E-7</v>
      </c>
      <c r="V196" s="87">
        <v>0.13</v>
      </c>
      <c r="W196" s="224" t="s">
        <v>232</v>
      </c>
      <c r="X196" s="23">
        <v>44938</v>
      </c>
      <c r="Y196" s="20" t="s">
        <v>197</v>
      </c>
      <c r="Z196" s="20"/>
      <c r="AA196" s="20"/>
      <c r="AB196" s="168">
        <v>1</v>
      </c>
      <c r="AC196" s="8" t="str">
        <f>IF(VLOOKUP($W196,'Havi béradatok'!$B:$E,2,FALSE)=H196,"EGYEZIK","HIBÁS")</f>
        <v>EGYEZIK</v>
      </c>
      <c r="AD196" s="8">
        <f>VLOOKUP($W196,'Havi béradatok'!$B:$E,3,FALSE)-N196</f>
        <v>0</v>
      </c>
      <c r="AE196" s="8">
        <f>VLOOKUP($W196,'Havi béradatok'!$B:$E,4,FALSE)-O196</f>
        <v>0</v>
      </c>
    </row>
    <row r="197" spans="1:31" s="8" customFormat="1" x14ac:dyDescent="0.25">
      <c r="A197" s="189"/>
      <c r="B197" s="92" t="s">
        <v>211</v>
      </c>
      <c r="C197" s="90" t="str">
        <f>VLOOKUP($F197,Admin!$A$16:$E$19,2,FALSE)</f>
        <v>Alkalmazott (ipari) kutatás – Működési költség</v>
      </c>
      <c r="D197" s="161" t="s">
        <v>129</v>
      </c>
      <c r="E197" s="90" t="str">
        <f>VLOOKUP($F197,Admin!$A$16:$E$19,4,FALSE)</f>
        <v>54. Bérköltség - technikus segédszemélyzet</v>
      </c>
      <c r="F197" s="90" t="s">
        <v>173</v>
      </c>
      <c r="G197" s="161" t="s">
        <v>174</v>
      </c>
      <c r="H197" s="161" t="s">
        <v>195</v>
      </c>
      <c r="I197" s="90" t="str">
        <f>VLOOKUP($F197,Admin!$A$16:$E$19,5,FALSE)</f>
        <v>Technikus</v>
      </c>
      <c r="J197" s="161" t="s">
        <v>67</v>
      </c>
      <c r="K197" s="161" t="str">
        <f t="shared" ref="K197:K199" si="588">J197</f>
        <v>2023.04</v>
      </c>
      <c r="L197" s="91" t="s">
        <v>9</v>
      </c>
      <c r="M197" s="92" t="s">
        <v>78</v>
      </c>
      <c r="N197" s="162">
        <v>517600</v>
      </c>
      <c r="O197" s="163">
        <f t="shared" ref="O197" si="589">ROUND(N197*V197,0)</f>
        <v>67288</v>
      </c>
      <c r="P197" s="161">
        <v>174</v>
      </c>
      <c r="Q197" s="161">
        <v>67</v>
      </c>
      <c r="R197" s="230">
        <f t="shared" ref="R197" si="590">Q197/P197</f>
        <v>0.38505747126436779</v>
      </c>
      <c r="S197" s="164">
        <f t="shared" ref="S197" si="591">ROUND(N197*Q197/P197,0)</f>
        <v>199306</v>
      </c>
      <c r="T197" s="165">
        <f t="shared" ref="T197" si="592">ROUND(S197*V197,0)</f>
        <v>25910</v>
      </c>
      <c r="U197" s="166">
        <f t="shared" ref="U197" si="593">Q197/P197-S197/N197</f>
        <v>-4.8855016082649527E-7</v>
      </c>
      <c r="V197" s="87">
        <v>0.13</v>
      </c>
      <c r="W197" s="224" t="s">
        <v>232</v>
      </c>
      <c r="X197" s="23">
        <v>45001</v>
      </c>
      <c r="Y197" s="20" t="s">
        <v>197</v>
      </c>
      <c r="Z197" s="20"/>
      <c r="AA197" s="20"/>
      <c r="AB197" s="168"/>
    </row>
    <row r="198" spans="1:31" s="8" customFormat="1" x14ac:dyDescent="0.25">
      <c r="A198" s="189"/>
      <c r="B198" s="92" t="s">
        <v>211</v>
      </c>
      <c r="C198" s="90" t="str">
        <f>VLOOKUP($F198,Admin!$A$16:$E$19,2,FALSE)</f>
        <v>Alkalmazott (ipari) kutatás – Működési költség</v>
      </c>
      <c r="D198" s="161" t="s">
        <v>129</v>
      </c>
      <c r="E198" s="90" t="str">
        <f>VLOOKUP($F198,Admin!$A$16:$E$19,4,FALSE)</f>
        <v>54. Bérköltség - technikus segédszemélyzet</v>
      </c>
      <c r="F198" s="90" t="s">
        <v>173</v>
      </c>
      <c r="G198" s="161" t="s">
        <v>174</v>
      </c>
      <c r="H198" s="161" t="s">
        <v>195</v>
      </c>
      <c r="I198" s="90" t="str">
        <f>VLOOKUP($F198,Admin!$A$16:$E$19,5,FALSE)</f>
        <v>Technikus</v>
      </c>
      <c r="J198" s="161" t="s">
        <v>68</v>
      </c>
      <c r="K198" s="161" t="str">
        <f t="shared" si="588"/>
        <v>2023.05</v>
      </c>
      <c r="L198" s="91" t="s">
        <v>9</v>
      </c>
      <c r="M198" s="92" t="s">
        <v>78</v>
      </c>
      <c r="N198" s="162">
        <v>517600</v>
      </c>
      <c r="O198" s="163">
        <f t="shared" ref="O198:O199" si="594">ROUND(N198*V198,0)</f>
        <v>67288</v>
      </c>
      <c r="P198" s="161">
        <v>174</v>
      </c>
      <c r="Q198" s="161">
        <v>67</v>
      </c>
      <c r="R198" s="230">
        <f t="shared" ref="R198:R199" si="595">Q198/P198</f>
        <v>0.38505747126436779</v>
      </c>
      <c r="S198" s="164">
        <f t="shared" ref="S198:S199" si="596">ROUND(N198*Q198/P198,0)</f>
        <v>199306</v>
      </c>
      <c r="T198" s="165">
        <f t="shared" ref="T198:T199" si="597">ROUND(S198*V198,0)</f>
        <v>25910</v>
      </c>
      <c r="U198" s="166">
        <f t="shared" ref="U198:U199" si="598">Q198/P198-S198/N198</f>
        <v>-4.8855016082649527E-7</v>
      </c>
      <c r="V198" s="87">
        <v>0.13</v>
      </c>
      <c r="W198" s="224" t="s">
        <v>232</v>
      </c>
      <c r="X198" s="23">
        <v>45001</v>
      </c>
      <c r="Y198" s="20" t="s">
        <v>197</v>
      </c>
      <c r="Z198" s="20"/>
      <c r="AA198" s="20"/>
      <c r="AB198" s="168"/>
    </row>
    <row r="199" spans="1:31" s="8" customFormat="1" x14ac:dyDescent="0.25">
      <c r="A199" s="189"/>
      <c r="B199" s="92" t="s">
        <v>211</v>
      </c>
      <c r="C199" s="90" t="str">
        <f>VLOOKUP($F199,Admin!$A$16:$E$19,2,FALSE)</f>
        <v>Alkalmazott (ipari) kutatás – Működési költség</v>
      </c>
      <c r="D199" s="161" t="s">
        <v>129</v>
      </c>
      <c r="E199" s="90" t="str">
        <f>VLOOKUP($F199,Admin!$A$16:$E$19,4,FALSE)</f>
        <v>54. Bérköltség - technikus segédszemélyzet</v>
      </c>
      <c r="F199" s="90" t="s">
        <v>173</v>
      </c>
      <c r="G199" s="161" t="s">
        <v>174</v>
      </c>
      <c r="H199" s="161" t="s">
        <v>195</v>
      </c>
      <c r="I199" s="90" t="str">
        <f>VLOOKUP($F199,Admin!$A$16:$E$19,5,FALSE)</f>
        <v>Technikus</v>
      </c>
      <c r="J199" s="161" t="s">
        <v>69</v>
      </c>
      <c r="K199" s="161" t="str">
        <f t="shared" si="588"/>
        <v>2023.06</v>
      </c>
      <c r="L199" s="91" t="s">
        <v>9</v>
      </c>
      <c r="M199" s="92" t="s">
        <v>78</v>
      </c>
      <c r="N199" s="162">
        <v>517600</v>
      </c>
      <c r="O199" s="163">
        <f t="shared" si="594"/>
        <v>67288</v>
      </c>
      <c r="P199" s="161">
        <v>174</v>
      </c>
      <c r="Q199" s="161">
        <v>67</v>
      </c>
      <c r="R199" s="230">
        <f t="shared" si="595"/>
        <v>0.38505747126436779</v>
      </c>
      <c r="S199" s="164">
        <f t="shared" si="596"/>
        <v>199306</v>
      </c>
      <c r="T199" s="165">
        <f t="shared" si="597"/>
        <v>25910</v>
      </c>
      <c r="U199" s="166">
        <f t="shared" si="598"/>
        <v>-4.8855016082649527E-7</v>
      </c>
      <c r="V199" s="87">
        <v>0.13</v>
      </c>
      <c r="W199" s="224" t="s">
        <v>232</v>
      </c>
      <c r="X199" s="23">
        <v>45001</v>
      </c>
      <c r="Y199" s="20" t="s">
        <v>197</v>
      </c>
      <c r="Z199" s="20"/>
      <c r="AA199" s="20"/>
      <c r="AB199" s="168"/>
    </row>
    <row r="200" spans="1:31" s="8" customFormat="1" x14ac:dyDescent="0.25">
      <c r="A200" s="208">
        <v>1</v>
      </c>
      <c r="B200" s="92" t="s">
        <v>210</v>
      </c>
      <c r="C200" s="90" t="str">
        <f>VLOOKUP($F200,Admin!$A$16:$E$19,2,FALSE)</f>
        <v>Alkalmazott (ipari) kutatás – Működési költség</v>
      </c>
      <c r="D200" s="161" t="s">
        <v>129</v>
      </c>
      <c r="E200" s="90" t="str">
        <f>VLOOKUP($F200,Admin!$A$16:$E$19,4,FALSE)</f>
        <v>54. Bérköltség - Kutató-fejlesztő munkatárs</v>
      </c>
      <c r="F200" s="90" t="s">
        <v>171</v>
      </c>
      <c r="G200" s="161" t="s">
        <v>174</v>
      </c>
      <c r="H200" s="161" t="s">
        <v>193</v>
      </c>
      <c r="I200" s="90" t="str">
        <f>VLOOKUP($F200,Admin!$A$16:$E$19,5,FALSE)</f>
        <v>K+F munkatárs</v>
      </c>
      <c r="J200" s="161" t="s">
        <v>38</v>
      </c>
      <c r="K200" s="161" t="str">
        <f t="shared" si="128"/>
        <v>2021.11</v>
      </c>
      <c r="L200" s="91" t="s">
        <v>8</v>
      </c>
      <c r="M200" s="92" t="s">
        <v>78</v>
      </c>
      <c r="N200" s="162">
        <v>687000</v>
      </c>
      <c r="O200" s="163">
        <f t="shared" si="129"/>
        <v>106485</v>
      </c>
      <c r="P200" s="161">
        <v>174</v>
      </c>
      <c r="Q200" s="161">
        <v>63</v>
      </c>
      <c r="R200" s="230">
        <f t="shared" si="130"/>
        <v>0.36206896551724138</v>
      </c>
      <c r="S200" s="164">
        <f t="shared" si="131"/>
        <v>248741</v>
      </c>
      <c r="T200" s="165">
        <f t="shared" si="132"/>
        <v>38555</v>
      </c>
      <c r="U200" s="166">
        <f t="shared" si="133"/>
        <v>5.5212568389473304E-7</v>
      </c>
      <c r="V200" s="87">
        <v>0.155</v>
      </c>
      <c r="W200" s="224"/>
      <c r="X200" s="23">
        <v>44509</v>
      </c>
      <c r="Y200" s="20" t="s">
        <v>197</v>
      </c>
      <c r="Z200" s="20"/>
      <c r="AA200" s="20"/>
      <c r="AB200" s="168">
        <v>1</v>
      </c>
    </row>
    <row r="201" spans="1:31" s="8" customFormat="1" x14ac:dyDescent="0.25">
      <c r="A201" s="208">
        <v>1</v>
      </c>
      <c r="B201" s="92" t="s">
        <v>210</v>
      </c>
      <c r="C201" s="90" t="str">
        <f>VLOOKUP($F201,Admin!$A$16:$E$19,2,FALSE)</f>
        <v>Alkalmazott (ipari) kutatás – Működési költség</v>
      </c>
      <c r="D201" s="161" t="s">
        <v>129</v>
      </c>
      <c r="E201" s="90" t="str">
        <f>VLOOKUP($F201,Admin!$A$16:$E$19,4,FALSE)</f>
        <v>54. Bérköltség - Kutató-fejlesztő munkatárs</v>
      </c>
      <c r="F201" s="90" t="s">
        <v>171</v>
      </c>
      <c r="G201" s="161" t="s">
        <v>174</v>
      </c>
      <c r="H201" s="161" t="s">
        <v>193</v>
      </c>
      <c r="I201" s="90" t="str">
        <f>VLOOKUP($F201,Admin!$A$16:$E$19,5,FALSE)</f>
        <v>K+F munkatárs</v>
      </c>
      <c r="J201" s="161" t="s">
        <v>39</v>
      </c>
      <c r="K201" s="161" t="str">
        <f t="shared" si="128"/>
        <v>2021.12</v>
      </c>
      <c r="L201" s="91" t="s">
        <v>8</v>
      </c>
      <c r="M201" s="92" t="s">
        <v>78</v>
      </c>
      <c r="N201" s="162">
        <v>912000</v>
      </c>
      <c r="O201" s="163">
        <f t="shared" si="129"/>
        <v>141360</v>
      </c>
      <c r="P201" s="161">
        <v>174</v>
      </c>
      <c r="Q201" s="161">
        <v>42</v>
      </c>
      <c r="R201" s="230">
        <f t="shared" si="130"/>
        <v>0.2413793103448276</v>
      </c>
      <c r="S201" s="164">
        <f t="shared" si="131"/>
        <v>220138</v>
      </c>
      <c r="T201" s="165">
        <f t="shared" si="132"/>
        <v>34121</v>
      </c>
      <c r="U201" s="166">
        <f t="shared" si="133"/>
        <v>-7.5620084694083545E-8</v>
      </c>
      <c r="V201" s="87">
        <v>0.155</v>
      </c>
      <c r="W201" s="224"/>
      <c r="X201" s="23">
        <v>44544</v>
      </c>
      <c r="Y201" s="20" t="s">
        <v>197</v>
      </c>
      <c r="Z201" s="20"/>
      <c r="AA201" s="20"/>
      <c r="AB201" s="168">
        <v>1</v>
      </c>
    </row>
    <row r="202" spans="1:31" s="8" customFormat="1" x14ac:dyDescent="0.25">
      <c r="A202" s="208">
        <v>1</v>
      </c>
      <c r="B202" s="92" t="s">
        <v>210</v>
      </c>
      <c r="C202" s="90" t="str">
        <f>VLOOKUP($F202,Admin!$A$16:$E$19,2,FALSE)</f>
        <v>Alkalmazott (ipari) kutatás – Működési költség</v>
      </c>
      <c r="D202" s="161" t="s">
        <v>129</v>
      </c>
      <c r="E202" s="90" t="str">
        <f>VLOOKUP($F202,Admin!$A$16:$E$19,4,FALSE)</f>
        <v>54. Bérköltség - Kutató-fejlesztő munkatárs</v>
      </c>
      <c r="F202" s="90" t="s">
        <v>171</v>
      </c>
      <c r="G202" s="161" t="s">
        <v>174</v>
      </c>
      <c r="H202" s="161" t="s">
        <v>193</v>
      </c>
      <c r="I202" s="90" t="str">
        <f>VLOOKUP($F202,Admin!$A$16:$E$19,5,FALSE)</f>
        <v>K+F munkatárs</v>
      </c>
      <c r="J202" s="161" t="s">
        <v>40</v>
      </c>
      <c r="K202" s="161" t="str">
        <f t="shared" si="128"/>
        <v>2022.01</v>
      </c>
      <c r="L202" s="91" t="s">
        <v>8</v>
      </c>
      <c r="M202" s="92" t="s">
        <v>78</v>
      </c>
      <c r="N202" s="162">
        <v>760200</v>
      </c>
      <c r="O202" s="163">
        <f t="shared" si="129"/>
        <v>98826</v>
      </c>
      <c r="P202" s="161">
        <v>174</v>
      </c>
      <c r="Q202" s="161">
        <v>63</v>
      </c>
      <c r="R202" s="230">
        <f t="shared" si="130"/>
        <v>0.36206896551724138</v>
      </c>
      <c r="S202" s="164">
        <f t="shared" si="131"/>
        <v>275245</v>
      </c>
      <c r="T202" s="165">
        <f t="shared" si="132"/>
        <v>35782</v>
      </c>
      <c r="U202" s="166">
        <f t="shared" si="133"/>
        <v>-2.2680056971369211E-7</v>
      </c>
      <c r="V202" s="87">
        <v>0.13</v>
      </c>
      <c r="W202" s="224"/>
      <c r="X202" s="23">
        <v>44552</v>
      </c>
      <c r="Y202" s="20" t="s">
        <v>197</v>
      </c>
      <c r="Z202" s="20"/>
      <c r="AA202" s="20"/>
      <c r="AB202" s="168">
        <v>1</v>
      </c>
    </row>
    <row r="203" spans="1:31" s="8" customFormat="1" x14ac:dyDescent="0.25">
      <c r="A203" s="208">
        <v>1</v>
      </c>
      <c r="B203" s="92" t="s">
        <v>210</v>
      </c>
      <c r="C203" s="90" t="str">
        <f>VLOOKUP($F203,Admin!$A$16:$E$19,2,FALSE)</f>
        <v>Alkalmazott (ipari) kutatás – Működési költség</v>
      </c>
      <c r="D203" s="161" t="s">
        <v>129</v>
      </c>
      <c r="E203" s="90" t="str">
        <f>VLOOKUP($F203,Admin!$A$16:$E$19,4,FALSE)</f>
        <v>54. Bérköltség - Kutató-fejlesztő munkatárs</v>
      </c>
      <c r="F203" s="90" t="s">
        <v>171</v>
      </c>
      <c r="G203" s="161" t="s">
        <v>174</v>
      </c>
      <c r="H203" s="161" t="s">
        <v>193</v>
      </c>
      <c r="I203" s="90" t="str">
        <f>VLOOKUP($F203,Admin!$A$16:$E$19,5,FALSE)</f>
        <v>K+F munkatárs</v>
      </c>
      <c r="J203" s="161" t="s">
        <v>41</v>
      </c>
      <c r="K203" s="161" t="str">
        <f t="shared" si="128"/>
        <v>2022.02</v>
      </c>
      <c r="L203" s="91" t="s">
        <v>8</v>
      </c>
      <c r="M203" s="92" t="s">
        <v>78</v>
      </c>
      <c r="N203" s="162">
        <v>717000</v>
      </c>
      <c r="O203" s="163">
        <f t="shared" si="129"/>
        <v>93210</v>
      </c>
      <c r="P203" s="161">
        <v>174</v>
      </c>
      <c r="Q203" s="161">
        <v>63</v>
      </c>
      <c r="R203" s="230">
        <f t="shared" si="130"/>
        <v>0.36206896551724138</v>
      </c>
      <c r="S203" s="164">
        <f t="shared" si="131"/>
        <v>259603</v>
      </c>
      <c r="T203" s="165">
        <f t="shared" si="132"/>
        <v>33748</v>
      </c>
      <c r="U203" s="166">
        <f t="shared" si="133"/>
        <v>6.2521040733454214E-7</v>
      </c>
      <c r="V203" s="87">
        <v>0.13</v>
      </c>
      <c r="W203" s="224"/>
      <c r="X203" s="23">
        <v>44589</v>
      </c>
      <c r="Y203" s="20" t="s">
        <v>197</v>
      </c>
      <c r="Z203" s="20"/>
      <c r="AA203" s="20"/>
      <c r="AB203" s="168">
        <v>1</v>
      </c>
    </row>
    <row r="204" spans="1:31" s="8" customFormat="1" x14ac:dyDescent="0.25">
      <c r="A204" s="208">
        <v>1</v>
      </c>
      <c r="B204" s="92" t="s">
        <v>210</v>
      </c>
      <c r="C204" s="90" t="str">
        <f>VLOOKUP($F204,Admin!$A$16:$E$19,2,FALSE)</f>
        <v>Alkalmazott (ipari) kutatás – Működési költség</v>
      </c>
      <c r="D204" s="161" t="s">
        <v>129</v>
      </c>
      <c r="E204" s="90" t="str">
        <f>VLOOKUP($F204,Admin!$A$16:$E$19,4,FALSE)</f>
        <v>54. Bérköltség - Kutató-fejlesztő munkatárs</v>
      </c>
      <c r="F204" s="90" t="s">
        <v>171</v>
      </c>
      <c r="G204" s="161" t="s">
        <v>174</v>
      </c>
      <c r="H204" s="161" t="s">
        <v>193</v>
      </c>
      <c r="I204" s="90" t="str">
        <f>VLOOKUP($F204,Admin!$A$16:$E$19,5,FALSE)</f>
        <v>K+F munkatárs</v>
      </c>
      <c r="J204" s="161" t="s">
        <v>42</v>
      </c>
      <c r="K204" s="161" t="str">
        <f t="shared" si="128"/>
        <v>2022.03</v>
      </c>
      <c r="L204" s="91" t="s">
        <v>8</v>
      </c>
      <c r="M204" s="92" t="s">
        <v>78</v>
      </c>
      <c r="N204" s="162">
        <v>717000</v>
      </c>
      <c r="O204" s="163">
        <f t="shared" si="129"/>
        <v>93210</v>
      </c>
      <c r="P204" s="161">
        <v>174</v>
      </c>
      <c r="Q204" s="161">
        <v>63</v>
      </c>
      <c r="R204" s="230">
        <f t="shared" si="130"/>
        <v>0.36206896551724138</v>
      </c>
      <c r="S204" s="164">
        <f t="shared" si="131"/>
        <v>259603</v>
      </c>
      <c r="T204" s="165">
        <f t="shared" si="132"/>
        <v>33748</v>
      </c>
      <c r="U204" s="166">
        <f t="shared" si="133"/>
        <v>6.2521040733454214E-7</v>
      </c>
      <c r="V204" s="87">
        <v>0.13</v>
      </c>
      <c r="W204" s="224"/>
      <c r="X204" s="23">
        <v>44615</v>
      </c>
      <c r="Y204" s="20" t="s">
        <v>197</v>
      </c>
      <c r="Z204" s="20"/>
      <c r="AA204" s="20"/>
      <c r="AB204" s="168">
        <v>1</v>
      </c>
    </row>
    <row r="205" spans="1:31" s="8" customFormat="1" x14ac:dyDescent="0.25">
      <c r="A205" s="208">
        <v>1</v>
      </c>
      <c r="B205" s="92" t="s">
        <v>210</v>
      </c>
      <c r="C205" s="90" t="str">
        <f>VLOOKUP($F205,Admin!$A$16:$E$19,2,FALSE)</f>
        <v>Alkalmazott (ipari) kutatás – Működési költség</v>
      </c>
      <c r="D205" s="161" t="s">
        <v>129</v>
      </c>
      <c r="E205" s="90" t="str">
        <f>VLOOKUP($F205,Admin!$A$16:$E$19,4,FALSE)</f>
        <v>54. Bérköltség - Kutató-fejlesztő munkatárs</v>
      </c>
      <c r="F205" s="90" t="s">
        <v>171</v>
      </c>
      <c r="G205" s="161" t="s">
        <v>174</v>
      </c>
      <c r="H205" s="161" t="s">
        <v>193</v>
      </c>
      <c r="I205" s="90" t="str">
        <f>VLOOKUP($F205,Admin!$A$16:$E$19,5,FALSE)</f>
        <v>K+F munkatárs</v>
      </c>
      <c r="J205" s="161" t="s">
        <v>43</v>
      </c>
      <c r="K205" s="161" t="str">
        <f t="shared" si="128"/>
        <v>2022.04</v>
      </c>
      <c r="L205" s="91" t="s">
        <v>8</v>
      </c>
      <c r="M205" s="92" t="s">
        <v>78</v>
      </c>
      <c r="N205" s="162">
        <v>717000</v>
      </c>
      <c r="O205" s="163">
        <f t="shared" si="129"/>
        <v>93210</v>
      </c>
      <c r="P205" s="161">
        <v>174</v>
      </c>
      <c r="Q205" s="161">
        <v>63</v>
      </c>
      <c r="R205" s="230">
        <f t="shared" si="130"/>
        <v>0.36206896551724138</v>
      </c>
      <c r="S205" s="164">
        <f t="shared" si="131"/>
        <v>259603</v>
      </c>
      <c r="T205" s="165">
        <f t="shared" si="132"/>
        <v>33748</v>
      </c>
      <c r="U205" s="166">
        <f t="shared" si="133"/>
        <v>6.2521040733454214E-7</v>
      </c>
      <c r="V205" s="87">
        <v>0.13</v>
      </c>
      <c r="W205" s="224"/>
      <c r="X205" s="23">
        <v>44615</v>
      </c>
      <c r="Y205" s="20" t="s">
        <v>197</v>
      </c>
      <c r="Z205" s="20"/>
      <c r="AA205" s="20"/>
      <c r="AB205" s="168">
        <v>1</v>
      </c>
    </row>
    <row r="206" spans="1:31" s="8" customFormat="1" x14ac:dyDescent="0.25">
      <c r="A206" s="208">
        <v>1</v>
      </c>
      <c r="B206" s="92" t="s">
        <v>210</v>
      </c>
      <c r="C206" s="90" t="str">
        <f>VLOOKUP($F206,Admin!$A$16:$E$19,2,FALSE)</f>
        <v>Alkalmazott (ipari) kutatás – Működési költség</v>
      </c>
      <c r="D206" s="161" t="s">
        <v>129</v>
      </c>
      <c r="E206" s="90" t="str">
        <f>VLOOKUP($F206,Admin!$A$16:$E$19,4,FALSE)</f>
        <v>54. Bérköltség - Kutató-fejlesztő munkatárs</v>
      </c>
      <c r="F206" s="90" t="s">
        <v>171</v>
      </c>
      <c r="G206" s="161" t="s">
        <v>174</v>
      </c>
      <c r="H206" s="161" t="s">
        <v>193</v>
      </c>
      <c r="I206" s="90" t="str">
        <f>VLOOKUP($F206,Admin!$A$16:$E$19,5,FALSE)</f>
        <v>K+F munkatárs</v>
      </c>
      <c r="J206" s="161" t="s">
        <v>44</v>
      </c>
      <c r="K206" s="161" t="str">
        <f t="shared" si="128"/>
        <v>2022.05</v>
      </c>
      <c r="L206" s="91" t="s">
        <v>8</v>
      </c>
      <c r="M206" s="92" t="s">
        <v>78</v>
      </c>
      <c r="N206" s="162">
        <v>717000</v>
      </c>
      <c r="O206" s="163">
        <f t="shared" si="129"/>
        <v>93210</v>
      </c>
      <c r="P206" s="161">
        <v>174</v>
      </c>
      <c r="Q206" s="161">
        <v>63</v>
      </c>
      <c r="R206" s="230">
        <f t="shared" si="130"/>
        <v>0.36206896551724138</v>
      </c>
      <c r="S206" s="164">
        <f t="shared" si="131"/>
        <v>259603</v>
      </c>
      <c r="T206" s="165">
        <f t="shared" si="132"/>
        <v>33748</v>
      </c>
      <c r="U206" s="166">
        <f t="shared" si="133"/>
        <v>6.2521040733454214E-7</v>
      </c>
      <c r="V206" s="87">
        <v>0.13</v>
      </c>
      <c r="W206" s="224"/>
      <c r="X206" s="23">
        <v>44615</v>
      </c>
      <c r="Y206" s="20" t="s">
        <v>197</v>
      </c>
      <c r="Z206" s="20"/>
      <c r="AA206" s="20"/>
      <c r="AB206" s="168">
        <v>1</v>
      </c>
    </row>
    <row r="207" spans="1:31" s="8" customFormat="1" x14ac:dyDescent="0.25">
      <c r="A207" s="208">
        <v>1</v>
      </c>
      <c r="B207" s="92" t="s">
        <v>210</v>
      </c>
      <c r="C207" s="90" t="str">
        <f>VLOOKUP($F207,Admin!$A$16:$E$19,2,FALSE)</f>
        <v>Alkalmazott (ipari) kutatás – Működési költség</v>
      </c>
      <c r="D207" s="161" t="s">
        <v>129</v>
      </c>
      <c r="E207" s="90" t="str">
        <f>VLOOKUP($F207,Admin!$A$16:$E$19,4,FALSE)</f>
        <v>54. Bérköltség - Kutató-fejlesztő munkatárs</v>
      </c>
      <c r="F207" s="90" t="s">
        <v>171</v>
      </c>
      <c r="G207" s="161" t="s">
        <v>174</v>
      </c>
      <c r="H207" s="161" t="s">
        <v>193</v>
      </c>
      <c r="I207" s="90" t="str">
        <f>VLOOKUP($F207,Admin!$A$16:$E$19,5,FALSE)</f>
        <v>K+F munkatárs</v>
      </c>
      <c r="J207" s="161" t="s">
        <v>45</v>
      </c>
      <c r="K207" s="161" t="str">
        <f t="shared" si="128"/>
        <v>2022.06</v>
      </c>
      <c r="L207" s="91" t="s">
        <v>8</v>
      </c>
      <c r="M207" s="92" t="s">
        <v>78</v>
      </c>
      <c r="N207" s="162">
        <v>239000</v>
      </c>
      <c r="O207" s="163">
        <f t="shared" si="129"/>
        <v>31070</v>
      </c>
      <c r="P207" s="161">
        <v>174</v>
      </c>
      <c r="Q207" s="161">
        <v>63</v>
      </c>
      <c r="R207" s="230">
        <f t="shared" si="130"/>
        <v>0.36206896551724138</v>
      </c>
      <c r="S207" s="164">
        <f t="shared" si="131"/>
        <v>86534</v>
      </c>
      <c r="T207" s="165">
        <f t="shared" si="132"/>
        <v>11249</v>
      </c>
      <c r="U207" s="166">
        <f t="shared" si="133"/>
        <v>2.0199105468243772E-6</v>
      </c>
      <c r="V207" s="87">
        <v>0.13</v>
      </c>
      <c r="W207" s="224"/>
      <c r="X207" s="23">
        <v>44615</v>
      </c>
      <c r="Y207" s="20" t="s">
        <v>197</v>
      </c>
      <c r="Z207" s="20"/>
      <c r="AA207" s="20"/>
      <c r="AB207" s="168">
        <v>1</v>
      </c>
    </row>
    <row r="208" spans="1:31" s="8" customFormat="1" x14ac:dyDescent="0.25">
      <c r="A208" s="208">
        <v>1</v>
      </c>
      <c r="B208" s="92" t="s">
        <v>210</v>
      </c>
      <c r="C208" s="90" t="str">
        <f>VLOOKUP($F208,Admin!$A$16:$E$19,2,FALSE)</f>
        <v>Alkalmazott (ipari) kutatás – Működési költség</v>
      </c>
      <c r="D208" s="161" t="s">
        <v>129</v>
      </c>
      <c r="E208" s="90" t="str">
        <f>VLOOKUP($F208,Admin!$A$16:$E$19,4,FALSE)</f>
        <v>54. Bérköltség - Kutató-fejlesztő munkatárs</v>
      </c>
      <c r="F208" s="90" t="s">
        <v>171</v>
      </c>
      <c r="G208" s="161" t="s">
        <v>174</v>
      </c>
      <c r="H208" s="161" t="s">
        <v>193</v>
      </c>
      <c r="I208" s="90" t="str">
        <f>VLOOKUP($F208,Admin!$A$16:$E$19,5,FALSE)</f>
        <v>K+F munkatárs</v>
      </c>
      <c r="J208" s="161" t="s">
        <v>46</v>
      </c>
      <c r="K208" s="161" t="str">
        <f t="shared" ref="K208:K213" si="599">J208</f>
        <v>2022.07</v>
      </c>
      <c r="L208" s="91" t="s">
        <v>8</v>
      </c>
      <c r="M208" s="92" t="s">
        <v>78</v>
      </c>
      <c r="N208" s="162">
        <v>0</v>
      </c>
      <c r="O208" s="163">
        <f t="shared" ref="O208" si="600">ROUND(N208*V208,0)</f>
        <v>0</v>
      </c>
      <c r="P208" s="161">
        <v>174</v>
      </c>
      <c r="Q208" s="161">
        <v>150</v>
      </c>
      <c r="R208" s="230">
        <f t="shared" ref="R208" si="601">Q208/P208</f>
        <v>0.86206896551724133</v>
      </c>
      <c r="S208" s="164">
        <f t="shared" ref="S208" si="602">ROUND(N208*Q208/P208,0)</f>
        <v>0</v>
      </c>
      <c r="T208" s="165">
        <f t="shared" ref="T208" si="603">ROUND(S208*V208,0)</f>
        <v>0</v>
      </c>
      <c r="U208" s="166" t="e">
        <f t="shared" ref="U208:U209" si="604">Q208/P208-S208/N208</f>
        <v>#DIV/0!</v>
      </c>
      <c r="V208" s="87">
        <v>0.13</v>
      </c>
      <c r="W208" s="224"/>
      <c r="X208" s="23">
        <v>44734</v>
      </c>
      <c r="Y208" s="20" t="s">
        <v>197</v>
      </c>
      <c r="Z208" s="20"/>
      <c r="AA208" s="20"/>
      <c r="AB208" s="168"/>
    </row>
    <row r="209" spans="1:31" s="8" customFormat="1" x14ac:dyDescent="0.25">
      <c r="A209" s="208">
        <v>1</v>
      </c>
      <c r="B209" s="92" t="s">
        <v>210</v>
      </c>
      <c r="C209" s="90" t="str">
        <f>VLOOKUP($F209,Admin!$A$16:$E$19,2,FALSE)</f>
        <v>Alkalmazott (ipari) kutatás – Működési költség</v>
      </c>
      <c r="D209" s="161" t="s">
        <v>129</v>
      </c>
      <c r="E209" s="90" t="str">
        <f>VLOOKUP($F209,Admin!$A$16:$E$19,4,FALSE)</f>
        <v>54. Bérköltség - Kutató-fejlesztő munkatárs</v>
      </c>
      <c r="F209" s="90" t="s">
        <v>171</v>
      </c>
      <c r="G209" s="161" t="s">
        <v>174</v>
      </c>
      <c r="H209" s="161" t="s">
        <v>193</v>
      </c>
      <c r="I209" s="90" t="str">
        <f>VLOOKUP($F209,Admin!$A$16:$E$19,5,FALSE)</f>
        <v>K+F munkatárs</v>
      </c>
      <c r="J209" s="161" t="s">
        <v>47</v>
      </c>
      <c r="K209" s="161" t="str">
        <f t="shared" si="599"/>
        <v>2022.08</v>
      </c>
      <c r="L209" s="91" t="s">
        <v>8</v>
      </c>
      <c r="M209" s="92" t="s">
        <v>78</v>
      </c>
      <c r="N209" s="162">
        <v>0</v>
      </c>
      <c r="O209" s="163">
        <f t="shared" ref="O209:O213" si="605">ROUND(N209*V209,0)</f>
        <v>0</v>
      </c>
      <c r="P209" s="161">
        <v>174</v>
      </c>
      <c r="Q209" s="161">
        <v>150</v>
      </c>
      <c r="R209" s="230">
        <f t="shared" ref="R209:R213" si="606">Q209/P209</f>
        <v>0.86206896551724133</v>
      </c>
      <c r="S209" s="164">
        <f t="shared" ref="S209:S213" si="607">ROUND(N209*Q209/P209,0)</f>
        <v>0</v>
      </c>
      <c r="T209" s="165">
        <f t="shared" ref="T209:T213" si="608">ROUND(S209*V209,0)</f>
        <v>0</v>
      </c>
      <c r="U209" s="166" t="e">
        <f t="shared" si="604"/>
        <v>#DIV/0!</v>
      </c>
      <c r="V209" s="87">
        <v>0.13</v>
      </c>
      <c r="W209" s="224"/>
      <c r="X209" s="23">
        <v>44734</v>
      </c>
      <c r="Y209" s="20" t="s">
        <v>197</v>
      </c>
      <c r="Z209" s="20"/>
      <c r="AA209" s="20"/>
      <c r="AB209" s="168">
        <v>1</v>
      </c>
    </row>
    <row r="210" spans="1:31" s="8" customFormat="1" x14ac:dyDescent="0.25">
      <c r="A210" s="208">
        <v>1</v>
      </c>
      <c r="B210" s="92" t="s">
        <v>210</v>
      </c>
      <c r="C210" s="90" t="str">
        <f>VLOOKUP($F210,Admin!$A$16:$E$19,2,FALSE)</f>
        <v>Alkalmazott (ipari) kutatás – Működési költség</v>
      </c>
      <c r="D210" s="161" t="s">
        <v>129</v>
      </c>
      <c r="E210" s="90" t="str">
        <f>VLOOKUP($F210,Admin!$A$16:$E$19,4,FALSE)</f>
        <v>54. Bérköltség - Kutató-fejlesztő munkatárs</v>
      </c>
      <c r="F210" s="90" t="s">
        <v>171</v>
      </c>
      <c r="G210" s="161" t="s">
        <v>174</v>
      </c>
      <c r="H210" s="161" t="s">
        <v>193</v>
      </c>
      <c r="I210" s="90" t="str">
        <f>VLOOKUP($F210,Admin!$A$16:$E$19,5,FALSE)</f>
        <v>K+F munkatárs</v>
      </c>
      <c r="J210" s="161" t="s">
        <v>48</v>
      </c>
      <c r="K210" s="161" t="str">
        <f t="shared" si="599"/>
        <v>2022.09</v>
      </c>
      <c r="L210" s="91" t="s">
        <v>8</v>
      </c>
      <c r="M210" s="92" t="s">
        <v>78</v>
      </c>
      <c r="N210" s="162">
        <v>0</v>
      </c>
      <c r="O210" s="163">
        <f t="shared" si="605"/>
        <v>0</v>
      </c>
      <c r="P210" s="161">
        <v>174</v>
      </c>
      <c r="Q210" s="161">
        <v>150</v>
      </c>
      <c r="R210" s="230">
        <f t="shared" si="606"/>
        <v>0.86206896551724133</v>
      </c>
      <c r="S210" s="164">
        <f t="shared" si="607"/>
        <v>0</v>
      </c>
      <c r="T210" s="165">
        <f t="shared" si="608"/>
        <v>0</v>
      </c>
      <c r="U210" s="166" t="e">
        <f t="shared" ref="U210:U213" si="609">Q210/P210-S210/N210</f>
        <v>#DIV/0!</v>
      </c>
      <c r="V210" s="87">
        <v>0.13</v>
      </c>
      <c r="W210" s="224"/>
      <c r="X210" s="23">
        <v>44734</v>
      </c>
      <c r="Y210" s="20" t="s">
        <v>197</v>
      </c>
      <c r="Z210" s="20"/>
      <c r="AA210" s="20"/>
      <c r="AB210" s="168">
        <v>4</v>
      </c>
    </row>
    <row r="211" spans="1:31" s="8" customFormat="1" x14ac:dyDescent="0.25">
      <c r="A211" s="189"/>
      <c r="B211" s="92" t="s">
        <v>210</v>
      </c>
      <c r="C211" s="90" t="str">
        <f>VLOOKUP($F211,Admin!$A$16:$E$19,2,FALSE)</f>
        <v>Alkalmazott (ipari) kutatás – Működési költség</v>
      </c>
      <c r="D211" s="161" t="s">
        <v>129</v>
      </c>
      <c r="E211" s="90" t="str">
        <f>VLOOKUP($F211,Admin!$A$16:$E$19,4,FALSE)</f>
        <v>54. Bérköltség - Kutató-fejlesztő munkatárs</v>
      </c>
      <c r="F211" s="90" t="s">
        <v>171</v>
      </c>
      <c r="G211" s="161" t="s">
        <v>174</v>
      </c>
      <c r="H211" s="161" t="s">
        <v>193</v>
      </c>
      <c r="I211" s="90" t="str">
        <f>VLOOKUP($F211,Admin!$A$16:$E$19,5,FALSE)</f>
        <v>K+F munkatárs</v>
      </c>
      <c r="J211" s="161" t="s">
        <v>49</v>
      </c>
      <c r="K211" s="161" t="str">
        <f t="shared" si="599"/>
        <v>2022.10</v>
      </c>
      <c r="L211" s="91" t="s">
        <v>8</v>
      </c>
      <c r="M211" s="92" t="s">
        <v>78</v>
      </c>
      <c r="N211" s="162">
        <v>0</v>
      </c>
      <c r="O211" s="163">
        <f t="shared" si="605"/>
        <v>0</v>
      </c>
      <c r="P211" s="161">
        <v>174</v>
      </c>
      <c r="Q211" s="161">
        <v>150</v>
      </c>
      <c r="R211" s="230">
        <f t="shared" si="606"/>
        <v>0.86206896551724133</v>
      </c>
      <c r="S211" s="164">
        <f t="shared" si="607"/>
        <v>0</v>
      </c>
      <c r="T211" s="165">
        <f t="shared" si="608"/>
        <v>0</v>
      </c>
      <c r="U211" s="166" t="e">
        <f t="shared" si="609"/>
        <v>#DIV/0!</v>
      </c>
      <c r="V211" s="87">
        <v>0.13</v>
      </c>
      <c r="W211" s="224"/>
      <c r="X211" s="23">
        <v>44734</v>
      </c>
      <c r="Y211" s="20" t="s">
        <v>197</v>
      </c>
      <c r="Z211" s="20"/>
      <c r="AA211" s="20"/>
      <c r="AB211" s="168">
        <v>1</v>
      </c>
    </row>
    <row r="212" spans="1:31" s="8" customFormat="1" x14ac:dyDescent="0.25">
      <c r="A212" s="189"/>
      <c r="B212" s="92" t="s">
        <v>210</v>
      </c>
      <c r="C212" s="90" t="str">
        <f>VLOOKUP($F212,Admin!$A$16:$E$19,2,FALSE)</f>
        <v>Alkalmazott (ipari) kutatás – Működési költség</v>
      </c>
      <c r="D212" s="161" t="s">
        <v>129</v>
      </c>
      <c r="E212" s="90" t="str">
        <f>VLOOKUP($F212,Admin!$A$16:$E$19,4,FALSE)</f>
        <v>54. Bérköltség - Kutató-fejlesztő munkatárs</v>
      </c>
      <c r="F212" s="90" t="s">
        <v>171</v>
      </c>
      <c r="G212" s="161" t="s">
        <v>174</v>
      </c>
      <c r="H212" s="161" t="s">
        <v>193</v>
      </c>
      <c r="I212" s="90" t="str">
        <f>VLOOKUP($F212,Admin!$A$16:$E$19,5,FALSE)</f>
        <v>K+F munkatárs</v>
      </c>
      <c r="J212" s="161" t="s">
        <v>50</v>
      </c>
      <c r="K212" s="161" t="str">
        <f t="shared" si="599"/>
        <v>2022.11</v>
      </c>
      <c r="L212" s="91" t="s">
        <v>8</v>
      </c>
      <c r="M212" s="92" t="s">
        <v>78</v>
      </c>
      <c r="N212" s="162">
        <v>0</v>
      </c>
      <c r="O212" s="163">
        <f t="shared" si="605"/>
        <v>0</v>
      </c>
      <c r="P212" s="161">
        <v>174</v>
      </c>
      <c r="Q212" s="161">
        <v>150</v>
      </c>
      <c r="R212" s="230">
        <f t="shared" si="606"/>
        <v>0.86206896551724133</v>
      </c>
      <c r="S212" s="164">
        <f t="shared" si="607"/>
        <v>0</v>
      </c>
      <c r="T212" s="165">
        <f t="shared" si="608"/>
        <v>0</v>
      </c>
      <c r="U212" s="166" t="e">
        <f t="shared" si="609"/>
        <v>#DIV/0!</v>
      </c>
      <c r="V212" s="87">
        <v>0.13</v>
      </c>
      <c r="W212" s="224" t="s">
        <v>233</v>
      </c>
      <c r="X212" s="23">
        <v>44734</v>
      </c>
      <c r="Y212" s="20" t="s">
        <v>197</v>
      </c>
      <c r="Z212" s="20"/>
      <c r="AA212" s="20"/>
      <c r="AB212" s="168">
        <v>1</v>
      </c>
      <c r="AC212" s="212" t="e">
        <v>#N/A</v>
      </c>
      <c r="AD212" s="212" t="e">
        <v>#N/A</v>
      </c>
      <c r="AE212" s="212" t="e">
        <v>#N/A</v>
      </c>
    </row>
    <row r="213" spans="1:31" s="8" customFormat="1" x14ac:dyDescent="0.25">
      <c r="A213" s="189"/>
      <c r="B213" s="92" t="s">
        <v>210</v>
      </c>
      <c r="C213" s="90" t="str">
        <f>VLOOKUP($F213,Admin!$A$16:$E$19,2,FALSE)</f>
        <v>Alkalmazott (ipari) kutatás – Működési költség</v>
      </c>
      <c r="D213" s="161" t="s">
        <v>129</v>
      </c>
      <c r="E213" s="90" t="str">
        <f>VLOOKUP($F213,Admin!$A$16:$E$19,4,FALSE)</f>
        <v>54. Bérköltség - Kutató-fejlesztő munkatárs</v>
      </c>
      <c r="F213" s="90" t="s">
        <v>171</v>
      </c>
      <c r="G213" s="161" t="s">
        <v>174</v>
      </c>
      <c r="H213" s="161" t="s">
        <v>193</v>
      </c>
      <c r="I213" s="90" t="str">
        <f>VLOOKUP($F213,Admin!$A$16:$E$19,5,FALSE)</f>
        <v>K+F munkatárs</v>
      </c>
      <c r="J213" s="161" t="s">
        <v>51</v>
      </c>
      <c r="K213" s="161" t="str">
        <f t="shared" si="599"/>
        <v>2022.12</v>
      </c>
      <c r="L213" s="91" t="s">
        <v>8</v>
      </c>
      <c r="M213" s="92" t="s">
        <v>78</v>
      </c>
      <c r="N213" s="162">
        <v>512143</v>
      </c>
      <c r="O213" s="163">
        <f t="shared" si="605"/>
        <v>66579</v>
      </c>
      <c r="P213" s="161">
        <v>174</v>
      </c>
      <c r="Q213" s="161">
        <v>150</v>
      </c>
      <c r="R213" s="230">
        <f t="shared" si="606"/>
        <v>0.86206896551724133</v>
      </c>
      <c r="S213" s="164">
        <f t="shared" si="607"/>
        <v>441503</v>
      </c>
      <c r="T213" s="165">
        <f t="shared" si="608"/>
        <v>57395</v>
      </c>
      <c r="U213" s="166">
        <f t="shared" si="609"/>
        <v>-8.0796399337668134E-7</v>
      </c>
      <c r="V213" s="87">
        <v>0.13</v>
      </c>
      <c r="W213" s="224" t="s">
        <v>233</v>
      </c>
      <c r="X213" s="23">
        <v>44734</v>
      </c>
      <c r="Y213" s="20" t="s">
        <v>197</v>
      </c>
      <c r="Z213" s="20"/>
      <c r="AA213" s="20"/>
      <c r="AB213" s="168">
        <v>1</v>
      </c>
      <c r="AC213" s="211" t="s">
        <v>249</v>
      </c>
      <c r="AD213" s="211" t="s">
        <v>250</v>
      </c>
      <c r="AE213" s="211" t="s">
        <v>250</v>
      </c>
    </row>
    <row r="214" spans="1:31" s="8" customFormat="1" x14ac:dyDescent="0.25">
      <c r="A214" s="189"/>
      <c r="B214" s="92" t="s">
        <v>210</v>
      </c>
      <c r="C214" s="90" t="str">
        <f>VLOOKUP($F214,Admin!$A$16:$E$19,2,FALSE)</f>
        <v>Alkalmazott (ipari) kutatás – Működési költség</v>
      </c>
      <c r="D214" s="161" t="s">
        <v>129</v>
      </c>
      <c r="E214" s="90" t="str">
        <f>VLOOKUP($F214,Admin!$A$16:$E$19,4,FALSE)</f>
        <v>54. Bérköltség - Kutató-fejlesztő munkatárs</v>
      </c>
      <c r="F214" s="90" t="s">
        <v>171</v>
      </c>
      <c r="G214" s="161" t="s">
        <v>174</v>
      </c>
      <c r="H214" s="161" t="s">
        <v>193</v>
      </c>
      <c r="I214" s="90" t="str">
        <f>VLOOKUP($F214,Admin!$A$16:$E$19,5,FALSE)</f>
        <v>K+F munkatárs</v>
      </c>
      <c r="J214" s="161" t="s">
        <v>64</v>
      </c>
      <c r="K214" s="161" t="str">
        <f t="shared" ref="K214:K219" si="610">J214</f>
        <v>2023.01</v>
      </c>
      <c r="L214" s="91" t="s">
        <v>8</v>
      </c>
      <c r="M214" s="92" t="s">
        <v>78</v>
      </c>
      <c r="N214" s="162">
        <v>180000</v>
      </c>
      <c r="O214" s="163">
        <f t="shared" ref="O214" si="611">ROUND(N214*V214,0)</f>
        <v>23400</v>
      </c>
      <c r="P214" s="161">
        <v>44</v>
      </c>
      <c r="Q214" s="161">
        <v>38</v>
      </c>
      <c r="R214" s="230">
        <f t="shared" ref="R214" si="612">Q214/P214</f>
        <v>0.86363636363636365</v>
      </c>
      <c r="S214" s="164">
        <f t="shared" ref="S214" si="613">ROUND(N214*Q214/P214,0)</f>
        <v>155455</v>
      </c>
      <c r="T214" s="165">
        <f t="shared" ref="T214" si="614">ROUND(S214*V214,0)</f>
        <v>20209</v>
      </c>
      <c r="U214" s="166">
        <f t="shared" ref="U214" si="615">Q214/P214-S214/N214</f>
        <v>-2.5252525251984181E-6</v>
      </c>
      <c r="V214" s="87">
        <v>0.13</v>
      </c>
      <c r="W214" s="224" t="s">
        <v>233</v>
      </c>
      <c r="X214" s="23">
        <v>44936</v>
      </c>
      <c r="Y214" s="20" t="s">
        <v>197</v>
      </c>
      <c r="Z214" s="20"/>
      <c r="AA214" s="20"/>
      <c r="AB214" s="168">
        <v>1</v>
      </c>
      <c r="AC214" s="211" t="s">
        <v>249</v>
      </c>
      <c r="AD214" s="211">
        <v>0</v>
      </c>
      <c r="AE214" s="211">
        <v>0</v>
      </c>
    </row>
    <row r="215" spans="1:31" s="8" customFormat="1" x14ac:dyDescent="0.25">
      <c r="A215" s="189"/>
      <c r="B215" s="92" t="s">
        <v>210</v>
      </c>
      <c r="C215" s="90" t="str">
        <f>VLOOKUP($F215,Admin!$A$16:$E$19,2,FALSE)</f>
        <v>Alkalmazott (ipari) kutatás – Működési költség</v>
      </c>
      <c r="D215" s="161" t="s">
        <v>129</v>
      </c>
      <c r="E215" s="90" t="str">
        <f>VLOOKUP($F215,Admin!$A$16:$E$19,4,FALSE)</f>
        <v>54. Bérköltség - Kutató-fejlesztő munkatárs</v>
      </c>
      <c r="F215" s="90" t="s">
        <v>171</v>
      </c>
      <c r="G215" s="161" t="s">
        <v>174</v>
      </c>
      <c r="H215" s="161" t="s">
        <v>193</v>
      </c>
      <c r="I215" s="90" t="str">
        <f>VLOOKUP($F215,Admin!$A$16:$E$19,5,FALSE)</f>
        <v>K+F munkatárs</v>
      </c>
      <c r="J215" s="161" t="s">
        <v>65</v>
      </c>
      <c r="K215" s="161" t="str">
        <f t="shared" si="610"/>
        <v>2023.02</v>
      </c>
      <c r="L215" s="91" t="s">
        <v>8</v>
      </c>
      <c r="M215" s="92" t="s">
        <v>78</v>
      </c>
      <c r="N215" s="162">
        <v>180000</v>
      </c>
      <c r="O215" s="163">
        <f t="shared" ref="O215:O219" si="616">ROUND(N215*V215,0)</f>
        <v>23400</v>
      </c>
      <c r="P215" s="161">
        <v>44</v>
      </c>
      <c r="Q215" s="161">
        <v>38</v>
      </c>
      <c r="R215" s="230">
        <f t="shared" ref="R215:R219" si="617">Q215/P215</f>
        <v>0.86363636363636365</v>
      </c>
      <c r="S215" s="164">
        <f t="shared" ref="S215:S219" si="618">ROUND(N215*Q215/P215,0)</f>
        <v>155455</v>
      </c>
      <c r="T215" s="165">
        <f t="shared" ref="T215:T219" si="619">ROUND(S215*V215,0)</f>
        <v>20209</v>
      </c>
      <c r="U215" s="166">
        <f t="shared" ref="U215:U219" si="620">Q215/P215-S215/N215</f>
        <v>-2.5252525251984181E-6</v>
      </c>
      <c r="V215" s="87">
        <v>0.13</v>
      </c>
      <c r="W215" s="224" t="s">
        <v>233</v>
      </c>
      <c r="X215" s="23">
        <v>44936</v>
      </c>
      <c r="Y215" s="20" t="s">
        <v>197</v>
      </c>
      <c r="Z215" s="20"/>
      <c r="AA215" s="20"/>
      <c r="AB215" s="168">
        <v>1</v>
      </c>
      <c r="AC215" s="8" t="str">
        <f>IF(VLOOKUP($W215,'Havi béradatok'!$B:$E,2,FALSE)=H215,"EGYEZIK","HIBÁS")</f>
        <v>EGYEZIK</v>
      </c>
      <c r="AD215" s="8">
        <f>VLOOKUP($W215,'Havi béradatok'!$B:$E,3,FALSE)-N215</f>
        <v>0</v>
      </c>
      <c r="AE215" s="8">
        <f>VLOOKUP($W215,'Havi béradatok'!$B:$E,4,FALSE)-O215</f>
        <v>23400</v>
      </c>
    </row>
    <row r="216" spans="1:31" s="8" customFormat="1" x14ac:dyDescent="0.25">
      <c r="A216" s="189"/>
      <c r="B216" s="92" t="s">
        <v>210</v>
      </c>
      <c r="C216" s="90" t="str">
        <f>VLOOKUP($F216,Admin!$A$16:$E$19,2,FALSE)</f>
        <v>Alkalmazott (ipari) kutatás – Működési költség</v>
      </c>
      <c r="D216" s="161" t="s">
        <v>129</v>
      </c>
      <c r="E216" s="90" t="str">
        <f>VLOOKUP($F216,Admin!$A$16:$E$19,4,FALSE)</f>
        <v>54. Bérköltség - Kutató-fejlesztő munkatárs</v>
      </c>
      <c r="F216" s="90" t="s">
        <v>171</v>
      </c>
      <c r="G216" s="161" t="s">
        <v>174</v>
      </c>
      <c r="H216" s="161" t="s">
        <v>193</v>
      </c>
      <c r="I216" s="90" t="str">
        <f>VLOOKUP($F216,Admin!$A$16:$E$19,5,FALSE)</f>
        <v>K+F munkatárs</v>
      </c>
      <c r="J216" s="161" t="s">
        <v>66</v>
      </c>
      <c r="K216" s="161" t="str">
        <f t="shared" si="610"/>
        <v>2023.03</v>
      </c>
      <c r="L216" s="91" t="s">
        <v>8</v>
      </c>
      <c r="M216" s="92" t="s">
        <v>78</v>
      </c>
      <c r="N216" s="162">
        <v>180000</v>
      </c>
      <c r="O216" s="163">
        <f t="shared" si="616"/>
        <v>23400</v>
      </c>
      <c r="P216" s="161">
        <v>44</v>
      </c>
      <c r="Q216" s="161">
        <v>38</v>
      </c>
      <c r="R216" s="230">
        <f t="shared" si="617"/>
        <v>0.86363636363636365</v>
      </c>
      <c r="S216" s="164">
        <f t="shared" si="618"/>
        <v>155455</v>
      </c>
      <c r="T216" s="165">
        <f t="shared" si="619"/>
        <v>20209</v>
      </c>
      <c r="U216" s="166">
        <f t="shared" si="620"/>
        <v>-2.5252525251984181E-6</v>
      </c>
      <c r="V216" s="87">
        <v>0.13</v>
      </c>
      <c r="W216" s="224" t="s">
        <v>233</v>
      </c>
      <c r="X216" s="23">
        <v>44936</v>
      </c>
      <c r="Y216" s="20" t="s">
        <v>197</v>
      </c>
      <c r="Z216" s="20"/>
      <c r="AA216" s="20"/>
      <c r="AB216" s="168">
        <v>1</v>
      </c>
      <c r="AC216" s="8" t="str">
        <f>IF(VLOOKUP($W216,'Havi béradatok'!$B:$E,2,FALSE)=H216,"EGYEZIK","HIBÁS")</f>
        <v>EGYEZIK</v>
      </c>
      <c r="AD216" s="8">
        <f>VLOOKUP($W216,'Havi béradatok'!$B:$E,3,FALSE)-N216</f>
        <v>0</v>
      </c>
      <c r="AE216" s="235">
        <f>VLOOKUP($W216,'Havi béradatok'!$B:$E,4,FALSE)-O216</f>
        <v>23400</v>
      </c>
    </row>
    <row r="217" spans="1:31" s="8" customFormat="1" x14ac:dyDescent="0.25">
      <c r="A217" s="189"/>
      <c r="B217" s="92" t="s">
        <v>210</v>
      </c>
      <c r="C217" s="90" t="str">
        <f>VLOOKUP($F217,Admin!$A$16:$E$19,2,FALSE)</f>
        <v>Alkalmazott (ipari) kutatás – Működési költség</v>
      </c>
      <c r="D217" s="161" t="s">
        <v>129</v>
      </c>
      <c r="E217" s="90" t="str">
        <f>VLOOKUP($F217,Admin!$A$16:$E$19,4,FALSE)</f>
        <v>54. Bérköltség - Kutató-fejlesztő munkatárs</v>
      </c>
      <c r="F217" s="90" t="s">
        <v>171</v>
      </c>
      <c r="G217" s="161" t="s">
        <v>174</v>
      </c>
      <c r="H217" s="161" t="s">
        <v>193</v>
      </c>
      <c r="I217" s="90" t="str">
        <f>VLOOKUP($F217,Admin!$A$16:$E$19,5,FALSE)</f>
        <v>K+F munkatárs</v>
      </c>
      <c r="J217" s="161" t="s">
        <v>67</v>
      </c>
      <c r="K217" s="161" t="str">
        <f t="shared" si="610"/>
        <v>2023.04</v>
      </c>
      <c r="L217" s="91" t="s">
        <v>9</v>
      </c>
      <c r="M217" s="92" t="s">
        <v>78</v>
      </c>
      <c r="N217" s="162">
        <v>180000</v>
      </c>
      <c r="O217" s="163">
        <f t="shared" si="616"/>
        <v>23400</v>
      </c>
      <c r="P217" s="161">
        <v>44</v>
      </c>
      <c r="Q217" s="161">
        <v>38</v>
      </c>
      <c r="R217" s="230">
        <f t="shared" si="617"/>
        <v>0.86363636363636365</v>
      </c>
      <c r="S217" s="164">
        <f t="shared" si="618"/>
        <v>155455</v>
      </c>
      <c r="T217" s="165">
        <f t="shared" si="619"/>
        <v>20209</v>
      </c>
      <c r="U217" s="166">
        <f t="shared" si="620"/>
        <v>-2.5252525251984181E-6</v>
      </c>
      <c r="V217" s="87">
        <v>0.13</v>
      </c>
      <c r="W217" s="224" t="s">
        <v>233</v>
      </c>
      <c r="X217" s="23">
        <v>44936</v>
      </c>
      <c r="Y217" s="20" t="s">
        <v>197</v>
      </c>
      <c r="Z217" s="20"/>
      <c r="AA217" s="20"/>
      <c r="AB217" s="168"/>
    </row>
    <row r="218" spans="1:31" s="8" customFormat="1" x14ac:dyDescent="0.25">
      <c r="A218" s="189"/>
      <c r="B218" s="92" t="s">
        <v>210</v>
      </c>
      <c r="C218" s="90" t="str">
        <f>VLOOKUP($F218,Admin!$A$16:$E$19,2,FALSE)</f>
        <v>Alkalmazott (ipari) kutatás – Működési költség</v>
      </c>
      <c r="D218" s="161" t="s">
        <v>129</v>
      </c>
      <c r="E218" s="90" t="str">
        <f>VLOOKUP($F218,Admin!$A$16:$E$19,4,FALSE)</f>
        <v>54. Bérköltség - Kutató-fejlesztő munkatárs</v>
      </c>
      <c r="F218" s="90" t="s">
        <v>171</v>
      </c>
      <c r="G218" s="161" t="s">
        <v>174</v>
      </c>
      <c r="H218" s="161" t="s">
        <v>193</v>
      </c>
      <c r="I218" s="90" t="str">
        <f>VLOOKUP($F218,Admin!$A$16:$E$19,5,FALSE)</f>
        <v>K+F munkatárs</v>
      </c>
      <c r="J218" s="161" t="s">
        <v>68</v>
      </c>
      <c r="K218" s="161" t="str">
        <f t="shared" si="610"/>
        <v>2023.05</v>
      </c>
      <c r="L218" s="91" t="s">
        <v>9</v>
      </c>
      <c r="M218" s="92" t="s">
        <v>78</v>
      </c>
      <c r="N218" s="162">
        <v>180000</v>
      </c>
      <c r="O218" s="163">
        <f t="shared" si="616"/>
        <v>23400</v>
      </c>
      <c r="P218" s="161">
        <v>44</v>
      </c>
      <c r="Q218" s="161">
        <v>38</v>
      </c>
      <c r="R218" s="230">
        <f t="shared" si="617"/>
        <v>0.86363636363636365</v>
      </c>
      <c r="S218" s="164">
        <f t="shared" si="618"/>
        <v>155455</v>
      </c>
      <c r="T218" s="165">
        <f t="shared" si="619"/>
        <v>20209</v>
      </c>
      <c r="U218" s="166">
        <f t="shared" si="620"/>
        <v>-2.5252525251984181E-6</v>
      </c>
      <c r="V218" s="87">
        <v>0.13</v>
      </c>
      <c r="W218" s="224" t="s">
        <v>233</v>
      </c>
      <c r="X218" s="23">
        <v>44936</v>
      </c>
      <c r="Y218" s="20" t="s">
        <v>197</v>
      </c>
      <c r="Z218" s="20"/>
      <c r="AA218" s="20"/>
      <c r="AB218" s="168"/>
    </row>
    <row r="219" spans="1:31" s="8" customFormat="1" x14ac:dyDescent="0.25">
      <c r="A219" s="189"/>
      <c r="B219" s="92" t="s">
        <v>210</v>
      </c>
      <c r="C219" s="90" t="str">
        <f>VLOOKUP($F219,Admin!$A$16:$E$19,2,FALSE)</f>
        <v>Alkalmazott (ipari) kutatás – Működési költség</v>
      </c>
      <c r="D219" s="161" t="s">
        <v>129</v>
      </c>
      <c r="E219" s="90" t="str">
        <f>VLOOKUP($F219,Admin!$A$16:$E$19,4,FALSE)</f>
        <v>54. Bérköltség - Kutató-fejlesztő munkatárs</v>
      </c>
      <c r="F219" s="90" t="s">
        <v>171</v>
      </c>
      <c r="G219" s="161" t="s">
        <v>174</v>
      </c>
      <c r="H219" s="161" t="s">
        <v>193</v>
      </c>
      <c r="I219" s="90" t="str">
        <f>VLOOKUP($F219,Admin!$A$16:$E$19,5,FALSE)</f>
        <v>K+F munkatárs</v>
      </c>
      <c r="J219" s="161" t="s">
        <v>69</v>
      </c>
      <c r="K219" s="161" t="str">
        <f t="shared" si="610"/>
        <v>2023.06</v>
      </c>
      <c r="L219" s="91" t="s">
        <v>9</v>
      </c>
      <c r="M219" s="92" t="s">
        <v>78</v>
      </c>
      <c r="N219" s="162">
        <v>180000</v>
      </c>
      <c r="O219" s="163">
        <f t="shared" si="616"/>
        <v>23400</v>
      </c>
      <c r="P219" s="161">
        <v>44</v>
      </c>
      <c r="Q219" s="161">
        <v>38</v>
      </c>
      <c r="R219" s="230">
        <f t="shared" si="617"/>
        <v>0.86363636363636365</v>
      </c>
      <c r="S219" s="164">
        <f t="shared" si="618"/>
        <v>155455</v>
      </c>
      <c r="T219" s="165">
        <f t="shared" si="619"/>
        <v>20209</v>
      </c>
      <c r="U219" s="166">
        <f t="shared" si="620"/>
        <v>-2.5252525251984181E-6</v>
      </c>
      <c r="V219" s="87">
        <v>0.13</v>
      </c>
      <c r="W219" s="224" t="s">
        <v>233</v>
      </c>
      <c r="X219" s="23">
        <v>44936</v>
      </c>
      <c r="Y219" s="20" t="s">
        <v>197</v>
      </c>
      <c r="Z219" s="20"/>
      <c r="AA219" s="20"/>
      <c r="AB219" s="168"/>
    </row>
    <row r="220" spans="1:31" s="8" customFormat="1" x14ac:dyDescent="0.25">
      <c r="A220" s="189"/>
      <c r="B220" s="92" t="s">
        <v>218</v>
      </c>
      <c r="C220" s="90" t="str">
        <f>VLOOKUP($F220,Admin!$A$16:$E$19,2,FALSE)</f>
        <v>Alkalmazott (ipari) kutatás – Működési költség</v>
      </c>
      <c r="D220" s="161" t="s">
        <v>129</v>
      </c>
      <c r="E220" s="90" t="str">
        <f>VLOOKUP($F220,Admin!$A$16:$E$19,4,FALSE)</f>
        <v>54. Bérköltség - Kutató-fejlesztő munkatárs</v>
      </c>
      <c r="F220" s="90" t="s">
        <v>171</v>
      </c>
      <c r="G220" s="161" t="s">
        <v>174</v>
      </c>
      <c r="H220" s="161" t="s">
        <v>193</v>
      </c>
      <c r="I220" s="90" t="str">
        <f>VLOOKUP($F220,Admin!$A$16:$E$19,5,FALSE)</f>
        <v>K+F munkatárs</v>
      </c>
      <c r="J220" s="161" t="s">
        <v>50</v>
      </c>
      <c r="K220" s="161" t="str">
        <f t="shared" ref="K220" si="621">J220</f>
        <v>2022.11</v>
      </c>
      <c r="L220" s="91" t="s">
        <v>8</v>
      </c>
      <c r="M220" s="92" t="s">
        <v>78</v>
      </c>
      <c r="N220" s="162">
        <v>640000</v>
      </c>
      <c r="O220" s="163">
        <f t="shared" ref="O220" si="622">ROUND(N220*V220,0)</f>
        <v>83200</v>
      </c>
      <c r="P220" s="161">
        <v>174</v>
      </c>
      <c r="Q220" s="161">
        <v>87</v>
      </c>
      <c r="R220" s="230">
        <f t="shared" ref="R220" si="623">Q220/P220</f>
        <v>0.5</v>
      </c>
      <c r="S220" s="164">
        <f t="shared" ref="S220" si="624">ROUND(N220*Q220/P220,0)</f>
        <v>320000</v>
      </c>
      <c r="T220" s="165">
        <f t="shared" ref="T220" si="625">ROUND(S220*V220,0)</f>
        <v>41600</v>
      </c>
      <c r="U220" s="166">
        <f t="shared" ref="U220" si="626">Q220/P220-S220/N220</f>
        <v>0</v>
      </c>
      <c r="V220" s="87">
        <v>0.13</v>
      </c>
      <c r="W220" s="224" t="s">
        <v>234</v>
      </c>
      <c r="X220" s="23">
        <v>44872</v>
      </c>
      <c r="Y220" s="20" t="s">
        <v>197</v>
      </c>
      <c r="Z220" s="20"/>
      <c r="AA220" s="20"/>
      <c r="AB220" s="168">
        <v>1</v>
      </c>
      <c r="AC220" s="211" t="e">
        <v>#N/A</v>
      </c>
      <c r="AD220" s="211" t="e">
        <v>#N/A</v>
      </c>
      <c r="AE220" s="211" t="e">
        <v>#N/A</v>
      </c>
    </row>
    <row r="221" spans="1:31" s="8" customFormat="1" x14ac:dyDescent="0.25">
      <c r="A221" s="208">
        <v>1</v>
      </c>
      <c r="B221" s="92" t="s">
        <v>192</v>
      </c>
      <c r="C221" s="90" t="str">
        <f>VLOOKUP($F221,Admin!$A$16:$E$19,2,FALSE)</f>
        <v>Alkalmazott (ipari) kutatás – Működési költség</v>
      </c>
      <c r="D221" s="161" t="s">
        <v>129</v>
      </c>
      <c r="E221" s="90" t="str">
        <f>VLOOKUP($F221,Admin!$A$16:$E$19,4,FALSE)</f>
        <v>54. Bérköltség - technikus segédszemélyzet</v>
      </c>
      <c r="F221" s="90" t="s">
        <v>173</v>
      </c>
      <c r="G221" s="161" t="s">
        <v>174</v>
      </c>
      <c r="H221" s="161" t="s">
        <v>196</v>
      </c>
      <c r="I221" s="90" t="str">
        <f>VLOOKUP($F221,Admin!$A$16:$E$19,5,FALSE)</f>
        <v>Technikus</v>
      </c>
      <c r="J221" s="161" t="s">
        <v>37</v>
      </c>
      <c r="K221" s="161" t="str">
        <f t="shared" si="128"/>
        <v>2021.10</v>
      </c>
      <c r="L221" s="91" t="s">
        <v>8</v>
      </c>
      <c r="M221" s="92" t="s">
        <v>78</v>
      </c>
      <c r="N221" s="162">
        <v>575000</v>
      </c>
      <c r="O221" s="163">
        <f t="shared" si="129"/>
        <v>89125</v>
      </c>
      <c r="P221" s="161">
        <v>174</v>
      </c>
      <c r="Q221" s="161">
        <v>64</v>
      </c>
      <c r="R221" s="230">
        <f t="shared" si="130"/>
        <v>0.36781609195402298</v>
      </c>
      <c r="S221" s="164">
        <f t="shared" si="131"/>
        <v>211494</v>
      </c>
      <c r="T221" s="165">
        <f t="shared" si="132"/>
        <v>32782</v>
      </c>
      <c r="U221" s="166">
        <f t="shared" si="133"/>
        <v>4.3978010993983574E-7</v>
      </c>
      <c r="V221" s="87">
        <v>0.155</v>
      </c>
      <c r="W221" s="224"/>
      <c r="X221" s="23">
        <v>44470</v>
      </c>
      <c r="Y221" s="20" t="s">
        <v>197</v>
      </c>
      <c r="Z221" s="20"/>
      <c r="AA221" s="20"/>
      <c r="AB221" s="168">
        <v>2</v>
      </c>
    </row>
    <row r="222" spans="1:31" s="8" customFormat="1" x14ac:dyDescent="0.25">
      <c r="A222" s="208">
        <v>1</v>
      </c>
      <c r="B222" s="92" t="s">
        <v>192</v>
      </c>
      <c r="C222" s="90" t="str">
        <f>VLOOKUP($F222,Admin!$A$16:$E$19,2,FALSE)</f>
        <v>Alkalmazott (ipari) kutatás – Működési költség</v>
      </c>
      <c r="D222" s="161" t="s">
        <v>129</v>
      </c>
      <c r="E222" s="90" t="str">
        <f>VLOOKUP($F222,Admin!$A$16:$E$19,4,FALSE)</f>
        <v>54. Bérköltség - technikus segédszemélyzet</v>
      </c>
      <c r="F222" s="90" t="s">
        <v>173</v>
      </c>
      <c r="G222" s="161" t="s">
        <v>174</v>
      </c>
      <c r="H222" s="161" t="s">
        <v>196</v>
      </c>
      <c r="I222" s="90" t="str">
        <f>VLOOKUP($F222,Admin!$A$16:$E$19,5,FALSE)</f>
        <v>Technikus</v>
      </c>
      <c r="J222" s="161" t="s">
        <v>38</v>
      </c>
      <c r="K222" s="161" t="str">
        <f t="shared" si="128"/>
        <v>2021.11</v>
      </c>
      <c r="L222" s="91" t="s">
        <v>8</v>
      </c>
      <c r="M222" s="92" t="s">
        <v>78</v>
      </c>
      <c r="N222" s="162">
        <v>575000</v>
      </c>
      <c r="O222" s="163">
        <f t="shared" si="129"/>
        <v>89125</v>
      </c>
      <c r="P222" s="161">
        <v>174</v>
      </c>
      <c r="Q222" s="161">
        <v>64</v>
      </c>
      <c r="R222" s="230">
        <f t="shared" si="130"/>
        <v>0.36781609195402298</v>
      </c>
      <c r="S222" s="164">
        <f t="shared" si="131"/>
        <v>211494</v>
      </c>
      <c r="T222" s="165">
        <f t="shared" si="132"/>
        <v>32782</v>
      </c>
      <c r="U222" s="166">
        <f t="shared" si="133"/>
        <v>4.3978010993983574E-7</v>
      </c>
      <c r="V222" s="87">
        <v>0.155</v>
      </c>
      <c r="W222" s="224"/>
      <c r="X222" s="23">
        <v>44470</v>
      </c>
      <c r="Y222" s="20" t="s">
        <v>197</v>
      </c>
      <c r="Z222" s="20"/>
      <c r="AA222" s="20"/>
      <c r="AB222" s="168">
        <v>2</v>
      </c>
    </row>
    <row r="223" spans="1:31" s="8" customFormat="1" x14ac:dyDescent="0.25">
      <c r="A223" s="208">
        <v>1</v>
      </c>
      <c r="B223" s="92" t="s">
        <v>192</v>
      </c>
      <c r="C223" s="90" t="str">
        <f>VLOOKUP($F223,Admin!$A$16:$E$19,2,FALSE)</f>
        <v>Alkalmazott (ipari) kutatás – Működési költség</v>
      </c>
      <c r="D223" s="161" t="s">
        <v>129</v>
      </c>
      <c r="E223" s="90" t="str">
        <f>VLOOKUP($F223,Admin!$A$16:$E$19,4,FALSE)</f>
        <v>54. Bérköltség - technikus segédszemélyzet</v>
      </c>
      <c r="F223" s="90" t="s">
        <v>173</v>
      </c>
      <c r="G223" s="161" t="s">
        <v>174</v>
      </c>
      <c r="H223" s="161" t="s">
        <v>196</v>
      </c>
      <c r="I223" s="90" t="str">
        <f>VLOOKUP($F223,Admin!$A$16:$E$19,5,FALSE)</f>
        <v>Technikus</v>
      </c>
      <c r="J223" s="161" t="s">
        <v>39</v>
      </c>
      <c r="K223" s="161" t="str">
        <f t="shared" si="128"/>
        <v>2021.12</v>
      </c>
      <c r="L223" s="91" t="s">
        <v>8</v>
      </c>
      <c r="M223" s="92" t="s">
        <v>78</v>
      </c>
      <c r="N223" s="162">
        <v>575000</v>
      </c>
      <c r="O223" s="163">
        <f t="shared" si="129"/>
        <v>89125</v>
      </c>
      <c r="P223" s="161">
        <v>174</v>
      </c>
      <c r="Q223" s="161">
        <v>64</v>
      </c>
      <c r="R223" s="230">
        <f t="shared" si="130"/>
        <v>0.36781609195402298</v>
      </c>
      <c r="S223" s="164">
        <f t="shared" si="131"/>
        <v>211494</v>
      </c>
      <c r="T223" s="165">
        <f t="shared" si="132"/>
        <v>32782</v>
      </c>
      <c r="U223" s="166">
        <f t="shared" si="133"/>
        <v>4.3978010993983574E-7</v>
      </c>
      <c r="V223" s="87">
        <v>0.155</v>
      </c>
      <c r="W223" s="224"/>
      <c r="X223" s="23">
        <v>44470</v>
      </c>
      <c r="Y223" s="20" t="s">
        <v>197</v>
      </c>
      <c r="Z223" s="20"/>
      <c r="AA223" s="20"/>
      <c r="AB223" s="168">
        <v>2</v>
      </c>
    </row>
    <row r="224" spans="1:31" s="8" customFormat="1" x14ac:dyDescent="0.25">
      <c r="A224" s="208">
        <v>1</v>
      </c>
      <c r="B224" s="92" t="s">
        <v>192</v>
      </c>
      <c r="C224" s="90" t="str">
        <f>VLOOKUP($F224,Admin!$A$16:$E$19,2,FALSE)</f>
        <v>Alkalmazott (ipari) kutatás – Működési költség</v>
      </c>
      <c r="D224" s="161" t="s">
        <v>129</v>
      </c>
      <c r="E224" s="90" t="str">
        <f>VLOOKUP($F224,Admin!$A$16:$E$19,4,FALSE)</f>
        <v>54. Bérköltség - technikus segédszemélyzet</v>
      </c>
      <c r="F224" s="90" t="s">
        <v>173</v>
      </c>
      <c r="G224" s="161" t="s">
        <v>174</v>
      </c>
      <c r="H224" s="161" t="s">
        <v>196</v>
      </c>
      <c r="I224" s="90" t="str">
        <f>VLOOKUP($F224,Admin!$A$16:$E$19,5,FALSE)</f>
        <v>Technikus</v>
      </c>
      <c r="J224" s="161" t="s">
        <v>40</v>
      </c>
      <c r="K224" s="161" t="str">
        <f t="shared" si="128"/>
        <v>2022.01</v>
      </c>
      <c r="L224" s="91" t="s">
        <v>8</v>
      </c>
      <c r="M224" s="92" t="s">
        <v>78</v>
      </c>
      <c r="N224" s="162">
        <v>700000</v>
      </c>
      <c r="O224" s="163">
        <f t="shared" si="129"/>
        <v>91000</v>
      </c>
      <c r="P224" s="161">
        <v>174</v>
      </c>
      <c r="Q224" s="161">
        <v>64</v>
      </c>
      <c r="R224" s="230">
        <f t="shared" si="130"/>
        <v>0.36781609195402298</v>
      </c>
      <c r="S224" s="164">
        <f t="shared" si="131"/>
        <v>257471</v>
      </c>
      <c r="T224" s="165">
        <f t="shared" si="132"/>
        <v>33471</v>
      </c>
      <c r="U224" s="166">
        <f t="shared" si="133"/>
        <v>3.7766830868202206E-7</v>
      </c>
      <c r="V224" s="87">
        <v>0.13</v>
      </c>
      <c r="W224" s="224"/>
      <c r="X224" s="23">
        <v>44544</v>
      </c>
      <c r="Y224" s="20" t="s">
        <v>197</v>
      </c>
      <c r="Z224" s="20"/>
      <c r="AA224" s="20"/>
      <c r="AB224" s="168">
        <v>2</v>
      </c>
    </row>
    <row r="225" spans="1:31" s="168" customFormat="1" x14ac:dyDescent="0.25">
      <c r="A225" s="208">
        <v>1</v>
      </c>
      <c r="B225" s="92" t="s">
        <v>192</v>
      </c>
      <c r="C225" s="90" t="str">
        <f>VLOOKUP($F225,Admin!$A$16:$E$19,2,FALSE)</f>
        <v>Alkalmazott (ipari) kutatás – Működési költség</v>
      </c>
      <c r="D225" s="161" t="s">
        <v>129</v>
      </c>
      <c r="E225" s="90" t="str">
        <f>VLOOKUP($F225,Admin!$A$16:$E$19,4,FALSE)</f>
        <v>54. Bérköltség - technikus segédszemélyzet</v>
      </c>
      <c r="F225" s="90" t="s">
        <v>173</v>
      </c>
      <c r="G225" s="161" t="s">
        <v>174</v>
      </c>
      <c r="H225" s="161" t="s">
        <v>196</v>
      </c>
      <c r="I225" s="90" t="str">
        <f>VLOOKUP($F225,Admin!$A$16:$E$19,5,FALSE)</f>
        <v>Technikus</v>
      </c>
      <c r="J225" s="161" t="s">
        <v>41</v>
      </c>
      <c r="K225" s="161" t="str">
        <f t="shared" si="128"/>
        <v>2022.02</v>
      </c>
      <c r="L225" s="91" t="s">
        <v>8</v>
      </c>
      <c r="M225" s="92" t="s">
        <v>78</v>
      </c>
      <c r="N225" s="162">
        <v>700000</v>
      </c>
      <c r="O225" s="163">
        <f t="shared" si="129"/>
        <v>91000</v>
      </c>
      <c r="P225" s="20">
        <v>174</v>
      </c>
      <c r="Q225" s="20">
        <v>64</v>
      </c>
      <c r="R225" s="230">
        <f t="shared" si="130"/>
        <v>0.36781609195402298</v>
      </c>
      <c r="S225" s="164">
        <f t="shared" si="131"/>
        <v>257471</v>
      </c>
      <c r="T225" s="165">
        <f t="shared" si="132"/>
        <v>33471</v>
      </c>
      <c r="U225" s="166">
        <f t="shared" si="133"/>
        <v>3.7766830868202206E-7</v>
      </c>
      <c r="V225" s="87">
        <v>0.13</v>
      </c>
      <c r="W225" s="224"/>
      <c r="X225" s="23">
        <v>44544</v>
      </c>
      <c r="Y225" s="20" t="s">
        <v>197</v>
      </c>
      <c r="Z225" s="20"/>
      <c r="AA225" s="20"/>
      <c r="AB225" s="168">
        <v>2</v>
      </c>
    </row>
    <row r="226" spans="1:31" s="168" customFormat="1" x14ac:dyDescent="0.25">
      <c r="A226" s="208">
        <v>1</v>
      </c>
      <c r="B226" s="92" t="s">
        <v>192</v>
      </c>
      <c r="C226" s="90" t="str">
        <f>VLOOKUP($F226,Admin!$A$16:$E$19,2,FALSE)</f>
        <v>Alkalmazott (ipari) kutatás – Működési költség</v>
      </c>
      <c r="D226" s="161" t="s">
        <v>129</v>
      </c>
      <c r="E226" s="90" t="str">
        <f>VLOOKUP($F226,Admin!$A$16:$E$19,4,FALSE)</f>
        <v>54. Bérköltség - technikus segédszemélyzet</v>
      </c>
      <c r="F226" s="90" t="s">
        <v>173</v>
      </c>
      <c r="G226" s="161" t="s">
        <v>174</v>
      </c>
      <c r="H226" s="161" t="s">
        <v>196</v>
      </c>
      <c r="I226" s="90" t="str">
        <f>VLOOKUP($F226,Admin!$A$16:$E$19,5,FALSE)</f>
        <v>Technikus</v>
      </c>
      <c r="J226" s="161" t="s">
        <v>42</v>
      </c>
      <c r="K226" s="161" t="str">
        <f t="shared" si="128"/>
        <v>2022.03</v>
      </c>
      <c r="L226" s="91" t="s">
        <v>8</v>
      </c>
      <c r="M226" s="92" t="s">
        <v>78</v>
      </c>
      <c r="N226" s="162">
        <v>700000</v>
      </c>
      <c r="O226" s="163">
        <f t="shared" si="129"/>
        <v>91000</v>
      </c>
      <c r="P226" s="20">
        <v>174</v>
      </c>
      <c r="Q226" s="20">
        <v>64</v>
      </c>
      <c r="R226" s="230">
        <f t="shared" si="130"/>
        <v>0.36781609195402298</v>
      </c>
      <c r="S226" s="164">
        <f t="shared" si="131"/>
        <v>257471</v>
      </c>
      <c r="T226" s="165">
        <f t="shared" si="132"/>
        <v>33471</v>
      </c>
      <c r="U226" s="166">
        <f t="shared" si="133"/>
        <v>3.7766830868202206E-7</v>
      </c>
      <c r="V226" s="87">
        <v>0.13</v>
      </c>
      <c r="W226" s="224"/>
      <c r="X226" s="23">
        <v>44544</v>
      </c>
      <c r="Y226" s="20" t="s">
        <v>197</v>
      </c>
      <c r="Z226" s="20"/>
      <c r="AA226" s="20"/>
      <c r="AB226" s="168">
        <v>2</v>
      </c>
    </row>
    <row r="227" spans="1:31" s="168" customFormat="1" x14ac:dyDescent="0.25">
      <c r="A227" s="208">
        <v>1</v>
      </c>
      <c r="B227" s="92" t="s">
        <v>192</v>
      </c>
      <c r="C227" s="90" t="str">
        <f>VLOOKUP($F227,Admin!$A$16:$E$19,2,FALSE)</f>
        <v>Alkalmazott (ipari) kutatás – Működési költség</v>
      </c>
      <c r="D227" s="161" t="s">
        <v>129</v>
      </c>
      <c r="E227" s="90" t="str">
        <f>VLOOKUP($F227,Admin!$A$16:$E$19,4,FALSE)</f>
        <v>54. Bérköltség - technikus segédszemélyzet</v>
      </c>
      <c r="F227" s="90" t="s">
        <v>173</v>
      </c>
      <c r="G227" s="161" t="s">
        <v>174</v>
      </c>
      <c r="H227" s="161" t="s">
        <v>196</v>
      </c>
      <c r="I227" s="90" t="str">
        <f>VLOOKUP($F227,Admin!$A$16:$E$19,5,FALSE)</f>
        <v>Technikus</v>
      </c>
      <c r="J227" s="161" t="s">
        <v>43</v>
      </c>
      <c r="K227" s="161" t="str">
        <f t="shared" si="128"/>
        <v>2022.04</v>
      </c>
      <c r="L227" s="91" t="s">
        <v>8</v>
      </c>
      <c r="M227" s="92" t="s">
        <v>78</v>
      </c>
      <c r="N227" s="162">
        <v>699999</v>
      </c>
      <c r="O227" s="163">
        <f t="shared" si="129"/>
        <v>91000</v>
      </c>
      <c r="P227" s="20">
        <v>174</v>
      </c>
      <c r="Q227" s="20">
        <v>64</v>
      </c>
      <c r="R227" s="230">
        <f t="shared" si="130"/>
        <v>0.36781609195402298</v>
      </c>
      <c r="S227" s="164">
        <f t="shared" si="131"/>
        <v>257471</v>
      </c>
      <c r="T227" s="165">
        <f t="shared" si="132"/>
        <v>33471</v>
      </c>
      <c r="U227" s="166">
        <f t="shared" si="133"/>
        <v>-1.4778346235644335E-7</v>
      </c>
      <c r="V227" s="87">
        <v>0.13</v>
      </c>
      <c r="W227" s="224"/>
      <c r="X227" s="23">
        <v>44544</v>
      </c>
      <c r="Y227" s="20" t="s">
        <v>197</v>
      </c>
      <c r="Z227" s="20"/>
      <c r="AA227" s="20"/>
      <c r="AB227" s="168">
        <v>2</v>
      </c>
    </row>
    <row r="228" spans="1:31" s="168" customFormat="1" x14ac:dyDescent="0.25">
      <c r="A228" s="208">
        <v>1</v>
      </c>
      <c r="B228" s="92" t="s">
        <v>192</v>
      </c>
      <c r="C228" s="90" t="str">
        <f>VLOOKUP($F228,Admin!$A$16:$E$19,2,FALSE)</f>
        <v>Alkalmazott (ipari) kutatás – Működési költség</v>
      </c>
      <c r="D228" s="161" t="s">
        <v>129</v>
      </c>
      <c r="E228" s="90" t="str">
        <f>VLOOKUP($F228,Admin!$A$16:$E$19,4,FALSE)</f>
        <v>54. Bérköltség - technikus segédszemélyzet</v>
      </c>
      <c r="F228" s="90" t="s">
        <v>173</v>
      </c>
      <c r="G228" s="161" t="s">
        <v>174</v>
      </c>
      <c r="H228" s="161" t="s">
        <v>196</v>
      </c>
      <c r="I228" s="90" t="str">
        <f>VLOOKUP($F228,Admin!$A$16:$E$19,5,FALSE)</f>
        <v>Technikus</v>
      </c>
      <c r="J228" s="161" t="s">
        <v>44</v>
      </c>
      <c r="K228" s="161" t="str">
        <f t="shared" si="128"/>
        <v>2022.05</v>
      </c>
      <c r="L228" s="91" t="s">
        <v>8</v>
      </c>
      <c r="M228" s="92" t="s">
        <v>78</v>
      </c>
      <c r="N228" s="162">
        <v>700000</v>
      </c>
      <c r="O228" s="163">
        <f t="shared" si="129"/>
        <v>91000</v>
      </c>
      <c r="P228" s="20">
        <v>174</v>
      </c>
      <c r="Q228" s="20">
        <v>64</v>
      </c>
      <c r="R228" s="230">
        <f t="shared" si="130"/>
        <v>0.36781609195402298</v>
      </c>
      <c r="S228" s="164">
        <f t="shared" si="131"/>
        <v>257471</v>
      </c>
      <c r="T228" s="165">
        <f t="shared" si="132"/>
        <v>33471</v>
      </c>
      <c r="U228" s="166">
        <f t="shared" si="133"/>
        <v>3.7766830868202206E-7</v>
      </c>
      <c r="V228" s="87">
        <v>0.13</v>
      </c>
      <c r="W228" s="224"/>
      <c r="X228" s="23">
        <v>44544</v>
      </c>
      <c r="Y228" s="20" t="s">
        <v>197</v>
      </c>
      <c r="Z228" s="20"/>
      <c r="AA228" s="20"/>
      <c r="AB228" s="168">
        <v>2</v>
      </c>
    </row>
    <row r="229" spans="1:31" s="168" customFormat="1" x14ac:dyDescent="0.25">
      <c r="A229" s="208">
        <v>1</v>
      </c>
      <c r="B229" s="92" t="s">
        <v>192</v>
      </c>
      <c r="C229" s="90" t="str">
        <f>VLOOKUP($F229,Admin!$A$16:$E$19,2,FALSE)</f>
        <v>Alkalmazott (ipari) kutatás – Működési költség</v>
      </c>
      <c r="D229" s="161" t="s">
        <v>129</v>
      </c>
      <c r="E229" s="90" t="str">
        <f>VLOOKUP($F229,Admin!$A$16:$E$19,4,FALSE)</f>
        <v>54. Bérköltség - technikus segédszemélyzet</v>
      </c>
      <c r="F229" s="90" t="s">
        <v>173</v>
      </c>
      <c r="G229" s="161" t="s">
        <v>174</v>
      </c>
      <c r="H229" s="161" t="s">
        <v>196</v>
      </c>
      <c r="I229" s="90" t="str">
        <f>VLOOKUP($F229,Admin!$A$16:$E$19,5,FALSE)</f>
        <v>Technikus</v>
      </c>
      <c r="J229" s="161" t="s">
        <v>45</v>
      </c>
      <c r="K229" s="161" t="str">
        <f t="shared" si="128"/>
        <v>2022.06</v>
      </c>
      <c r="L229" s="91" t="s">
        <v>8</v>
      </c>
      <c r="M229" s="92" t="s">
        <v>78</v>
      </c>
      <c r="N229" s="162">
        <v>700000</v>
      </c>
      <c r="O229" s="163">
        <f t="shared" si="129"/>
        <v>91000</v>
      </c>
      <c r="P229" s="20">
        <v>174</v>
      </c>
      <c r="Q229" s="20">
        <v>87</v>
      </c>
      <c r="R229" s="230">
        <f t="shared" si="130"/>
        <v>0.5</v>
      </c>
      <c r="S229" s="164">
        <f t="shared" si="131"/>
        <v>350000</v>
      </c>
      <c r="T229" s="165">
        <f t="shared" si="132"/>
        <v>45500</v>
      </c>
      <c r="U229" s="166">
        <f t="shared" si="133"/>
        <v>0</v>
      </c>
      <c r="V229" s="87">
        <v>0.13</v>
      </c>
      <c r="W229" s="224"/>
      <c r="X229" s="23">
        <v>44712</v>
      </c>
      <c r="Y229" s="20" t="s">
        <v>197</v>
      </c>
      <c r="Z229" s="20"/>
      <c r="AA229" s="20"/>
      <c r="AB229" s="168">
        <v>2</v>
      </c>
    </row>
    <row r="230" spans="1:31" s="168" customFormat="1" x14ac:dyDescent="0.25">
      <c r="A230" s="208">
        <v>1</v>
      </c>
      <c r="B230" s="92" t="s">
        <v>192</v>
      </c>
      <c r="C230" s="90" t="str">
        <f>VLOOKUP($F230,Admin!$A$16:$E$19,2,FALSE)</f>
        <v>Alkalmazott (ipari) kutatás – Működési költség</v>
      </c>
      <c r="D230" s="161" t="s">
        <v>129</v>
      </c>
      <c r="E230" s="90" t="str">
        <f>VLOOKUP($F230,Admin!$A$16:$E$19,4,FALSE)</f>
        <v>54. Bérköltség - technikus segédszemélyzet</v>
      </c>
      <c r="F230" s="90" t="s">
        <v>173</v>
      </c>
      <c r="G230" s="161" t="s">
        <v>174</v>
      </c>
      <c r="H230" s="161" t="s">
        <v>196</v>
      </c>
      <c r="I230" s="90" t="str">
        <f>VLOOKUP($F230,Admin!$A$16:$E$19,5,FALSE)</f>
        <v>Technikus</v>
      </c>
      <c r="J230" s="161" t="s">
        <v>46</v>
      </c>
      <c r="K230" s="161" t="str">
        <f t="shared" si="128"/>
        <v>2022.07</v>
      </c>
      <c r="L230" s="91" t="s">
        <v>8</v>
      </c>
      <c r="M230" s="92" t="s">
        <v>78</v>
      </c>
      <c r="N230" s="162">
        <v>700000</v>
      </c>
      <c r="O230" s="163">
        <f t="shared" ref="O230:O234" si="627">ROUND(N230*V230,0)</f>
        <v>91000</v>
      </c>
      <c r="P230" s="20">
        <v>174</v>
      </c>
      <c r="Q230" s="20">
        <v>87</v>
      </c>
      <c r="R230" s="230">
        <f t="shared" ref="R230:R234" si="628">Q230/P230</f>
        <v>0.5</v>
      </c>
      <c r="S230" s="164">
        <f t="shared" ref="S230:S234" si="629">ROUND(N230*Q230/P230,0)</f>
        <v>350000</v>
      </c>
      <c r="T230" s="165">
        <f t="shared" ref="T230:T234" si="630">ROUND(S230*V230,0)</f>
        <v>45500</v>
      </c>
      <c r="U230" s="166">
        <f t="shared" ref="U230:U234" si="631">Q230/P230-S230/N230</f>
        <v>0</v>
      </c>
      <c r="V230" s="87">
        <v>0.13</v>
      </c>
      <c r="W230" s="224"/>
      <c r="X230" s="23">
        <v>44712</v>
      </c>
      <c r="Y230" s="20" t="s">
        <v>197</v>
      </c>
      <c r="Z230" s="20"/>
      <c r="AA230" s="20"/>
      <c r="AB230" s="168">
        <v>2</v>
      </c>
    </row>
    <row r="231" spans="1:31" s="168" customFormat="1" x14ac:dyDescent="0.25">
      <c r="A231" s="208">
        <v>1</v>
      </c>
      <c r="B231" s="92" t="s">
        <v>192</v>
      </c>
      <c r="C231" s="90" t="str">
        <f>VLOOKUP($F231,Admin!$A$16:$E$19,2,FALSE)</f>
        <v>Alkalmazott (ipari) kutatás – Működési költség</v>
      </c>
      <c r="D231" s="161" t="s">
        <v>129</v>
      </c>
      <c r="E231" s="90" t="str">
        <f>VLOOKUP($F231,Admin!$A$16:$E$19,4,FALSE)</f>
        <v>54. Bérköltség - technikus segédszemélyzet</v>
      </c>
      <c r="F231" s="90" t="s">
        <v>173</v>
      </c>
      <c r="G231" s="161" t="s">
        <v>174</v>
      </c>
      <c r="H231" s="161" t="s">
        <v>196</v>
      </c>
      <c r="I231" s="90" t="str">
        <f>VLOOKUP($F231,Admin!$A$16:$E$19,5,FALSE)</f>
        <v>Technikus</v>
      </c>
      <c r="J231" s="161" t="s">
        <v>47</v>
      </c>
      <c r="K231" s="161" t="str">
        <f t="shared" si="128"/>
        <v>2022.08</v>
      </c>
      <c r="L231" s="91" t="s">
        <v>8</v>
      </c>
      <c r="M231" s="92" t="s">
        <v>78</v>
      </c>
      <c r="N231" s="162">
        <v>578261</v>
      </c>
      <c r="O231" s="163">
        <f t="shared" si="627"/>
        <v>75174</v>
      </c>
      <c r="P231" s="20">
        <v>174</v>
      </c>
      <c r="Q231" s="20">
        <v>87</v>
      </c>
      <c r="R231" s="230">
        <f t="shared" si="628"/>
        <v>0.5</v>
      </c>
      <c r="S231" s="164">
        <f t="shared" si="629"/>
        <v>289131</v>
      </c>
      <c r="T231" s="165">
        <f t="shared" si="630"/>
        <v>37587</v>
      </c>
      <c r="U231" s="166">
        <f t="shared" si="631"/>
        <v>-8.6466145909902536E-7</v>
      </c>
      <c r="V231" s="87">
        <v>0.13</v>
      </c>
      <c r="W231" s="224"/>
      <c r="X231" s="23">
        <v>44712</v>
      </c>
      <c r="Y231" s="20" t="s">
        <v>197</v>
      </c>
      <c r="Z231" s="20"/>
      <c r="AA231" s="20"/>
      <c r="AB231" s="168">
        <v>2</v>
      </c>
    </row>
    <row r="232" spans="1:31" s="168" customFormat="1" x14ac:dyDescent="0.25">
      <c r="A232" s="208">
        <v>1</v>
      </c>
      <c r="B232" s="92" t="s">
        <v>192</v>
      </c>
      <c r="C232" s="90" t="str">
        <f>VLOOKUP($F232,Admin!$A$16:$E$19,2,FALSE)</f>
        <v>Alkalmazott (ipari) kutatás – Működési költség</v>
      </c>
      <c r="D232" s="161" t="s">
        <v>129</v>
      </c>
      <c r="E232" s="90" t="str">
        <f>VLOOKUP($F232,Admin!$A$16:$E$19,4,FALSE)</f>
        <v>54. Bérköltség - technikus segédszemélyzet</v>
      </c>
      <c r="F232" s="90" t="s">
        <v>173</v>
      </c>
      <c r="G232" s="161" t="s">
        <v>174</v>
      </c>
      <c r="H232" s="161" t="s">
        <v>196</v>
      </c>
      <c r="I232" s="90" t="str">
        <f>VLOOKUP($F232,Admin!$A$16:$E$19,5,FALSE)</f>
        <v>Technikus</v>
      </c>
      <c r="J232" s="161" t="s">
        <v>48</v>
      </c>
      <c r="K232" s="161" t="str">
        <f t="shared" si="128"/>
        <v>2022.09</v>
      </c>
      <c r="L232" s="91" t="s">
        <v>8</v>
      </c>
      <c r="M232" s="92" t="s">
        <v>78</v>
      </c>
      <c r="N232" s="162">
        <v>700000</v>
      </c>
      <c r="O232" s="163">
        <f t="shared" si="627"/>
        <v>91000</v>
      </c>
      <c r="P232" s="20">
        <v>174</v>
      </c>
      <c r="Q232" s="20">
        <v>87</v>
      </c>
      <c r="R232" s="230">
        <f t="shared" si="628"/>
        <v>0.5</v>
      </c>
      <c r="S232" s="164">
        <f t="shared" si="629"/>
        <v>350000</v>
      </c>
      <c r="T232" s="165">
        <f t="shared" si="630"/>
        <v>45500</v>
      </c>
      <c r="U232" s="166">
        <f t="shared" si="631"/>
        <v>0</v>
      </c>
      <c r="V232" s="87">
        <v>0.13</v>
      </c>
      <c r="W232" s="224"/>
      <c r="X232" s="23">
        <v>44712</v>
      </c>
      <c r="Y232" s="20" t="s">
        <v>197</v>
      </c>
      <c r="Z232" s="20"/>
      <c r="AA232" s="20"/>
      <c r="AB232" s="168">
        <v>5</v>
      </c>
    </row>
    <row r="233" spans="1:31" s="168" customFormat="1" x14ac:dyDescent="0.25">
      <c r="A233" s="167"/>
      <c r="B233" s="92" t="s">
        <v>192</v>
      </c>
      <c r="C233" s="90" t="str">
        <f>VLOOKUP($F233,Admin!$A$16:$E$19,2,FALSE)</f>
        <v>Alkalmazott (ipari) kutatás – Működési költség</v>
      </c>
      <c r="D233" s="161" t="s">
        <v>129</v>
      </c>
      <c r="E233" s="90" t="str">
        <f>VLOOKUP($F233,Admin!$A$16:$E$19,4,FALSE)</f>
        <v>54. Bérköltség - technikus segédszemélyzet</v>
      </c>
      <c r="F233" s="90" t="s">
        <v>173</v>
      </c>
      <c r="G233" s="161" t="s">
        <v>174</v>
      </c>
      <c r="H233" s="161" t="s">
        <v>196</v>
      </c>
      <c r="I233" s="90" t="str">
        <f>VLOOKUP($F233,Admin!$A$16:$E$19,5,FALSE)</f>
        <v>Technikus</v>
      </c>
      <c r="J233" s="161" t="s">
        <v>49</v>
      </c>
      <c r="K233" s="161" t="str">
        <f t="shared" si="128"/>
        <v>2022.10</v>
      </c>
      <c r="L233" s="91" t="s">
        <v>8</v>
      </c>
      <c r="M233" s="92" t="s">
        <v>78</v>
      </c>
      <c r="N233" s="162">
        <v>700000</v>
      </c>
      <c r="O233" s="163">
        <f t="shared" si="627"/>
        <v>91000</v>
      </c>
      <c r="P233" s="20">
        <v>174</v>
      </c>
      <c r="Q233" s="20">
        <v>87</v>
      </c>
      <c r="R233" s="230">
        <f t="shared" si="628"/>
        <v>0.5</v>
      </c>
      <c r="S233" s="164">
        <f t="shared" si="629"/>
        <v>350000</v>
      </c>
      <c r="T233" s="165">
        <f t="shared" si="630"/>
        <v>45500</v>
      </c>
      <c r="U233" s="166">
        <f t="shared" si="631"/>
        <v>0</v>
      </c>
      <c r="V233" s="87">
        <v>0.13</v>
      </c>
      <c r="W233" s="224"/>
      <c r="X233" s="23">
        <v>44712</v>
      </c>
      <c r="Y233" s="20" t="s">
        <v>197</v>
      </c>
      <c r="Z233" s="20"/>
      <c r="AA233" s="20"/>
      <c r="AB233" s="168">
        <v>2</v>
      </c>
    </row>
    <row r="234" spans="1:31" s="168" customFormat="1" x14ac:dyDescent="0.25">
      <c r="A234" s="167"/>
      <c r="B234" s="92" t="s">
        <v>192</v>
      </c>
      <c r="C234" s="90" t="str">
        <f>VLOOKUP($F234,Admin!$A$16:$E$19,2,FALSE)</f>
        <v>Alkalmazott (ipari) kutatás – Működési költség</v>
      </c>
      <c r="D234" s="161" t="s">
        <v>129</v>
      </c>
      <c r="E234" s="90" t="str">
        <f>VLOOKUP($F234,Admin!$A$16:$E$19,4,FALSE)</f>
        <v>54. Bérköltség - technikus segédszemélyzet</v>
      </c>
      <c r="F234" s="90" t="s">
        <v>173</v>
      </c>
      <c r="G234" s="161" t="s">
        <v>174</v>
      </c>
      <c r="H234" s="161" t="s">
        <v>196</v>
      </c>
      <c r="I234" s="90" t="str">
        <f>VLOOKUP($F234,Admin!$A$16:$E$19,5,FALSE)</f>
        <v>Technikus</v>
      </c>
      <c r="J234" s="161" t="s">
        <v>50</v>
      </c>
      <c r="K234" s="161" t="str">
        <f t="shared" si="128"/>
        <v>2022.11</v>
      </c>
      <c r="L234" s="91" t="s">
        <v>8</v>
      </c>
      <c r="M234" s="92" t="s">
        <v>78</v>
      </c>
      <c r="N234" s="162">
        <v>700000</v>
      </c>
      <c r="O234" s="163">
        <f t="shared" si="627"/>
        <v>91000</v>
      </c>
      <c r="P234" s="20">
        <v>174</v>
      </c>
      <c r="Q234" s="20">
        <v>87</v>
      </c>
      <c r="R234" s="230">
        <f t="shared" si="628"/>
        <v>0.5</v>
      </c>
      <c r="S234" s="164">
        <f t="shared" si="629"/>
        <v>350000</v>
      </c>
      <c r="T234" s="165">
        <f t="shared" si="630"/>
        <v>45500</v>
      </c>
      <c r="U234" s="166">
        <f t="shared" si="631"/>
        <v>0</v>
      </c>
      <c r="V234" s="87">
        <v>0.13</v>
      </c>
      <c r="W234" s="224" t="s">
        <v>235</v>
      </c>
      <c r="X234" s="23">
        <v>44712</v>
      </c>
      <c r="Y234" s="20" t="s">
        <v>197</v>
      </c>
      <c r="Z234" s="20"/>
      <c r="AA234" s="20"/>
      <c r="AB234" s="168">
        <v>2</v>
      </c>
      <c r="AC234" s="211" t="e">
        <v>#N/A</v>
      </c>
      <c r="AD234" s="212" t="e">
        <v>#N/A</v>
      </c>
      <c r="AE234" s="211" t="e">
        <v>#N/A</v>
      </c>
    </row>
    <row r="235" spans="1:31" s="168" customFormat="1" x14ac:dyDescent="0.25">
      <c r="A235" s="167"/>
      <c r="B235" s="92" t="s">
        <v>192</v>
      </c>
      <c r="C235" s="90" t="str">
        <f>VLOOKUP($F235,Admin!$A$16:$E$19,2,FALSE)</f>
        <v>Alkalmazott (ipari) kutatás – Működési költség</v>
      </c>
      <c r="D235" s="161" t="s">
        <v>129</v>
      </c>
      <c r="E235" s="90" t="str">
        <f>VLOOKUP($F235,Admin!$A$16:$E$19,4,FALSE)</f>
        <v>54. Bérköltség - technikus segédszemélyzet</v>
      </c>
      <c r="F235" s="90" t="s">
        <v>173</v>
      </c>
      <c r="G235" s="161" t="s">
        <v>174</v>
      </c>
      <c r="H235" s="161" t="s">
        <v>196</v>
      </c>
      <c r="I235" s="90" t="str">
        <f>VLOOKUP($F235,Admin!$A$16:$E$19,5,FALSE)</f>
        <v>Technikus</v>
      </c>
      <c r="J235" s="161" t="s">
        <v>51</v>
      </c>
      <c r="K235" s="161" t="str">
        <f t="shared" ref="K235:K242" si="632">J235</f>
        <v>2022.12</v>
      </c>
      <c r="L235" s="91" t="s">
        <v>8</v>
      </c>
      <c r="M235" s="92" t="s">
        <v>78</v>
      </c>
      <c r="N235" s="162">
        <v>699999</v>
      </c>
      <c r="O235" s="163">
        <f t="shared" ref="O235" si="633">ROUND(N235*V235,0)</f>
        <v>91000</v>
      </c>
      <c r="P235" s="20">
        <v>174</v>
      </c>
      <c r="Q235" s="20">
        <v>87</v>
      </c>
      <c r="R235" s="230">
        <f t="shared" ref="R235" si="634">Q235/P235</f>
        <v>0.5</v>
      </c>
      <c r="S235" s="164">
        <f t="shared" ref="S235" si="635">ROUND(N235*Q235/P235,0)</f>
        <v>350000</v>
      </c>
      <c r="T235" s="165">
        <f t="shared" ref="T235" si="636">ROUND(S235*V235,0)</f>
        <v>45500</v>
      </c>
      <c r="U235" s="166">
        <f t="shared" ref="U235" si="637">Q235/P235-S235/N235</f>
        <v>-7.1428673464879466E-7</v>
      </c>
      <c r="V235" s="87">
        <v>0.13</v>
      </c>
      <c r="W235" s="224" t="s">
        <v>235</v>
      </c>
      <c r="X235" s="23">
        <v>44890</v>
      </c>
      <c r="Y235" s="20" t="s">
        <v>197</v>
      </c>
      <c r="Z235" s="20"/>
      <c r="AA235" s="20"/>
      <c r="AB235" s="168">
        <v>2</v>
      </c>
      <c r="AC235" s="211" t="s">
        <v>249</v>
      </c>
      <c r="AD235" s="211" t="s">
        <v>250</v>
      </c>
      <c r="AE235" s="211" t="s">
        <v>250</v>
      </c>
    </row>
    <row r="236" spans="1:31" s="168" customFormat="1" x14ac:dyDescent="0.25">
      <c r="A236" s="167"/>
      <c r="B236" s="92" t="s">
        <v>192</v>
      </c>
      <c r="C236" s="90" t="str">
        <f>VLOOKUP($F236,Admin!$A$16:$E$19,2,FALSE)</f>
        <v>Alkalmazott (ipari) kutatás – Működési költség</v>
      </c>
      <c r="D236" s="161" t="s">
        <v>129</v>
      </c>
      <c r="E236" s="90" t="str">
        <f>VLOOKUP($F236,Admin!$A$16:$E$19,4,FALSE)</f>
        <v>54. Bérköltség - technikus segédszemélyzet</v>
      </c>
      <c r="F236" s="90" t="s">
        <v>173</v>
      </c>
      <c r="G236" s="161" t="s">
        <v>174</v>
      </c>
      <c r="H236" s="161" t="s">
        <v>196</v>
      </c>
      <c r="I236" s="90" t="str">
        <f>VLOOKUP($F236,Admin!$A$16:$E$19,5,FALSE)</f>
        <v>Technikus</v>
      </c>
      <c r="J236" s="161" t="s">
        <v>64</v>
      </c>
      <c r="K236" s="161" t="str">
        <f t="shared" si="632"/>
        <v>2023.01</v>
      </c>
      <c r="L236" s="91" t="s">
        <v>8</v>
      </c>
      <c r="M236" s="92" t="s">
        <v>78</v>
      </c>
      <c r="N236" s="162">
        <v>721000</v>
      </c>
      <c r="O236" s="163">
        <f t="shared" ref="O236" si="638">ROUND(N236*V236,0)</f>
        <v>93730</v>
      </c>
      <c r="P236" s="20">
        <v>174</v>
      </c>
      <c r="Q236" s="20">
        <v>87</v>
      </c>
      <c r="R236" s="230">
        <f t="shared" ref="R236" si="639">Q236/P236</f>
        <v>0.5</v>
      </c>
      <c r="S236" s="164">
        <f t="shared" ref="S236" si="640">ROUND(N236*Q236/P236,0)</f>
        <v>360500</v>
      </c>
      <c r="T236" s="165">
        <f t="shared" ref="T236" si="641">ROUND(S236*V236,0)</f>
        <v>46865</v>
      </c>
      <c r="U236" s="166">
        <f t="shared" ref="U236" si="642">Q236/P236-S236/N236</f>
        <v>0</v>
      </c>
      <c r="V236" s="87">
        <v>0.13</v>
      </c>
      <c r="W236" s="224" t="s">
        <v>235</v>
      </c>
      <c r="X236" s="23">
        <v>44949</v>
      </c>
      <c r="Y236" s="20" t="s">
        <v>197</v>
      </c>
      <c r="Z236" s="20"/>
      <c r="AA236" s="20"/>
      <c r="AB236" s="168">
        <v>2</v>
      </c>
      <c r="AC236" s="211" t="s">
        <v>249</v>
      </c>
      <c r="AD236" s="211">
        <v>0</v>
      </c>
      <c r="AE236" s="211">
        <v>0</v>
      </c>
    </row>
    <row r="237" spans="1:31" s="168" customFormat="1" x14ac:dyDescent="0.25">
      <c r="A237" s="167"/>
      <c r="B237" s="92" t="s">
        <v>192</v>
      </c>
      <c r="C237" s="90" t="str">
        <f>VLOOKUP($F237,Admin!$A$16:$E$19,2,FALSE)</f>
        <v>Alkalmazott (ipari) kutatás – Működési költség</v>
      </c>
      <c r="D237" s="161" t="s">
        <v>129</v>
      </c>
      <c r="E237" s="90" t="str">
        <f>VLOOKUP($F237,Admin!$A$16:$E$19,4,FALSE)</f>
        <v>54. Bérköltség - technikus segédszemélyzet</v>
      </c>
      <c r="F237" s="90" t="s">
        <v>173</v>
      </c>
      <c r="G237" s="161" t="s">
        <v>174</v>
      </c>
      <c r="H237" s="161" t="s">
        <v>251</v>
      </c>
      <c r="I237" s="90" t="str">
        <f>VLOOKUP($F237,Admin!$A$16:$E$19,5,FALSE)</f>
        <v>Technikus</v>
      </c>
      <c r="J237" s="161" t="s">
        <v>65</v>
      </c>
      <c r="K237" s="161" t="str">
        <f t="shared" si="632"/>
        <v>2023.02</v>
      </c>
      <c r="L237" s="91" t="s">
        <v>8</v>
      </c>
      <c r="M237" s="92" t="s">
        <v>78</v>
      </c>
      <c r="N237" s="162">
        <v>721000</v>
      </c>
      <c r="O237" s="163">
        <f t="shared" ref="O237:O242" si="643">ROUND(N237*V237,0)</f>
        <v>93730</v>
      </c>
      <c r="P237" s="20">
        <v>174</v>
      </c>
      <c r="Q237" s="20">
        <v>87</v>
      </c>
      <c r="R237" s="230">
        <f t="shared" ref="R237:R242" si="644">Q237/P237</f>
        <v>0.5</v>
      </c>
      <c r="S237" s="164">
        <f t="shared" ref="S237:S242" si="645">ROUND(N237*Q237/P237,0)</f>
        <v>360500</v>
      </c>
      <c r="T237" s="165">
        <f t="shared" ref="T237:T242" si="646">ROUND(S237*V237,0)</f>
        <v>46865</v>
      </c>
      <c r="U237" s="166">
        <f t="shared" ref="U237:U242" si="647">Q237/P237-S237/N237</f>
        <v>0</v>
      </c>
      <c r="V237" s="87">
        <v>0.13</v>
      </c>
      <c r="W237" s="224" t="s">
        <v>235</v>
      </c>
      <c r="X237" s="23">
        <v>44949</v>
      </c>
      <c r="Y237" s="20" t="s">
        <v>197</v>
      </c>
      <c r="Z237" s="20"/>
      <c r="AA237" s="20"/>
      <c r="AB237" s="168">
        <v>2</v>
      </c>
      <c r="AC237" s="8" t="str">
        <f>IF(VLOOKUP($W237,'Havi béradatok'!$B:$E,2,FALSE)=H237,"EGYEZIK","HIBÁS")</f>
        <v>EGYEZIK</v>
      </c>
      <c r="AD237" s="8">
        <f>VLOOKUP($W237,'Havi béradatok'!$B:$E,3,FALSE)-N237</f>
        <v>0</v>
      </c>
      <c r="AE237" s="8">
        <f>VLOOKUP($W237,'Havi béradatok'!$B:$E,4,FALSE)-O237</f>
        <v>0</v>
      </c>
    </row>
    <row r="238" spans="1:31" s="168" customFormat="1" x14ac:dyDescent="0.25">
      <c r="A238" s="167"/>
      <c r="B238" s="92" t="s">
        <v>192</v>
      </c>
      <c r="C238" s="90" t="str">
        <f>VLOOKUP($F238,Admin!$A$16:$E$19,2,FALSE)</f>
        <v>Alkalmazott (ipari) kutatás – Működési költség</v>
      </c>
      <c r="D238" s="161" t="s">
        <v>129</v>
      </c>
      <c r="E238" s="90" t="str">
        <f>VLOOKUP($F238,Admin!$A$16:$E$19,4,FALSE)</f>
        <v>54. Bérköltség - technikus segédszemélyzet</v>
      </c>
      <c r="F238" s="90" t="s">
        <v>173</v>
      </c>
      <c r="G238" s="161" t="s">
        <v>174</v>
      </c>
      <c r="H238" s="161" t="s">
        <v>251</v>
      </c>
      <c r="I238" s="90" t="str">
        <f>VLOOKUP($F238,Admin!$A$16:$E$19,5,FALSE)</f>
        <v>Technikus</v>
      </c>
      <c r="J238" s="161" t="s">
        <v>66</v>
      </c>
      <c r="K238" s="161" t="str">
        <f t="shared" si="632"/>
        <v>2023.03</v>
      </c>
      <c r="L238" s="91" t="s">
        <v>8</v>
      </c>
      <c r="M238" s="92" t="s">
        <v>78</v>
      </c>
      <c r="N238" s="162">
        <v>721000</v>
      </c>
      <c r="O238" s="163">
        <f t="shared" si="643"/>
        <v>93730</v>
      </c>
      <c r="P238" s="20">
        <v>174</v>
      </c>
      <c r="Q238" s="20">
        <v>87</v>
      </c>
      <c r="R238" s="230">
        <f t="shared" si="644"/>
        <v>0.5</v>
      </c>
      <c r="S238" s="164">
        <f t="shared" si="645"/>
        <v>360500</v>
      </c>
      <c r="T238" s="165">
        <f t="shared" si="646"/>
        <v>46865</v>
      </c>
      <c r="U238" s="166">
        <f t="shared" si="647"/>
        <v>0</v>
      </c>
      <c r="V238" s="87">
        <v>0.13</v>
      </c>
      <c r="W238" s="224" t="s">
        <v>235</v>
      </c>
      <c r="X238" s="23">
        <v>44949</v>
      </c>
      <c r="Y238" s="20" t="s">
        <v>197</v>
      </c>
      <c r="Z238" s="20"/>
      <c r="AA238" s="20"/>
      <c r="AB238" s="168">
        <v>2</v>
      </c>
      <c r="AC238" s="8" t="str">
        <f>IF(VLOOKUP($W238,'Havi béradatok'!$B:$E,2,FALSE)=H238,"EGYEZIK","HIBÁS")</f>
        <v>EGYEZIK</v>
      </c>
      <c r="AD238" s="8">
        <f>VLOOKUP($W238,'Havi béradatok'!$B:$E,3,FALSE)-N238</f>
        <v>0</v>
      </c>
      <c r="AE238" s="8">
        <f>VLOOKUP($W238,'Havi béradatok'!$B:$E,4,FALSE)-O238</f>
        <v>0</v>
      </c>
    </row>
    <row r="239" spans="1:31" s="168" customFormat="1" x14ac:dyDescent="0.25">
      <c r="A239" s="167"/>
      <c r="B239" s="92" t="s">
        <v>192</v>
      </c>
      <c r="C239" s="90" t="str">
        <f>VLOOKUP($F239,Admin!$A$16:$E$19,2,FALSE)</f>
        <v>Alkalmazott (ipari) kutatás – Működési költség</v>
      </c>
      <c r="D239" s="161" t="s">
        <v>129</v>
      </c>
      <c r="E239" s="90" t="str">
        <f>VLOOKUP($F239,Admin!$A$16:$E$19,4,FALSE)</f>
        <v>54. Bérköltség - technikus segédszemélyzet</v>
      </c>
      <c r="F239" s="90" t="s">
        <v>173</v>
      </c>
      <c r="G239" s="161" t="s">
        <v>174</v>
      </c>
      <c r="H239" s="161" t="s">
        <v>196</v>
      </c>
      <c r="I239" s="90" t="str">
        <f>VLOOKUP($F239,Admin!$A$16:$E$19,5,FALSE)</f>
        <v>Technikus</v>
      </c>
      <c r="J239" s="161" t="s">
        <v>67</v>
      </c>
      <c r="K239" s="161" t="str">
        <f t="shared" si="632"/>
        <v>2023.04</v>
      </c>
      <c r="L239" s="91" t="s">
        <v>9</v>
      </c>
      <c r="M239" s="92" t="s">
        <v>78</v>
      </c>
      <c r="N239" s="162">
        <v>721000</v>
      </c>
      <c r="O239" s="163">
        <f t="shared" si="643"/>
        <v>93730</v>
      </c>
      <c r="P239" s="20">
        <v>174</v>
      </c>
      <c r="Q239" s="20">
        <v>87</v>
      </c>
      <c r="R239" s="230">
        <f t="shared" si="644"/>
        <v>0.5</v>
      </c>
      <c r="S239" s="164">
        <f t="shared" si="645"/>
        <v>360500</v>
      </c>
      <c r="T239" s="165">
        <f t="shared" si="646"/>
        <v>46865</v>
      </c>
      <c r="U239" s="166">
        <f t="shared" si="647"/>
        <v>0</v>
      </c>
      <c r="V239" s="87">
        <v>0.13</v>
      </c>
      <c r="W239" s="224" t="s">
        <v>235</v>
      </c>
      <c r="X239" s="23">
        <v>44949</v>
      </c>
      <c r="Y239" s="20" t="s">
        <v>197</v>
      </c>
      <c r="Z239" s="20"/>
      <c r="AA239" s="20"/>
    </row>
    <row r="240" spans="1:31" s="168" customFormat="1" x14ac:dyDescent="0.25">
      <c r="A240" s="167"/>
      <c r="B240" s="92" t="s">
        <v>192</v>
      </c>
      <c r="C240" s="90" t="str">
        <f>VLOOKUP($F240,Admin!$A$16:$E$19,2,FALSE)</f>
        <v>Alkalmazott (ipari) kutatás – Működési költség</v>
      </c>
      <c r="D240" s="161" t="s">
        <v>129</v>
      </c>
      <c r="E240" s="90" t="str">
        <f>VLOOKUP($F240,Admin!$A$16:$E$19,4,FALSE)</f>
        <v>54. Bérköltség - technikus segédszemélyzet</v>
      </c>
      <c r="F240" s="90" t="s">
        <v>173</v>
      </c>
      <c r="G240" s="161" t="s">
        <v>174</v>
      </c>
      <c r="H240" s="161" t="s">
        <v>196</v>
      </c>
      <c r="I240" s="90" t="str">
        <f>VLOOKUP($F240,Admin!$A$16:$E$19,5,FALSE)</f>
        <v>Technikus</v>
      </c>
      <c r="J240" s="161" t="s">
        <v>68</v>
      </c>
      <c r="K240" s="161" t="str">
        <f t="shared" si="632"/>
        <v>2023.05</v>
      </c>
      <c r="L240" s="91" t="s">
        <v>9</v>
      </c>
      <c r="M240" s="92" t="s">
        <v>78</v>
      </c>
      <c r="N240" s="162">
        <v>721000</v>
      </c>
      <c r="O240" s="163">
        <f t="shared" si="643"/>
        <v>93730</v>
      </c>
      <c r="P240" s="20">
        <v>174</v>
      </c>
      <c r="Q240" s="20">
        <v>87</v>
      </c>
      <c r="R240" s="230">
        <f t="shared" si="644"/>
        <v>0.5</v>
      </c>
      <c r="S240" s="164">
        <f t="shared" si="645"/>
        <v>360500</v>
      </c>
      <c r="T240" s="165">
        <f t="shared" si="646"/>
        <v>46865</v>
      </c>
      <c r="U240" s="166">
        <f t="shared" si="647"/>
        <v>0</v>
      </c>
      <c r="V240" s="87">
        <v>0.13</v>
      </c>
      <c r="W240" s="224" t="s">
        <v>235</v>
      </c>
      <c r="X240" s="23">
        <v>44949</v>
      </c>
      <c r="Y240" s="20" t="s">
        <v>197</v>
      </c>
      <c r="Z240" s="20"/>
      <c r="AA240" s="20"/>
    </row>
    <row r="241" spans="1:27" s="168" customFormat="1" x14ac:dyDescent="0.25">
      <c r="A241" s="167"/>
      <c r="B241" s="92" t="s">
        <v>192</v>
      </c>
      <c r="C241" s="90" t="str">
        <f>VLOOKUP($F241,Admin!$A$16:$E$19,2,FALSE)</f>
        <v>Alkalmazott (ipari) kutatás – Működési költség</v>
      </c>
      <c r="D241" s="161" t="s">
        <v>129</v>
      </c>
      <c r="E241" s="90" t="str">
        <f>VLOOKUP($F241,Admin!$A$16:$E$19,4,FALSE)</f>
        <v>54. Bérköltség - technikus segédszemélyzet</v>
      </c>
      <c r="F241" s="90" t="s">
        <v>173</v>
      </c>
      <c r="G241" s="161" t="s">
        <v>174</v>
      </c>
      <c r="H241" s="161" t="s">
        <v>196</v>
      </c>
      <c r="I241" s="90" t="str">
        <f>VLOOKUP($F241,Admin!$A$16:$E$19,5,FALSE)</f>
        <v>Technikus</v>
      </c>
      <c r="J241" s="161" t="s">
        <v>69</v>
      </c>
      <c r="K241" s="161" t="str">
        <f t="shared" si="632"/>
        <v>2023.06</v>
      </c>
      <c r="L241" s="91" t="s">
        <v>9</v>
      </c>
      <c r="M241" s="92" t="s">
        <v>78</v>
      </c>
      <c r="N241" s="162">
        <v>721000</v>
      </c>
      <c r="O241" s="163">
        <f t="shared" si="643"/>
        <v>93730</v>
      </c>
      <c r="P241" s="20">
        <v>174</v>
      </c>
      <c r="Q241" s="20">
        <v>87</v>
      </c>
      <c r="R241" s="230">
        <f t="shared" si="644"/>
        <v>0.5</v>
      </c>
      <c r="S241" s="164">
        <f t="shared" si="645"/>
        <v>360500</v>
      </c>
      <c r="T241" s="165">
        <f t="shared" si="646"/>
        <v>46865</v>
      </c>
      <c r="U241" s="166">
        <f t="shared" si="647"/>
        <v>0</v>
      </c>
      <c r="V241" s="87">
        <v>0.13</v>
      </c>
      <c r="W241" s="224" t="s">
        <v>235</v>
      </c>
      <c r="X241" s="23">
        <v>44949</v>
      </c>
      <c r="Y241" s="20" t="s">
        <v>197</v>
      </c>
      <c r="Z241" s="20"/>
      <c r="AA241" s="20"/>
    </row>
    <row r="242" spans="1:27" s="168" customFormat="1" x14ac:dyDescent="0.25">
      <c r="A242" s="167"/>
      <c r="B242" s="92" t="s">
        <v>192</v>
      </c>
      <c r="C242" s="90" t="str">
        <f>VLOOKUP($F242,Admin!$A$16:$E$19,2,FALSE)</f>
        <v>Alkalmazott (ipari) kutatás – Működési költség</v>
      </c>
      <c r="D242" s="161" t="s">
        <v>129</v>
      </c>
      <c r="E242" s="90" t="str">
        <f>VLOOKUP($F242,Admin!$A$16:$E$19,4,FALSE)</f>
        <v>54. Bérköltség - technikus segédszemélyzet</v>
      </c>
      <c r="F242" s="90" t="s">
        <v>173</v>
      </c>
      <c r="G242" s="161" t="s">
        <v>174</v>
      </c>
      <c r="H242" s="161" t="s">
        <v>196</v>
      </c>
      <c r="I242" s="90" t="str">
        <f>VLOOKUP($F242,Admin!$A$16:$E$19,5,FALSE)</f>
        <v>Technikus</v>
      </c>
      <c r="J242" s="161" t="s">
        <v>70</v>
      </c>
      <c r="K242" s="161" t="str">
        <f t="shared" si="632"/>
        <v>2023.07</v>
      </c>
      <c r="L242" s="91" t="s">
        <v>9</v>
      </c>
      <c r="M242" s="92" t="s">
        <v>78</v>
      </c>
      <c r="N242" s="162">
        <v>721000</v>
      </c>
      <c r="O242" s="163">
        <f t="shared" si="643"/>
        <v>93730</v>
      </c>
      <c r="P242" s="20">
        <v>174</v>
      </c>
      <c r="Q242" s="20">
        <v>87</v>
      </c>
      <c r="R242" s="230">
        <f t="shared" si="644"/>
        <v>0.5</v>
      </c>
      <c r="S242" s="164">
        <f t="shared" si="645"/>
        <v>360500</v>
      </c>
      <c r="T242" s="165">
        <f t="shared" si="646"/>
        <v>46865</v>
      </c>
      <c r="U242" s="166">
        <f t="shared" si="647"/>
        <v>0</v>
      </c>
      <c r="V242" s="87">
        <v>0.13</v>
      </c>
      <c r="W242" s="224" t="s">
        <v>235</v>
      </c>
      <c r="X242" s="23">
        <v>44949</v>
      </c>
      <c r="Y242" s="20" t="s">
        <v>197</v>
      </c>
      <c r="Z242" s="20"/>
      <c r="AA242" s="20"/>
    </row>
    <row r="243" spans="1:27" s="168" customFormat="1" x14ac:dyDescent="0.25">
      <c r="A243" s="167"/>
      <c r="B243" s="92"/>
      <c r="C243" s="90"/>
      <c r="D243" s="161"/>
      <c r="E243" s="90"/>
      <c r="F243" s="90"/>
      <c r="G243" s="161"/>
      <c r="H243" s="161"/>
      <c r="I243" s="91"/>
      <c r="J243" s="161"/>
      <c r="K243" s="161"/>
      <c r="L243" s="91"/>
      <c r="M243" s="92"/>
      <c r="N243" s="162"/>
      <c r="O243" s="163"/>
      <c r="P243" s="20"/>
      <c r="Q243" s="20"/>
      <c r="R243" s="230"/>
      <c r="S243" s="164"/>
      <c r="T243" s="165"/>
      <c r="U243" s="166"/>
      <c r="V243" s="87"/>
      <c r="W243" s="224"/>
      <c r="X243" s="23"/>
      <c r="Y243" s="20"/>
      <c r="Z243" s="20"/>
      <c r="AA243" s="20"/>
    </row>
    <row r="244" spans="1:27" s="168" customFormat="1" x14ac:dyDescent="0.25">
      <c r="A244" s="167"/>
      <c r="B244" s="92"/>
      <c r="C244" s="90"/>
      <c r="D244" s="161"/>
      <c r="E244" s="90"/>
      <c r="F244" s="90"/>
      <c r="G244" s="161"/>
      <c r="H244" s="161"/>
      <c r="I244" s="91"/>
      <c r="J244" s="161"/>
      <c r="K244" s="161"/>
      <c r="L244" s="91"/>
      <c r="M244" s="92"/>
      <c r="N244" s="162"/>
      <c r="O244" s="163"/>
      <c r="P244" s="20"/>
      <c r="Q244" s="20"/>
      <c r="R244" s="230"/>
      <c r="S244" s="164"/>
      <c r="T244" s="165"/>
      <c r="U244" s="166"/>
      <c r="V244" s="87"/>
      <c r="W244" s="224"/>
      <c r="X244" s="23"/>
      <c r="Y244" s="20"/>
      <c r="Z244" s="20"/>
      <c r="AA244" s="20"/>
    </row>
    <row r="245" spans="1:27" s="168" customFormat="1" x14ac:dyDescent="0.25">
      <c r="A245" s="167"/>
      <c r="B245" s="92"/>
      <c r="C245" s="90"/>
      <c r="D245" s="161"/>
      <c r="E245" s="90"/>
      <c r="F245" s="90"/>
      <c r="G245" s="161"/>
      <c r="H245" s="161"/>
      <c r="I245" s="91"/>
      <c r="J245" s="161"/>
      <c r="K245" s="161"/>
      <c r="L245" s="91"/>
      <c r="M245" s="92"/>
      <c r="N245" s="162"/>
      <c r="O245" s="163"/>
      <c r="P245" s="20"/>
      <c r="Q245" s="20"/>
      <c r="R245" s="230"/>
      <c r="S245" s="164"/>
      <c r="T245" s="165"/>
      <c r="U245" s="166"/>
      <c r="V245" s="87"/>
      <c r="W245" s="224"/>
      <c r="X245" s="23"/>
      <c r="Y245" s="20"/>
      <c r="Z245" s="20"/>
      <c r="AA245" s="20"/>
    </row>
    <row r="246" spans="1:27" s="168" customFormat="1" x14ac:dyDescent="0.25">
      <c r="A246" s="167"/>
      <c r="B246" s="92"/>
      <c r="C246" s="90"/>
      <c r="D246" s="161"/>
      <c r="E246" s="90"/>
      <c r="F246" s="90"/>
      <c r="G246" s="161"/>
      <c r="H246" s="161"/>
      <c r="I246" s="91"/>
      <c r="J246" s="161"/>
      <c r="K246" s="161"/>
      <c r="L246" s="91"/>
      <c r="M246" s="92"/>
      <c r="N246" s="162"/>
      <c r="O246" s="163"/>
      <c r="P246" s="20"/>
      <c r="Q246" s="20"/>
      <c r="R246" s="230"/>
      <c r="S246" s="164"/>
      <c r="T246" s="165"/>
      <c r="U246" s="166"/>
      <c r="V246" s="69"/>
      <c r="W246" s="224"/>
      <c r="X246" s="23"/>
      <c r="Y246" s="20"/>
      <c r="Z246" s="20"/>
      <c r="AA246" s="20"/>
    </row>
    <row r="247" spans="1:27" x14ac:dyDescent="0.25">
      <c r="A247" s="169"/>
      <c r="B247" s="92"/>
      <c r="C247" s="90"/>
      <c r="D247" s="161"/>
      <c r="E247" s="90"/>
      <c r="F247" s="90"/>
      <c r="G247" s="161"/>
      <c r="H247" s="161"/>
      <c r="I247" s="93"/>
      <c r="J247" s="161"/>
      <c r="K247" s="161"/>
      <c r="L247" s="91"/>
      <c r="M247" s="92"/>
      <c r="N247" s="163"/>
      <c r="O247" s="163"/>
      <c r="P247" s="20"/>
      <c r="Q247" s="20"/>
      <c r="R247" s="230"/>
      <c r="S247" s="164"/>
      <c r="T247" s="165"/>
      <c r="U247" s="166"/>
      <c r="V247" s="170"/>
      <c r="W247" s="225"/>
      <c r="X247" s="20"/>
      <c r="Y247" s="20"/>
      <c r="Z247" s="20"/>
      <c r="AA247" s="20"/>
    </row>
    <row r="248" spans="1:27" x14ac:dyDescent="0.25">
      <c r="A248" s="171"/>
      <c r="B248" s="112" t="s">
        <v>29</v>
      </c>
      <c r="C248" s="113"/>
      <c r="D248" s="172"/>
      <c r="E248" s="113"/>
      <c r="F248" s="113"/>
      <c r="G248" s="172"/>
      <c r="H248" s="172"/>
      <c r="I248" s="114"/>
      <c r="J248" s="172"/>
      <c r="K248" s="172"/>
      <c r="L248" s="115"/>
      <c r="M248" s="112"/>
      <c r="N248" s="173"/>
      <c r="O248" s="173"/>
      <c r="P248" s="116"/>
      <c r="Q248" s="116"/>
      <c r="R248" s="231"/>
      <c r="S248" s="174"/>
      <c r="T248" s="175"/>
      <c r="U248" s="176"/>
      <c r="V248" s="177"/>
      <c r="W248" s="226"/>
      <c r="X248" s="116"/>
      <c r="Y248" s="116"/>
      <c r="Z248" s="116"/>
      <c r="AA248" s="116"/>
    </row>
    <row r="249" spans="1:27" x14ac:dyDescent="0.25">
      <c r="A249" s="169"/>
      <c r="B249" s="92"/>
      <c r="C249" s="90"/>
      <c r="D249" s="161"/>
      <c r="E249" s="90"/>
      <c r="F249" s="90"/>
      <c r="G249" s="161"/>
      <c r="H249" s="161"/>
      <c r="I249" s="93"/>
      <c r="J249" s="161"/>
      <c r="K249" s="161"/>
      <c r="L249" s="91"/>
      <c r="M249" s="92"/>
      <c r="N249" s="163"/>
      <c r="O249" s="163"/>
      <c r="P249" s="20"/>
      <c r="Q249" s="20"/>
      <c r="R249" s="230"/>
      <c r="S249" s="164"/>
      <c r="T249" s="165"/>
      <c r="U249" s="178"/>
      <c r="V249" s="170"/>
      <c r="W249" s="225"/>
      <c r="X249" s="20"/>
      <c r="Y249" s="20"/>
      <c r="Z249" s="20"/>
      <c r="AA249" s="20"/>
    </row>
    <row r="250" spans="1:27" x14ac:dyDescent="0.25">
      <c r="A250" s="169"/>
      <c r="B250" s="92"/>
      <c r="C250" s="90"/>
      <c r="D250" s="161"/>
      <c r="E250" s="90"/>
      <c r="F250" s="90"/>
      <c r="G250" s="161"/>
      <c r="H250" s="161"/>
      <c r="I250" s="93"/>
      <c r="J250" s="161"/>
      <c r="K250" s="161"/>
      <c r="L250" s="91"/>
      <c r="M250" s="92"/>
      <c r="N250" s="162"/>
      <c r="O250" s="163"/>
      <c r="P250" s="20"/>
      <c r="Q250" s="20"/>
      <c r="R250" s="230"/>
      <c r="S250" s="164"/>
      <c r="T250" s="165"/>
      <c r="U250" s="178"/>
      <c r="V250" s="69"/>
      <c r="W250" s="224"/>
      <c r="X250" s="23"/>
      <c r="Y250" s="20"/>
      <c r="Z250" s="20"/>
      <c r="AA250" s="20"/>
    </row>
    <row r="251" spans="1:27" x14ac:dyDescent="0.25">
      <c r="A251" s="169"/>
      <c r="B251" s="92"/>
      <c r="C251" s="90"/>
      <c r="D251" s="161"/>
      <c r="E251" s="90"/>
      <c r="F251" s="90"/>
      <c r="G251" s="161"/>
      <c r="H251" s="161"/>
      <c r="I251" s="93"/>
      <c r="J251" s="161"/>
      <c r="K251" s="161"/>
      <c r="L251" s="91"/>
      <c r="M251" s="92"/>
      <c r="N251" s="162"/>
      <c r="O251" s="163"/>
      <c r="P251" s="20"/>
      <c r="Q251" s="20"/>
      <c r="R251" s="230"/>
      <c r="S251" s="164"/>
      <c r="T251" s="165"/>
      <c r="U251" s="178"/>
      <c r="V251" s="170"/>
      <c r="W251" s="225"/>
      <c r="X251" s="20"/>
      <c r="Y251" s="20"/>
      <c r="Z251" s="20"/>
      <c r="AA251" s="20"/>
    </row>
    <row r="252" spans="1:27" s="168" customFormat="1" x14ac:dyDescent="0.25">
      <c r="A252" s="167"/>
      <c r="B252" s="92"/>
      <c r="C252" s="90"/>
      <c r="D252" s="161"/>
      <c r="E252" s="90"/>
      <c r="F252" s="90"/>
      <c r="G252" s="161"/>
      <c r="H252" s="161"/>
      <c r="I252" s="93"/>
      <c r="J252" s="161"/>
      <c r="K252" s="161"/>
      <c r="L252" s="91"/>
      <c r="M252" s="92"/>
      <c r="N252" s="163"/>
      <c r="O252" s="163"/>
      <c r="P252" s="20"/>
      <c r="Q252" s="20"/>
      <c r="R252" s="230"/>
      <c r="S252" s="164"/>
      <c r="T252" s="165"/>
      <c r="U252" s="178"/>
      <c r="V252" s="170"/>
      <c r="W252" s="225"/>
      <c r="X252" s="20"/>
      <c r="Y252" s="20"/>
      <c r="Z252" s="20"/>
      <c r="AA252" s="20"/>
    </row>
    <row r="253" spans="1:27" x14ac:dyDescent="0.25">
      <c r="A253" s="169"/>
      <c r="B253" s="94"/>
      <c r="C253" s="95"/>
      <c r="D253" s="179"/>
      <c r="E253" s="95"/>
      <c r="F253" s="95"/>
      <c r="G253" s="179"/>
      <c r="H253" s="179"/>
      <c r="I253" s="180"/>
      <c r="J253" s="161"/>
      <c r="K253" s="161"/>
      <c r="L253" s="94"/>
      <c r="M253" s="94"/>
      <c r="N253" s="181"/>
      <c r="O253" s="181"/>
      <c r="P253" s="182"/>
      <c r="Q253" s="182"/>
      <c r="R253" s="187"/>
      <c r="S253" s="183"/>
      <c r="T253" s="184"/>
      <c r="U253" s="185"/>
      <c r="V253" s="186"/>
      <c r="W253" s="227"/>
      <c r="X253" s="187"/>
      <c r="Y253" s="187"/>
      <c r="Z253" s="187"/>
      <c r="AA253" s="187"/>
    </row>
    <row r="254" spans="1:27" ht="15.75" thickBot="1" x14ac:dyDescent="0.3">
      <c r="A254" s="96"/>
      <c r="B254" s="97" t="s">
        <v>2</v>
      </c>
      <c r="C254" s="98"/>
      <c r="D254" s="99"/>
      <c r="E254" s="98"/>
      <c r="F254" s="98"/>
      <c r="G254" s="99"/>
      <c r="H254" s="99"/>
      <c r="I254" s="99"/>
      <c r="J254" s="100"/>
      <c r="K254" s="100"/>
      <c r="L254" s="101"/>
      <c r="M254" s="101"/>
      <c r="N254" s="102"/>
      <c r="O254" s="102"/>
      <c r="P254" s="103"/>
      <c r="Q254" s="104"/>
      <c r="R254" s="232"/>
      <c r="S254" s="105">
        <f>SUBTOTAL(109,S6:S253)</f>
        <v>57163206</v>
      </c>
      <c r="T254" s="105">
        <f>SUBTOTAL(109,T6:T253)</f>
        <v>7355226</v>
      </c>
      <c r="U254" s="78"/>
      <c r="V254" s="88"/>
      <c r="W254" s="228"/>
      <c r="X254" s="16"/>
      <c r="Y254" s="16"/>
      <c r="Z254" s="16"/>
      <c r="AA254" s="16"/>
    </row>
    <row r="256" spans="1:27" ht="14.45" customHeight="1" x14ac:dyDescent="0.25">
      <c r="Q256" s="6"/>
      <c r="S256"/>
      <c r="T256"/>
    </row>
    <row r="257" ht="41.1" customHeight="1" x14ac:dyDescent="0.25"/>
    <row r="258" ht="41.1" customHeight="1" x14ac:dyDescent="0.25"/>
    <row r="259" ht="35.1" customHeight="1" x14ac:dyDescent="0.25"/>
    <row r="260" ht="39.950000000000003" customHeight="1" x14ac:dyDescent="0.25"/>
    <row r="261" ht="35.1" customHeight="1" x14ac:dyDescent="0.25"/>
    <row r="262" ht="35.1" customHeight="1" x14ac:dyDescent="0.25"/>
    <row r="266" ht="36" customHeight="1" x14ac:dyDescent="0.25"/>
    <row r="267" ht="42.95" customHeight="1" x14ac:dyDescent="0.25"/>
    <row r="268" ht="42.95" customHeight="1" x14ac:dyDescent="0.25"/>
    <row r="269" ht="44.1" customHeight="1" x14ac:dyDescent="0.25"/>
    <row r="270" ht="44.1" customHeight="1" x14ac:dyDescent="0.25"/>
    <row r="271" ht="41.1" customHeight="1" x14ac:dyDescent="0.25"/>
    <row r="272" ht="41.1" customHeight="1" x14ac:dyDescent="0.25"/>
    <row r="273" ht="41.1" customHeight="1" x14ac:dyDescent="0.25"/>
    <row r="274" ht="44.45" customHeight="1" x14ac:dyDescent="0.25"/>
    <row r="275" ht="46.5" customHeight="1" x14ac:dyDescent="0.25"/>
    <row r="276" ht="46.5" customHeight="1" x14ac:dyDescent="0.25"/>
    <row r="277" ht="46.5" customHeight="1" x14ac:dyDescent="0.25"/>
    <row r="278" ht="32.450000000000003" customHeight="1" x14ac:dyDescent="0.25"/>
    <row r="279" ht="40.5" customHeight="1" x14ac:dyDescent="0.25"/>
    <row r="280" ht="40.5" customHeight="1" x14ac:dyDescent="0.25"/>
    <row r="281" ht="43.5" customHeight="1" x14ac:dyDescent="0.25"/>
    <row r="282" ht="43.5" customHeight="1" x14ac:dyDescent="0.25"/>
    <row r="283" ht="38.1" customHeight="1" x14ac:dyDescent="0.25"/>
  </sheetData>
  <autoFilter ref="A5:AS251" xr:uid="{00000000-0001-0000-0200-000000000000}"/>
  <sortState xmlns:xlrd2="http://schemas.microsoft.com/office/spreadsheetml/2017/richdata2" ref="B6:BE237">
    <sortCondition ref="B6:B237"/>
    <sortCondition ref="J6:J237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DBD7B3AE-9E29-46BD-8AB6-FD68DC6B9274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3">
    <mergeCell ref="B2:J2"/>
    <mergeCell ref="I3:I4"/>
    <mergeCell ref="R3:R4"/>
  </mergeCells>
  <dataValidations count="3">
    <dataValidation type="list" allowBlank="1" showInputMessage="1" showErrorMessage="1" sqref="B65453:H65453 B65444:H65451 M248:M253 X253:AA253 B65435:H65442" xr:uid="{00000000-0002-0000-0200-000000000000}">
      <formula1>#REF!</formula1>
    </dataValidation>
    <dataValidation type="list" allowBlank="1" showInputMessage="1" showErrorMessage="1" sqref="K243:K253" xr:uid="{00000000-0002-0000-0200-00000A000000}">
      <formula1>$K$257:$K$269</formula1>
    </dataValidation>
    <dataValidation type="list" allowBlank="1" showInputMessage="1" showErrorMessage="1" sqref="H225:H237 H239:H250" xr:uid="{00000000-0002-0000-0200-000005000000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7A6CD55-0245-4BE6-A1BA-75CBF052DE2E}">
          <x14:formula1>
            <xm:f>Admin!$C$16</xm:f>
          </x14:formula1>
          <xm:sqref>D243:D253</xm:sqref>
        </x14:dataValidation>
        <x14:dataValidation type="list" allowBlank="1" showInputMessage="1" showErrorMessage="1" xr:uid="{3F362251-C145-4379-8F77-E3CB395532C0}">
          <x14:formula1>
            <xm:f>Hónapok!$A$1:$A$37</xm:f>
          </x14:formula1>
          <xm:sqref>J6:J119 J121:J141 J143:J253</xm:sqref>
        </x14:dataValidation>
        <x14:dataValidation type="list" allowBlank="1" showInputMessage="1" showErrorMessage="1" xr:uid="{77686C19-E753-4E80-A6C6-AC64CFBBAA62}">
          <x14:formula1>
            <xm:f>Admin!$A$1</xm:f>
          </x14:formula1>
          <xm:sqref>G6:G253</xm:sqref>
        </x14:dataValidation>
        <x14:dataValidation type="list" allowBlank="1" showInputMessage="1" showErrorMessage="1" xr:uid="{00000000-0002-0000-0200-00000E000000}">
          <x14:formula1>
            <xm:f>Admin!$A$8:$A$10</xm:f>
          </x14:formula1>
          <xm:sqref>M6:M247</xm:sqref>
        </x14:dataValidation>
        <x14:dataValidation type="list" allowBlank="1" showInputMessage="1" showErrorMessage="1" xr:uid="{DAF3F8A4-AC46-43A4-AC18-F2244C40FDED}">
          <x14:formula1>
            <xm:f>Admin!$A$5:$A$6</xm:f>
          </x14:formula1>
          <xm:sqref>L6:L253</xm:sqref>
        </x14:dataValidation>
        <x14:dataValidation type="list" allowBlank="1" showInputMessage="1" showErrorMessage="1" xr:uid="{D6BDF20E-986A-4917-BD44-FA9C71893630}">
          <x14:formula1>
            <xm:f>Admin!$A$16:$A$19</xm:f>
          </x14:formula1>
          <xm:sqref>F6:F253</xm:sqref>
        </x14:dataValidation>
        <x14:dataValidation type="list" allowBlank="1" showInputMessage="1" showErrorMessage="1" xr:uid="{62122700-BB30-4D45-A077-D99DA54FE7F8}">
          <x14:formula1>
            <xm:f>Admin!$E$17:$E$18</xm:f>
          </x14:formula1>
          <xm:sqref>I6:I253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>
    <pageSetUpPr fitToPage="1"/>
  </sheetPr>
  <dimension ref="A1:Q24"/>
  <sheetViews>
    <sheetView zoomScale="85" zoomScaleNormal="85" workbookViewId="0">
      <selection activeCell="A5" sqref="A5"/>
    </sheetView>
  </sheetViews>
  <sheetFormatPr defaultColWidth="9.140625" defaultRowHeight="15" x14ac:dyDescent="0.25"/>
  <cols>
    <col min="1" max="1" width="11.85546875" customWidth="1"/>
    <col min="2" max="2" width="20.5703125" customWidth="1"/>
    <col min="3" max="3" width="20" customWidth="1"/>
    <col min="4" max="5" width="17.7109375" customWidth="1"/>
    <col min="6" max="6" width="22.42578125" bestFit="1" customWidth="1"/>
    <col min="7" max="7" width="27.7109375" bestFit="1" customWidth="1"/>
    <col min="8" max="9" width="22" customWidth="1"/>
    <col min="10" max="10" width="20.85546875" customWidth="1"/>
    <col min="11" max="11" width="32.42578125" customWidth="1"/>
    <col min="12" max="12" width="31.28515625" style="6" customWidth="1"/>
    <col min="13" max="13" width="17.140625" style="3" customWidth="1"/>
    <col min="14" max="14" width="20" style="7" bestFit="1" customWidth="1"/>
    <col min="15" max="15" width="16.85546875" style="6" bestFit="1" customWidth="1"/>
    <col min="16" max="16" width="24.5703125" customWidth="1"/>
    <col min="17" max="17" width="36" customWidth="1"/>
  </cols>
  <sheetData>
    <row r="1" spans="1:17" ht="15.75" thickBot="1" x14ac:dyDescent="0.3">
      <c r="N1" s="28"/>
    </row>
    <row r="2" spans="1:17" s="5" customFormat="1" ht="30" x14ac:dyDescent="0.25">
      <c r="A2" s="55" t="s">
        <v>14</v>
      </c>
      <c r="B2" s="48" t="s">
        <v>53</v>
      </c>
      <c r="C2" s="48" t="s">
        <v>84</v>
      </c>
      <c r="D2" s="48" t="s">
        <v>6</v>
      </c>
      <c r="E2" s="48" t="s">
        <v>85</v>
      </c>
      <c r="F2" s="56" t="s">
        <v>80</v>
      </c>
      <c r="G2" s="56" t="s">
        <v>95</v>
      </c>
      <c r="H2" s="71" t="s">
        <v>86</v>
      </c>
      <c r="I2" s="71" t="s">
        <v>87</v>
      </c>
      <c r="J2" s="47" t="s">
        <v>3</v>
      </c>
      <c r="K2" s="47" t="s">
        <v>4</v>
      </c>
      <c r="L2" s="48" t="s">
        <v>30</v>
      </c>
      <c r="M2" s="80" t="s">
        <v>96</v>
      </c>
      <c r="N2" s="47" t="s">
        <v>13</v>
      </c>
      <c r="O2" s="47" t="s">
        <v>5</v>
      </c>
      <c r="P2" s="51" t="s">
        <v>12</v>
      </c>
      <c r="Q2" s="48" t="s">
        <v>52</v>
      </c>
    </row>
    <row r="3" spans="1:17" s="8" customFormat="1" ht="61.5" customHeight="1" x14ac:dyDescent="0.25">
      <c r="A3" s="52"/>
      <c r="B3" s="52" t="e">
        <f>VLOOKUP($E3,Admin!$A$13:$D$14,2,FALSE)</f>
        <v>#N/A</v>
      </c>
      <c r="C3" s="52" t="e">
        <f>VLOOKUP($E3,Admin!$A$13:$D$14,3,FALSE)</f>
        <v>#N/A</v>
      </c>
      <c r="D3" s="52" t="e">
        <f>VLOOKUP($E3,Admin!$A$13:$D$14,4,FALSE)</f>
        <v>#N/A</v>
      </c>
      <c r="E3" s="52"/>
      <c r="F3" s="57"/>
      <c r="G3" s="57"/>
      <c r="H3" s="57"/>
      <c r="I3" s="57"/>
      <c r="J3" s="49" t="s">
        <v>83</v>
      </c>
      <c r="K3" s="49" t="s">
        <v>81</v>
      </c>
      <c r="L3" s="50" t="s">
        <v>94</v>
      </c>
      <c r="M3" s="59"/>
      <c r="N3" s="52"/>
      <c r="O3" s="52"/>
      <c r="P3" s="53"/>
      <c r="Q3" s="60"/>
    </row>
    <row r="4" spans="1:17" s="8" customFormat="1" ht="105" x14ac:dyDescent="0.25">
      <c r="A4" s="52"/>
      <c r="B4" s="52" t="e">
        <f>VLOOKUP($E4,Admin!$A$13:$D$14,2,FALSE)</f>
        <v>#N/A</v>
      </c>
      <c r="C4" s="52" t="e">
        <f>VLOOKUP($E4,Admin!$A$13:$D$14,3,FALSE)</f>
        <v>#N/A</v>
      </c>
      <c r="D4" s="52" t="e">
        <f>VLOOKUP($E4,Admin!$A$13:$D$14,4,FALSE)</f>
        <v>#N/A</v>
      </c>
      <c r="E4" s="52"/>
      <c r="F4" s="57"/>
      <c r="G4" s="57"/>
      <c r="H4" s="57"/>
      <c r="I4" s="57"/>
      <c r="J4" s="58"/>
      <c r="K4" s="49" t="s">
        <v>82</v>
      </c>
      <c r="L4" s="52"/>
      <c r="M4" s="59"/>
      <c r="N4" s="52"/>
      <c r="O4" s="52"/>
      <c r="P4" s="54"/>
      <c r="Q4" s="52"/>
    </row>
    <row r="5" spans="1:17" s="8" customFormat="1" ht="15" customHeight="1" x14ac:dyDescent="0.25">
      <c r="A5" s="52"/>
      <c r="B5" s="52"/>
      <c r="C5" s="52"/>
      <c r="D5" s="52"/>
      <c r="E5" s="52"/>
      <c r="F5" s="57"/>
      <c r="G5" s="57"/>
      <c r="H5" s="57"/>
      <c r="I5" s="57"/>
      <c r="J5" s="58"/>
      <c r="K5" s="58"/>
      <c r="L5" s="52"/>
      <c r="M5" s="59"/>
      <c r="N5" s="52"/>
      <c r="O5" s="52"/>
      <c r="P5" s="54"/>
      <c r="Q5" s="52"/>
    </row>
    <row r="6" spans="1:17" s="8" customFormat="1" ht="15" customHeight="1" x14ac:dyDescent="0.25">
      <c r="A6" s="52"/>
      <c r="B6" s="52"/>
      <c r="C6" s="52"/>
      <c r="D6" s="52"/>
      <c r="E6" s="52"/>
      <c r="F6" s="57"/>
      <c r="G6" s="57"/>
      <c r="H6" s="57"/>
      <c r="I6" s="57"/>
      <c r="J6" s="58"/>
      <c r="K6" s="58"/>
      <c r="L6" s="52"/>
      <c r="M6" s="59"/>
      <c r="N6" s="52"/>
      <c r="O6" s="52"/>
      <c r="P6" s="54"/>
      <c r="Q6" s="52"/>
    </row>
    <row r="7" spans="1:17" s="8" customFormat="1" ht="15" customHeight="1" x14ac:dyDescent="0.25">
      <c r="A7" s="52"/>
      <c r="B7" s="52"/>
      <c r="C7" s="52"/>
      <c r="D7" s="52"/>
      <c r="E7" s="52"/>
      <c r="F7" s="57"/>
      <c r="G7" s="57"/>
      <c r="H7" s="57"/>
      <c r="I7" s="57"/>
      <c r="J7" s="58"/>
      <c r="K7" s="58"/>
      <c r="L7" s="52"/>
      <c r="M7" s="59"/>
      <c r="N7" s="52"/>
      <c r="O7" s="52"/>
      <c r="P7" s="54"/>
      <c r="Q7" s="52"/>
    </row>
    <row r="8" spans="1:17" s="8" customFormat="1" ht="15" customHeight="1" x14ac:dyDescent="0.25">
      <c r="A8" s="52"/>
      <c r="B8" s="52"/>
      <c r="C8" s="52"/>
      <c r="D8" s="52"/>
      <c r="E8" s="52"/>
      <c r="F8" s="57"/>
      <c r="G8" s="57"/>
      <c r="H8" s="57"/>
      <c r="I8" s="57"/>
      <c r="J8" s="58"/>
      <c r="K8" s="58"/>
      <c r="L8" s="52"/>
      <c r="M8" s="59"/>
      <c r="N8" s="52"/>
      <c r="O8" s="52"/>
      <c r="P8" s="54"/>
      <c r="Q8" s="52"/>
    </row>
    <row r="9" spans="1:17" s="8" customFormat="1" ht="15" customHeight="1" x14ac:dyDescent="0.25">
      <c r="A9" s="52"/>
      <c r="B9" s="52"/>
      <c r="C9" s="52"/>
      <c r="D9" s="52"/>
      <c r="E9" s="52"/>
      <c r="F9" s="57"/>
      <c r="G9" s="57"/>
      <c r="H9" s="57"/>
      <c r="I9" s="57"/>
      <c r="J9" s="58"/>
      <c r="K9" s="58"/>
      <c r="L9" s="52"/>
      <c r="M9" s="59"/>
      <c r="N9" s="52"/>
      <c r="O9" s="52"/>
      <c r="P9" s="54"/>
      <c r="Q9" s="52"/>
    </row>
    <row r="10" spans="1:17" s="8" customFormat="1" ht="15" customHeight="1" x14ac:dyDescent="0.25">
      <c r="A10" s="52"/>
      <c r="B10" s="52"/>
      <c r="C10" s="52"/>
      <c r="D10" s="52"/>
      <c r="E10" s="52"/>
      <c r="F10" s="57"/>
      <c r="G10" s="57"/>
      <c r="H10" s="57"/>
      <c r="I10" s="57"/>
      <c r="J10" s="58"/>
      <c r="K10" s="58"/>
      <c r="L10" s="52"/>
      <c r="M10" s="59"/>
      <c r="N10" s="52"/>
      <c r="O10" s="52"/>
      <c r="P10" s="54"/>
      <c r="Q10" s="52"/>
    </row>
    <row r="11" spans="1:17" s="8" customFormat="1" ht="15" customHeight="1" x14ac:dyDescent="0.25">
      <c r="A11" s="52"/>
      <c r="B11" s="52"/>
      <c r="C11" s="52"/>
      <c r="D11" s="52"/>
      <c r="E11" s="52"/>
      <c r="F11" s="57"/>
      <c r="G11" s="57"/>
      <c r="H11" s="57"/>
      <c r="I11" s="57"/>
      <c r="J11" s="58"/>
      <c r="K11" s="58"/>
      <c r="L11" s="52"/>
      <c r="M11" s="59"/>
      <c r="N11" s="52"/>
      <c r="O11" s="52"/>
      <c r="P11" s="54"/>
      <c r="Q11" s="52"/>
    </row>
    <row r="12" spans="1:17" s="8" customFormat="1" ht="15" customHeight="1" x14ac:dyDescent="0.25">
      <c r="A12" s="52"/>
      <c r="B12" s="52"/>
      <c r="C12" s="52"/>
      <c r="D12" s="52"/>
      <c r="E12" s="52"/>
      <c r="F12" s="57"/>
      <c r="G12" s="57"/>
      <c r="H12" s="57"/>
      <c r="I12" s="57"/>
      <c r="J12" s="58"/>
      <c r="K12" s="58"/>
      <c r="L12" s="52"/>
      <c r="M12" s="59"/>
      <c r="N12" s="52"/>
      <c r="O12" s="52"/>
      <c r="P12" s="54"/>
      <c r="Q12" s="52"/>
    </row>
    <row r="13" spans="1:17" s="8" customFormat="1" ht="15" customHeight="1" x14ac:dyDescent="0.25">
      <c r="A13" s="52"/>
      <c r="B13" s="52"/>
      <c r="C13" s="52"/>
      <c r="D13" s="52"/>
      <c r="E13" s="52"/>
      <c r="F13" s="57"/>
      <c r="G13" s="57"/>
      <c r="H13" s="57"/>
      <c r="I13" s="57"/>
      <c r="J13" s="58"/>
      <c r="K13" s="58"/>
      <c r="L13" s="52"/>
      <c r="M13" s="59"/>
      <c r="N13" s="52"/>
      <c r="O13" s="52"/>
      <c r="P13" s="54"/>
      <c r="Q13" s="52"/>
    </row>
    <row r="14" spans="1:17" s="8" customFormat="1" ht="15" customHeight="1" x14ac:dyDescent="0.25">
      <c r="A14" s="52"/>
      <c r="B14" s="52"/>
      <c r="C14" s="52"/>
      <c r="D14" s="52"/>
      <c r="E14" s="52"/>
      <c r="F14" s="57"/>
      <c r="G14" s="57"/>
      <c r="H14" s="57"/>
      <c r="I14" s="57"/>
      <c r="J14" s="58"/>
      <c r="K14" s="58"/>
      <c r="L14" s="52"/>
      <c r="M14" s="59"/>
      <c r="N14" s="52"/>
      <c r="O14" s="52"/>
      <c r="P14" s="54"/>
      <c r="Q14" s="52"/>
    </row>
    <row r="15" spans="1:17" s="8" customFormat="1" ht="15" customHeight="1" x14ac:dyDescent="0.25">
      <c r="A15" s="52"/>
      <c r="B15" s="52"/>
      <c r="C15" s="52"/>
      <c r="D15" s="52"/>
      <c r="E15" s="52"/>
      <c r="F15" s="57"/>
      <c r="G15" s="57"/>
      <c r="H15" s="57"/>
      <c r="I15" s="57"/>
      <c r="J15" s="58"/>
      <c r="K15" s="58"/>
      <c r="L15" s="52"/>
      <c r="M15" s="59"/>
      <c r="N15" s="52"/>
      <c r="O15" s="52"/>
      <c r="P15" s="54"/>
      <c r="Q15" s="52"/>
    </row>
    <row r="16" spans="1:17" s="8" customFormat="1" ht="15" customHeight="1" x14ac:dyDescent="0.25">
      <c r="A16" s="52"/>
      <c r="B16" s="52"/>
      <c r="C16" s="52"/>
      <c r="D16" s="52"/>
      <c r="E16" s="52"/>
      <c r="F16" s="57"/>
      <c r="G16" s="57"/>
      <c r="H16" s="57"/>
      <c r="I16" s="57"/>
      <c r="J16" s="58"/>
      <c r="K16" s="58"/>
      <c r="L16" s="52"/>
      <c r="M16" s="59"/>
      <c r="N16" s="52"/>
      <c r="O16" s="52"/>
      <c r="P16" s="54"/>
      <c r="Q16" s="52"/>
    </row>
    <row r="17" spans="1:17" s="8" customFormat="1" ht="15" customHeight="1" x14ac:dyDescent="0.25">
      <c r="A17" s="52"/>
      <c r="B17" s="52"/>
      <c r="C17" s="52"/>
      <c r="D17" s="52"/>
      <c r="E17" s="52"/>
      <c r="F17" s="57"/>
      <c r="G17" s="57"/>
      <c r="H17" s="57"/>
      <c r="I17" s="57"/>
      <c r="J17" s="58"/>
      <c r="K17" s="58"/>
      <c r="L17" s="52"/>
      <c r="M17" s="59"/>
      <c r="N17" s="52"/>
      <c r="O17" s="52"/>
      <c r="P17" s="54"/>
      <c r="Q17" s="52"/>
    </row>
    <row r="18" spans="1:17" s="8" customFormat="1" ht="15" customHeight="1" x14ac:dyDescent="0.25">
      <c r="A18" s="52"/>
      <c r="B18" s="52"/>
      <c r="C18" s="52"/>
      <c r="D18" s="52"/>
      <c r="E18" s="52"/>
      <c r="F18" s="57"/>
      <c r="G18" s="57"/>
      <c r="H18" s="57"/>
      <c r="I18" s="57"/>
      <c r="J18" s="58"/>
      <c r="K18" s="58"/>
      <c r="L18" s="52"/>
      <c r="M18" s="59"/>
      <c r="N18" s="52"/>
      <c r="O18" s="52"/>
      <c r="P18" s="54"/>
      <c r="Q18" s="52"/>
    </row>
    <row r="19" spans="1:17" s="8" customFormat="1" ht="15" customHeight="1" x14ac:dyDescent="0.25">
      <c r="A19" s="52"/>
      <c r="B19" s="52"/>
      <c r="C19" s="52"/>
      <c r="D19" s="52"/>
      <c r="E19" s="52"/>
      <c r="F19" s="57"/>
      <c r="G19" s="57"/>
      <c r="H19" s="57"/>
      <c r="I19" s="57"/>
      <c r="J19" s="58"/>
      <c r="K19" s="58"/>
      <c r="L19" s="52"/>
      <c r="M19" s="59"/>
      <c r="N19" s="52"/>
      <c r="O19" s="52"/>
      <c r="P19" s="54"/>
      <c r="Q19" s="52"/>
    </row>
    <row r="20" spans="1:17" s="8" customFormat="1" ht="15" customHeight="1" x14ac:dyDescent="0.25">
      <c r="A20" s="52"/>
      <c r="B20" s="52"/>
      <c r="C20" s="52"/>
      <c r="D20" s="52"/>
      <c r="E20" s="52"/>
      <c r="F20" s="57"/>
      <c r="G20" s="57"/>
      <c r="H20" s="57"/>
      <c r="I20" s="57"/>
      <c r="J20" s="58"/>
      <c r="K20" s="58"/>
      <c r="L20" s="52"/>
      <c r="M20" s="59"/>
      <c r="N20" s="52"/>
      <c r="O20" s="52"/>
      <c r="P20" s="54"/>
      <c r="Q20" s="52"/>
    </row>
    <row r="21" spans="1:17" s="8" customFormat="1" x14ac:dyDescent="0.25">
      <c r="A21" s="52"/>
      <c r="B21" s="52"/>
      <c r="C21" s="52"/>
      <c r="D21" s="52"/>
      <c r="E21" s="52"/>
      <c r="F21" s="57"/>
      <c r="G21" s="57"/>
      <c r="H21" s="57"/>
      <c r="I21" s="57"/>
      <c r="J21" s="58"/>
      <c r="K21" s="58"/>
      <c r="L21" s="52"/>
      <c r="M21" s="59"/>
      <c r="N21" s="52"/>
      <c r="O21" s="52"/>
      <c r="P21" s="58"/>
      <c r="Q21" s="52"/>
    </row>
    <row r="22" spans="1:17" s="8" customFormat="1" x14ac:dyDescent="0.25">
      <c r="A22" s="52"/>
      <c r="B22" s="52"/>
      <c r="C22" s="52"/>
      <c r="D22" s="52"/>
      <c r="E22" s="52"/>
      <c r="F22" s="57"/>
      <c r="G22" s="57"/>
      <c r="H22" s="57"/>
      <c r="I22" s="57"/>
      <c r="J22" s="58"/>
      <c r="K22" s="58"/>
      <c r="L22" s="52"/>
      <c r="M22" s="59"/>
      <c r="N22" s="52"/>
      <c r="O22" s="52"/>
      <c r="P22" s="54"/>
      <c r="Q22" s="52"/>
    </row>
    <row r="23" spans="1:17" s="8" customFormat="1" x14ac:dyDescent="0.25">
      <c r="A23" s="10"/>
      <c r="B23" s="14"/>
      <c r="C23" s="14"/>
      <c r="D23" s="14"/>
      <c r="E23" s="14"/>
      <c r="F23" s="12"/>
      <c r="G23" s="12"/>
      <c r="H23" s="12"/>
      <c r="I23" s="12"/>
      <c r="J23" s="11"/>
      <c r="K23" s="11"/>
      <c r="L23" s="14"/>
      <c r="M23" s="13"/>
      <c r="N23" s="14"/>
      <c r="O23" s="14"/>
      <c r="P23" s="15"/>
      <c r="Q23" s="14"/>
    </row>
    <row r="24" spans="1:17" x14ac:dyDescent="0.25">
      <c r="M24" s="4">
        <f>SUBTOTAL(109,M3:M23)</f>
        <v>0</v>
      </c>
    </row>
  </sheetData>
  <autoFilter ref="A2:P3" xr:uid="{00000000-0009-0000-0000-000003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25F493F9-2822-4A27-836D-0FCA4B4C888E}"/>
    </customSheetView>
  </customSheetViews>
  <pageMargins left="0.70866141732283472" right="0.70866141732283472" top="0.19685039370078741" bottom="0.19685039370078741" header="0.31496062992125984" footer="0.31496062992125984"/>
  <pageSetup paperSize="9" scale="42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3000000}">
          <x14:formula1>
            <xm:f>Admin!$A$5:$A$6</xm:f>
          </x14:formula1>
          <xm:sqref>N3:N23</xm:sqref>
        </x14:dataValidation>
        <x14:dataValidation type="list" allowBlank="1" showInputMessage="1" showErrorMessage="1" xr:uid="{218F4D29-E213-41E5-917F-0DA7EC059E04}">
          <x14:formula1>
            <xm:f>Admin!$A$1:$A$3</xm:f>
          </x14:formula1>
          <xm:sqref>O3:O23</xm:sqref>
        </x14:dataValidation>
        <x14:dataValidation type="list" allowBlank="1" showInputMessage="1" showErrorMessage="1" xr:uid="{1FDDFCFA-56C5-4F4C-B3B3-7E1CD9A0D346}">
          <x14:formula1>
            <xm:f>Admin!$A$13:$A$14</xm:f>
          </x14:formula1>
          <xm:sqref>E3:E23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"/>
  <sheetViews>
    <sheetView workbookViewId="0">
      <selection activeCell="F1" sqref="F1:S1048576"/>
    </sheetView>
  </sheetViews>
  <sheetFormatPr defaultColWidth="30.7109375" defaultRowHeight="15" x14ac:dyDescent="0.25"/>
  <cols>
    <col min="3" max="3" width="30.7109375" style="81"/>
    <col min="6" max="6" width="30.7109375" style="81"/>
    <col min="7" max="18" width="30.7109375" customWidth="1"/>
  </cols>
  <sheetData>
    <row r="1" spans="1:28" x14ac:dyDescent="0.25">
      <c r="A1" s="106" t="s">
        <v>97</v>
      </c>
      <c r="B1" s="106" t="s">
        <v>98</v>
      </c>
      <c r="C1" s="106" t="s">
        <v>53</v>
      </c>
      <c r="D1" s="106" t="s">
        <v>84</v>
      </c>
      <c r="E1" s="106" t="s">
        <v>6</v>
      </c>
      <c r="F1" s="106" t="s">
        <v>85</v>
      </c>
      <c r="G1" s="106" t="s">
        <v>99</v>
      </c>
      <c r="H1" s="106" t="s">
        <v>100</v>
      </c>
      <c r="I1" s="106" t="s">
        <v>101</v>
      </c>
      <c r="J1" s="106" t="s">
        <v>102</v>
      </c>
      <c r="K1" s="106" t="s">
        <v>103</v>
      </c>
      <c r="L1" s="106" t="s">
        <v>104</v>
      </c>
      <c r="M1" s="106" t="s">
        <v>105</v>
      </c>
      <c r="N1" s="106" t="s">
        <v>106</v>
      </c>
      <c r="O1" s="106" t="s">
        <v>107</v>
      </c>
      <c r="P1" s="106" t="s">
        <v>108</v>
      </c>
      <c r="Q1" s="106" t="s">
        <v>109</v>
      </c>
      <c r="R1" s="106" t="s">
        <v>110</v>
      </c>
      <c r="S1" s="106" t="s">
        <v>111</v>
      </c>
      <c r="T1" s="106" t="s">
        <v>112</v>
      </c>
      <c r="U1" s="106" t="s">
        <v>113</v>
      </c>
      <c r="V1" s="106" t="s">
        <v>114</v>
      </c>
      <c r="W1" s="106" t="s">
        <v>115</v>
      </c>
      <c r="X1" s="106" t="s">
        <v>116</v>
      </c>
      <c r="Y1" s="106" t="s">
        <v>117</v>
      </c>
      <c r="Z1" s="106" t="s">
        <v>118</v>
      </c>
      <c r="AA1" s="106" t="s">
        <v>119</v>
      </c>
      <c r="AB1" s="106" t="s">
        <v>120</v>
      </c>
    </row>
    <row r="2" spans="1:28" x14ac:dyDescent="0.25">
      <c r="A2" s="107"/>
      <c r="B2" s="107" t="s">
        <v>137</v>
      </c>
      <c r="C2" s="107" t="s">
        <v>121</v>
      </c>
      <c r="D2" s="107" t="s">
        <v>169</v>
      </c>
      <c r="E2" s="107" t="s">
        <v>169</v>
      </c>
      <c r="F2" s="107" t="s">
        <v>167</v>
      </c>
      <c r="G2" s="107" t="s">
        <v>122</v>
      </c>
      <c r="H2" s="107" t="s">
        <v>123</v>
      </c>
      <c r="I2" s="107" t="s">
        <v>175</v>
      </c>
      <c r="J2" s="107" t="s">
        <v>125</v>
      </c>
      <c r="K2" s="107"/>
      <c r="L2" s="108">
        <v>24697408</v>
      </c>
      <c r="M2" s="108">
        <v>6668300</v>
      </c>
      <c r="N2" s="108">
        <v>31365708</v>
      </c>
      <c r="O2" s="108">
        <v>1</v>
      </c>
      <c r="P2" s="108">
        <v>24697408</v>
      </c>
      <c r="Q2" s="108">
        <v>6668300</v>
      </c>
      <c r="R2" s="108">
        <v>31365708</v>
      </c>
      <c r="S2" s="108">
        <v>31365708</v>
      </c>
      <c r="T2" s="108">
        <v>0</v>
      </c>
      <c r="U2" s="108">
        <v>100</v>
      </c>
      <c r="V2" s="108">
        <v>31365708</v>
      </c>
      <c r="W2" s="107"/>
      <c r="X2" s="107"/>
      <c r="Y2" s="107" t="s">
        <v>176</v>
      </c>
      <c r="Z2" s="107"/>
      <c r="AA2" s="107"/>
      <c r="AB2" s="107"/>
    </row>
    <row r="3" spans="1:28" x14ac:dyDescent="0.25">
      <c r="A3" s="109"/>
      <c r="B3" s="109" t="s">
        <v>137</v>
      </c>
      <c r="C3" s="109" t="s">
        <v>126</v>
      </c>
      <c r="D3" s="109" t="s">
        <v>127</v>
      </c>
      <c r="E3" s="109" t="s">
        <v>127</v>
      </c>
      <c r="F3" s="109" t="s">
        <v>168</v>
      </c>
      <c r="G3" s="109" t="s">
        <v>122</v>
      </c>
      <c r="H3" s="109" t="s">
        <v>123</v>
      </c>
      <c r="I3" s="109" t="s">
        <v>124</v>
      </c>
      <c r="J3" s="109" t="s">
        <v>125</v>
      </c>
      <c r="K3" s="109"/>
      <c r="L3" s="110">
        <v>4725000</v>
      </c>
      <c r="M3" s="110">
        <v>1275750</v>
      </c>
      <c r="N3" s="110">
        <v>6000750</v>
      </c>
      <c r="O3" s="110">
        <v>1</v>
      </c>
      <c r="P3" s="110">
        <v>4725000</v>
      </c>
      <c r="Q3" s="110">
        <v>1275750</v>
      </c>
      <c r="R3" s="110">
        <v>6000750</v>
      </c>
      <c r="S3" s="110">
        <v>6000750</v>
      </c>
      <c r="T3" s="110">
        <v>0</v>
      </c>
      <c r="U3" s="110">
        <v>100</v>
      </c>
      <c r="V3" s="110">
        <v>6000750</v>
      </c>
      <c r="W3" s="109"/>
      <c r="X3" s="109"/>
      <c r="Y3" s="109" t="s">
        <v>177</v>
      </c>
      <c r="Z3" s="109"/>
      <c r="AA3" s="109"/>
      <c r="AB3" s="109"/>
    </row>
    <row r="4" spans="1:28" x14ac:dyDescent="0.25">
      <c r="A4" s="107"/>
      <c r="B4" s="107" t="s">
        <v>137</v>
      </c>
      <c r="C4" s="107" t="s">
        <v>126</v>
      </c>
      <c r="D4" s="107" t="s">
        <v>129</v>
      </c>
      <c r="E4" s="107" t="s">
        <v>130</v>
      </c>
      <c r="F4" s="107" t="s">
        <v>170</v>
      </c>
      <c r="G4" s="107" t="s">
        <v>122</v>
      </c>
      <c r="H4" s="107" t="s">
        <v>123</v>
      </c>
      <c r="I4" s="107" t="s">
        <v>131</v>
      </c>
      <c r="J4" s="107" t="s">
        <v>125</v>
      </c>
      <c r="K4" s="107"/>
      <c r="L4" s="108">
        <v>72360000</v>
      </c>
      <c r="M4" s="108">
        <v>0</v>
      </c>
      <c r="N4" s="108">
        <v>72360000</v>
      </c>
      <c r="O4" s="108">
        <v>1</v>
      </c>
      <c r="P4" s="108">
        <v>72360000</v>
      </c>
      <c r="Q4" s="108">
        <v>0</v>
      </c>
      <c r="R4" s="108">
        <v>72360000</v>
      </c>
      <c r="S4" s="108">
        <v>72360000</v>
      </c>
      <c r="T4" s="108">
        <v>0</v>
      </c>
      <c r="U4" s="108">
        <v>100</v>
      </c>
      <c r="V4" s="108">
        <v>72360000</v>
      </c>
      <c r="W4" s="107"/>
      <c r="X4" s="107"/>
      <c r="Y4" s="107" t="s">
        <v>178</v>
      </c>
      <c r="Z4" s="107"/>
      <c r="AA4" s="107"/>
      <c r="AB4" s="107"/>
    </row>
    <row r="5" spans="1:28" x14ac:dyDescent="0.25">
      <c r="A5" s="109"/>
      <c r="B5" s="109" t="s">
        <v>137</v>
      </c>
      <c r="C5" s="109" t="s">
        <v>128</v>
      </c>
      <c r="D5" s="109" t="s">
        <v>129</v>
      </c>
      <c r="E5" s="109" t="s">
        <v>130</v>
      </c>
      <c r="F5" s="109" t="s">
        <v>171</v>
      </c>
      <c r="G5" s="109" t="s">
        <v>122</v>
      </c>
      <c r="H5" s="109" t="s">
        <v>123</v>
      </c>
      <c r="I5" s="109" t="s">
        <v>131</v>
      </c>
      <c r="J5" s="109" t="s">
        <v>125</v>
      </c>
      <c r="K5" s="109"/>
      <c r="L5" s="110">
        <v>35640000</v>
      </c>
      <c r="M5" s="110">
        <v>0</v>
      </c>
      <c r="N5" s="110">
        <v>35640000</v>
      </c>
      <c r="O5" s="110">
        <v>1</v>
      </c>
      <c r="P5" s="110">
        <v>35640000</v>
      </c>
      <c r="Q5" s="110">
        <v>0</v>
      </c>
      <c r="R5" s="110">
        <v>35640000</v>
      </c>
      <c r="S5" s="110">
        <v>35640000</v>
      </c>
      <c r="T5" s="110">
        <v>0</v>
      </c>
      <c r="U5" s="110">
        <v>100</v>
      </c>
      <c r="V5" s="110">
        <v>35640000</v>
      </c>
      <c r="W5" s="109"/>
      <c r="X5" s="109"/>
      <c r="Y5" s="109" t="s">
        <v>179</v>
      </c>
      <c r="Z5" s="109"/>
      <c r="AA5" s="109"/>
      <c r="AB5" s="109"/>
    </row>
    <row r="6" spans="1:28" x14ac:dyDescent="0.25">
      <c r="A6" s="107"/>
      <c r="B6" s="107" t="s">
        <v>137</v>
      </c>
      <c r="C6" s="107" t="s">
        <v>126</v>
      </c>
      <c r="D6" s="107" t="s">
        <v>129</v>
      </c>
      <c r="E6" s="107" t="s">
        <v>132</v>
      </c>
      <c r="F6" s="107" t="s">
        <v>172</v>
      </c>
      <c r="G6" s="107" t="s">
        <v>122</v>
      </c>
      <c r="H6" s="107" t="s">
        <v>123</v>
      </c>
      <c r="I6" s="107" t="s">
        <v>131</v>
      </c>
      <c r="J6" s="107" t="s">
        <v>125</v>
      </c>
      <c r="K6" s="107"/>
      <c r="L6" s="108">
        <v>11934701</v>
      </c>
      <c r="M6" s="108">
        <v>0</v>
      </c>
      <c r="N6" s="108">
        <v>11934701</v>
      </c>
      <c r="O6" s="108">
        <v>1</v>
      </c>
      <c r="P6" s="108">
        <v>11934701</v>
      </c>
      <c r="Q6" s="108">
        <v>0</v>
      </c>
      <c r="R6" s="108">
        <v>11934701</v>
      </c>
      <c r="S6" s="108">
        <v>11934701</v>
      </c>
      <c r="T6" s="108">
        <v>0</v>
      </c>
      <c r="U6" s="108">
        <v>100</v>
      </c>
      <c r="V6" s="108">
        <v>11934701</v>
      </c>
      <c r="W6" s="107"/>
      <c r="X6" s="107"/>
      <c r="Y6" s="107" t="s">
        <v>180</v>
      </c>
      <c r="Z6" s="107"/>
      <c r="AA6" s="107"/>
      <c r="AB6" s="107"/>
    </row>
    <row r="7" spans="1:28" x14ac:dyDescent="0.25">
      <c r="A7" s="109"/>
      <c r="B7" s="109" t="s">
        <v>137</v>
      </c>
      <c r="C7" s="109" t="s">
        <v>128</v>
      </c>
      <c r="D7" s="109" t="s">
        <v>129</v>
      </c>
      <c r="E7" s="109" t="s">
        <v>132</v>
      </c>
      <c r="F7" s="109" t="s">
        <v>173</v>
      </c>
      <c r="G7" s="109" t="s">
        <v>122</v>
      </c>
      <c r="H7" s="109" t="s">
        <v>123</v>
      </c>
      <c r="I7" s="109" t="s">
        <v>131</v>
      </c>
      <c r="J7" s="109" t="s">
        <v>125</v>
      </c>
      <c r="K7" s="109"/>
      <c r="L7" s="110">
        <v>5878286</v>
      </c>
      <c r="M7" s="110">
        <v>0</v>
      </c>
      <c r="N7" s="110">
        <v>5878286</v>
      </c>
      <c r="O7" s="110">
        <v>1</v>
      </c>
      <c r="P7" s="110">
        <v>5878286</v>
      </c>
      <c r="Q7" s="110">
        <v>0</v>
      </c>
      <c r="R7" s="110">
        <v>5878286</v>
      </c>
      <c r="S7" s="110">
        <v>5878286</v>
      </c>
      <c r="T7" s="110">
        <v>0</v>
      </c>
      <c r="U7" s="110">
        <v>100</v>
      </c>
      <c r="V7" s="110">
        <v>5878286</v>
      </c>
      <c r="W7" s="109"/>
      <c r="X7" s="109"/>
      <c r="Y7" s="109" t="s">
        <v>181</v>
      </c>
      <c r="Z7" s="109"/>
      <c r="AA7" s="109"/>
      <c r="AB7" s="109"/>
    </row>
    <row r="8" spans="1:28" x14ac:dyDescent="0.25">
      <c r="A8" s="107"/>
      <c r="B8" s="107" t="s">
        <v>137</v>
      </c>
      <c r="C8" s="107" t="s">
        <v>128</v>
      </c>
      <c r="D8" s="107" t="s">
        <v>133</v>
      </c>
      <c r="E8" s="107" t="s">
        <v>134</v>
      </c>
      <c r="F8" s="107" t="s">
        <v>182</v>
      </c>
      <c r="G8" s="107" t="s">
        <v>122</v>
      </c>
      <c r="H8" s="107" t="s">
        <v>123</v>
      </c>
      <c r="I8" s="107" t="s">
        <v>131</v>
      </c>
      <c r="J8" s="107" t="s">
        <v>125</v>
      </c>
      <c r="K8" s="107"/>
      <c r="L8" s="108">
        <v>5524200</v>
      </c>
      <c r="M8" s="108">
        <v>0</v>
      </c>
      <c r="N8" s="108">
        <v>5524200</v>
      </c>
      <c r="O8" s="108">
        <v>1</v>
      </c>
      <c r="P8" s="108">
        <v>5524200</v>
      </c>
      <c r="Q8" s="108">
        <v>0</v>
      </c>
      <c r="R8" s="108">
        <v>5524200</v>
      </c>
      <c r="S8" s="108">
        <v>5524200</v>
      </c>
      <c r="T8" s="108">
        <v>0</v>
      </c>
      <c r="U8" s="108">
        <v>100</v>
      </c>
      <c r="V8" s="108">
        <v>5524200</v>
      </c>
      <c r="W8" s="107"/>
      <c r="X8" s="107"/>
      <c r="Y8" s="107" t="s">
        <v>183</v>
      </c>
      <c r="Z8" s="107"/>
      <c r="AA8" s="107"/>
      <c r="AB8" s="107"/>
    </row>
    <row r="9" spans="1:28" x14ac:dyDescent="0.25">
      <c r="A9" s="109"/>
      <c r="B9" s="109" t="s">
        <v>137</v>
      </c>
      <c r="C9" s="109" t="s">
        <v>126</v>
      </c>
      <c r="D9" s="109" t="s">
        <v>133</v>
      </c>
      <c r="E9" s="109" t="s">
        <v>134</v>
      </c>
      <c r="F9" s="109" t="s">
        <v>184</v>
      </c>
      <c r="G9" s="109" t="s">
        <v>122</v>
      </c>
      <c r="H9" s="109" t="s">
        <v>123</v>
      </c>
      <c r="I9" s="109" t="s">
        <v>131</v>
      </c>
      <c r="J9" s="109" t="s">
        <v>125</v>
      </c>
      <c r="K9" s="109"/>
      <c r="L9" s="110">
        <v>11215800</v>
      </c>
      <c r="M9" s="110">
        <v>0</v>
      </c>
      <c r="N9" s="110">
        <v>11215800</v>
      </c>
      <c r="O9" s="110">
        <v>1</v>
      </c>
      <c r="P9" s="110">
        <v>11215800</v>
      </c>
      <c r="Q9" s="110">
        <v>0</v>
      </c>
      <c r="R9" s="110">
        <v>11215800</v>
      </c>
      <c r="S9" s="110">
        <v>11215800</v>
      </c>
      <c r="T9" s="110">
        <v>0</v>
      </c>
      <c r="U9" s="110">
        <v>100</v>
      </c>
      <c r="V9" s="110">
        <v>11215800</v>
      </c>
      <c r="W9" s="109"/>
      <c r="X9" s="109"/>
      <c r="Y9" s="109" t="s">
        <v>185</v>
      </c>
      <c r="Z9" s="109"/>
      <c r="AA9" s="109"/>
      <c r="AB9" s="109"/>
    </row>
    <row r="10" spans="1:28" x14ac:dyDescent="0.25">
      <c r="A10" s="107"/>
      <c r="B10" s="107" t="s">
        <v>137</v>
      </c>
      <c r="C10" s="107" t="s">
        <v>128</v>
      </c>
      <c r="D10" s="107" t="s">
        <v>133</v>
      </c>
      <c r="E10" s="107" t="s">
        <v>135</v>
      </c>
      <c r="F10" s="107" t="s">
        <v>186</v>
      </c>
      <c r="G10" s="107" t="s">
        <v>122</v>
      </c>
      <c r="H10" s="107" t="s">
        <v>123</v>
      </c>
      <c r="I10" s="107" t="s">
        <v>131</v>
      </c>
      <c r="J10" s="107" t="s">
        <v>125</v>
      </c>
      <c r="K10" s="107"/>
      <c r="L10" s="108">
        <v>911134</v>
      </c>
      <c r="M10" s="108">
        <v>0</v>
      </c>
      <c r="N10" s="108">
        <v>911134</v>
      </c>
      <c r="O10" s="108">
        <v>1</v>
      </c>
      <c r="P10" s="108">
        <v>911134</v>
      </c>
      <c r="Q10" s="108">
        <v>0</v>
      </c>
      <c r="R10" s="108">
        <v>911134</v>
      </c>
      <c r="S10" s="108">
        <v>911134</v>
      </c>
      <c r="T10" s="108">
        <v>0</v>
      </c>
      <c r="U10" s="108">
        <v>100</v>
      </c>
      <c r="V10" s="108">
        <v>911134</v>
      </c>
      <c r="W10" s="107"/>
      <c r="X10" s="107"/>
      <c r="Y10" s="107" t="s">
        <v>181</v>
      </c>
      <c r="Z10" s="107"/>
      <c r="AA10" s="107"/>
      <c r="AB10" s="107"/>
    </row>
    <row r="11" spans="1:28" x14ac:dyDescent="0.25">
      <c r="A11" s="109"/>
      <c r="B11" s="109" t="s">
        <v>137</v>
      </c>
      <c r="C11" s="109" t="s">
        <v>126</v>
      </c>
      <c r="D11" s="109" t="s">
        <v>133</v>
      </c>
      <c r="E11" s="109" t="s">
        <v>135</v>
      </c>
      <c r="F11" s="109" t="s">
        <v>187</v>
      </c>
      <c r="G11" s="109" t="s">
        <v>122</v>
      </c>
      <c r="H11" s="109" t="s">
        <v>123</v>
      </c>
      <c r="I11" s="109" t="s">
        <v>131</v>
      </c>
      <c r="J11" s="109" t="s">
        <v>125</v>
      </c>
      <c r="K11" s="109"/>
      <c r="L11" s="110">
        <v>1849879</v>
      </c>
      <c r="M11" s="110">
        <v>0</v>
      </c>
      <c r="N11" s="110">
        <v>1849879</v>
      </c>
      <c r="O11" s="110">
        <v>1</v>
      </c>
      <c r="P11" s="110">
        <v>1849879</v>
      </c>
      <c r="Q11" s="110">
        <v>0</v>
      </c>
      <c r="R11" s="110">
        <v>1849879</v>
      </c>
      <c r="S11" s="110">
        <v>1849879</v>
      </c>
      <c r="T11" s="110">
        <v>0</v>
      </c>
      <c r="U11" s="110">
        <v>100</v>
      </c>
      <c r="V11" s="110">
        <v>1849879</v>
      </c>
      <c r="W11" s="109"/>
      <c r="X11" s="109"/>
      <c r="Y11" s="109" t="s">
        <v>180</v>
      </c>
      <c r="Z11" s="109"/>
      <c r="AA11" s="109"/>
      <c r="AB11" s="10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7"/>
  <sheetViews>
    <sheetView topLeftCell="A4" workbookViewId="0">
      <selection activeCell="A20" sqref="A20:A24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43</v>
      </c>
    </row>
    <row r="9" spans="1:1" x14ac:dyDescent="0.25">
      <c r="A9" t="s">
        <v>44</v>
      </c>
    </row>
    <row r="10" spans="1:1" x14ac:dyDescent="0.25">
      <c r="A10" t="s">
        <v>45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  <row r="16" spans="1:1" x14ac:dyDescent="0.25">
      <c r="A16" t="s">
        <v>51</v>
      </c>
    </row>
    <row r="17" spans="1:1" x14ac:dyDescent="0.25">
      <c r="A17" s="45" t="s">
        <v>64</v>
      </c>
    </row>
    <row r="18" spans="1:1" x14ac:dyDescent="0.25">
      <c r="A18" s="46" t="s">
        <v>65</v>
      </c>
    </row>
    <row r="19" spans="1:1" x14ac:dyDescent="0.25">
      <c r="A19" s="45" t="s">
        <v>66</v>
      </c>
    </row>
    <row r="20" spans="1:1" x14ac:dyDescent="0.25">
      <c r="A20" s="46" t="s">
        <v>67</v>
      </c>
    </row>
    <row r="21" spans="1:1" x14ac:dyDescent="0.25">
      <c r="A21" s="45" t="s">
        <v>68</v>
      </c>
    </row>
    <row r="22" spans="1:1" x14ac:dyDescent="0.25">
      <c r="A22" s="46" t="s">
        <v>69</v>
      </c>
    </row>
    <row r="23" spans="1:1" x14ac:dyDescent="0.25">
      <c r="A23" s="45" t="s">
        <v>70</v>
      </c>
    </row>
    <row r="24" spans="1:1" x14ac:dyDescent="0.25">
      <c r="A24" s="46" t="s">
        <v>71</v>
      </c>
    </row>
    <row r="25" spans="1:1" x14ac:dyDescent="0.25">
      <c r="A25" s="45" t="s">
        <v>72</v>
      </c>
    </row>
    <row r="26" spans="1:1" x14ac:dyDescent="0.25">
      <c r="A26" s="46" t="s">
        <v>73</v>
      </c>
    </row>
    <row r="27" spans="1:1" x14ac:dyDescent="0.25">
      <c r="A27" s="45" t="s">
        <v>74</v>
      </c>
    </row>
    <row r="28" spans="1:1" x14ac:dyDescent="0.25">
      <c r="A28" s="46" t="s">
        <v>139</v>
      </c>
    </row>
    <row r="29" spans="1:1" x14ac:dyDescent="0.25">
      <c r="A29" s="46" t="s">
        <v>140</v>
      </c>
    </row>
    <row r="30" spans="1:1" x14ac:dyDescent="0.25">
      <c r="A30" s="46" t="s">
        <v>141</v>
      </c>
    </row>
    <row r="31" spans="1:1" x14ac:dyDescent="0.25">
      <c r="A31" s="46" t="s">
        <v>142</v>
      </c>
    </row>
    <row r="32" spans="1:1" x14ac:dyDescent="0.25">
      <c r="A32" s="46" t="s">
        <v>143</v>
      </c>
    </row>
    <row r="33" spans="1:1" x14ac:dyDescent="0.25">
      <c r="A33" s="46" t="s">
        <v>144</v>
      </c>
    </row>
    <row r="34" spans="1:1" x14ac:dyDescent="0.25">
      <c r="A34" s="46" t="s">
        <v>212</v>
      </c>
    </row>
    <row r="35" spans="1:1" x14ac:dyDescent="0.25">
      <c r="A35" s="46" t="s">
        <v>213</v>
      </c>
    </row>
    <row r="36" spans="1:1" x14ac:dyDescent="0.25">
      <c r="A36" s="46" t="s">
        <v>214</v>
      </c>
    </row>
    <row r="37" spans="1:1" x14ac:dyDescent="0.25">
      <c r="A37" s="46" t="s">
        <v>215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E16" sqref="E16"/>
    </sheetView>
  </sheetViews>
  <sheetFormatPr defaultRowHeight="15" x14ac:dyDescent="0.25"/>
  <cols>
    <col min="1" max="1" width="42.7109375" customWidth="1"/>
    <col min="2" max="2" width="35.85546875" customWidth="1"/>
    <col min="3" max="3" width="31.140625" customWidth="1"/>
    <col min="4" max="4" width="53.5703125" customWidth="1"/>
    <col min="5" max="5" width="28.5703125" customWidth="1"/>
  </cols>
  <sheetData>
    <row r="1" spans="1:5" s="8" customFormat="1" ht="18.75" customHeight="1" x14ac:dyDescent="0.25">
      <c r="A1" s="8" t="s">
        <v>174</v>
      </c>
      <c r="B1" s="72" t="s">
        <v>90</v>
      </c>
    </row>
    <row r="2" spans="1:5" s="8" customFormat="1" ht="18.75" customHeight="1" x14ac:dyDescent="0.25">
      <c r="B2" s="73" t="s">
        <v>76</v>
      </c>
    </row>
    <row r="3" spans="1:5" s="8" customFormat="1" ht="18.75" customHeight="1" x14ac:dyDescent="0.25">
      <c r="B3" s="73" t="s">
        <v>77</v>
      </c>
    </row>
    <row r="4" spans="1:5" s="8" customFormat="1" ht="18.75" customHeight="1" x14ac:dyDescent="0.25">
      <c r="B4" s="73" t="s">
        <v>91</v>
      </c>
    </row>
    <row r="5" spans="1:5" s="8" customFormat="1" ht="18.75" customHeight="1" thickBot="1" x14ac:dyDescent="0.3">
      <c r="A5" s="8" t="s">
        <v>8</v>
      </c>
      <c r="B5" s="74" t="s">
        <v>92</v>
      </c>
    </row>
    <row r="6" spans="1:5" s="8" customFormat="1" ht="18.75" customHeight="1" x14ac:dyDescent="0.25">
      <c r="A6" s="8" t="s">
        <v>9</v>
      </c>
    </row>
    <row r="7" spans="1:5" s="8" customFormat="1" ht="18.75" customHeight="1" thickBot="1" x14ac:dyDescent="0.3"/>
    <row r="8" spans="1:5" s="8" customFormat="1" ht="18.75" customHeight="1" x14ac:dyDescent="0.25">
      <c r="A8" s="75" t="s">
        <v>78</v>
      </c>
    </row>
    <row r="9" spans="1:5" s="8" customFormat="1" ht="18.75" customHeight="1" x14ac:dyDescent="0.25">
      <c r="A9" s="76" t="s">
        <v>17</v>
      </c>
    </row>
    <row r="10" spans="1:5" s="8" customFormat="1" ht="18.75" customHeight="1" thickBot="1" x14ac:dyDescent="0.3">
      <c r="A10" s="77" t="s">
        <v>89</v>
      </c>
    </row>
    <row r="12" spans="1:5" x14ac:dyDescent="0.25">
      <c r="A12" s="106" t="s">
        <v>85</v>
      </c>
      <c r="B12" s="106" t="s">
        <v>53</v>
      </c>
      <c r="C12" s="106" t="s">
        <v>84</v>
      </c>
      <c r="D12" s="106" t="s">
        <v>6</v>
      </c>
      <c r="E12" s="111" t="s">
        <v>138</v>
      </c>
    </row>
    <row r="13" spans="1:5" x14ac:dyDescent="0.25">
      <c r="A13" s="107" t="s">
        <v>167</v>
      </c>
      <c r="B13" s="107" t="s">
        <v>121</v>
      </c>
      <c r="C13" s="107" t="s">
        <v>169</v>
      </c>
      <c r="D13" s="107" t="s">
        <v>169</v>
      </c>
    </row>
    <row r="14" spans="1:5" x14ac:dyDescent="0.25">
      <c r="A14" s="109" t="s">
        <v>168</v>
      </c>
      <c r="B14" s="109" t="s">
        <v>126</v>
      </c>
      <c r="C14" s="109" t="s">
        <v>127</v>
      </c>
      <c r="D14" s="109" t="s">
        <v>127</v>
      </c>
    </row>
    <row r="15" spans="1:5" x14ac:dyDescent="0.25">
      <c r="A15" s="109"/>
      <c r="B15" s="109"/>
      <c r="C15" s="109"/>
      <c r="D15" s="109"/>
    </row>
    <row r="16" spans="1:5" x14ac:dyDescent="0.25">
      <c r="A16" s="107" t="s">
        <v>170</v>
      </c>
      <c r="B16" s="107" t="s">
        <v>126</v>
      </c>
      <c r="C16" s="107" t="s">
        <v>129</v>
      </c>
      <c r="D16" s="107" t="s">
        <v>130</v>
      </c>
      <c r="E16" t="s">
        <v>90</v>
      </c>
    </row>
    <row r="17" spans="1:5" x14ac:dyDescent="0.25">
      <c r="A17" s="109" t="s">
        <v>171</v>
      </c>
      <c r="B17" s="109" t="s">
        <v>128</v>
      </c>
      <c r="C17" s="109" t="s">
        <v>129</v>
      </c>
      <c r="D17" s="109" t="s">
        <v>130</v>
      </c>
      <c r="E17" t="s">
        <v>90</v>
      </c>
    </row>
    <row r="18" spans="1:5" x14ac:dyDescent="0.25">
      <c r="A18" s="107" t="s">
        <v>172</v>
      </c>
      <c r="B18" s="107" t="s">
        <v>126</v>
      </c>
      <c r="C18" s="107" t="s">
        <v>129</v>
      </c>
      <c r="D18" s="107" t="s">
        <v>132</v>
      </c>
      <c r="E18" t="s">
        <v>76</v>
      </c>
    </row>
    <row r="19" spans="1:5" x14ac:dyDescent="0.25">
      <c r="A19" s="109" t="s">
        <v>173</v>
      </c>
      <c r="B19" s="109" t="s">
        <v>128</v>
      </c>
      <c r="C19" s="109" t="s">
        <v>129</v>
      </c>
      <c r="D19" s="109" t="s">
        <v>132</v>
      </c>
      <c r="E19" t="s">
        <v>76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20C8-2CDE-4460-93C5-F00BB9632BBD}">
  <dimension ref="A1:E31"/>
  <sheetViews>
    <sheetView workbookViewId="0">
      <selection activeCell="D7" sqref="D7"/>
    </sheetView>
  </sheetViews>
  <sheetFormatPr defaultRowHeight="15" x14ac:dyDescent="0.25"/>
  <cols>
    <col min="1" max="5" width="18.5703125" customWidth="1"/>
  </cols>
  <sheetData>
    <row r="1" spans="1:5" x14ac:dyDescent="0.25">
      <c r="A1" s="214" t="s">
        <v>239</v>
      </c>
      <c r="B1" s="214" t="s">
        <v>240</v>
      </c>
      <c r="C1" s="214" t="s">
        <v>241</v>
      </c>
      <c r="D1" s="214" t="s">
        <v>237</v>
      </c>
      <c r="E1" s="214" t="s">
        <v>238</v>
      </c>
    </row>
    <row r="2" spans="1:5" x14ac:dyDescent="0.25">
      <c r="A2" s="234" t="s">
        <v>201</v>
      </c>
      <c r="B2" s="215" t="s">
        <v>223</v>
      </c>
      <c r="C2" s="89" t="s">
        <v>195</v>
      </c>
      <c r="D2" s="216">
        <v>600000</v>
      </c>
      <c r="E2" s="216">
        <v>78000</v>
      </c>
    </row>
    <row r="3" spans="1:5" x14ac:dyDescent="0.25">
      <c r="A3" s="234" t="s">
        <v>242</v>
      </c>
      <c r="B3" s="215" t="s">
        <v>222</v>
      </c>
      <c r="C3" s="89" t="s">
        <v>194</v>
      </c>
      <c r="D3" s="216">
        <v>860000</v>
      </c>
      <c r="E3" s="216">
        <v>111800</v>
      </c>
    </row>
    <row r="4" spans="1:5" x14ac:dyDescent="0.25">
      <c r="A4" s="234" t="s">
        <v>243</v>
      </c>
      <c r="B4" s="215" t="s">
        <v>224</v>
      </c>
      <c r="C4" s="89" t="s">
        <v>193</v>
      </c>
      <c r="D4" s="216">
        <v>890000</v>
      </c>
      <c r="E4" s="216">
        <v>115700</v>
      </c>
    </row>
    <row r="5" spans="1:5" x14ac:dyDescent="0.25">
      <c r="A5" s="234" t="s">
        <v>244</v>
      </c>
      <c r="B5" s="215" t="s">
        <v>225</v>
      </c>
      <c r="C5" s="89" t="s">
        <v>194</v>
      </c>
      <c r="D5" s="216">
        <v>1575002</v>
      </c>
      <c r="E5" s="216">
        <v>204750</v>
      </c>
    </row>
    <row r="6" spans="1:5" x14ac:dyDescent="0.25">
      <c r="A6" s="234" t="s">
        <v>245</v>
      </c>
      <c r="B6" s="215" t="s">
        <v>221</v>
      </c>
      <c r="C6" s="89" t="s">
        <v>194</v>
      </c>
      <c r="D6" s="216">
        <v>670000</v>
      </c>
      <c r="E6" s="216">
        <v>87100</v>
      </c>
    </row>
    <row r="7" spans="1:5" x14ac:dyDescent="0.25">
      <c r="A7" s="234" t="s">
        <v>246</v>
      </c>
      <c r="B7" s="215" t="s">
        <v>233</v>
      </c>
      <c r="C7" s="89" t="s">
        <v>193</v>
      </c>
      <c r="D7" s="216">
        <v>180000</v>
      </c>
      <c r="E7" s="216">
        <v>46800</v>
      </c>
    </row>
    <row r="8" spans="1:5" x14ac:dyDescent="0.25">
      <c r="A8" s="234" t="s">
        <v>208</v>
      </c>
      <c r="B8" s="215" t="s">
        <v>226</v>
      </c>
      <c r="C8" s="89" t="s">
        <v>207</v>
      </c>
      <c r="D8" s="216">
        <v>700000</v>
      </c>
      <c r="E8" s="216">
        <v>91000</v>
      </c>
    </row>
    <row r="9" spans="1:5" x14ac:dyDescent="0.25">
      <c r="A9" s="234" t="s">
        <v>203</v>
      </c>
      <c r="B9" s="215" t="s">
        <v>227</v>
      </c>
      <c r="C9" s="89" t="s">
        <v>204</v>
      </c>
      <c r="D9" s="216">
        <v>555499</v>
      </c>
      <c r="E9" s="216">
        <v>72215</v>
      </c>
    </row>
    <row r="10" spans="1:5" x14ac:dyDescent="0.25">
      <c r="A10" s="234" t="s">
        <v>209</v>
      </c>
      <c r="B10" s="215" t="s">
        <v>229</v>
      </c>
      <c r="C10" s="89" t="s">
        <v>207</v>
      </c>
      <c r="D10" s="216">
        <v>375000</v>
      </c>
      <c r="E10" s="216">
        <v>18590</v>
      </c>
    </row>
    <row r="11" spans="1:5" x14ac:dyDescent="0.25">
      <c r="A11" s="234" t="s">
        <v>200</v>
      </c>
      <c r="B11" s="215" t="s">
        <v>230</v>
      </c>
      <c r="C11" s="89" t="s">
        <v>251</v>
      </c>
      <c r="D11" s="216">
        <v>202400</v>
      </c>
      <c r="E11" s="216">
        <v>26312</v>
      </c>
    </row>
    <row r="12" spans="1:5" x14ac:dyDescent="0.25">
      <c r="A12" s="234" t="s">
        <v>206</v>
      </c>
      <c r="B12" s="215" t="s">
        <v>231</v>
      </c>
      <c r="C12" s="89" t="s">
        <v>207</v>
      </c>
      <c r="D12" s="216">
        <v>1150000</v>
      </c>
      <c r="E12" s="216">
        <v>149500</v>
      </c>
    </row>
    <row r="13" spans="1:5" x14ac:dyDescent="0.25">
      <c r="A13" s="234" t="s">
        <v>211</v>
      </c>
      <c r="B13" s="215" t="s">
        <v>232</v>
      </c>
      <c r="C13" s="89" t="s">
        <v>195</v>
      </c>
      <c r="D13" s="216">
        <v>517600</v>
      </c>
      <c r="E13" s="216">
        <v>67288</v>
      </c>
    </row>
    <row r="14" spans="1:5" x14ac:dyDescent="0.25">
      <c r="A14" s="234" t="s">
        <v>192</v>
      </c>
      <c r="B14" s="215" t="s">
        <v>235</v>
      </c>
      <c r="C14" s="89" t="s">
        <v>251</v>
      </c>
      <c r="D14" s="216">
        <v>721000</v>
      </c>
      <c r="E14" s="216">
        <v>93730</v>
      </c>
    </row>
    <row r="15" spans="1:5" x14ac:dyDescent="0.25">
      <c r="A15" s="234" t="s">
        <v>247</v>
      </c>
      <c r="B15" s="215" t="s">
        <v>248</v>
      </c>
      <c r="C15" s="89" t="s">
        <v>207</v>
      </c>
      <c r="D15" s="216">
        <v>150800</v>
      </c>
      <c r="E15" s="216"/>
    </row>
    <row r="16" spans="1:5" x14ac:dyDescent="0.25">
      <c r="A16" s="234"/>
      <c r="B16" s="215"/>
      <c r="C16" s="89"/>
      <c r="D16" s="216"/>
      <c r="E16" s="216"/>
    </row>
    <row r="17" spans="1:5" x14ac:dyDescent="0.25">
      <c r="A17" s="217"/>
      <c r="B17" s="218"/>
      <c r="C17" s="89"/>
      <c r="D17" s="216"/>
      <c r="E17" s="216"/>
    </row>
    <row r="18" spans="1:5" x14ac:dyDescent="0.25">
      <c r="A18" s="215"/>
      <c r="B18" s="215"/>
      <c r="C18" s="89"/>
      <c r="D18" s="216"/>
      <c r="E18" s="216"/>
    </row>
    <row r="19" spans="1:5" x14ac:dyDescent="0.25">
      <c r="A19" s="217"/>
      <c r="B19" s="218"/>
      <c r="C19" s="89"/>
      <c r="D19" s="216"/>
      <c r="E19" s="216"/>
    </row>
    <row r="20" spans="1:5" x14ac:dyDescent="0.25">
      <c r="A20" s="215"/>
      <c r="B20" s="215"/>
      <c r="C20" s="89"/>
      <c r="D20" s="216"/>
      <c r="E20" s="216"/>
    </row>
    <row r="21" spans="1:5" x14ac:dyDescent="0.25">
      <c r="A21" s="217"/>
      <c r="B21" s="218"/>
      <c r="C21" s="89"/>
      <c r="D21" s="216"/>
      <c r="E21" s="216"/>
    </row>
    <row r="22" spans="1:5" x14ac:dyDescent="0.25">
      <c r="A22" s="215"/>
      <c r="B22" s="215"/>
      <c r="C22" s="89"/>
      <c r="D22" s="216"/>
      <c r="E22" s="216"/>
    </row>
    <row r="23" spans="1:5" x14ac:dyDescent="0.25">
      <c r="A23" s="218"/>
      <c r="B23" s="218"/>
      <c r="C23" s="89"/>
      <c r="D23" s="216"/>
      <c r="E23" s="216"/>
    </row>
    <row r="24" spans="1:5" x14ac:dyDescent="0.25">
      <c r="A24" s="217"/>
      <c r="B24" s="218"/>
      <c r="C24" s="89"/>
      <c r="D24" s="216"/>
      <c r="E24" s="216"/>
    </row>
    <row r="25" spans="1:5" x14ac:dyDescent="0.25">
      <c r="A25" s="215"/>
      <c r="B25" s="215"/>
      <c r="C25" s="89"/>
      <c r="D25" s="216"/>
      <c r="E25" s="216"/>
    </row>
    <row r="26" spans="1:5" x14ac:dyDescent="0.25">
      <c r="A26" s="217"/>
      <c r="B26" s="218"/>
      <c r="C26" s="89"/>
      <c r="D26" s="216"/>
      <c r="E26" s="216"/>
    </row>
    <row r="27" spans="1:5" x14ac:dyDescent="0.25">
      <c r="A27" s="215"/>
      <c r="B27" s="215"/>
      <c r="C27" s="89"/>
      <c r="D27" s="216"/>
      <c r="E27" s="216"/>
    </row>
    <row r="28" spans="1:5" x14ac:dyDescent="0.25">
      <c r="A28" s="217"/>
      <c r="B28" s="218"/>
      <c r="C28" s="89"/>
      <c r="D28" s="216"/>
      <c r="E28" s="216"/>
    </row>
    <row r="29" spans="1:5" x14ac:dyDescent="0.25">
      <c r="A29" s="215"/>
      <c r="B29" s="215"/>
      <c r="C29" s="89"/>
      <c r="D29" s="216"/>
      <c r="E29" s="216"/>
    </row>
    <row r="30" spans="1:5" x14ac:dyDescent="0.25">
      <c r="A30" s="218"/>
      <c r="B30" s="218"/>
      <c r="C30" s="89"/>
      <c r="D30" s="216"/>
      <c r="E30" s="216"/>
    </row>
    <row r="31" spans="1:5" x14ac:dyDescent="0.25">
      <c r="A31" s="217"/>
      <c r="B31" s="218"/>
      <c r="C31" s="89"/>
      <c r="D31" s="216"/>
      <c r="E31" s="2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Összesítő_Terv-tény</vt:lpstr>
      <vt:lpstr>Bérköltség</vt:lpstr>
      <vt:lpstr>Dologi_felhalm.</vt:lpstr>
      <vt:lpstr>EPTK költségvetés export fájl</vt:lpstr>
      <vt:lpstr>Hónapok</vt:lpstr>
      <vt:lpstr>Admin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2023-05-05T07:25:24Z</dcterms:modified>
</cp:coreProperties>
</file>