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Munka\!PROJEKTEK\NP_2022-II-6_2022\"/>
    </mc:Choice>
  </mc:AlternateContent>
  <xr:revisionPtr revIDLastSave="0" documentId="13_ncr:1_{92A7AB36-8444-45BA-A063-9877EF23F29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öltségvetés" sheetId="2" r:id="rId1"/>
    <sheet name="Bérköltség" sheetId="11" r:id="rId2"/>
    <sheet name="Dologi_felhalm." sheetId="13" r:id="rId3"/>
    <sheet name="Hónapok" sheetId="16" r:id="rId4"/>
    <sheet name="Témaszámok" sheetId="17" r:id="rId5"/>
    <sheet name="Admin" sheetId="22" r:id="rId6"/>
    <sheet name="Információk" sheetId="23" r:id="rId7"/>
    <sheet name="Havi béradatok" sheetId="24" r:id="rId8"/>
  </sheets>
  <definedNames>
    <definedName name="_xlnm._FilterDatabase" localSheetId="1" hidden="1">Bérköltség!$A$5:$X$175</definedName>
    <definedName name="_xlnm._FilterDatabase" localSheetId="2" hidden="1">Dologi_felhalm.!$A$7:$N$20</definedName>
    <definedName name="_xlnm._FilterDatabase" localSheetId="0" hidden="1">Költségvetés!$A$3:$I$21</definedName>
    <definedName name="Z_B3053EE5_F487_4331_B4B6_28A1F2EF1617_.wvu.Cols" localSheetId="1" hidden="1">Bérköltség!#REF!,Bérköltség!#REF!,Bérköltség!$N:$O,Bérköltség!$S:$S,Bérköltség!#REF!</definedName>
    <definedName name="Z_B3053EE5_F487_4331_B4B6_28A1F2EF1617_.wvu.FilterData" localSheetId="1" hidden="1">Bérköltség!$A$5:$X$175</definedName>
    <definedName name="Z_B3053EE5_F487_4331_B4B6_28A1F2EF1617_.wvu.FilterData" localSheetId="2" hidden="1">Dologi_felhalm.!$A$7:$L$7</definedName>
    <definedName name="Z_B3053EE5_F487_4331_B4B6_28A1F2EF1617_.wvu.FilterData" localSheetId="0" hidden="1">Költségvetés!#REF!</definedName>
    <definedName name="Z_B3053EE5_F487_4331_B4B6_28A1F2EF1617_.wvu.Rows" localSheetId="1" hidden="1">Bérköltség!$179:$251</definedName>
    <definedName name="Z_B3053EE5_F487_4331_B4B6_28A1F2EF1617_.wvu.Rows" localSheetId="2" hidden="1">Dologi_felhalm.!$1:$5</definedName>
  </definedNames>
  <calcPr calcId="191029"/>
  <customWorkbookViews>
    <customWorkbookView name="1" guid="{B3053EE5-F487-4331-B4B6-28A1F2EF1617}" maximized="1" xWindow="-8" yWindow="-8" windowWidth="1936" windowHeight="1056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3" l="1"/>
  <c r="I9" i="13"/>
  <c r="M150" i="11"/>
  <c r="N150" i="11" s="1"/>
  <c r="P150" i="11" s="1"/>
  <c r="J150" i="11"/>
  <c r="M149" i="11"/>
  <c r="N149" i="11" s="1"/>
  <c r="J149" i="11"/>
  <c r="G150" i="11"/>
  <c r="G149" i="11"/>
  <c r="M148" i="11"/>
  <c r="N148" i="11" s="1"/>
  <c r="J148" i="11"/>
  <c r="G148" i="11"/>
  <c r="X146" i="11"/>
  <c r="W146" i="11"/>
  <c r="X135" i="11"/>
  <c r="W135" i="11"/>
  <c r="X107" i="11"/>
  <c r="W107" i="11"/>
  <c r="X100" i="11"/>
  <c r="W100" i="11"/>
  <c r="X91" i="11"/>
  <c r="W91" i="11"/>
  <c r="X86" i="11"/>
  <c r="W86" i="11"/>
  <c r="X77" i="11"/>
  <c r="W77" i="11"/>
  <c r="X72" i="11"/>
  <c r="W72" i="11"/>
  <c r="X62" i="11"/>
  <c r="W62" i="11"/>
  <c r="X52" i="11"/>
  <c r="W52" i="11"/>
  <c r="X45" i="11"/>
  <c r="W45" i="11"/>
  <c r="X35" i="11"/>
  <c r="W35" i="11"/>
  <c r="X30" i="11"/>
  <c r="W30" i="11"/>
  <c r="X24" i="11"/>
  <c r="W24" i="11"/>
  <c r="X15" i="11"/>
  <c r="W15" i="11"/>
  <c r="Y8" i="11"/>
  <c r="X8" i="11"/>
  <c r="W8" i="11"/>
  <c r="M125" i="11"/>
  <c r="N125" i="11" s="1"/>
  <c r="J125" i="11"/>
  <c r="G125" i="11"/>
  <c r="M124" i="11"/>
  <c r="N124" i="11" s="1"/>
  <c r="J124" i="11"/>
  <c r="G124" i="11"/>
  <c r="M123" i="11"/>
  <c r="N123" i="11" s="1"/>
  <c r="J123" i="11"/>
  <c r="G123" i="11"/>
  <c r="M122" i="11"/>
  <c r="N122" i="11" s="1"/>
  <c r="J122" i="11"/>
  <c r="G122" i="11"/>
  <c r="M121" i="11"/>
  <c r="N121" i="11" s="1"/>
  <c r="J121" i="11"/>
  <c r="G121" i="11"/>
  <c r="M120" i="11"/>
  <c r="N120" i="11" s="1"/>
  <c r="J120" i="11"/>
  <c r="G120" i="11"/>
  <c r="M119" i="11"/>
  <c r="N119" i="11" s="1"/>
  <c r="J119" i="11"/>
  <c r="G119" i="11"/>
  <c r="M118" i="11"/>
  <c r="N118" i="11" s="1"/>
  <c r="J118" i="11"/>
  <c r="G118" i="11"/>
  <c r="M133" i="11"/>
  <c r="N133" i="11" s="1"/>
  <c r="J133" i="11"/>
  <c r="G133" i="11"/>
  <c r="M132" i="11"/>
  <c r="N132" i="11" s="1"/>
  <c r="J132" i="11"/>
  <c r="G132" i="11"/>
  <c r="M131" i="11"/>
  <c r="N131" i="11" s="1"/>
  <c r="J131" i="11"/>
  <c r="G131" i="11"/>
  <c r="M130" i="11"/>
  <c r="N130" i="11" s="1"/>
  <c r="J130" i="11"/>
  <c r="G130" i="11"/>
  <c r="M129" i="11"/>
  <c r="N129" i="11" s="1"/>
  <c r="J129" i="11"/>
  <c r="G129" i="11"/>
  <c r="M128" i="11"/>
  <c r="N128" i="11" s="1"/>
  <c r="J128" i="11"/>
  <c r="G128" i="11"/>
  <c r="M127" i="11"/>
  <c r="N127" i="11" s="1"/>
  <c r="J127" i="11"/>
  <c r="G127" i="11"/>
  <c r="M126" i="11"/>
  <c r="N126" i="11" s="1"/>
  <c r="O126" i="11" s="1"/>
  <c r="J126" i="11"/>
  <c r="G126" i="11"/>
  <c r="X145" i="11"/>
  <c r="W145" i="11"/>
  <c r="X134" i="11"/>
  <c r="W134" i="11"/>
  <c r="X106" i="11"/>
  <c r="W106" i="11"/>
  <c r="X76" i="11"/>
  <c r="W76" i="11"/>
  <c r="X71" i="11"/>
  <c r="W71" i="11"/>
  <c r="X51" i="11"/>
  <c r="W51" i="11"/>
  <c r="X44" i="11"/>
  <c r="W44" i="11"/>
  <c r="X34" i="11"/>
  <c r="W34" i="11"/>
  <c r="X29" i="11"/>
  <c r="W29" i="11"/>
  <c r="M117" i="11"/>
  <c r="N117" i="11" s="1"/>
  <c r="J117" i="11"/>
  <c r="G117" i="11"/>
  <c r="M116" i="11"/>
  <c r="N116" i="11" s="1"/>
  <c r="J116" i="11"/>
  <c r="G116" i="11"/>
  <c r="M115" i="11"/>
  <c r="N115" i="11" s="1"/>
  <c r="J115" i="11"/>
  <c r="G115" i="11"/>
  <c r="M114" i="11"/>
  <c r="N114" i="11" s="1"/>
  <c r="J114" i="11"/>
  <c r="G114" i="11"/>
  <c r="M113" i="11"/>
  <c r="N113" i="11" s="1"/>
  <c r="J113" i="11"/>
  <c r="G113" i="11"/>
  <c r="M112" i="11"/>
  <c r="N112" i="11" s="1"/>
  <c r="J112" i="11"/>
  <c r="G112" i="11"/>
  <c r="M111" i="11"/>
  <c r="N111" i="11" s="1"/>
  <c r="J111" i="11"/>
  <c r="G111" i="11"/>
  <c r="M110" i="11"/>
  <c r="N110" i="11" s="1"/>
  <c r="O110" i="11" s="1"/>
  <c r="J110" i="11"/>
  <c r="G110" i="11"/>
  <c r="M105" i="11"/>
  <c r="N105" i="11" s="1"/>
  <c r="J105" i="11"/>
  <c r="G105" i="11"/>
  <c r="M104" i="11"/>
  <c r="N104" i="11" s="1"/>
  <c r="J104" i="11"/>
  <c r="G104" i="11"/>
  <c r="M103" i="11"/>
  <c r="N103" i="11" s="1"/>
  <c r="J103" i="11"/>
  <c r="G103" i="11"/>
  <c r="M102" i="11"/>
  <c r="N102" i="11" s="1"/>
  <c r="J102" i="11"/>
  <c r="G102" i="11"/>
  <c r="M101" i="11"/>
  <c r="N101" i="11" s="1"/>
  <c r="J101" i="11"/>
  <c r="G101" i="11"/>
  <c r="M100" i="11"/>
  <c r="N100" i="11" s="1"/>
  <c r="J100" i="11"/>
  <c r="Y100" i="11" s="1"/>
  <c r="G100" i="11"/>
  <c r="M75" i="11"/>
  <c r="N75" i="11" s="1"/>
  <c r="J75" i="11"/>
  <c r="M74" i="11"/>
  <c r="N74" i="11" s="1"/>
  <c r="P74" i="11" s="1"/>
  <c r="J74" i="11"/>
  <c r="M73" i="11"/>
  <c r="N73" i="11" s="1"/>
  <c r="J73" i="11"/>
  <c r="W2" i="11"/>
  <c r="Y2" i="11"/>
  <c r="X2" i="11"/>
  <c r="P149" i="11" l="1"/>
  <c r="O149" i="11"/>
  <c r="O150" i="11"/>
  <c r="P148" i="11"/>
  <c r="O148" i="11"/>
  <c r="P122" i="11"/>
  <c r="O122" i="11"/>
  <c r="P119" i="11"/>
  <c r="O119" i="11"/>
  <c r="P124" i="11"/>
  <c r="O124" i="11"/>
  <c r="P123" i="11"/>
  <c r="O123" i="11"/>
  <c r="P118" i="11"/>
  <c r="O118" i="11"/>
  <c r="P120" i="11"/>
  <c r="O120" i="11"/>
  <c r="P121" i="11"/>
  <c r="O121" i="11"/>
  <c r="P125" i="11"/>
  <c r="O125" i="11"/>
  <c r="P129" i="11"/>
  <c r="O129" i="11"/>
  <c r="P130" i="11"/>
  <c r="O130" i="11"/>
  <c r="P127" i="11"/>
  <c r="O127" i="11"/>
  <c r="P131" i="11"/>
  <c r="O131" i="11"/>
  <c r="P128" i="11"/>
  <c r="O128" i="11"/>
  <c r="P132" i="11"/>
  <c r="O132" i="11"/>
  <c r="P133" i="11"/>
  <c r="O133" i="11"/>
  <c r="P126" i="11"/>
  <c r="P111" i="11"/>
  <c r="O111" i="11"/>
  <c r="P112" i="11"/>
  <c r="O112" i="11"/>
  <c r="P113" i="11"/>
  <c r="O113" i="11"/>
  <c r="P115" i="11"/>
  <c r="O115" i="11"/>
  <c r="P117" i="11"/>
  <c r="O117" i="11"/>
  <c r="P116" i="11"/>
  <c r="O116" i="11"/>
  <c r="P114" i="11"/>
  <c r="O114" i="11"/>
  <c r="P110" i="11"/>
  <c r="P104" i="11"/>
  <c r="O104" i="11"/>
  <c r="P105" i="11"/>
  <c r="O105" i="11"/>
  <c r="P102" i="11"/>
  <c r="O102" i="11"/>
  <c r="O101" i="11"/>
  <c r="P101" i="11"/>
  <c r="P103" i="11"/>
  <c r="O103" i="11"/>
  <c r="P100" i="11"/>
  <c r="O100" i="11"/>
  <c r="O75" i="11"/>
  <c r="P75" i="11"/>
  <c r="O73" i="11"/>
  <c r="P73" i="11"/>
  <c r="O74" i="11"/>
  <c r="M89" i="11"/>
  <c r="N89" i="11" s="1"/>
  <c r="J89" i="11"/>
  <c r="M88" i="11"/>
  <c r="N88" i="11" s="1"/>
  <c r="P88" i="11" s="1"/>
  <c r="J88" i="11"/>
  <c r="M87" i="11"/>
  <c r="N87" i="11" s="1"/>
  <c r="J87" i="11"/>
  <c r="G89" i="11"/>
  <c r="G88" i="11"/>
  <c r="G87" i="11"/>
  <c r="M86" i="11"/>
  <c r="N86" i="11" s="1"/>
  <c r="J86" i="11"/>
  <c r="Y86" i="11" s="1"/>
  <c r="G86" i="11"/>
  <c r="M27" i="11"/>
  <c r="N27" i="11" s="1"/>
  <c r="P27" i="11" s="1"/>
  <c r="J27" i="11"/>
  <c r="G27" i="11"/>
  <c r="M26" i="11"/>
  <c r="N26" i="11" s="1"/>
  <c r="J26" i="11"/>
  <c r="G26" i="11"/>
  <c r="M25" i="11"/>
  <c r="N25" i="11" s="1"/>
  <c r="P25" i="11" s="1"/>
  <c r="J25" i="11"/>
  <c r="G25" i="11"/>
  <c r="M24" i="11"/>
  <c r="N24" i="11" s="1"/>
  <c r="P24" i="11" s="1"/>
  <c r="J24" i="11"/>
  <c r="Y24" i="11" s="1"/>
  <c r="G24" i="11"/>
  <c r="M109" i="11"/>
  <c r="N109" i="11" s="1"/>
  <c r="P109" i="11" s="1"/>
  <c r="J109" i="11"/>
  <c r="G109" i="11"/>
  <c r="M108" i="11"/>
  <c r="N108" i="11" s="1"/>
  <c r="P108" i="11" s="1"/>
  <c r="J108" i="11"/>
  <c r="G108" i="11"/>
  <c r="M107" i="11"/>
  <c r="N107" i="11" s="1"/>
  <c r="P107" i="11" s="1"/>
  <c r="J107" i="11"/>
  <c r="Y107" i="11" s="1"/>
  <c r="G107" i="11"/>
  <c r="M106" i="11"/>
  <c r="N106" i="11" s="1"/>
  <c r="J106" i="11"/>
  <c r="Y106" i="11" s="1"/>
  <c r="G106" i="11"/>
  <c r="M72" i="11"/>
  <c r="N72" i="11" s="1"/>
  <c r="J72" i="11"/>
  <c r="Y72" i="11" s="1"/>
  <c r="G75" i="11"/>
  <c r="G74" i="11"/>
  <c r="G73" i="11"/>
  <c r="G72" i="11"/>
  <c r="M71" i="11"/>
  <c r="N71" i="11" s="1"/>
  <c r="P71" i="11" s="1"/>
  <c r="J71" i="11"/>
  <c r="Y71" i="11" s="1"/>
  <c r="G71" i="11"/>
  <c r="P143" i="11"/>
  <c r="O143" i="11"/>
  <c r="M143" i="11"/>
  <c r="J143" i="11"/>
  <c r="P142" i="11"/>
  <c r="O142" i="11"/>
  <c r="M142" i="11"/>
  <c r="J142" i="11"/>
  <c r="P141" i="11"/>
  <c r="O141" i="11"/>
  <c r="M141" i="11"/>
  <c r="J141" i="11"/>
  <c r="P140" i="11"/>
  <c r="O140" i="11"/>
  <c r="M140" i="11"/>
  <c r="J140" i="11"/>
  <c r="P139" i="11"/>
  <c r="O139" i="11"/>
  <c r="M139" i="11"/>
  <c r="J139" i="11"/>
  <c r="P138" i="11"/>
  <c r="O138" i="11"/>
  <c r="M138" i="11"/>
  <c r="J138" i="11"/>
  <c r="P137" i="11"/>
  <c r="O137" i="11"/>
  <c r="M137" i="11"/>
  <c r="J137" i="11"/>
  <c r="P136" i="11"/>
  <c r="O136" i="11"/>
  <c r="M136" i="11"/>
  <c r="J136" i="11"/>
  <c r="P135" i="11"/>
  <c r="O135" i="11"/>
  <c r="M135" i="11"/>
  <c r="J135" i="11"/>
  <c r="Y135" i="11" s="1"/>
  <c r="G143" i="11"/>
  <c r="G142" i="11"/>
  <c r="G141" i="11"/>
  <c r="G140" i="11"/>
  <c r="G139" i="11"/>
  <c r="G138" i="11"/>
  <c r="G137" i="11"/>
  <c r="G136" i="11"/>
  <c r="G135" i="11"/>
  <c r="M134" i="11"/>
  <c r="J134" i="11"/>
  <c r="Y134" i="11" s="1"/>
  <c r="G134" i="11"/>
  <c r="M60" i="11"/>
  <c r="N60" i="11" s="1"/>
  <c r="J60" i="11"/>
  <c r="M59" i="11"/>
  <c r="N59" i="11" s="1"/>
  <c r="J59" i="11"/>
  <c r="M58" i="11"/>
  <c r="N58" i="11" s="1"/>
  <c r="J58" i="11"/>
  <c r="M57" i="11"/>
  <c r="N57" i="11" s="1"/>
  <c r="J57" i="11"/>
  <c r="M56" i="11"/>
  <c r="N56" i="11" s="1"/>
  <c r="J56" i="11"/>
  <c r="M55" i="11"/>
  <c r="N55" i="11" s="1"/>
  <c r="P55" i="11" s="1"/>
  <c r="J55" i="11"/>
  <c r="M54" i="11"/>
  <c r="N54" i="11" s="1"/>
  <c r="J54" i="11"/>
  <c r="M53" i="11"/>
  <c r="N53" i="11" s="1"/>
  <c r="J53" i="11"/>
  <c r="M52" i="11"/>
  <c r="N52" i="11" s="1"/>
  <c r="J52" i="11"/>
  <c r="Y52" i="11" s="1"/>
  <c r="G60" i="11"/>
  <c r="G59" i="11"/>
  <c r="G58" i="11"/>
  <c r="G57" i="11"/>
  <c r="G56" i="11"/>
  <c r="G55" i="11"/>
  <c r="G54" i="11"/>
  <c r="G53" i="11"/>
  <c r="G52" i="11"/>
  <c r="M51" i="11"/>
  <c r="N51" i="11" s="1"/>
  <c r="J51" i="11"/>
  <c r="Y51" i="11" s="1"/>
  <c r="G51" i="11"/>
  <c r="M13" i="11"/>
  <c r="N13" i="11" s="1"/>
  <c r="P13" i="11" s="1"/>
  <c r="J13" i="11"/>
  <c r="M12" i="11"/>
  <c r="N12" i="11" s="1"/>
  <c r="J12" i="11"/>
  <c r="M11" i="11"/>
  <c r="N11" i="11" s="1"/>
  <c r="J11" i="11"/>
  <c r="M10" i="11"/>
  <c r="N10" i="11" s="1"/>
  <c r="J10" i="11"/>
  <c r="M9" i="11"/>
  <c r="N9" i="11" s="1"/>
  <c r="J9" i="11"/>
  <c r="M8" i="11"/>
  <c r="N8" i="11" s="1"/>
  <c r="G13" i="11"/>
  <c r="G12" i="11"/>
  <c r="G11" i="11"/>
  <c r="G10" i="11"/>
  <c r="G9" i="11"/>
  <c r="G8" i="11"/>
  <c r="M7" i="11"/>
  <c r="N7" i="11" s="1"/>
  <c r="J7" i="11"/>
  <c r="G7" i="11"/>
  <c r="M70" i="11"/>
  <c r="N70" i="11" s="1"/>
  <c r="J70" i="11"/>
  <c r="M69" i="11"/>
  <c r="N69" i="11" s="1"/>
  <c r="J69" i="11"/>
  <c r="M68" i="11"/>
  <c r="N68" i="11" s="1"/>
  <c r="J68" i="11"/>
  <c r="M67" i="11"/>
  <c r="N67" i="11" s="1"/>
  <c r="J67" i="11"/>
  <c r="M66" i="11"/>
  <c r="N66" i="11" s="1"/>
  <c r="J66" i="11"/>
  <c r="M65" i="11"/>
  <c r="N65" i="11" s="1"/>
  <c r="P65" i="11" s="1"/>
  <c r="J65" i="11"/>
  <c r="M64" i="11"/>
  <c r="N64" i="11" s="1"/>
  <c r="J64" i="11"/>
  <c r="M63" i="11"/>
  <c r="N63" i="11" s="1"/>
  <c r="J63" i="11"/>
  <c r="M62" i="11"/>
  <c r="N62" i="11" s="1"/>
  <c r="J62" i="11"/>
  <c r="Y62" i="11" s="1"/>
  <c r="G70" i="11"/>
  <c r="G69" i="11"/>
  <c r="G68" i="11"/>
  <c r="G67" i="11"/>
  <c r="G66" i="11"/>
  <c r="G65" i="11"/>
  <c r="G64" i="11"/>
  <c r="G63" i="11"/>
  <c r="G62" i="11"/>
  <c r="M61" i="11"/>
  <c r="N61" i="11" s="1"/>
  <c r="P61" i="11" s="1"/>
  <c r="J61" i="11"/>
  <c r="G61" i="11"/>
  <c r="M99" i="11"/>
  <c r="N99" i="11" s="1"/>
  <c r="P99" i="11" s="1"/>
  <c r="J99" i="11"/>
  <c r="M98" i="11"/>
  <c r="N98" i="11" s="1"/>
  <c r="J98" i="11"/>
  <c r="M97" i="11"/>
  <c r="N97" i="11" s="1"/>
  <c r="J97" i="11"/>
  <c r="M96" i="11"/>
  <c r="N96" i="11" s="1"/>
  <c r="J96" i="11"/>
  <c r="M95" i="11"/>
  <c r="N95" i="11" s="1"/>
  <c r="J95" i="11"/>
  <c r="M94" i="11"/>
  <c r="N94" i="11" s="1"/>
  <c r="J94" i="11"/>
  <c r="M93" i="11"/>
  <c r="N93" i="11" s="1"/>
  <c r="P93" i="11" s="1"/>
  <c r="J93" i="11"/>
  <c r="M92" i="11"/>
  <c r="N92" i="11" s="1"/>
  <c r="J92" i="11"/>
  <c r="M91" i="11"/>
  <c r="N91" i="11" s="1"/>
  <c r="J91" i="11"/>
  <c r="Y91" i="11" s="1"/>
  <c r="G99" i="11"/>
  <c r="G98" i="11"/>
  <c r="G97" i="11"/>
  <c r="G96" i="11"/>
  <c r="G95" i="11"/>
  <c r="G94" i="11"/>
  <c r="G93" i="11"/>
  <c r="G92" i="11"/>
  <c r="G91" i="11"/>
  <c r="M90" i="11"/>
  <c r="N90" i="11" s="1"/>
  <c r="J90" i="11"/>
  <c r="G90" i="11"/>
  <c r="M50" i="11"/>
  <c r="N50" i="11" s="1"/>
  <c r="J50" i="11"/>
  <c r="M49" i="11"/>
  <c r="N49" i="11" s="1"/>
  <c r="J49" i="11"/>
  <c r="M48" i="11"/>
  <c r="N48" i="11" s="1"/>
  <c r="J48" i="11"/>
  <c r="M47" i="11"/>
  <c r="N47" i="11" s="1"/>
  <c r="J47" i="11"/>
  <c r="M46" i="11"/>
  <c r="N46" i="11" s="1"/>
  <c r="J46" i="11"/>
  <c r="M45" i="11"/>
  <c r="N45" i="11" s="1"/>
  <c r="J45" i="11"/>
  <c r="Y45" i="11" s="1"/>
  <c r="G50" i="11"/>
  <c r="G49" i="11"/>
  <c r="G48" i="11"/>
  <c r="G47" i="11"/>
  <c r="G46" i="11"/>
  <c r="G45" i="11"/>
  <c r="M44" i="11"/>
  <c r="N44" i="11" s="1"/>
  <c r="J44" i="11"/>
  <c r="Y44" i="11" s="1"/>
  <c r="G44" i="11"/>
  <c r="M43" i="11"/>
  <c r="N43" i="11" s="1"/>
  <c r="J43" i="11"/>
  <c r="G43" i="11"/>
  <c r="M42" i="11"/>
  <c r="N42" i="11" s="1"/>
  <c r="J42" i="11"/>
  <c r="G42" i="11"/>
  <c r="M41" i="11"/>
  <c r="N41" i="11" s="1"/>
  <c r="O41" i="11" s="1"/>
  <c r="J41" i="11"/>
  <c r="G41" i="11"/>
  <c r="M40" i="11"/>
  <c r="N40" i="11" s="1"/>
  <c r="O40" i="11" s="1"/>
  <c r="J40" i="11"/>
  <c r="G40" i="11"/>
  <c r="M39" i="11"/>
  <c r="N39" i="11" s="1"/>
  <c r="O39" i="11" s="1"/>
  <c r="J39" i="11"/>
  <c r="G39" i="11"/>
  <c r="M38" i="11"/>
  <c r="N38" i="11" s="1"/>
  <c r="O38" i="11" s="1"/>
  <c r="J38" i="11"/>
  <c r="G38" i="11"/>
  <c r="M37" i="11"/>
  <c r="N37" i="11" s="1"/>
  <c r="O37" i="11" s="1"/>
  <c r="J37" i="11"/>
  <c r="G37" i="11"/>
  <c r="M36" i="11"/>
  <c r="N36" i="11" s="1"/>
  <c r="O36" i="11" s="1"/>
  <c r="J36" i="11"/>
  <c r="G36" i="11"/>
  <c r="M35" i="11"/>
  <c r="N35" i="11" s="1"/>
  <c r="O35" i="11" s="1"/>
  <c r="J35" i="11"/>
  <c r="Y35" i="11" s="1"/>
  <c r="G35" i="11"/>
  <c r="M34" i="11"/>
  <c r="N34" i="11" s="1"/>
  <c r="O34" i="11" s="1"/>
  <c r="J34" i="11"/>
  <c r="Y34" i="11" s="1"/>
  <c r="G34" i="11"/>
  <c r="M6" i="2"/>
  <c r="P87" i="11" l="1"/>
  <c r="O87" i="11"/>
  <c r="O86" i="11"/>
  <c r="P86" i="11"/>
  <c r="P89" i="11"/>
  <c r="O89" i="11"/>
  <c r="O88" i="11"/>
  <c r="O27" i="11"/>
  <c r="P26" i="11"/>
  <c r="O26" i="11"/>
  <c r="O25" i="11"/>
  <c r="O24" i="11"/>
  <c r="O108" i="11"/>
  <c r="O107" i="11"/>
  <c r="O109" i="11"/>
  <c r="P106" i="11"/>
  <c r="O106" i="11"/>
  <c r="P72" i="11"/>
  <c r="O72" i="11"/>
  <c r="O71" i="11"/>
  <c r="O53" i="11"/>
  <c r="P53" i="11"/>
  <c r="P134" i="11"/>
  <c r="O134" i="11"/>
  <c r="P58" i="11"/>
  <c r="O58" i="11"/>
  <c r="P59" i="11"/>
  <c r="O59" i="11"/>
  <c r="P60" i="11"/>
  <c r="O60" i="11"/>
  <c r="P54" i="11"/>
  <c r="O54" i="11"/>
  <c r="P56" i="11"/>
  <c r="O56" i="11"/>
  <c r="P52" i="11"/>
  <c r="O52" i="11"/>
  <c r="P57" i="11"/>
  <c r="O57" i="11"/>
  <c r="O55" i="11"/>
  <c r="P51" i="11"/>
  <c r="O51" i="11"/>
  <c r="P12" i="11"/>
  <c r="O12" i="11"/>
  <c r="P11" i="11"/>
  <c r="O11" i="11"/>
  <c r="P9" i="11"/>
  <c r="O9" i="11"/>
  <c r="P10" i="11"/>
  <c r="O10" i="11"/>
  <c r="O13" i="11"/>
  <c r="P8" i="11"/>
  <c r="O7" i="11"/>
  <c r="P7" i="11"/>
  <c r="O63" i="11"/>
  <c r="P63" i="11"/>
  <c r="P70" i="11"/>
  <c r="O70" i="11"/>
  <c r="P68" i="11"/>
  <c r="O68" i="11"/>
  <c r="P64" i="11"/>
  <c r="O64" i="11"/>
  <c r="P66" i="11"/>
  <c r="O66" i="11"/>
  <c r="P69" i="11"/>
  <c r="O69" i="11"/>
  <c r="P67" i="11"/>
  <c r="O67" i="11"/>
  <c r="P62" i="11"/>
  <c r="O62" i="11"/>
  <c r="O65" i="11"/>
  <c r="O61" i="11"/>
  <c r="P95" i="11"/>
  <c r="O95" i="11"/>
  <c r="P96" i="11"/>
  <c r="O96" i="11"/>
  <c r="P91" i="11"/>
  <c r="O91" i="11"/>
  <c r="O97" i="11"/>
  <c r="P97" i="11"/>
  <c r="P94" i="11"/>
  <c r="O94" i="11"/>
  <c r="P98" i="11"/>
  <c r="O98" i="11"/>
  <c r="O92" i="11"/>
  <c r="P92" i="11"/>
  <c r="O93" i="11"/>
  <c r="O99" i="11"/>
  <c r="P90" i="11"/>
  <c r="O90" i="11"/>
  <c r="P47" i="11"/>
  <c r="O47" i="11"/>
  <c r="O46" i="11"/>
  <c r="P46" i="11"/>
  <c r="P48" i="11"/>
  <c r="O48" i="11"/>
  <c r="P45" i="11"/>
  <c r="O45" i="11"/>
  <c r="P49" i="11"/>
  <c r="O49" i="11"/>
  <c r="P50" i="11"/>
  <c r="O50" i="11"/>
  <c r="P44" i="11"/>
  <c r="O44" i="11"/>
  <c r="P40" i="11"/>
  <c r="P36" i="11"/>
  <c r="P38" i="11"/>
  <c r="P41" i="11"/>
  <c r="P37" i="11"/>
  <c r="O42" i="11"/>
  <c r="P42" i="11"/>
  <c r="P35" i="11"/>
  <c r="P39" i="11"/>
  <c r="P43" i="11"/>
  <c r="O43" i="11"/>
  <c r="P34" i="11"/>
  <c r="M147" i="11" l="1"/>
  <c r="N147" i="11" s="1"/>
  <c r="J147" i="11"/>
  <c r="M146" i="11"/>
  <c r="N146" i="11" s="1"/>
  <c r="J146" i="11"/>
  <c r="Y146" i="11" s="1"/>
  <c r="M145" i="11"/>
  <c r="N145" i="11" s="1"/>
  <c r="J145" i="11"/>
  <c r="Y145" i="11" s="1"/>
  <c r="G147" i="11"/>
  <c r="G146" i="11"/>
  <c r="G145" i="11"/>
  <c r="M144" i="11"/>
  <c r="N144" i="11" s="1"/>
  <c r="J144" i="11"/>
  <c r="G144" i="11"/>
  <c r="M85" i="11"/>
  <c r="N85" i="11" s="1"/>
  <c r="P85" i="11" s="1"/>
  <c r="J85" i="11"/>
  <c r="M84" i="11"/>
  <c r="N84" i="11" s="1"/>
  <c r="J84" i="11"/>
  <c r="M83" i="11"/>
  <c r="N83" i="11" s="1"/>
  <c r="J83" i="11"/>
  <c r="M82" i="11"/>
  <c r="N82" i="11" s="1"/>
  <c r="J82" i="11"/>
  <c r="M81" i="11"/>
  <c r="N81" i="11" s="1"/>
  <c r="J81" i="11"/>
  <c r="M80" i="11"/>
  <c r="N80" i="11" s="1"/>
  <c r="J80" i="11"/>
  <c r="M79" i="11"/>
  <c r="N79" i="11" s="1"/>
  <c r="P79" i="11" s="1"/>
  <c r="J79" i="11"/>
  <c r="M78" i="11"/>
  <c r="N78" i="11" s="1"/>
  <c r="J78" i="11"/>
  <c r="M77" i="11"/>
  <c r="N77" i="11" s="1"/>
  <c r="J77" i="11"/>
  <c r="Y77" i="11" s="1"/>
  <c r="G85" i="11"/>
  <c r="G84" i="11"/>
  <c r="G83" i="11"/>
  <c r="G82" i="11"/>
  <c r="G81" i="11"/>
  <c r="G80" i="11"/>
  <c r="G79" i="11"/>
  <c r="G78" i="11"/>
  <c r="G77" i="11"/>
  <c r="M76" i="11"/>
  <c r="N76" i="11" s="1"/>
  <c r="J76" i="11"/>
  <c r="Y76" i="11" s="1"/>
  <c r="G76" i="11"/>
  <c r="M33" i="11"/>
  <c r="J33" i="11"/>
  <c r="G33" i="11"/>
  <c r="M32" i="11"/>
  <c r="J32" i="11"/>
  <c r="G32" i="11"/>
  <c r="M31" i="11"/>
  <c r="P31" i="11" s="1"/>
  <c r="J31" i="11"/>
  <c r="G31" i="11"/>
  <c r="M30" i="11"/>
  <c r="P30" i="11" s="1"/>
  <c r="J30" i="11"/>
  <c r="Y30" i="11" s="1"/>
  <c r="G30" i="11"/>
  <c r="M29" i="11"/>
  <c r="O29" i="11" s="1"/>
  <c r="J29" i="11"/>
  <c r="Y29" i="11" s="1"/>
  <c r="G29" i="11"/>
  <c r="M28" i="11"/>
  <c r="J28" i="11"/>
  <c r="G28" i="11"/>
  <c r="M23" i="11"/>
  <c r="N23" i="11" s="1"/>
  <c r="P23" i="11" s="1"/>
  <c r="J23" i="11"/>
  <c r="G23" i="11"/>
  <c r="M22" i="11"/>
  <c r="N22" i="11" s="1"/>
  <c r="P22" i="11" s="1"/>
  <c r="J22" i="11"/>
  <c r="G22" i="11"/>
  <c r="M21" i="11"/>
  <c r="N21" i="11" s="1"/>
  <c r="P21" i="11" s="1"/>
  <c r="J21" i="11"/>
  <c r="G21" i="11"/>
  <c r="M20" i="11"/>
  <c r="N20" i="11" s="1"/>
  <c r="P20" i="11" s="1"/>
  <c r="J20" i="11"/>
  <c r="G20" i="11"/>
  <c r="M19" i="11"/>
  <c r="N19" i="11" s="1"/>
  <c r="J19" i="11"/>
  <c r="G19" i="11"/>
  <c r="M18" i="11"/>
  <c r="N18" i="11" s="1"/>
  <c r="P18" i="11" s="1"/>
  <c r="J18" i="11"/>
  <c r="G18" i="11"/>
  <c r="M17" i="11"/>
  <c r="N17" i="11" s="1"/>
  <c r="P17" i="11" s="1"/>
  <c r="J17" i="11"/>
  <c r="G17" i="11"/>
  <c r="M16" i="11"/>
  <c r="N16" i="11" s="1"/>
  <c r="P16" i="11" s="1"/>
  <c r="J16" i="11"/>
  <c r="G16" i="11"/>
  <c r="M15" i="11"/>
  <c r="N15" i="11" s="1"/>
  <c r="J15" i="11"/>
  <c r="Y15" i="11" s="1"/>
  <c r="G15" i="11"/>
  <c r="M6" i="11"/>
  <c r="J6" i="11"/>
  <c r="G6" i="11"/>
  <c r="M14" i="11"/>
  <c r="N14" i="11" s="1"/>
  <c r="J14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4" i="11"/>
  <c r="E14" i="2"/>
  <c r="D14" i="2"/>
  <c r="C14" i="2"/>
  <c r="B14" i="2"/>
  <c r="H18" i="2"/>
  <c r="G18" i="2"/>
  <c r="H16" i="2"/>
  <c r="G16" i="2"/>
  <c r="H15" i="2"/>
  <c r="G15" i="2"/>
  <c r="H12" i="2"/>
  <c r="G12" i="2"/>
  <c r="H10" i="2"/>
  <c r="G10" i="2"/>
  <c r="F13" i="2"/>
  <c r="H11" i="2"/>
  <c r="H9" i="2"/>
  <c r="G11" i="2"/>
  <c r="G9" i="2"/>
  <c r="H25" i="13"/>
  <c r="G25" i="13"/>
  <c r="I8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25" i="13"/>
  <c r="F18" i="2"/>
  <c r="F16" i="2"/>
  <c r="F15" i="2"/>
  <c r="F11" i="2"/>
  <c r="F9" i="2"/>
  <c r="F14" i="2" s="1"/>
  <c r="F7" i="2"/>
  <c r="F6" i="2"/>
  <c r="F5" i="2"/>
  <c r="F4" i="2"/>
  <c r="B8" i="2"/>
  <c r="E6" i="2"/>
  <c r="E8" i="2" s="1"/>
  <c r="D6" i="2"/>
  <c r="D8" i="2" s="1"/>
  <c r="C6" i="2"/>
  <c r="C8" i="2" s="1"/>
  <c r="B6" i="2"/>
  <c r="E17" i="2"/>
  <c r="D17" i="2"/>
  <c r="C17" i="2"/>
  <c r="B17" i="2"/>
  <c r="I18" i="2" l="1"/>
  <c r="I11" i="2"/>
  <c r="I10" i="2"/>
  <c r="I12" i="2"/>
  <c r="N4" i="2"/>
  <c r="O4" i="2" s="1"/>
  <c r="P144" i="11"/>
  <c r="P33" i="11"/>
  <c r="O33" i="11"/>
  <c r="O32" i="11"/>
  <c r="P32" i="11"/>
  <c r="P14" i="11"/>
  <c r="P4" i="2"/>
  <c r="P28" i="11"/>
  <c r="F8" i="2"/>
  <c r="I15" i="2"/>
  <c r="P29" i="11"/>
  <c r="O30" i="11"/>
  <c r="O31" i="11"/>
  <c r="P146" i="11"/>
  <c r="O146" i="11"/>
  <c r="P145" i="11"/>
  <c r="O145" i="11"/>
  <c r="P147" i="11"/>
  <c r="O147" i="11"/>
  <c r="O144" i="11"/>
  <c r="P81" i="11"/>
  <c r="O81" i="11"/>
  <c r="P80" i="11"/>
  <c r="O80" i="11"/>
  <c r="P82" i="11"/>
  <c r="O82" i="11"/>
  <c r="P77" i="11"/>
  <c r="O77" i="11"/>
  <c r="P83" i="11"/>
  <c r="O83" i="11"/>
  <c r="O78" i="11"/>
  <c r="P78" i="11"/>
  <c r="P84" i="11"/>
  <c r="O84" i="11"/>
  <c r="O85" i="11"/>
  <c r="O79" i="11"/>
  <c r="P76" i="11"/>
  <c r="O76" i="11"/>
  <c r="I16" i="2"/>
  <c r="O16" i="11"/>
  <c r="O14" i="11"/>
  <c r="P19" i="11"/>
  <c r="O19" i="11"/>
  <c r="P15" i="11"/>
  <c r="O15" i="11"/>
  <c r="O17" i="11"/>
  <c r="O18" i="11"/>
  <c r="O20" i="11"/>
  <c r="O21" i="11"/>
  <c r="O22" i="11"/>
  <c r="O23" i="11"/>
  <c r="H4" i="2"/>
  <c r="G5" i="2"/>
  <c r="G4" i="2"/>
  <c r="H5" i="2"/>
  <c r="I9" i="2"/>
  <c r="H13" i="2"/>
  <c r="H14" i="2" s="1"/>
  <c r="G13" i="2"/>
  <c r="F17" i="2"/>
  <c r="I17" i="2" s="1"/>
  <c r="D20" i="2"/>
  <c r="B20" i="2"/>
  <c r="C20" i="2"/>
  <c r="E20" i="2"/>
  <c r="O168" i="11"/>
  <c r="O169" i="11"/>
  <c r="O167" i="11"/>
  <c r="I13" i="2" l="1"/>
  <c r="P5" i="2"/>
  <c r="O28" i="11"/>
  <c r="Q4" i="2"/>
  <c r="H7" i="2"/>
  <c r="P6" i="11"/>
  <c r="I5" i="2"/>
  <c r="G14" i="2"/>
  <c r="I14" i="2" s="1"/>
  <c r="O164" i="11"/>
  <c r="O163" i="11"/>
  <c r="O166" i="11"/>
  <c r="O165" i="11"/>
  <c r="O160" i="11"/>
  <c r="G7" i="2" l="1"/>
  <c r="I7" i="2" s="1"/>
  <c r="N5" i="2"/>
  <c r="P6" i="2"/>
  <c r="O162" i="11"/>
  <c r="O161" i="11"/>
  <c r="O170" i="11"/>
  <c r="O5" i="2" l="1"/>
  <c r="N6" i="2"/>
  <c r="F20" i="2"/>
  <c r="N176" i="11"/>
  <c r="H6" i="2"/>
  <c r="G6" i="2"/>
  <c r="O6" i="2" l="1"/>
  <c r="Q5" i="2"/>
  <c r="Q6" i="2" s="1"/>
  <c r="I6" i="2"/>
  <c r="H8" i="2"/>
  <c r="G8" i="2"/>
  <c r="I4" i="2"/>
  <c r="O176" i="11"/>
  <c r="I28" i="13" s="1"/>
  <c r="I8" i="2" l="1"/>
  <c r="H20" i="2"/>
  <c r="G20" i="2"/>
  <c r="F28" i="13"/>
  <c r="I2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X2" authorId="0" shapeId="0" xr:uid="{D480A57A-3BE3-499F-9286-972941DE7A4B}">
      <text>
        <r>
          <rPr>
            <b/>
            <sz val="9"/>
            <color indexed="81"/>
            <rFont val="Tahoma"/>
            <family val="2"/>
            <charset val="238"/>
          </rPr>
          <t>Ha mínusz 1-2 forint az eltérés, akkor én lecsökkentem a bruttó bért annyival. Ha plusz 1-2 forint, akkor marad az alaplevél szerinti bére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J8" authorId="0" shapeId="0" xr:uid="{F357F01C-A04E-4700-A6F8-C4405EBA0125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I107" authorId="0" shapeId="0" xr:uid="{DDBC2A40-A9D5-413B-A0A2-8AC7733AF7B4}">
      <text>
        <r>
          <rPr>
            <b/>
            <sz val="9"/>
            <color indexed="81"/>
            <rFont val="Tahoma"/>
            <family val="2"/>
            <charset val="238"/>
          </rPr>
          <t>betegszabi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G10" authorId="0" shapeId="0" xr:uid="{2249F556-B195-4CB7-90C7-0E904CAEB11B}">
      <text>
        <r>
          <rPr>
            <b/>
            <sz val="9"/>
            <color indexed="81"/>
            <rFont val="Tahoma"/>
            <charset val="1"/>
          </rPr>
          <t>1444 EUR + áfa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<sst xmlns="http://schemas.openxmlformats.org/spreadsheetml/2006/main" count="1566" uniqueCount="266">
  <si>
    <t>résztvevő</t>
  </si>
  <si>
    <t>bér arány</t>
  </si>
  <si>
    <t>ÖSSZESEN</t>
  </si>
  <si>
    <t>időszak</t>
  </si>
  <si>
    <t>Szállító</t>
  </si>
  <si>
    <t>Megnevezés</t>
  </si>
  <si>
    <t>Témaszám</t>
  </si>
  <si>
    <t xml:space="preserve">Szakmai megvalósításban </t>
  </si>
  <si>
    <t>Tény</t>
  </si>
  <si>
    <t>Köt. váll.</t>
  </si>
  <si>
    <t>Megjegyzés</t>
  </si>
  <si>
    <t>Tény/Köt. váll.</t>
  </si>
  <si>
    <t>Kifizetési kérelem</t>
  </si>
  <si>
    <t>Pénzügyi</t>
  </si>
  <si>
    <t>PM</t>
  </si>
  <si>
    <t>Bér</t>
  </si>
  <si>
    <t>Megbízási</t>
  </si>
  <si>
    <t>bruttó járulék</t>
  </si>
  <si>
    <t>Kinevezés</t>
  </si>
  <si>
    <t xml:space="preserve">Bér </t>
  </si>
  <si>
    <t>megbízás</t>
  </si>
  <si>
    <t>többlet</t>
  </si>
  <si>
    <t>bruttó bér</t>
  </si>
  <si>
    <t xml:space="preserve"> (komp. nélkül)</t>
  </si>
  <si>
    <t xml:space="preserve">munkában  </t>
  </si>
  <si>
    <t>töltött</t>
  </si>
  <si>
    <t>óra</t>
  </si>
  <si>
    <t>elszámolt</t>
  </si>
  <si>
    <t>járulék</t>
  </si>
  <si>
    <t>projekten</t>
  </si>
  <si>
    <t>arány</t>
  </si>
  <si>
    <t>dátuma</t>
  </si>
  <si>
    <t>közreműködő munkatársak (Név)</t>
  </si>
  <si>
    <t>(Hónap)</t>
  </si>
  <si>
    <t>központ (terhelés)</t>
  </si>
  <si>
    <t>Alaplevél</t>
  </si>
  <si>
    <t>szerződés</t>
  </si>
  <si>
    <t>központ (számfejtés)</t>
  </si>
  <si>
    <t>Többlet/szerződés</t>
  </si>
  <si>
    <t>MEGBÍZÁSOK</t>
  </si>
  <si>
    <t>Megrendelés/ szerződés száma</t>
  </si>
  <si>
    <t>Maradvány</t>
  </si>
  <si>
    <t>Kötelezettség vállalás</t>
  </si>
  <si>
    <t>Kifizetett költségek</t>
  </si>
  <si>
    <t>MK</t>
  </si>
  <si>
    <t>Összesen</t>
  </si>
  <si>
    <t>szochó</t>
  </si>
  <si>
    <t xml:space="preserve">óra arány   </t>
  </si>
  <si>
    <t>különbözet</t>
  </si>
  <si>
    <t>M211120000</t>
  </si>
  <si>
    <t>Domján Gábor</t>
  </si>
  <si>
    <t>bér</t>
  </si>
  <si>
    <t>N011120000</t>
  </si>
  <si>
    <t>Keret</t>
  </si>
  <si>
    <t>Beruházások</t>
  </si>
  <si>
    <t>Anyagköltség</t>
  </si>
  <si>
    <t>Bérköltség</t>
  </si>
  <si>
    <t>Összes támogatás</t>
  </si>
  <si>
    <t>1. mérföldkő támogatás</t>
  </si>
  <si>
    <t>2. mérföldkő támogatás</t>
  </si>
  <si>
    <t>SZAKMAI KÖLTSÉGEK</t>
  </si>
  <si>
    <t>Költségsor</t>
  </si>
  <si>
    <t>Költség</t>
  </si>
  <si>
    <t>C241110000</t>
  </si>
  <si>
    <t>dolgozó</t>
  </si>
  <si>
    <t>beosztása</t>
  </si>
  <si>
    <t>elszámolva</t>
  </si>
  <si>
    <t>C241100000</t>
  </si>
  <si>
    <t>bruttó jár.</t>
  </si>
  <si>
    <t>össz</t>
  </si>
  <si>
    <t xml:space="preserve"> </t>
  </si>
  <si>
    <t>Napidíj</t>
  </si>
  <si>
    <t>NP2022-II-6/2022 - 2022.12.01-2026.11.30</t>
  </si>
  <si>
    <t>3. mérföldkő támogatás</t>
  </si>
  <si>
    <t>4. mérföldkő támogatás</t>
  </si>
  <si>
    <t>Nem rendszeres juttatások</t>
  </si>
  <si>
    <t>Szolgáltatási szerződés</t>
  </si>
  <si>
    <t>Beruházási célú ÁFA</t>
  </si>
  <si>
    <t>Rezsiköltség</t>
  </si>
  <si>
    <t>SZEMÉLYI JUTTATATÁSOK</t>
  </si>
  <si>
    <t>DOLOGI KIADÁSOK</t>
  </si>
  <si>
    <t>BERUHÁZÁSOK</t>
  </si>
  <si>
    <t>SZEMÉLYI ÖSSZESEN</t>
  </si>
  <si>
    <t>ÖSSZESÍTETT KÖLTSÉGVETÉS</t>
  </si>
  <si>
    <t>C017100022</t>
  </si>
  <si>
    <t>M217100021</t>
  </si>
  <si>
    <t>2022.12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</si>
  <si>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</si>
  <si>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</si>
  <si>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</si>
  <si>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</si>
  <si>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</si>
  <si>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</si>
  <si>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</si>
  <si>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</si>
  <si>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</si>
  <si>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</si>
  <si>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</si>
  <si>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</si>
  <si>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</si>
  <si>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</si>
  <si>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</si>
  <si>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</si>
  <si>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</si>
  <si>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2024.06</t>
  </si>
  <si>
    <t>2024.07</t>
  </si>
  <si>
    <t>2024.08</t>
  </si>
  <si>
    <t>2024.09</t>
  </si>
  <si>
    <t>2024.10</t>
  </si>
  <si>
    <t>2024.11</t>
  </si>
  <si>
    <t>2024.12</t>
  </si>
  <si>
    <t>2025.01</t>
  </si>
  <si>
    <t>2025.02</t>
  </si>
  <si>
    <t>2025.03</t>
  </si>
  <si>
    <t>2025.04</t>
  </si>
  <si>
    <t>2025.05</t>
  </si>
  <si>
    <t>2025.06</t>
  </si>
  <si>
    <t>2025.07</t>
  </si>
  <si>
    <t>2025.08</t>
  </si>
  <si>
    <t>2025.09</t>
  </si>
  <si>
    <t>2025.10</t>
  </si>
  <si>
    <t>2025.11</t>
  </si>
  <si>
    <t>2025.12</t>
  </si>
  <si>
    <t>2026.01</t>
  </si>
  <si>
    <t>2026.02</t>
  </si>
  <si>
    <t>2026.03</t>
  </si>
  <si>
    <t>2026.04</t>
  </si>
  <si>
    <t>2026.05</t>
  </si>
  <si>
    <t>2026.06</t>
  </si>
  <si>
    <t>2026.07</t>
  </si>
  <si>
    <t>2026.08</t>
  </si>
  <si>
    <t>2026.09</t>
  </si>
  <si>
    <t>2026.10</t>
  </si>
  <si>
    <t>2026.11</t>
  </si>
  <si>
    <t>Célfeladat</t>
  </si>
  <si>
    <t>kategória</t>
  </si>
  <si>
    <t>Nem rendszeres juttatás</t>
  </si>
  <si>
    <t>Bér járulék</t>
  </si>
  <si>
    <t>Beruházás</t>
  </si>
  <si>
    <t>Nettó összeg</t>
  </si>
  <si>
    <t>ÁFA</t>
  </si>
  <si>
    <t>Bruttó összeg</t>
  </si>
  <si>
    <t>SAP iktatószám</t>
  </si>
  <si>
    <t>Anyagköltség ÁFA</t>
  </si>
  <si>
    <t>Működési ÁFA összesen</t>
  </si>
  <si>
    <t>Szolgáltatási szerződés ÁFA</t>
  </si>
  <si>
    <t>Barta Karola</t>
  </si>
  <si>
    <t>projekt</t>
  </si>
  <si>
    <t>munkaidő</t>
  </si>
  <si>
    <t>Liker András</t>
  </si>
  <si>
    <t>Vargáné Hajda Tímea</t>
  </si>
  <si>
    <t>Szakmai megvalósítíó</t>
  </si>
  <si>
    <t>Egyéb (segédszemélyzet)</t>
  </si>
  <si>
    <t>SZERVEZETI EGYSÉGEK SZERINT</t>
  </si>
  <si>
    <t>Szervezeti egység</t>
  </si>
  <si>
    <t>Felhasználás</t>
  </si>
  <si>
    <t>Fennmaradó 
egyenleg</t>
  </si>
  <si>
    <t xml:space="preserve">Köt. váll. </t>
  </si>
  <si>
    <t>Köt. vállal terhelt egyenleg</t>
  </si>
  <si>
    <t>Mindösszesen</t>
  </si>
  <si>
    <t>Adó</t>
  </si>
  <si>
    <t>azonosító</t>
  </si>
  <si>
    <t>8471173581</t>
  </si>
  <si>
    <t>8427102364</t>
  </si>
  <si>
    <t>8360760632</t>
  </si>
  <si>
    <t>8400535464</t>
  </si>
  <si>
    <t>Hoffer András</t>
  </si>
  <si>
    <t>C201100000</t>
  </si>
  <si>
    <t>8399513814</t>
  </si>
  <si>
    <t>Jancsek-Turóczi Beatrix</t>
  </si>
  <si>
    <t>8433840320</t>
  </si>
  <si>
    <t>Osán János</t>
  </si>
  <si>
    <t>8368942748</t>
  </si>
  <si>
    <t>Kovács Bálint</t>
  </si>
  <si>
    <t>8458363844</t>
  </si>
  <si>
    <t>Ádámné Bukor Boglárka</t>
  </si>
  <si>
    <t>8470403168</t>
  </si>
  <si>
    <t>Járvás Gábor</t>
  </si>
  <si>
    <t>8422871416</t>
  </si>
  <si>
    <t>Tóth-Bodrogi Edit</t>
  </si>
  <si>
    <t>C211100000</t>
  </si>
  <si>
    <t>8408031821</t>
  </si>
  <si>
    <t>Kovács Zoltán</t>
  </si>
  <si>
    <t>C211110000</t>
  </si>
  <si>
    <t>8437361664</t>
  </si>
  <si>
    <t>Sebestyén Viktor</t>
  </si>
  <si>
    <t>8442983112</t>
  </si>
  <si>
    <t>Támogatás évek szerint:</t>
  </si>
  <si>
    <t>1. kutatási év</t>
  </si>
  <si>
    <t>2. kutatási év</t>
  </si>
  <si>
    <t>3. kutatási év</t>
  </si>
  <si>
    <t>4. kutatási év</t>
  </si>
  <si>
    <t>Összköltség:</t>
  </si>
  <si>
    <t>2022.12.01-2026.11.30</t>
  </si>
  <si>
    <t>Projekt futamideje:</t>
  </si>
  <si>
    <t>2022. IV. negyedév</t>
  </si>
  <si>
    <t>2023. IV. negyedév</t>
  </si>
  <si>
    <t>2024. IV. negyedév</t>
  </si>
  <si>
    <t>2025. IV. negyedév</t>
  </si>
  <si>
    <t>Átcsoportosítás:</t>
  </si>
  <si>
    <t>személyi jellegű költség csak különlegesen indokolt esetben léphető túl</t>
  </si>
  <si>
    <r>
      <t xml:space="preserve">a támogatás 25%-ig előzetes kérelemmel a </t>
    </r>
    <r>
      <rPr>
        <b/>
        <sz val="11"/>
        <color theme="1"/>
        <rFont val="Calibri"/>
        <family val="2"/>
        <charset val="238"/>
        <scheme val="minor"/>
      </rPr>
      <t>költségnemek</t>
    </r>
    <r>
      <rPr>
        <sz val="11"/>
        <color theme="1"/>
        <rFont val="Calibri"/>
        <family val="2"/>
        <charset val="238"/>
        <scheme val="minor"/>
      </rPr>
      <t xml:space="preserve"> között átcsoportosítható</t>
    </r>
  </si>
  <si>
    <r>
      <t xml:space="preserve">25%-ot meghaladó mértékben történő átcsoportosítása a </t>
    </r>
    <r>
      <rPr>
        <b/>
        <sz val="11"/>
        <color theme="1"/>
        <rFont val="Calibri"/>
        <family val="2"/>
        <charset val="238"/>
        <scheme val="minor"/>
      </rPr>
      <t>költségnemek</t>
    </r>
    <r>
      <rPr>
        <sz val="11"/>
        <color theme="1"/>
        <rFont val="Calibri"/>
        <family val="2"/>
        <charset val="238"/>
        <scheme val="minor"/>
      </rPr>
      <t xml:space="preserve"> között: TO módosítás szükséges</t>
    </r>
  </si>
  <si>
    <r>
      <t xml:space="preserve">új </t>
    </r>
    <r>
      <rPr>
        <b/>
        <sz val="11"/>
        <color theme="1"/>
        <rFont val="Calibri"/>
        <family val="2"/>
        <charset val="238"/>
        <scheme val="minor"/>
      </rPr>
      <t>költségnem</t>
    </r>
    <r>
      <rPr>
        <sz val="11"/>
        <color theme="1"/>
        <rFont val="Calibri"/>
        <family val="2"/>
        <charset val="238"/>
        <scheme val="minor"/>
      </rPr>
      <t xml:space="preserve"> bevezetésekor előzetes kérelem szükséges</t>
    </r>
  </si>
  <si>
    <r>
      <rPr>
        <b/>
        <sz val="11"/>
        <color theme="1"/>
        <rFont val="Calibri"/>
        <family val="2"/>
        <charset val="238"/>
        <scheme val="minor"/>
      </rPr>
      <t>költségtételek</t>
    </r>
    <r>
      <rPr>
        <sz val="11"/>
        <color theme="1"/>
        <rFont val="Calibri"/>
        <family val="2"/>
        <charset val="238"/>
        <scheme val="minor"/>
      </rPr>
      <t xml:space="preserve"> közötti átcsoportostás saját hatáskörben megengedett</t>
    </r>
  </si>
  <si>
    <t>Vagyon elidegenítése a projekt határidejét követő 5 évig csak a támogató engedélyével valósulhat meg.</t>
  </si>
  <si>
    <t>Rezsiköltség elszámolható.</t>
  </si>
  <si>
    <t>Adminisztrációs és projektmenedzsment költség elszámolható.</t>
  </si>
  <si>
    <t xml:space="preserve">Az előző kutatási évben fel nem használt támogatás átvihető a következő kutatási évre, ha az elvégzett kutatás eredményes minősítéssel zárult. A maradvány a teljes kutatási időszak végéig felhasználható. </t>
  </si>
  <si>
    <r>
      <t xml:space="preserve">TO módosítás különösen indokolt esetben </t>
    </r>
    <r>
      <rPr>
        <b/>
        <sz val="11"/>
        <color theme="1"/>
        <rFont val="Calibri"/>
        <family val="2"/>
        <charset val="238"/>
        <scheme val="minor"/>
      </rPr>
      <t>egy</t>
    </r>
    <r>
      <rPr>
        <sz val="11"/>
        <color theme="1"/>
        <rFont val="Calibri"/>
        <family val="2"/>
        <charset val="238"/>
        <scheme val="minor"/>
      </rPr>
      <t xml:space="preserve"> alkalommal történhet.</t>
    </r>
  </si>
  <si>
    <t>Szakmai teljesítési határidők: minden év november 30.</t>
  </si>
  <si>
    <t>Pénzügyi teljesítési határidők: minden év december 31.</t>
  </si>
  <si>
    <t>Szakmai beszámolók benyújtásának határideje: minden év január 31.</t>
  </si>
  <si>
    <t>Pénzügyi elszámolások benyújtásánnak határideje: minden év február 28.</t>
  </si>
  <si>
    <t>A 200 ezer Ft-ot meghaladó beszerzéseknél írásbeli megállapodás szükséges.</t>
  </si>
  <si>
    <t>A pénzügyi elszámolásokat papír alapon kell elküldeni az MTA Titkársága Gazdasági Igazgatóság részére. Elektronikusan pedig emailben kell.</t>
  </si>
  <si>
    <t>Hiteles másolatként kell elküldeni a dokumentumokat, a hitelesítést  a szervezet képviselőjének kell aláírnia, dátummal bélyegzővel ellátni.</t>
  </si>
  <si>
    <t>Csatolandó dokumentumok:</t>
  </si>
  <si>
    <t xml:space="preserve">Személyi költségek: </t>
  </si>
  <si>
    <t>munkaszerződés, többletfeladat, munkaköri leírás, munkaidő nyilvántartás, bérkarton, kifizetési bizonylat, járulék befizetéséről szóló bizonylat</t>
  </si>
  <si>
    <t xml:space="preserve">Dologi és beruházás: </t>
  </si>
  <si>
    <t>számla, terhelési értesítő, szerződés/visszaigazolt megrendelés, árajánlat, beruházás állománybavételi bizonylat</t>
  </si>
  <si>
    <t>Devizás számláknál a teljesítés napján érvényes MNB árfolyamon kell átszámolni az összeget.</t>
  </si>
  <si>
    <t>Minden bizonylatot záradékoni szükséges (okirat azonosító és az összeget kell tartalmaznia, nincs konkrét szöveg)</t>
  </si>
  <si>
    <t>A bizonylaton a kedvezmény igazolja, hogy a támogatott tevékenység megvalósításával kapcsolatban merült fel a költség.</t>
  </si>
  <si>
    <t>A bizonylatokat a támogatás felhasználását követő 10 évig kell megőrizni.</t>
  </si>
  <si>
    <t>i</t>
  </si>
  <si>
    <t>Czikkelyné Dr. Ágh Nóra</t>
  </si>
  <si>
    <t>8451441513</t>
  </si>
  <si>
    <t>Mihalik Bendegúz</t>
  </si>
  <si>
    <t>8451324509</t>
  </si>
  <si>
    <t>Járulék</t>
  </si>
  <si>
    <t>eltérés</t>
  </si>
  <si>
    <t>Név</t>
  </si>
  <si>
    <t>Adóazonosító</t>
  </si>
  <si>
    <t>Számfejtés</t>
  </si>
  <si>
    <t>EGYEZIK</t>
  </si>
  <si>
    <t>Rostási Ágnes</t>
  </si>
  <si>
    <t>8418752394</t>
  </si>
  <si>
    <t>Seress Gábor</t>
  </si>
  <si>
    <t>8424702352</t>
  </si>
  <si>
    <t>M211130000</t>
  </si>
  <si>
    <t>Dr. Liker András</t>
  </si>
  <si>
    <t>Dr. Tóth-Bodrogi Edit</t>
  </si>
  <si>
    <t>Dr. Sebestyén Viktor</t>
  </si>
  <si>
    <t>Dr. Járvás Gábor</t>
  </si>
  <si>
    <t>Dr. Jancsek-Turóczi Beatrix</t>
  </si>
  <si>
    <t>Dr. Hoffer András</t>
  </si>
  <si>
    <t>Szalóczy Zsolt</t>
  </si>
  <si>
    <t>8352082973</t>
  </si>
  <si>
    <t>2023.04.15-04.30</t>
  </si>
  <si>
    <t>Stumpf-Bíró Balázs Ferenc</t>
  </si>
  <si>
    <t>8403385226</t>
  </si>
  <si>
    <t>Dr. Rostási Ágnes</t>
  </si>
  <si>
    <t>Dr. Osán János</t>
  </si>
  <si>
    <t>Barta Karola Anna</t>
  </si>
  <si>
    <t>2023.02.13-02.28</t>
  </si>
  <si>
    <t>Terhelés</t>
  </si>
  <si>
    <t>Hónap</t>
  </si>
  <si>
    <t>Kihagyás</t>
  </si>
  <si>
    <t>4500010266</t>
  </si>
  <si>
    <t>Wohlfart Richárd EV</t>
  </si>
  <si>
    <t>868 Mhzes jeladó cinegére</t>
  </si>
  <si>
    <t>4500010285</t>
  </si>
  <si>
    <t>Veldshop.nl B.V.</t>
  </si>
  <si>
    <t>Wildlife Acoustics Song Meter 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</si>
</sst>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#,##0_ ;[Red]\-#,##0\ "/>
    <numFmt numFmtId="168" formatCode="_-* #,##0_-;\-* #,##0_-;_-* &quot;-&quot;??_-;_-@_-"/>
  </numFmts>
  <fonts count="52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b/>
      <sz val="1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FF0000"/>
      <name val="Times New Roman"/>
      <family val="1"/>
      <charset val="238"/>
    </font>
    <font>
      <b/>
      <i/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0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auto="1"/>
      </top>
      <bottom/>
      <diagonal/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64">
    <xf numFmtId="0" fontId="0" fillId="0" borderId="0"/>
    <xf numFmtId="0" fontId="10" fillId="3" borderId="13" applyNumberFormat="0" applyAlignment="0" applyProtection="0"/>
    <xf numFmtId="164" fontId="5" fillId="0" borderId="0" applyFont="0" applyFill="0" applyBorder="0" applyAlignment="0" applyProtection="0"/>
    <xf numFmtId="0" fontId="12" fillId="0" borderId="0"/>
    <xf numFmtId="0" fontId="1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5" fillId="12" borderId="14" applyNumberForma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9" fillId="0" borderId="17" applyNumberFormat="0" applyFill="0" applyAlignment="0" applyProtection="0"/>
    <xf numFmtId="0" fontId="19" fillId="0" borderId="0" applyNumberFormat="0" applyFill="0" applyBorder="0" applyAlignment="0" applyProtection="0"/>
    <xf numFmtId="0" fontId="20" fillId="21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19" applyNumberFormat="0" applyFill="0" applyAlignment="0" applyProtection="0"/>
    <xf numFmtId="0" fontId="1" fillId="22" borderId="20" applyNumberFormat="0" applyFont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6" borderId="0" applyNumberFormat="0" applyBorder="0" applyAlignment="0" applyProtection="0"/>
    <xf numFmtId="0" fontId="23" fillId="9" borderId="0" applyNumberFormat="0" applyBorder="0" applyAlignment="0" applyProtection="0"/>
    <xf numFmtId="0" fontId="24" fillId="27" borderId="21" applyNumberFormat="0" applyAlignment="0" applyProtection="0"/>
    <xf numFmtId="0" fontId="25" fillId="0" borderId="0" applyNumberFormat="0" applyFill="0" applyBorder="0" applyAlignment="0" applyProtection="0"/>
    <xf numFmtId="0" fontId="3" fillId="0" borderId="22" applyNumberFormat="0" applyFill="0" applyAlignment="0" applyProtection="0"/>
    <xf numFmtId="0" fontId="26" fillId="8" borderId="0" applyNumberFormat="0" applyBorder="0" applyAlignment="0" applyProtection="0"/>
    <xf numFmtId="0" fontId="27" fillId="28" borderId="0" applyNumberFormat="0" applyBorder="0" applyAlignment="0" applyProtection="0"/>
    <xf numFmtId="0" fontId="28" fillId="27" borderId="14" applyNumberFormat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9" fillId="0" borderId="0"/>
    <xf numFmtId="0" fontId="15" fillId="12" borderId="14" applyNumberFormat="0" applyAlignment="0" applyProtection="0"/>
    <xf numFmtId="0" fontId="1" fillId="22" borderId="20" applyNumberFormat="0" applyFont="0" applyAlignment="0" applyProtection="0"/>
    <xf numFmtId="0" fontId="24" fillId="27" borderId="21" applyNumberFormat="0" applyAlignment="0" applyProtection="0"/>
    <xf numFmtId="0" fontId="3" fillId="0" borderId="22" applyNumberFormat="0" applyFill="0" applyAlignment="0" applyProtection="0"/>
    <xf numFmtId="0" fontId="28" fillId="27" borderId="14" applyNumberFormat="0" applyAlignment="0" applyProtection="0"/>
    <xf numFmtId="0" fontId="9" fillId="6" borderId="0" applyNumberFormat="0" applyBorder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1" fillId="22" borderId="20" applyNumberFormat="0" applyFon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4" fillId="27" borderId="21" applyNumberFormat="0" applyAlignment="0" applyProtection="0"/>
    <xf numFmtId="0" fontId="3" fillId="0" borderId="22" applyNumberFormat="0" applyFill="0" applyAlignment="0" applyProtection="0"/>
    <xf numFmtId="0" fontId="28" fillId="27" borderId="14" applyNumberFormat="0" applyAlignment="0" applyProtection="0"/>
    <xf numFmtId="0" fontId="28" fillId="27" borderId="14" applyNumberFormat="0" applyAlignment="0" applyProtection="0"/>
    <xf numFmtId="0" fontId="15" fillId="12" borderId="14" applyNumberFormat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9" fillId="0" borderId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35" fillId="0" borderId="0"/>
    <xf numFmtId="164" fontId="2" fillId="0" borderId="0" applyFont="0" applyFill="0" applyBorder="0" applyAlignment="0" applyProtection="0"/>
    <xf numFmtId="0" fontId="37" fillId="0" borderId="0"/>
    <xf numFmtId="164" fontId="1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9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219">
    <xf numFmtId="0" fontId="0" fillId="0" borderId="0" xfId="0"/>
    <xf numFmtId="3" fontId="0" fillId="0" borderId="0" xfId="0" applyNumberFormat="1"/>
    <xf numFmtId="3" fontId="11" fillId="0" borderId="1" xfId="1" applyNumberFormat="1" applyFont="1" applyFill="1" applyBorder="1" applyAlignment="1" applyProtection="1">
      <alignment wrapText="1"/>
      <protection locked="0"/>
    </xf>
    <xf numFmtId="49" fontId="0" fillId="0" borderId="0" xfId="0" applyNumberFormat="1"/>
    <xf numFmtId="3" fontId="2" fillId="2" borderId="5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49" fontId="2" fillId="29" borderId="0" xfId="0" applyNumberFormat="1" applyFont="1" applyFill="1" applyAlignment="1">
      <alignment horizontal="center" vertical="center"/>
    </xf>
    <xf numFmtId="49" fontId="2" fillId="29" borderId="2" xfId="0" applyNumberFormat="1" applyFont="1" applyFill="1" applyBorder="1" applyAlignment="1">
      <alignment horizontal="center" vertical="center"/>
    </xf>
    <xf numFmtId="0" fontId="11" fillId="0" borderId="0" xfId="0" applyFont="1"/>
    <xf numFmtId="165" fontId="0" fillId="0" borderId="0" xfId="2" applyNumberFormat="1" applyFont="1" applyFill="1"/>
    <xf numFmtId="3" fontId="2" fillId="29" borderId="0" xfId="0" applyNumberFormat="1" applyFont="1" applyFill="1" applyAlignment="1">
      <alignment horizontal="center" vertical="center"/>
    </xf>
    <xf numFmtId="0" fontId="0" fillId="30" borderId="0" xfId="0" applyFill="1"/>
    <xf numFmtId="49" fontId="0" fillId="30" borderId="0" xfId="0" applyNumberFormat="1" applyFill="1"/>
    <xf numFmtId="0" fontId="11" fillId="30" borderId="0" xfId="0" applyFont="1" applyFill="1"/>
    <xf numFmtId="166" fontId="33" fillId="30" borderId="0" xfId="0" applyNumberFormat="1" applyFont="1" applyFill="1" applyAlignment="1">
      <alignment wrapText="1"/>
    </xf>
    <xf numFmtId="166" fontId="0" fillId="30" borderId="0" xfId="0" applyNumberFormat="1" applyFill="1"/>
    <xf numFmtId="165" fontId="0" fillId="30" borderId="0" xfId="2" applyNumberFormat="1" applyFont="1" applyFill="1"/>
    <xf numFmtId="0" fontId="0" fillId="3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2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36" fillId="0" borderId="1" xfId="0" applyFont="1" applyBorder="1"/>
    <xf numFmtId="0" fontId="7" fillId="0" borderId="0" xfId="0" applyFont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49" fontId="0" fillId="0" borderId="26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vertical="center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0" fontId="0" fillId="0" borderId="0" xfId="0" applyNumberFormat="1"/>
    <xf numFmtId="10" fontId="0" fillId="30" borderId="0" xfId="0" applyNumberFormat="1" applyFill="1"/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0" fillId="30" borderId="0" xfId="0" applyNumberFormat="1" applyFill="1"/>
    <xf numFmtId="3" fontId="2" fillId="29" borderId="11" xfId="0" applyNumberFormat="1" applyFont="1" applyFill="1" applyBorder="1" applyAlignment="1">
      <alignment vertical="center"/>
    </xf>
    <xf numFmtId="3" fontId="36" fillId="0" borderId="1" xfId="1" applyNumberFormat="1" applyFont="1" applyFill="1" applyBorder="1" applyAlignment="1" applyProtection="1">
      <alignment horizontal="center" wrapText="1"/>
      <protection locked="0"/>
    </xf>
    <xf numFmtId="0" fontId="11" fillId="0" borderId="1" xfId="0" applyFont="1" applyBorder="1" applyAlignment="1">
      <alignment horizontal="center"/>
    </xf>
    <xf numFmtId="3" fontId="2" fillId="29" borderId="0" xfId="0" applyNumberFormat="1" applyFont="1" applyFill="1" applyAlignment="1">
      <alignment horizontal="center" vertical="center" wrapText="1"/>
    </xf>
    <xf numFmtId="3" fontId="2" fillId="29" borderId="2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0" fontId="36" fillId="0" borderId="23" xfId="0" applyFont="1" applyBorder="1"/>
    <xf numFmtId="3" fontId="36" fillId="0" borderId="23" xfId="1" applyNumberFormat="1" applyFont="1" applyFill="1" applyBorder="1" applyAlignment="1" applyProtection="1">
      <alignment horizontal="center" wrapText="1"/>
      <protection locked="0"/>
    </xf>
    <xf numFmtId="3" fontId="2" fillId="29" borderId="11" xfId="0" applyNumberFormat="1" applyFont="1" applyFill="1" applyBorder="1" applyAlignment="1">
      <alignment horizontal="center" vertical="center"/>
    </xf>
    <xf numFmtId="3" fontId="2" fillId="29" borderId="2" xfId="0" applyNumberFormat="1" applyFont="1" applyFill="1" applyBorder="1" applyAlignment="1">
      <alignment horizontal="center" vertical="center"/>
    </xf>
    <xf numFmtId="49" fontId="0" fillId="30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3" fontId="2" fillId="2" borderId="5" xfId="0" applyNumberFormat="1" applyFont="1" applyFill="1" applyBorder="1" applyAlignment="1">
      <alignment vertical="center" wrapText="1"/>
    </xf>
    <xf numFmtId="3" fontId="11" fillId="0" borderId="1" xfId="1" applyNumberFormat="1" applyFont="1" applyFill="1" applyBorder="1" applyAlignment="1" applyProtection="1">
      <alignment horizontal="center" wrapText="1"/>
      <protection locked="0"/>
    </xf>
    <xf numFmtId="49" fontId="9" fillId="30" borderId="0" xfId="4" applyNumberFormat="1" applyFont="1" applyFill="1" applyAlignment="1">
      <alignment horizontal="center"/>
    </xf>
    <xf numFmtId="3" fontId="36" fillId="0" borderId="1" xfId="0" applyNumberFormat="1" applyFont="1" applyBorder="1" applyAlignment="1">
      <alignment horizontal="left"/>
    </xf>
    <xf numFmtId="3" fontId="11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166" fontId="38" fillId="0" borderId="1" xfId="0" applyNumberFormat="1" applyFont="1" applyBorder="1" applyAlignment="1">
      <alignment wrapText="1"/>
    </xf>
    <xf numFmtId="10" fontId="11" fillId="0" borderId="1" xfId="0" applyNumberFormat="1" applyFont="1" applyBorder="1" applyAlignment="1">
      <alignment wrapText="1"/>
    </xf>
    <xf numFmtId="3" fontId="11" fillId="0" borderId="23" xfId="2" applyNumberFormat="1" applyFont="1" applyFill="1" applyBorder="1" applyAlignment="1">
      <alignment wrapText="1"/>
    </xf>
    <xf numFmtId="0" fontId="11" fillId="0" borderId="23" xfId="0" applyFont="1" applyBorder="1" applyAlignment="1">
      <alignment horizontal="center" wrapText="1"/>
    </xf>
    <xf numFmtId="166" fontId="38" fillId="0" borderId="23" xfId="0" applyNumberFormat="1" applyFont="1" applyBorder="1" applyAlignment="1">
      <alignment wrapText="1"/>
    </xf>
    <xf numFmtId="10" fontId="11" fillId="0" borderId="23" xfId="138" applyNumberFormat="1" applyFont="1" applyFill="1" applyBorder="1" applyAlignment="1">
      <alignment wrapText="1"/>
    </xf>
    <xf numFmtId="10" fontId="11" fillId="0" borderId="23" xfId="0" applyNumberFormat="1" applyFont="1" applyBorder="1" applyAlignment="1">
      <alignment wrapText="1"/>
    </xf>
    <xf numFmtId="10" fontId="11" fillId="0" borderId="23" xfId="0" applyNumberFormat="1" applyFont="1" applyBorder="1" applyAlignment="1">
      <alignment horizontal="center" wrapText="1"/>
    </xf>
    <xf numFmtId="14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29" borderId="12" xfId="0" applyFont="1" applyFill="1" applyBorder="1" applyAlignment="1">
      <alignment horizontal="center" vertical="center" wrapText="1"/>
    </xf>
    <xf numFmtId="0" fontId="2" fillId="29" borderId="3" xfId="0" applyFont="1" applyFill="1" applyBorder="1" applyAlignment="1">
      <alignment horizontal="center" vertical="center" wrapText="1"/>
    </xf>
    <xf numFmtId="0" fontId="2" fillId="29" borderId="4" xfId="0" applyFont="1" applyFill="1" applyBorder="1" applyAlignment="1">
      <alignment horizontal="center" vertical="center" wrapText="1"/>
    </xf>
    <xf numFmtId="0" fontId="11" fillId="30" borderId="0" xfId="0" applyFont="1" applyFill="1" applyAlignment="1">
      <alignment horizontal="center"/>
    </xf>
    <xf numFmtId="0" fontId="36" fillId="31" borderId="1" xfId="0" applyFont="1" applyFill="1" applyBorder="1"/>
    <xf numFmtId="3" fontId="36" fillId="31" borderId="1" xfId="1" applyNumberFormat="1" applyFont="1" applyFill="1" applyBorder="1" applyAlignment="1" applyProtection="1">
      <alignment horizontal="center" wrapText="1"/>
      <protection locked="0"/>
    </xf>
    <xf numFmtId="3" fontId="36" fillId="31" borderId="1" xfId="0" applyNumberFormat="1" applyFont="1" applyFill="1" applyBorder="1" applyAlignment="1">
      <alignment horizontal="left"/>
    </xf>
    <xf numFmtId="3" fontId="11" fillId="31" borderId="1" xfId="0" applyNumberFormat="1" applyFont="1" applyFill="1" applyBorder="1" applyAlignment="1">
      <alignment wrapText="1"/>
    </xf>
    <xf numFmtId="0" fontId="11" fillId="31" borderId="1" xfId="0" applyFont="1" applyFill="1" applyBorder="1" applyAlignment="1">
      <alignment horizontal="center" wrapText="1"/>
    </xf>
    <xf numFmtId="166" fontId="38" fillId="31" borderId="1" xfId="0" applyNumberFormat="1" applyFont="1" applyFill="1" applyBorder="1" applyAlignment="1">
      <alignment wrapText="1"/>
    </xf>
    <xf numFmtId="10" fontId="11" fillId="31" borderId="1" xfId="0" applyNumberFormat="1" applyFont="1" applyFill="1" applyBorder="1" applyAlignment="1">
      <alignment wrapText="1"/>
    </xf>
    <xf numFmtId="0" fontId="11" fillId="31" borderId="1" xfId="0" applyFont="1" applyFill="1" applyBorder="1" applyAlignment="1">
      <alignment horizontal="center"/>
    </xf>
    <xf numFmtId="0" fontId="34" fillId="33" borderId="0" xfId="0" applyFont="1" applyFill="1" applyAlignment="1">
      <alignment horizontal="center" vertical="center"/>
    </xf>
    <xf numFmtId="0" fontId="34" fillId="33" borderId="0" xfId="0" applyFont="1" applyFill="1" applyAlignment="1">
      <alignment horizontal="center" vertical="center" wrapText="1"/>
    </xf>
    <xf numFmtId="17" fontId="0" fillId="30" borderId="0" xfId="0" quotePrefix="1" applyNumberFormat="1" applyFill="1" applyAlignment="1">
      <alignment horizontal="center"/>
    </xf>
    <xf numFmtId="17" fontId="0" fillId="0" borderId="0" xfId="0" quotePrefix="1" applyNumberFormat="1"/>
    <xf numFmtId="0" fontId="0" fillId="0" borderId="0" xfId="0" quotePrefix="1"/>
    <xf numFmtId="3" fontId="36" fillId="0" borderId="23" xfId="0" applyNumberFormat="1" applyFont="1" applyBorder="1" applyAlignment="1">
      <alignment horizontal="left"/>
    </xf>
    <xf numFmtId="3" fontId="11" fillId="0" borderId="23" xfId="0" applyNumberFormat="1" applyFont="1" applyBorder="1" applyAlignment="1">
      <alignment wrapText="1"/>
    </xf>
    <xf numFmtId="0" fontId="11" fillId="0" borderId="23" xfId="0" applyFont="1" applyBorder="1" applyAlignment="1">
      <alignment horizontal="center"/>
    </xf>
    <xf numFmtId="3" fontId="38" fillId="0" borderId="1" xfId="0" applyNumberFormat="1" applyFont="1" applyBorder="1" applyAlignment="1">
      <alignment wrapText="1"/>
    </xf>
    <xf numFmtId="3" fontId="11" fillId="0" borderId="0" xfId="0" applyNumberFormat="1" applyFont="1"/>
    <xf numFmtId="3" fontId="39" fillId="0" borderId="0" xfId="0" applyNumberFormat="1" applyFont="1"/>
    <xf numFmtId="49" fontId="11" fillId="0" borderId="0" xfId="0" applyNumberFormat="1" applyFont="1" applyAlignment="1">
      <alignment horizontal="center"/>
    </xf>
    <xf numFmtId="3" fontId="38" fillId="0" borderId="0" xfId="0" applyNumberFormat="1" applyFont="1"/>
    <xf numFmtId="0" fontId="2" fillId="29" borderId="10" xfId="0" applyFont="1" applyFill="1" applyBorder="1" applyAlignment="1">
      <alignment vertical="center" wrapText="1"/>
    </xf>
    <xf numFmtId="3" fontId="2" fillId="29" borderId="24" xfId="0" applyNumberFormat="1" applyFont="1" applyFill="1" applyBorder="1" applyAlignment="1">
      <alignment horizontal="center" vertical="center"/>
    </xf>
    <xf numFmtId="0" fontId="2" fillId="29" borderId="12" xfId="0" applyFont="1" applyFill="1" applyBorder="1" applyAlignment="1">
      <alignment vertical="center" wrapText="1"/>
    </xf>
    <xf numFmtId="3" fontId="11" fillId="0" borderId="8" xfId="0" applyNumberFormat="1" applyFont="1" applyBorder="1" applyAlignment="1">
      <alignment vertical="center" wrapText="1"/>
    </xf>
    <xf numFmtId="0" fontId="2" fillId="29" borderId="8" xfId="0" applyFont="1" applyFill="1" applyBorder="1" applyAlignment="1">
      <alignment horizontal="center" vertical="center" wrapText="1"/>
    </xf>
    <xf numFmtId="0" fontId="2" fillId="29" borderId="9" xfId="0" applyFont="1" applyFill="1" applyBorder="1" applyAlignment="1">
      <alignment horizontal="center" vertical="center" wrapText="1"/>
    </xf>
    <xf numFmtId="3" fontId="11" fillId="0" borderId="8" xfId="0" applyNumberFormat="1" applyFont="1" applyBorder="1" applyAlignment="1">
      <alignment horizontal="center" vertical="center" wrapText="1"/>
    </xf>
    <xf numFmtId="10" fontId="11" fillId="0" borderId="1" xfId="138" applyNumberFormat="1" applyFont="1" applyFill="1" applyBorder="1" applyAlignment="1">
      <alignment wrapText="1"/>
    </xf>
    <xf numFmtId="0" fontId="0" fillId="36" borderId="1" xfId="0" applyFill="1" applyBorder="1"/>
    <xf numFmtId="165" fontId="0" fillId="36" borderId="1" xfId="2" applyNumberFormat="1" applyFont="1" applyFill="1" applyBorder="1"/>
    <xf numFmtId="165" fontId="9" fillId="36" borderId="1" xfId="2" applyNumberFormat="1" applyFont="1" applyFill="1" applyBorder="1"/>
    <xf numFmtId="0" fontId="34" fillId="37" borderId="1" xfId="0" applyFont="1" applyFill="1" applyBorder="1"/>
    <xf numFmtId="0" fontId="0" fillId="37" borderId="1" xfId="0" applyFill="1" applyBorder="1"/>
    <xf numFmtId="165" fontId="9" fillId="37" borderId="1" xfId="2" applyNumberFormat="1" applyFont="1" applyFill="1" applyBorder="1"/>
    <xf numFmtId="0" fontId="0" fillId="35" borderId="1" xfId="0" applyFill="1" applyBorder="1"/>
    <xf numFmtId="165" fontId="0" fillId="35" borderId="1" xfId="2" applyNumberFormat="1" applyFont="1" applyFill="1" applyBorder="1"/>
    <xf numFmtId="165" fontId="9" fillId="35" borderId="1" xfId="2" applyNumberFormat="1" applyFont="1" applyFill="1" applyBorder="1"/>
    <xf numFmtId="0" fontId="34" fillId="34" borderId="0" xfId="0" applyFont="1" applyFill="1"/>
    <xf numFmtId="0" fontId="0" fillId="34" borderId="0" xfId="0" applyFill="1"/>
    <xf numFmtId="0" fontId="0" fillId="0" borderId="28" xfId="0" applyBorder="1" applyAlignment="1">
      <alignment horizontal="center" vertical="center" wrapText="1"/>
    </xf>
    <xf numFmtId="165" fontId="11" fillId="0" borderId="0" xfId="2" applyNumberFormat="1" applyFont="1" applyFill="1" applyBorder="1" applyAlignment="1">
      <alignment vertical="center" wrapText="1"/>
    </xf>
    <xf numFmtId="2" fontId="0" fillId="0" borderId="0" xfId="0" applyNumberFormat="1"/>
    <xf numFmtId="0" fontId="2" fillId="29" borderId="0" xfId="0" applyFont="1" applyFill="1" applyAlignment="1">
      <alignment vertical="center" wrapText="1"/>
    </xf>
    <xf numFmtId="10" fontId="11" fillId="0" borderId="0" xfId="0" applyNumberFormat="1" applyFont="1" applyAlignment="1">
      <alignment horizontal="center" wrapText="1"/>
    </xf>
    <xf numFmtId="10" fontId="11" fillId="31" borderId="0" xfId="0" applyNumberFormat="1" applyFont="1" applyFill="1" applyAlignment="1">
      <alignment horizontal="center" wrapText="1"/>
    </xf>
    <xf numFmtId="0" fontId="41" fillId="0" borderId="0" xfId="0" applyFont="1" applyAlignment="1">
      <alignment horizontal="left" vertical="center"/>
    </xf>
    <xf numFmtId="49" fontId="11" fillId="0" borderId="0" xfId="0" applyNumberFormat="1" applyFont="1"/>
    <xf numFmtId="0" fontId="8" fillId="0" borderId="1" xfId="0" applyFont="1" applyBorder="1"/>
    <xf numFmtId="0" fontId="11" fillId="0" borderId="1" xfId="0" applyFont="1" applyBorder="1"/>
    <xf numFmtId="3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66" fontId="33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horizontal="center" wrapText="1"/>
    </xf>
    <xf numFmtId="10" fontId="6" fillId="0" borderId="0" xfId="0" applyNumberFormat="1" applyFont="1" applyAlignment="1">
      <alignment horizontal="center" wrapText="1"/>
    </xf>
    <xf numFmtId="165" fontId="11" fillId="0" borderId="0" xfId="2" applyNumberFormat="1" applyFont="1" applyFill="1"/>
    <xf numFmtId="0" fontId="38" fillId="0" borderId="0" xfId="0" applyFont="1"/>
    <xf numFmtId="165" fontId="11" fillId="0" borderId="0" xfId="0" applyNumberFormat="1" applyFont="1" applyAlignment="1">
      <alignment horizontal="center" vertical="center"/>
    </xf>
    <xf numFmtId="0" fontId="38" fillId="0" borderId="10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 wrapText="1"/>
    </xf>
    <xf numFmtId="0" fontId="38" fillId="0" borderId="24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Border="1" applyAlignment="1">
      <alignment vertical="center"/>
    </xf>
    <xf numFmtId="0" fontId="0" fillId="38" borderId="1" xfId="0" applyFill="1" applyBorder="1"/>
    <xf numFmtId="165" fontId="0" fillId="38" borderId="1" xfId="2" applyNumberFormat="1" applyFont="1" applyFill="1" applyBorder="1"/>
    <xf numFmtId="165" fontId="9" fillId="38" borderId="1" xfId="2" applyNumberFormat="1" applyFont="1" applyFill="1" applyBorder="1"/>
    <xf numFmtId="49" fontId="0" fillId="30" borderId="0" xfId="4" quotePrefix="1" applyNumberFormat="1" applyFont="1" applyFill="1" applyAlignment="1">
      <alignment horizontal="center"/>
    </xf>
    <xf numFmtId="3" fontId="2" fillId="2" borderId="10" xfId="0" applyNumberFormat="1" applyFont="1" applyFill="1" applyBorder="1" applyAlignment="1">
      <alignment vertical="center" wrapText="1"/>
    </xf>
    <xf numFmtId="0" fontId="34" fillId="0" borderId="1" xfId="0" applyFont="1" applyBorder="1"/>
    <xf numFmtId="165" fontId="34" fillId="0" borderId="1" xfId="2" applyNumberFormat="1" applyFont="1" applyFill="1" applyBorder="1"/>
    <xf numFmtId="0" fontId="0" fillId="0" borderId="1" xfId="0" applyBorder="1"/>
    <xf numFmtId="165" fontId="0" fillId="0" borderId="1" xfId="2" applyNumberFormat="1" applyFont="1" applyFill="1" applyBorder="1"/>
    <xf numFmtId="165" fontId="9" fillId="0" borderId="1" xfId="2" applyNumberFormat="1" applyFont="1" applyFill="1" applyBorder="1"/>
    <xf numFmtId="0" fontId="0" fillId="29" borderId="1" xfId="0" applyFill="1" applyBorder="1"/>
    <xf numFmtId="165" fontId="0" fillId="29" borderId="1" xfId="2" applyNumberFormat="1" applyFont="1" applyFill="1" applyBorder="1"/>
    <xf numFmtId="165" fontId="9" fillId="29" borderId="1" xfId="2" applyNumberFormat="1" applyFont="1" applyFill="1" applyBorder="1"/>
    <xf numFmtId="0" fontId="11" fillId="0" borderId="10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49" fontId="11" fillId="0" borderId="24" xfId="0" applyNumberFormat="1" applyFont="1" applyBorder="1" applyAlignment="1">
      <alignment horizontal="center" vertical="center" wrapText="1"/>
    </xf>
    <xf numFmtId="0" fontId="11" fillId="0" borderId="24" xfId="0" applyFont="1" applyBorder="1" applyAlignment="1">
      <alignment vertical="center" wrapText="1"/>
    </xf>
    <xf numFmtId="165" fontId="11" fillId="0" borderId="24" xfId="2" applyNumberFormat="1" applyFont="1" applyFill="1" applyBorder="1" applyAlignment="1">
      <alignment vertical="center" wrapText="1"/>
    </xf>
    <xf numFmtId="0" fontId="11" fillId="0" borderId="12" xfId="0" applyFont="1" applyBorder="1" applyAlignment="1">
      <alignment vertical="center"/>
    </xf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11" fillId="0" borderId="0" xfId="0" applyNumberFormat="1" applyFont="1" applyAlignment="1">
      <alignment horizontal="left" vertical="center" wrapText="1"/>
    </xf>
    <xf numFmtId="165" fontId="0" fillId="0" borderId="29" xfId="2" applyNumberFormat="1" applyFont="1" applyFill="1" applyBorder="1" applyAlignment="1">
      <alignment vertical="center" wrapText="1"/>
    </xf>
    <xf numFmtId="165" fontId="0" fillId="29" borderId="23" xfId="2" applyNumberFormat="1" applyFont="1" applyFill="1" applyBorder="1"/>
    <xf numFmtId="165" fontId="9" fillId="29" borderId="23" xfId="2" applyNumberFormat="1" applyFont="1" applyFill="1" applyBorder="1"/>
    <xf numFmtId="0" fontId="42" fillId="32" borderId="1" xfId="0" applyFont="1" applyFill="1" applyBorder="1"/>
    <xf numFmtId="165" fontId="43" fillId="32" borderId="1" xfId="2" applyNumberFormat="1" applyFont="1" applyFill="1" applyBorder="1"/>
    <xf numFmtId="10" fontId="11" fillId="0" borderId="1" xfId="138" applyNumberFormat="1" applyFont="1" applyFill="1" applyBorder="1" applyAlignment="1">
      <alignment horizontal="center" wrapText="1"/>
    </xf>
    <xf numFmtId="14" fontId="36" fillId="0" borderId="1" xfId="0" applyNumberFormat="1" applyFont="1" applyBorder="1" applyAlignment="1">
      <alignment horizontal="center" wrapText="1"/>
    </xf>
    <xf numFmtId="0" fontId="34" fillId="39" borderId="30" xfId="0" applyFont="1" applyFill="1" applyBorder="1" applyAlignment="1">
      <alignment horizontal="left"/>
    </xf>
    <xf numFmtId="0" fontId="0" fillId="39" borderId="31" xfId="0" applyFill="1" applyBorder="1" applyAlignment="1">
      <alignment horizontal="center"/>
    </xf>
    <xf numFmtId="167" fontId="11" fillId="39" borderId="31" xfId="0" applyNumberFormat="1" applyFont="1" applyFill="1" applyBorder="1"/>
    <xf numFmtId="167" fontId="11" fillId="39" borderId="32" xfId="0" applyNumberFormat="1" applyFont="1" applyFill="1" applyBorder="1"/>
    <xf numFmtId="167" fontId="44" fillId="0" borderId="33" xfId="0" applyNumberFormat="1" applyFont="1" applyBorder="1" applyAlignment="1">
      <alignment horizontal="center" vertical="center" wrapText="1"/>
    </xf>
    <xf numFmtId="167" fontId="44" fillId="0" borderId="1" xfId="0" applyNumberFormat="1" applyFont="1" applyBorder="1" applyAlignment="1">
      <alignment horizontal="center" vertical="center" wrapText="1"/>
    </xf>
    <xf numFmtId="167" fontId="44" fillId="0" borderId="34" xfId="0" applyNumberFormat="1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34" xfId="0" applyFont="1" applyFill="1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1" xfId="0" applyBorder="1" applyAlignment="1">
      <alignment horizontal="center"/>
    </xf>
    <xf numFmtId="3" fontId="11" fillId="40" borderId="1" xfId="0" applyNumberFormat="1" applyFont="1" applyFill="1" applyBorder="1" applyAlignment="1">
      <alignment horizontal="right"/>
    </xf>
    <xf numFmtId="167" fontId="11" fillId="0" borderId="1" xfId="0" applyNumberFormat="1" applyFont="1" applyBorder="1" applyAlignment="1">
      <alignment horizontal="right"/>
    </xf>
    <xf numFmtId="167" fontId="11" fillId="0" borderId="34" xfId="0" applyNumberFormat="1" applyFont="1" applyBorder="1" applyAlignment="1">
      <alignment horizontal="right"/>
    </xf>
    <xf numFmtId="3" fontId="34" fillId="41" borderId="36" xfId="0" applyNumberFormat="1" applyFont="1" applyFill="1" applyBorder="1" applyAlignment="1">
      <alignment horizontal="right" vertical="center"/>
    </xf>
    <xf numFmtId="49" fontId="11" fillId="0" borderId="1" xfId="0" applyNumberFormat="1" applyFont="1" applyBorder="1" applyAlignment="1">
      <alignment wrapText="1"/>
    </xf>
    <xf numFmtId="49" fontId="11" fillId="0" borderId="23" xfId="0" applyNumberFormat="1" applyFont="1" applyBorder="1" applyAlignment="1">
      <alignment wrapText="1"/>
    </xf>
    <xf numFmtId="49" fontId="11" fillId="31" borderId="1" xfId="0" applyNumberFormat="1" applyFont="1" applyFill="1" applyBorder="1" applyAlignment="1">
      <alignment wrapText="1"/>
    </xf>
    <xf numFmtId="165" fontId="0" fillId="0" borderId="0" xfId="2" applyNumberFormat="1" applyFont="1"/>
    <xf numFmtId="0" fontId="34" fillId="41" borderId="36" xfId="0" applyFont="1" applyFill="1" applyBorder="1" applyAlignment="1">
      <alignment vertical="center"/>
    </xf>
    <xf numFmtId="0" fontId="34" fillId="41" borderId="35" xfId="0" applyFont="1" applyFill="1" applyBorder="1" applyAlignment="1">
      <alignment horizontal="left" vertical="center"/>
    </xf>
    <xf numFmtId="0" fontId="0" fillId="42" borderId="0" xfId="0" applyFill="1" applyAlignment="1">
      <alignment vertical="center"/>
    </xf>
    <xf numFmtId="0" fontId="34" fillId="42" borderId="0" xfId="0" applyFont="1" applyFill="1" applyAlignment="1">
      <alignment horizontal="center" vertical="center"/>
    </xf>
    <xf numFmtId="0" fontId="47" fillId="42" borderId="0" xfId="0" applyFont="1" applyFill="1" applyAlignment="1">
      <alignment horizontal="center" vertical="center" wrapText="1"/>
    </xf>
    <xf numFmtId="0" fontId="34" fillId="43" borderId="0" xfId="0" applyFont="1" applyFill="1" applyAlignment="1">
      <alignment horizontal="center"/>
    </xf>
    <xf numFmtId="3" fontId="6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48" fillId="0" borderId="37" xfId="0" applyFont="1" applyBorder="1" applyAlignment="1">
      <alignment horizontal="left"/>
    </xf>
    <xf numFmtId="0" fontId="48" fillId="0" borderId="0" xfId="0" applyFont="1" applyAlignment="1">
      <alignment horizontal="left"/>
    </xf>
    <xf numFmtId="0" fontId="0" fillId="0" borderId="0" xfId="0" applyAlignment="1">
      <alignment horizontal="left"/>
    </xf>
    <xf numFmtId="168" fontId="0" fillId="0" borderId="0" xfId="0" applyNumberFormat="1"/>
    <xf numFmtId="0" fontId="49" fillId="0" borderId="0" xfId="0" applyFont="1"/>
    <xf numFmtId="165" fontId="34" fillId="0" borderId="0" xfId="2" applyNumberFormat="1" applyFont="1" applyAlignment="1">
      <alignment horizontal="center"/>
    </xf>
    <xf numFmtId="165" fontId="11" fillId="0" borderId="0" xfId="2" applyNumberFormat="1" applyFont="1" applyAlignment="1">
      <alignment horizontal="center" vertical="center" wrapText="1"/>
    </xf>
    <xf numFmtId="165" fontId="0" fillId="0" borderId="0" xfId="2" applyNumberFormat="1" applyFont="1" applyAlignment="1">
      <alignment horizontal="center" vertical="center" wrapText="1"/>
    </xf>
    <xf numFmtId="165" fontId="0" fillId="0" borderId="2" xfId="2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164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2 2 2" xfId="155" xr:uid="{00000000-0005-0000-0000-000029000000}"/>
    <cellStyle name="Ezres 2 3" xfId="154" xr:uid="{00000000-0005-0000-0000-00002A000000}"/>
    <cellStyle name="Ezres 3" xfId="142" xr:uid="{00000000-0005-0000-0000-00002B000000}"/>
    <cellStyle name="Ezres 3 2" xfId="156" xr:uid="{00000000-0005-0000-0000-00002C000000}"/>
    <cellStyle name="Ezres 4" xfId="144" xr:uid="{00000000-0005-0000-0000-00002D000000}"/>
    <cellStyle name="Ezres 4 2" xfId="158" xr:uid="{00000000-0005-0000-0000-00002E000000}"/>
    <cellStyle name="Ezres 5" xfId="146" xr:uid="{00000000-0005-0000-0000-00002F000000}"/>
    <cellStyle name="Figyelmeztetés 2" xfId="34" xr:uid="{00000000-0005-0000-0000-000030000000}"/>
    <cellStyle name="Hivatkozás 10" xfId="80" xr:uid="{00000000-0005-0000-0000-000031000000}"/>
    <cellStyle name="Hivatkozás 11" xfId="82" xr:uid="{00000000-0005-0000-0000-000032000000}"/>
    <cellStyle name="Hivatkozás 12" xfId="84" xr:uid="{00000000-0005-0000-0000-000033000000}"/>
    <cellStyle name="Hivatkozás 13" xfId="86" xr:uid="{00000000-0005-0000-0000-000034000000}"/>
    <cellStyle name="Hivatkozás 14" xfId="88" xr:uid="{00000000-0005-0000-0000-000035000000}"/>
    <cellStyle name="Hivatkozás 15" xfId="90" xr:uid="{00000000-0005-0000-0000-000036000000}"/>
    <cellStyle name="Hivatkozás 16" xfId="92" xr:uid="{00000000-0005-0000-0000-000037000000}"/>
    <cellStyle name="Hivatkozás 17" xfId="94" xr:uid="{00000000-0005-0000-0000-000038000000}"/>
    <cellStyle name="Hivatkozás 18" xfId="96" xr:uid="{00000000-0005-0000-0000-000039000000}"/>
    <cellStyle name="Hivatkozás 2" xfId="63" xr:uid="{00000000-0005-0000-0000-00003A000000}"/>
    <cellStyle name="Hivatkozás 3" xfId="65" xr:uid="{00000000-0005-0000-0000-00003B000000}"/>
    <cellStyle name="Hivatkozás 4" xfId="68" xr:uid="{00000000-0005-0000-0000-00003C000000}"/>
    <cellStyle name="Hivatkozás 5" xfId="70" xr:uid="{00000000-0005-0000-0000-00003D000000}"/>
    <cellStyle name="Hivatkozás 6" xfId="72" xr:uid="{00000000-0005-0000-0000-00003E000000}"/>
    <cellStyle name="Hivatkozás 7" xfId="74" xr:uid="{00000000-0005-0000-0000-00003F000000}"/>
    <cellStyle name="Hivatkozás 8" xfId="76" xr:uid="{00000000-0005-0000-0000-000040000000}"/>
    <cellStyle name="Hivatkozás 9" xfId="78" xr:uid="{00000000-0005-0000-0000-000041000000}"/>
    <cellStyle name="Hivatkozott cella 2" xfId="35" xr:uid="{00000000-0005-0000-0000-000042000000}"/>
    <cellStyle name="Jegyzet 2" xfId="36" xr:uid="{00000000-0005-0000-0000-000043000000}"/>
    <cellStyle name="Jegyzet 2 2" xfId="57" xr:uid="{00000000-0005-0000-0000-000044000000}"/>
    <cellStyle name="Jegyzet 2 2 2" xfId="105" xr:uid="{00000000-0005-0000-0000-000045000000}"/>
    <cellStyle name="Jegyzet 2 2 3" xfId="121" xr:uid="{00000000-0005-0000-0000-000046000000}"/>
    <cellStyle name="Jegyzet 2 2 4" xfId="131" xr:uid="{00000000-0005-0000-0000-000047000000}"/>
    <cellStyle name="Jegyzet 2 2 5" xfId="136" xr:uid="{00000000-0005-0000-0000-000048000000}"/>
    <cellStyle name="Jegyzet 2 3" xfId="108" xr:uid="{00000000-0005-0000-0000-000049000000}"/>
    <cellStyle name="Jegyzet 2 4" xfId="107" xr:uid="{00000000-0005-0000-0000-00004A000000}"/>
    <cellStyle name="Jegyzet 2 5" xfId="99" xr:uid="{00000000-0005-0000-0000-00004B000000}"/>
    <cellStyle name="Jelölőszín (1) 2" xfId="37" xr:uid="{00000000-0005-0000-0000-00004C000000}"/>
    <cellStyle name="Jelölőszín (2) 2" xfId="38" xr:uid="{00000000-0005-0000-0000-00004D000000}"/>
    <cellStyle name="Jelölőszín (2) 3" xfId="67" xr:uid="{00000000-0005-0000-0000-00004E000000}"/>
    <cellStyle name="Jelölőszín (3) 2" xfId="39" xr:uid="{00000000-0005-0000-0000-00004F000000}"/>
    <cellStyle name="Jelölőszín (4) 2" xfId="40" xr:uid="{00000000-0005-0000-0000-000050000000}"/>
    <cellStyle name="Jelölőszín (5) 2" xfId="41" xr:uid="{00000000-0005-0000-0000-000051000000}"/>
    <cellStyle name="Jelölőszín (6) 2" xfId="42" xr:uid="{00000000-0005-0000-0000-000052000000}"/>
    <cellStyle name="Jó 2" xfId="43" xr:uid="{00000000-0005-0000-0000-000053000000}"/>
    <cellStyle name="Kimenet 2" xfId="44" xr:uid="{00000000-0005-0000-0000-000054000000}"/>
    <cellStyle name="Kimenet 2 2" xfId="58" xr:uid="{00000000-0005-0000-0000-000055000000}"/>
    <cellStyle name="Kimenet 2 2 2" xfId="104" xr:uid="{00000000-0005-0000-0000-000056000000}"/>
    <cellStyle name="Kimenet 2 2 3" xfId="110" xr:uid="{00000000-0005-0000-0000-000057000000}"/>
    <cellStyle name="Kimenet 2 2 4" xfId="130" xr:uid="{00000000-0005-0000-0000-000058000000}"/>
    <cellStyle name="Kimenet 2 2 5" xfId="135" xr:uid="{00000000-0005-0000-0000-000059000000}"/>
    <cellStyle name="Kimenet 2 3" xfId="120" xr:uid="{00000000-0005-0000-0000-00005A000000}"/>
    <cellStyle name="Kimenet 2 4" xfId="101" xr:uid="{00000000-0005-0000-0000-00005B000000}"/>
    <cellStyle name="Kimenet 2 5" xfId="98" xr:uid="{00000000-0005-0000-0000-00005C000000}"/>
    <cellStyle name="Látott hivatkozás 10" xfId="81" xr:uid="{00000000-0005-0000-0000-00005D000000}"/>
    <cellStyle name="Látott hivatkozás 11" xfId="83" xr:uid="{00000000-0005-0000-0000-00005E000000}"/>
    <cellStyle name="Látott hivatkozás 12" xfId="85" xr:uid="{00000000-0005-0000-0000-00005F000000}"/>
    <cellStyle name="Látott hivatkozás 13" xfId="87" xr:uid="{00000000-0005-0000-0000-000060000000}"/>
    <cellStyle name="Látott hivatkozás 14" xfId="89" xr:uid="{00000000-0005-0000-0000-000061000000}"/>
    <cellStyle name="Látott hivatkozás 15" xfId="91" xr:uid="{00000000-0005-0000-0000-000062000000}"/>
    <cellStyle name="Látott hivatkozás 16" xfId="93" xr:uid="{00000000-0005-0000-0000-000063000000}"/>
    <cellStyle name="Látott hivatkozás 17" xfId="95" xr:uid="{00000000-0005-0000-0000-000064000000}"/>
    <cellStyle name="Látott hivatkozás 18" xfId="97" xr:uid="{00000000-0005-0000-0000-000065000000}"/>
    <cellStyle name="Látott hivatkozás 2" xfId="64" xr:uid="{00000000-0005-0000-0000-000066000000}"/>
    <cellStyle name="Látott hivatkozás 3" xfId="66" xr:uid="{00000000-0005-0000-0000-000067000000}"/>
    <cellStyle name="Látott hivatkozás 4" xfId="69" xr:uid="{00000000-0005-0000-0000-000068000000}"/>
    <cellStyle name="Látott hivatkozás 5" xfId="71" xr:uid="{00000000-0005-0000-0000-000069000000}"/>
    <cellStyle name="Látott hivatkozás 6" xfId="73" xr:uid="{00000000-0005-0000-0000-00006A000000}"/>
    <cellStyle name="Látott hivatkozás 7" xfId="75" xr:uid="{00000000-0005-0000-0000-00006B000000}"/>
    <cellStyle name="Látott hivatkozás 8" xfId="77" xr:uid="{00000000-0005-0000-0000-00006C000000}"/>
    <cellStyle name="Látott hivatkozás 9" xfId="79" xr:uid="{00000000-0005-0000-0000-00006D000000}"/>
    <cellStyle name="Magyarázó szöveg 2" xfId="45" xr:uid="{00000000-0005-0000-0000-00006E000000}"/>
    <cellStyle name="Normál" xfId="0" builtinId="0"/>
    <cellStyle name="Normál 2" xfId="4" xr:uid="{00000000-0005-0000-0000-000070000000}"/>
    <cellStyle name="Normál 2 2" xfId="8" xr:uid="{00000000-0005-0000-0000-000071000000}"/>
    <cellStyle name="Normál 2 2 2" xfId="151" xr:uid="{00000000-0005-0000-0000-000072000000}"/>
    <cellStyle name="Normál 2 3" xfId="147" xr:uid="{00000000-0005-0000-0000-000073000000}"/>
    <cellStyle name="Normál 3" xfId="52" xr:uid="{00000000-0005-0000-0000-000074000000}"/>
    <cellStyle name="Normál 3 2" xfId="54" xr:uid="{00000000-0005-0000-0000-000075000000}"/>
    <cellStyle name="Normál 3 2 2" xfId="117" xr:uid="{00000000-0005-0000-0000-000076000000}"/>
    <cellStyle name="Normál 3 3" xfId="62" xr:uid="{00000000-0005-0000-0000-000077000000}"/>
    <cellStyle name="Normál 3 3 2" xfId="119" xr:uid="{00000000-0005-0000-0000-000078000000}"/>
    <cellStyle name="Normál 3 4" xfId="115" xr:uid="{00000000-0005-0000-0000-000079000000}"/>
    <cellStyle name="Normál 4" xfId="7" xr:uid="{00000000-0005-0000-0000-00007A000000}"/>
    <cellStyle name="Normál 4 2" xfId="150" xr:uid="{00000000-0005-0000-0000-00007B000000}"/>
    <cellStyle name="Normál 5" xfId="3" xr:uid="{00000000-0005-0000-0000-00007C000000}"/>
    <cellStyle name="Normál 6" xfId="140" xr:uid="{00000000-0005-0000-0000-00007D000000}"/>
    <cellStyle name="Normál 7" xfId="143" xr:uid="{00000000-0005-0000-0000-00007E000000}"/>
    <cellStyle name="Normál 7 2" xfId="157" xr:uid="{00000000-0005-0000-0000-00007F000000}"/>
    <cellStyle name="Normál 8" xfId="145" xr:uid="{00000000-0005-0000-0000-000080000000}"/>
    <cellStyle name="Normál 8 2" xfId="159" xr:uid="{00000000-0005-0000-0000-000081000000}"/>
    <cellStyle name="Összesen 2" xfId="46" xr:uid="{00000000-0005-0000-0000-000082000000}"/>
    <cellStyle name="Összesen 2 2" xfId="59" xr:uid="{00000000-0005-0000-0000-000083000000}"/>
    <cellStyle name="Összesen 2 2 2" xfId="103" xr:uid="{00000000-0005-0000-0000-000084000000}"/>
    <cellStyle name="Összesen 2 2 3" xfId="111" xr:uid="{00000000-0005-0000-0000-000085000000}"/>
    <cellStyle name="Összesen 2 2 4" xfId="129" xr:uid="{00000000-0005-0000-0000-000086000000}"/>
    <cellStyle name="Összesen 2 2 5" xfId="134" xr:uid="{00000000-0005-0000-0000-000087000000}"/>
    <cellStyle name="Összesen 2 3" xfId="125" xr:uid="{00000000-0005-0000-0000-000088000000}"/>
    <cellStyle name="Összesen 2 4" xfId="128" xr:uid="{00000000-0005-0000-0000-000089000000}"/>
    <cellStyle name="Összesen 2 5" xfId="100" xr:uid="{00000000-0005-0000-0000-00008A000000}"/>
    <cellStyle name="Pénznem 2" xfId="50" xr:uid="{00000000-0005-0000-0000-00008B000000}"/>
    <cellStyle name="Pénznem 2 2" xfId="152" xr:uid="{00000000-0005-0000-0000-00008C000000}"/>
    <cellStyle name="Pénznem 2 2 2" xfId="163" xr:uid="{B2882C45-1957-47E0-8376-5C87D212B482}"/>
    <cellStyle name="Pénznem 2 3" xfId="161" xr:uid="{879F4CD4-195F-47D3-943B-83468D8316F0}"/>
    <cellStyle name="Pénznem 3" xfId="5" xr:uid="{00000000-0005-0000-0000-00008D000000}"/>
    <cellStyle name="Pénznem 3 2" xfId="148" xr:uid="{00000000-0005-0000-0000-00008E000000}"/>
    <cellStyle name="Pénznem 3 2 2" xfId="162" xr:uid="{AB9B85BE-E422-4E7B-BD6A-DC3CB2D29904}"/>
    <cellStyle name="Pénznem 3 3" xfId="160" xr:uid="{1C981F17-D61A-4104-9BF0-D409E9C9A227}"/>
    <cellStyle name="Rossz 2" xfId="47" xr:uid="{00000000-0005-0000-0000-00008F000000}"/>
    <cellStyle name="Semleges 2" xfId="48" xr:uid="{00000000-0005-0000-0000-000090000000}"/>
    <cellStyle name="Számítás 2" xfId="49" xr:uid="{00000000-0005-0000-0000-000091000000}"/>
    <cellStyle name="Számítás 2 2" xfId="60" xr:uid="{00000000-0005-0000-0000-000092000000}"/>
    <cellStyle name="Számítás 2 2 2" xfId="102" xr:uid="{00000000-0005-0000-0000-000093000000}"/>
    <cellStyle name="Számítás 2 2 3" xfId="112" xr:uid="{00000000-0005-0000-0000-000094000000}"/>
    <cellStyle name="Számítás 2 2 4" xfId="123" xr:uid="{00000000-0005-0000-0000-000095000000}"/>
    <cellStyle name="Számítás 2 2 5" xfId="133" xr:uid="{00000000-0005-0000-0000-000096000000}"/>
    <cellStyle name="Számítás 2 3" xfId="124" xr:uid="{00000000-0005-0000-0000-000097000000}"/>
    <cellStyle name="Számítás 2 4" xfId="127" xr:uid="{00000000-0005-0000-0000-000098000000}"/>
    <cellStyle name="Számítás 2 5" xfId="113" xr:uid="{00000000-0005-0000-0000-000099000000}"/>
    <cellStyle name="Százalék" xfId="138" builtinId="5"/>
    <cellStyle name="Százalék 2" xfId="51" xr:uid="{00000000-0005-0000-0000-00009B000000}"/>
    <cellStyle name="Százalék 2 2" xfId="153" xr:uid="{00000000-0005-0000-0000-00009C000000}"/>
    <cellStyle name="Százalék 3" xfId="6" xr:uid="{00000000-0005-0000-0000-00009D000000}"/>
    <cellStyle name="Százalék 3 2" xfId="149" xr:uid="{00000000-0005-0000-0000-00009E000000}"/>
    <cellStyle name="TableStyleLight1" xfId="55" xr:uid="{00000000-0005-0000-0000-00009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>
    <pageSetUpPr fitToPage="1"/>
  </sheetPr>
  <dimension ref="A1:Q20"/>
  <sheetViews>
    <sheetView zoomScaleNormal="100" workbookViewId="0">
      <selection activeCell="G20" sqref="G20:H20"/>
    </sheetView>
  </sheetViews>
  <sheetFormatPr defaultRowHeight="15" x14ac:dyDescent="0.25"/>
  <cols>
    <col min="1" max="1" width="27.140625" customWidth="1"/>
    <col min="2" max="2" width="15.5703125" customWidth="1"/>
    <col min="3" max="5" width="15.85546875" customWidth="1"/>
    <col min="6" max="6" width="17.5703125" customWidth="1"/>
    <col min="7" max="7" width="16.42578125" customWidth="1"/>
    <col min="8" max="8" width="17.7109375" customWidth="1"/>
    <col min="9" max="9" width="18.5703125" customWidth="1"/>
    <col min="11" max="17" width="12.7109375" customWidth="1"/>
  </cols>
  <sheetData>
    <row r="1" spans="1:17" ht="15" customHeight="1" x14ac:dyDescent="0.25">
      <c r="A1" s="119" t="s">
        <v>83</v>
      </c>
      <c r="B1" s="119"/>
      <c r="C1" s="119"/>
      <c r="D1" s="119"/>
      <c r="E1" s="119"/>
      <c r="F1" s="120"/>
      <c r="G1" s="120"/>
      <c r="H1" s="120"/>
      <c r="I1" s="120"/>
      <c r="K1" s="180" t="s">
        <v>153</v>
      </c>
      <c r="L1" s="181"/>
      <c r="M1" s="181"/>
      <c r="N1" s="181"/>
      <c r="O1" s="182"/>
      <c r="P1" s="182"/>
      <c r="Q1" s="183"/>
    </row>
    <row r="2" spans="1:17" ht="39.75" customHeight="1" x14ac:dyDescent="0.25">
      <c r="A2" s="89"/>
      <c r="B2" s="90" t="s">
        <v>58</v>
      </c>
      <c r="C2" s="90" t="s">
        <v>59</v>
      </c>
      <c r="D2" s="90" t="s">
        <v>73</v>
      </c>
      <c r="E2" s="90" t="s">
        <v>74</v>
      </c>
      <c r="F2" s="90" t="s">
        <v>57</v>
      </c>
      <c r="G2" s="90" t="s">
        <v>43</v>
      </c>
      <c r="H2" s="90" t="s">
        <v>42</v>
      </c>
      <c r="I2" s="89" t="s">
        <v>41</v>
      </c>
      <c r="K2" s="184" t="s">
        <v>154</v>
      </c>
      <c r="L2" s="185" t="s">
        <v>6</v>
      </c>
      <c r="M2" s="185" t="s">
        <v>53</v>
      </c>
      <c r="N2" s="185" t="s">
        <v>155</v>
      </c>
      <c r="O2" s="185" t="s">
        <v>156</v>
      </c>
      <c r="P2" s="185" t="s">
        <v>157</v>
      </c>
      <c r="Q2" s="186" t="s">
        <v>158</v>
      </c>
    </row>
    <row r="3" spans="1:17" x14ac:dyDescent="0.25">
      <c r="A3" s="113" t="s">
        <v>60</v>
      </c>
      <c r="B3" s="114"/>
      <c r="C3" s="114"/>
      <c r="D3" s="114"/>
      <c r="E3" s="114"/>
      <c r="F3" s="115"/>
      <c r="G3" s="115"/>
      <c r="H3" s="115"/>
      <c r="I3" s="115"/>
      <c r="K3" s="187"/>
      <c r="L3" s="188"/>
      <c r="M3" s="188"/>
      <c r="N3" s="189"/>
      <c r="O3" s="189"/>
      <c r="P3" s="189"/>
      <c r="Q3" s="190"/>
    </row>
    <row r="4" spans="1:17" x14ac:dyDescent="0.25">
      <c r="A4" s="110" t="s">
        <v>56</v>
      </c>
      <c r="B4" s="111">
        <v>45680300</v>
      </c>
      <c r="C4" s="111">
        <v>47950300</v>
      </c>
      <c r="D4" s="111">
        <v>49730000</v>
      </c>
      <c r="E4" s="111">
        <v>51490600</v>
      </c>
      <c r="F4" s="112">
        <f>SUM(B4:E4)</f>
        <v>194851200</v>
      </c>
      <c r="G4" s="112">
        <f>SUMIFS(Bérköltség!$N$6:$N$175,Bérköltség!$G$6:$G$175,$A4,Bérköltség!$F$6:$F$175,"Tény")</f>
        <v>9288174</v>
      </c>
      <c r="H4" s="112">
        <f>SUMIFS(Bérköltség!$N$6:$N$175,Bérköltség!$G$6:$G$175,$A4,Bérköltség!$F$6:$F$175,"Köt. váll.")</f>
        <v>40460432</v>
      </c>
      <c r="I4" s="112">
        <f>F4-G4-H4</f>
        <v>145102594</v>
      </c>
      <c r="K4" s="191" t="s">
        <v>44</v>
      </c>
      <c r="L4" s="192" t="s">
        <v>84</v>
      </c>
      <c r="M4" s="193">
        <v>255994536</v>
      </c>
      <c r="N4" s="194">
        <f>SUMIFS(Bérköltség!$N$6:$N$175,Bérköltség!$C$6:$C$175,$L4,Bérköltség!$F$6:$F$175,"Tény")+SUMIFS(Bérköltség!$O$6:$O$175,Bérköltség!$C$6:$C$175,$L4,Bérköltség!$F$6:$F$175,"Tény")+SUMIFS(Dologi_felhalm.!$I$8:$I$24,Dologi_felhalm.!$K$8:$K$24,$L4,Dologi_felhalm.!$J$8:$J$24,"Tény")</f>
        <v>8381210</v>
      </c>
      <c r="O4" s="194">
        <f>M4-N4</f>
        <v>247613326</v>
      </c>
      <c r="P4" s="194">
        <f>SUMIFS(Bérköltség!$N$6:$N$175,Bérköltség!$C$6:$C$175,$L4,Bérköltség!$F$6:$F$175,"Köt. váll.")+SUMIFS(Bérköltség!$O$6:$O$175,Bérköltség!$C$6:$C$175,$L4,Bérköltség!$F$6:$F$175,"Köt. váll.")+SUMIFS(Dologi_felhalm.!$I$8:$I$24,Dologi_felhalm.!$K$8:$K$24,$L4,Dologi_felhalm.!$J$8:$J$24,"Köt. váll.")</f>
        <v>45575708</v>
      </c>
      <c r="Q4" s="195">
        <f>O4-P4</f>
        <v>202037618</v>
      </c>
    </row>
    <row r="5" spans="1:17" x14ac:dyDescent="0.25">
      <c r="A5" s="110" t="s">
        <v>136</v>
      </c>
      <c r="B5" s="111">
        <v>2460700</v>
      </c>
      <c r="C5" s="111">
        <v>2580120</v>
      </c>
      <c r="D5" s="111">
        <v>2860150</v>
      </c>
      <c r="E5" s="111">
        <v>3204500</v>
      </c>
      <c r="F5" s="112">
        <f t="shared" ref="F5:F18" si="0">SUM(B5:E5)</f>
        <v>11105470</v>
      </c>
      <c r="G5" s="112">
        <f>SUMIFS(Bérköltség!$N$6:$N$175,Bérköltség!$G$6:$G$175,$A5,Bérköltség!$F$6:$F$175,"Tény")</f>
        <v>0</v>
      </c>
      <c r="H5" s="112">
        <f>SUMIFS(Bérköltség!$N$6:$N$175,Bérköltség!$G$6:$G$175,$A5,Bérköltség!$F$6:$F$175,"Köt. váll.")</f>
        <v>0</v>
      </c>
      <c r="I5" s="112">
        <f t="shared" ref="I5:I18" si="1">F5-G5-H5</f>
        <v>11105470</v>
      </c>
      <c r="K5" s="191" t="s">
        <v>14</v>
      </c>
      <c r="L5" s="192" t="s">
        <v>85</v>
      </c>
      <c r="M5" s="193">
        <v>63998634</v>
      </c>
      <c r="N5" s="194">
        <f>SUMIFS(Bérköltség!$N$6:$N$175,Bérköltség!$C$6:$C$175,$L5,Bérköltség!$F$6:$F$175,"Tény")+SUMIFS(Bérköltség!$O$6:$O$175,Bérköltség!$C$6:$C$175,$L5,Bérköltség!$F$6:$F$175,"Tény")+SUMIFS(Dologi_felhalm.!$I$8:$I$24,Dologi_felhalm.!$K$8:$K$24,$L5,Dologi_felhalm.!$J$8:$J$24,"Tény")</f>
        <v>2084268</v>
      </c>
      <c r="O5" s="194">
        <f t="shared" ref="O5" si="2">M5-N5</f>
        <v>61914366</v>
      </c>
      <c r="P5" s="194">
        <f>SUMIFS(Bérköltség!$N$6:$N$175,Bérköltség!$C$6:$C$175,$L5,Bérköltség!$F$6:$F$175,"Köt. váll.")+SUMIFS(Bérköltség!$O$6:$O$175,Bérköltség!$C$6:$C$175,$L5,Bérköltség!$F$6:$F$175,"Köt. váll.")+SUMIFS(Dologi_felhalm.!$I$8:$I$24,Dologi_felhalm.!$K$8:$K$24,$L5,Dologi_felhalm.!$J$8:$J$24,"Köt. váll.")</f>
        <v>1714656</v>
      </c>
      <c r="Q5" s="195">
        <f t="shared" ref="Q5" si="3">O5-P5</f>
        <v>60199710</v>
      </c>
    </row>
    <row r="6" spans="1:17" ht="15.75" thickBot="1" x14ac:dyDescent="0.3">
      <c r="A6" s="155" t="s">
        <v>79</v>
      </c>
      <c r="B6" s="156">
        <f>SUM(B4:B5)</f>
        <v>48141000</v>
      </c>
      <c r="C6" s="156">
        <f t="shared" ref="C6:H6" si="4">SUM(C4:C5)</f>
        <v>50530420</v>
      </c>
      <c r="D6" s="156">
        <f t="shared" si="4"/>
        <v>52590150</v>
      </c>
      <c r="E6" s="156">
        <f t="shared" si="4"/>
        <v>54695100</v>
      </c>
      <c r="F6" s="156">
        <f t="shared" si="0"/>
        <v>205956670</v>
      </c>
      <c r="G6" s="156">
        <f t="shared" si="4"/>
        <v>9288174</v>
      </c>
      <c r="H6" s="156">
        <f t="shared" si="4"/>
        <v>40460432</v>
      </c>
      <c r="I6" s="156">
        <f t="shared" si="1"/>
        <v>156208064</v>
      </c>
      <c r="K6" s="202" t="s">
        <v>159</v>
      </c>
      <c r="L6" s="201"/>
      <c r="M6" s="196">
        <f>SUM(M4:M5)</f>
        <v>319993170</v>
      </c>
      <c r="N6" s="196">
        <f>SUM(N4:N5)</f>
        <v>10465478</v>
      </c>
      <c r="O6" s="196">
        <f>SUM(O4:O5)</f>
        <v>309527692</v>
      </c>
      <c r="P6" s="196">
        <f>SUM(P4:P5)</f>
        <v>47290364</v>
      </c>
      <c r="Q6" s="196">
        <f>SUM(Q4:Q5)</f>
        <v>262237328</v>
      </c>
    </row>
    <row r="7" spans="1:17" x14ac:dyDescent="0.25">
      <c r="A7" s="110" t="s">
        <v>137</v>
      </c>
      <c r="B7" s="111">
        <v>6852045</v>
      </c>
      <c r="C7" s="111">
        <v>7192545</v>
      </c>
      <c r="D7" s="111">
        <v>7459500</v>
      </c>
      <c r="E7" s="111">
        <v>7723590</v>
      </c>
      <c r="F7" s="112">
        <f t="shared" si="0"/>
        <v>29227680</v>
      </c>
      <c r="G7" s="112">
        <f>SUMIFS(Bérköltség!$O$6:$O$175,Bérköltség!$F$6:$F$175,"Tény")</f>
        <v>1177304</v>
      </c>
      <c r="H7" s="112">
        <f>SUMIFS(Bérköltség!$O$6:$O$175,Bérköltség!$F$6:$F$175,"Köt. váll.")</f>
        <v>5259856</v>
      </c>
      <c r="I7" s="112">
        <f t="shared" si="1"/>
        <v>22790520</v>
      </c>
    </row>
    <row r="8" spans="1:17" x14ac:dyDescent="0.25">
      <c r="A8" s="155" t="s">
        <v>82</v>
      </c>
      <c r="B8" s="156">
        <f>B7+B6</f>
        <v>54993045</v>
      </c>
      <c r="C8" s="156">
        <f t="shared" ref="C8:H8" si="5">C7+C6</f>
        <v>57722965</v>
      </c>
      <c r="D8" s="156">
        <f t="shared" si="5"/>
        <v>60049650</v>
      </c>
      <c r="E8" s="156">
        <f t="shared" si="5"/>
        <v>62418690</v>
      </c>
      <c r="F8" s="156">
        <f t="shared" si="0"/>
        <v>235184350</v>
      </c>
      <c r="G8" s="156">
        <f t="shared" si="5"/>
        <v>10465478</v>
      </c>
      <c r="H8" s="156">
        <f t="shared" si="5"/>
        <v>45720288</v>
      </c>
      <c r="I8" s="156">
        <f t="shared" si="1"/>
        <v>178998584</v>
      </c>
    </row>
    <row r="9" spans="1:17" x14ac:dyDescent="0.25">
      <c r="A9" s="160" t="s">
        <v>55</v>
      </c>
      <c r="B9" s="161">
        <v>3417354</v>
      </c>
      <c r="C9" s="161">
        <v>2771764</v>
      </c>
      <c r="D9" s="161">
        <v>2063102</v>
      </c>
      <c r="E9" s="161">
        <v>1244646</v>
      </c>
      <c r="F9" s="162">
        <f t="shared" si="0"/>
        <v>9496866</v>
      </c>
      <c r="G9" s="162">
        <f>SUMIFS(Dologi_felhalm.!$G$8:$G$24,Dologi_felhalm.!$B$8:$B$24,$A9,Dologi_felhalm.!$J$8:$J$24,"Tény")</f>
        <v>0</v>
      </c>
      <c r="H9" s="162">
        <f>SUMIFS(Dologi_felhalm.!$G$8:$G$24,Dologi_felhalm.!$B$8:$B$24,$A9,Dologi_felhalm.!$J$8:$J$24,"Köt. váll.")</f>
        <v>0</v>
      </c>
      <c r="I9" s="162">
        <f t="shared" si="1"/>
        <v>9496866</v>
      </c>
    </row>
    <row r="10" spans="1:17" x14ac:dyDescent="0.25">
      <c r="A10" s="160" t="s">
        <v>143</v>
      </c>
      <c r="B10" s="174"/>
      <c r="C10" s="174"/>
      <c r="D10" s="174"/>
      <c r="E10" s="174"/>
      <c r="F10" s="175"/>
      <c r="G10" s="162">
        <f>SUMIFS(Dologi_felhalm.!$H$8:$H$24,Dologi_felhalm.!$B$8:$B$24,$A9,Dologi_felhalm.!$J$8:$J$24,"Tény")</f>
        <v>0</v>
      </c>
      <c r="H10" s="162">
        <f>SUMIFS(Dologi_felhalm.!$H$8:$H$24,Dologi_felhalm.!$B$8:$B$24,$A9,Dologi_felhalm.!$J$8:$J$24,"Köt. váll.")</f>
        <v>0</v>
      </c>
      <c r="I10" s="162">
        <f t="shared" si="1"/>
        <v>0</v>
      </c>
    </row>
    <row r="11" spans="1:17" x14ac:dyDescent="0.25">
      <c r="A11" s="160" t="s">
        <v>76</v>
      </c>
      <c r="B11" s="161">
        <v>3450600</v>
      </c>
      <c r="C11" s="161">
        <v>2180600</v>
      </c>
      <c r="D11" s="161">
        <v>1330200</v>
      </c>
      <c r="E11" s="161">
        <v>0</v>
      </c>
      <c r="F11" s="162">
        <f t="shared" si="0"/>
        <v>6961400</v>
      </c>
      <c r="G11" s="162">
        <f>SUMIFS(Dologi_felhalm.!$G$8:$G$24,Dologi_felhalm.!$B$8:$B$24,$A11,Dologi_felhalm.!$J$8:$J$24,"Tény")</f>
        <v>0</v>
      </c>
      <c r="H11" s="162">
        <f>SUMIFS(Dologi_felhalm.!$G$8:$G$24,Dologi_felhalm.!$B$8:$B$24,$A11,Dologi_felhalm.!$J$8:$J$24,"Köt. váll.")</f>
        <v>0</v>
      </c>
      <c r="I11" s="162">
        <f t="shared" si="1"/>
        <v>6961400</v>
      </c>
    </row>
    <row r="12" spans="1:17" x14ac:dyDescent="0.25">
      <c r="A12" s="160" t="s">
        <v>145</v>
      </c>
      <c r="B12" s="174"/>
      <c r="C12" s="174"/>
      <c r="D12" s="174"/>
      <c r="E12" s="174"/>
      <c r="F12" s="175"/>
      <c r="G12" s="162">
        <f>SUMIFS(Dologi_felhalm.!$H$8:$H$24,Dologi_felhalm.!$B$8:$B$24,$A11,Dologi_felhalm.!$J$8:$J$24,"Tény")</f>
        <v>0</v>
      </c>
      <c r="H12" s="162">
        <f>SUMIFS(Dologi_felhalm.!$H$8:$H$24,Dologi_felhalm.!$B$8:$B$24,$A11,Dologi_felhalm.!$J$8:$J$24,"Köt. váll.")</f>
        <v>0</v>
      </c>
      <c r="I12" s="162">
        <f t="shared" si="1"/>
        <v>0</v>
      </c>
    </row>
    <row r="13" spans="1:17" x14ac:dyDescent="0.25">
      <c r="A13" s="160" t="s">
        <v>144</v>
      </c>
      <c r="B13" s="161">
        <v>922686</v>
      </c>
      <c r="C13" s="161">
        <v>748376</v>
      </c>
      <c r="D13" s="161">
        <v>557038</v>
      </c>
      <c r="E13" s="161">
        <v>336054</v>
      </c>
      <c r="F13" s="162">
        <f t="shared" ref="F13" si="6">SUM(B13:E13)</f>
        <v>2564154</v>
      </c>
      <c r="G13" s="162">
        <f>G12+G10</f>
        <v>0</v>
      </c>
      <c r="H13" s="162">
        <f>H12+H10</f>
        <v>0</v>
      </c>
      <c r="I13" s="162">
        <f t="shared" si="1"/>
        <v>2564154</v>
      </c>
    </row>
    <row r="14" spans="1:17" x14ac:dyDescent="0.25">
      <c r="A14" s="155" t="s">
        <v>80</v>
      </c>
      <c r="B14" s="156">
        <f>B9+B11+B13</f>
        <v>7790640</v>
      </c>
      <c r="C14" s="156">
        <f t="shared" ref="C14:H14" si="7">C9+C11+C13</f>
        <v>5700740</v>
      </c>
      <c r="D14" s="156">
        <f t="shared" si="7"/>
        <v>3950340</v>
      </c>
      <c r="E14" s="156">
        <f t="shared" si="7"/>
        <v>1580700</v>
      </c>
      <c r="F14" s="156">
        <f t="shared" si="7"/>
        <v>19022420</v>
      </c>
      <c r="G14" s="156">
        <f t="shared" si="7"/>
        <v>0</v>
      </c>
      <c r="H14" s="156">
        <f t="shared" si="7"/>
        <v>0</v>
      </c>
      <c r="I14" s="156">
        <f t="shared" si="1"/>
        <v>19022420</v>
      </c>
    </row>
    <row r="15" spans="1:17" x14ac:dyDescent="0.25">
      <c r="A15" s="116" t="s">
        <v>138</v>
      </c>
      <c r="B15" s="117">
        <v>957480</v>
      </c>
      <c r="C15" s="117">
        <v>449134</v>
      </c>
      <c r="D15" s="117">
        <v>0</v>
      </c>
      <c r="E15" s="117">
        <v>0</v>
      </c>
      <c r="F15" s="118">
        <f t="shared" si="0"/>
        <v>1406614</v>
      </c>
      <c r="G15" s="118">
        <f>SUMIFS(Dologi_felhalm.!$G$8:$G$24,Dologi_felhalm.!$B$8:$B$24,$A15,Dologi_felhalm.!$J$8:$J$24,"Tény")</f>
        <v>0</v>
      </c>
      <c r="H15" s="118">
        <f>SUMIFS(Dologi_felhalm.!$G$8:$G$24,Dologi_felhalm.!$B$8:$B$24,$A15,Dologi_felhalm.!$J$8:$J$24,"Köt. váll.")</f>
        <v>1236280</v>
      </c>
      <c r="I15" s="118">
        <f t="shared" si="1"/>
        <v>170334</v>
      </c>
    </row>
    <row r="16" spans="1:17" x14ac:dyDescent="0.25">
      <c r="A16" s="116" t="s">
        <v>77</v>
      </c>
      <c r="B16" s="117">
        <v>258520</v>
      </c>
      <c r="C16" s="117">
        <v>121266</v>
      </c>
      <c r="D16" s="117">
        <v>0</v>
      </c>
      <c r="E16" s="117">
        <v>0</v>
      </c>
      <c r="F16" s="118">
        <f t="shared" si="0"/>
        <v>379786</v>
      </c>
      <c r="G16" s="118">
        <f>SUMIFS(Dologi_felhalm.!$H$8:$H$24,Dologi_felhalm.!$B$8:$B$24,$A15,Dologi_felhalm.!$J$8:$J$24,"Tény")</f>
        <v>0</v>
      </c>
      <c r="H16" s="118">
        <f>SUMIFS(Dologi_felhalm.!$H$8:$H$24,Dologi_felhalm.!$B$8:$B$24,$A15,Dologi_felhalm.!$J$8:$J$24,"Köt. váll.")</f>
        <v>333796</v>
      </c>
      <c r="I16" s="118">
        <f t="shared" si="1"/>
        <v>45990</v>
      </c>
    </row>
    <row r="17" spans="1:9" x14ac:dyDescent="0.25">
      <c r="A17" s="155" t="s">
        <v>81</v>
      </c>
      <c r="B17" s="156">
        <f>SUM(B15:B16)</f>
        <v>1216000</v>
      </c>
      <c r="C17" s="156">
        <f t="shared" ref="C17:E17" si="8">SUM(C15:C16)</f>
        <v>570400</v>
      </c>
      <c r="D17" s="156">
        <f t="shared" si="8"/>
        <v>0</v>
      </c>
      <c r="E17" s="156">
        <f t="shared" si="8"/>
        <v>0</v>
      </c>
      <c r="F17" s="156">
        <f t="shared" si="0"/>
        <v>1786400</v>
      </c>
      <c r="G17" s="156"/>
      <c r="H17" s="156"/>
      <c r="I17" s="156">
        <f t="shared" si="1"/>
        <v>1786400</v>
      </c>
    </row>
    <row r="18" spans="1:9" x14ac:dyDescent="0.25">
      <c r="A18" s="150" t="s">
        <v>78</v>
      </c>
      <c r="B18" s="151">
        <v>16000000</v>
      </c>
      <c r="C18" s="151">
        <v>16000000</v>
      </c>
      <c r="D18" s="151">
        <v>16000000</v>
      </c>
      <c r="E18" s="151">
        <v>16000000</v>
      </c>
      <c r="F18" s="152">
        <f t="shared" si="0"/>
        <v>64000000</v>
      </c>
      <c r="G18" s="152">
        <f>SUMIFS(Dologi_felhalm.!$G$8:$G$24,Dologi_felhalm.!$B$8:$B$24,$A18,Dologi_felhalm.!$J$8:$J$24,"Tény")</f>
        <v>0</v>
      </c>
      <c r="H18" s="152">
        <f>SUMIFS(Dologi_felhalm.!$G$8:$G$24,Dologi_felhalm.!$B$8:$B$24,$A18,Dologi_felhalm.!$J$8:$J$24,"Köt. váll.")</f>
        <v>0</v>
      </c>
      <c r="I18" s="152">
        <f t="shared" si="1"/>
        <v>64000000</v>
      </c>
    </row>
    <row r="19" spans="1:9" x14ac:dyDescent="0.25">
      <c r="A19" s="157"/>
      <c r="B19" s="158"/>
      <c r="C19" s="158"/>
      <c r="D19" s="158"/>
      <c r="E19" s="158"/>
      <c r="F19" s="159"/>
      <c r="G19" s="159"/>
      <c r="H19" s="159"/>
      <c r="I19" s="159"/>
    </row>
    <row r="20" spans="1:9" ht="15.75" x14ac:dyDescent="0.25">
      <c r="A20" s="176" t="s">
        <v>45</v>
      </c>
      <c r="B20" s="177">
        <f>B18+B17+B14+B8</f>
        <v>79999685</v>
      </c>
      <c r="C20" s="177">
        <f t="shared" ref="C20:I20" si="9">C18+C17+C14+C8</f>
        <v>79994105</v>
      </c>
      <c r="D20" s="177">
        <f t="shared" si="9"/>
        <v>79999990</v>
      </c>
      <c r="E20" s="177">
        <f t="shared" si="9"/>
        <v>79999390</v>
      </c>
      <c r="F20" s="177">
        <f t="shared" si="9"/>
        <v>319993170</v>
      </c>
      <c r="G20" s="177">
        <f t="shared" si="9"/>
        <v>10465478</v>
      </c>
      <c r="H20" s="177">
        <f t="shared" si="9"/>
        <v>45720288</v>
      </c>
      <c r="I20" s="177">
        <f t="shared" si="9"/>
        <v>263807404</v>
      </c>
    </row>
  </sheetData>
  <customSheetViews>
    <customSheetView guid="{B3053EE5-F487-4331-B4B6-28A1F2EF1617}" scale="85" showAutoFilter="1">
      <selection activeCell="H12" sqref="H12"/>
      <pageMargins left="0.7" right="0.7" top="0.75" bottom="0.75" header="0.3" footer="0.3"/>
      <pageSetup paperSize="9" orientation="landscape" horizontalDpi="4294967293" r:id="rId1"/>
      <autoFilter ref="A3:L77" xr:uid="{E545BFA3-297A-4160-8F24-A019B2F0CD2A}"/>
    </customSheetView>
  </customSheetViews>
  <phoneticPr fontId="4" type="noConversion"/>
  <pageMargins left="0.7" right="0.7" top="0.75" bottom="0.75" header="0.3" footer="0.3"/>
  <pageSetup paperSize="9" scale="35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Y256"/>
  <sheetViews>
    <sheetView tabSelected="1" zoomScaleNormal="100" workbookViewId="0">
      <pane ySplit="5" topLeftCell="A129" activePane="bottomLeft" state="frozen"/>
      <selection activeCell="A1200" sqref="A1200"/>
      <selection pane="bottomLeft" activeCell="R1" sqref="R1"/>
    </sheetView>
  </sheetViews>
  <sheetFormatPr defaultRowHeight="15" outlineLevelRow="1" x14ac:dyDescent="0.25"/>
  <cols>
    <col min="1" max="1" width="33.7109375" customWidth="1"/>
    <col min="2" max="2" width="17.42578125" customWidth="1"/>
    <col min="3" max="3" width="16.5703125" customWidth="1"/>
    <col min="4" max="4" width="15.42578125" customWidth="1"/>
    <col min="5" max="5" width="16.7109375" style="19" customWidth="1"/>
    <col min="6" max="7" width="13.7109375" customWidth="1"/>
    <col min="8" max="8" width="10" customWidth="1"/>
    <col min="9" max="10" width="11.85546875" style="1" customWidth="1"/>
    <col min="11" max="11" width="11.140625" style="19" customWidth="1"/>
    <col min="12" max="13" width="11" style="60" customWidth="1"/>
    <col min="14" max="14" width="13" style="3" customWidth="1"/>
    <col min="15" max="15" width="13.28515625" style="3" customWidth="1"/>
    <col min="16" max="16" width="12.140625" style="41" customWidth="1"/>
    <col min="17" max="17" width="9.85546875" customWidth="1"/>
    <col min="18" max="18" width="12.42578125" customWidth="1"/>
    <col min="19" max="19" width="16.42578125" style="19" customWidth="1"/>
    <col min="20" max="20" width="10.5703125" style="76" customWidth="1"/>
    <col min="21" max="21" width="10.5703125" style="19" customWidth="1"/>
    <col min="22" max="22" width="15" style="1" customWidth="1"/>
    <col min="23" max="23" width="12.140625" customWidth="1"/>
    <col min="24" max="24" width="11.140625" customWidth="1"/>
    <col min="25" max="25" width="10.85546875" customWidth="1"/>
  </cols>
  <sheetData>
    <row r="1" spans="1:25" x14ac:dyDescent="0.25">
      <c r="A1" t="s">
        <v>233</v>
      </c>
      <c r="C1" t="s">
        <v>257</v>
      </c>
      <c r="D1" t="s">
        <v>235</v>
      </c>
      <c r="E1" s="19" t="s">
        <v>258</v>
      </c>
      <c r="N1" s="3" t="s">
        <v>15</v>
      </c>
      <c r="O1" s="3" t="s">
        <v>231</v>
      </c>
      <c r="R1" t="s">
        <v>234</v>
      </c>
      <c r="V1" s="1" t="s">
        <v>259</v>
      </c>
    </row>
    <row r="2" spans="1:25" ht="30" customHeight="1" x14ac:dyDescent="0.25">
      <c r="A2" s="218" t="s">
        <v>72</v>
      </c>
      <c r="B2" s="218"/>
      <c r="C2" s="218"/>
      <c r="D2" s="218"/>
      <c r="E2" s="218"/>
      <c r="F2" s="127"/>
      <c r="G2" s="127"/>
      <c r="H2" s="30"/>
      <c r="I2" s="127"/>
      <c r="J2" s="99"/>
      <c r="K2" s="76"/>
      <c r="L2" s="100"/>
      <c r="M2" s="100"/>
      <c r="N2" s="128"/>
      <c r="O2" s="128"/>
      <c r="P2" s="101"/>
      <c r="Q2" s="9"/>
      <c r="R2" s="9"/>
      <c r="S2" s="76"/>
      <c r="U2" s="76"/>
      <c r="V2" s="98"/>
      <c r="W2" s="28" t="e">
        <f>IF(VLOOKUP($R2,'Havi béradatok'!$B:$E,2,FALSE)=D2,"EGYEZIK","HIBÁS")</f>
        <v>#N/A</v>
      </c>
      <c r="X2" s="207" t="e">
        <f>VLOOKUP($R2,'Havi béradatok'!$B:$E,3,FALSE)-I2</f>
        <v>#N/A</v>
      </c>
      <c r="Y2" s="208" t="e">
        <f>VLOOKUP($R2,'Havi béradatok'!$B:$E,4,FALSE)-J2</f>
        <v>#N/A</v>
      </c>
    </row>
    <row r="3" spans="1:25" ht="15" customHeight="1" x14ac:dyDescent="0.25">
      <c r="A3" s="4" t="s">
        <v>0</v>
      </c>
      <c r="B3" s="4"/>
      <c r="C3" s="4"/>
      <c r="D3" s="4"/>
      <c r="E3" s="52"/>
      <c r="F3" s="61"/>
      <c r="G3" s="154"/>
      <c r="H3" s="43" t="s">
        <v>19</v>
      </c>
      <c r="I3" s="102"/>
      <c r="J3" s="103"/>
      <c r="K3" s="57" t="s">
        <v>24</v>
      </c>
      <c r="L3" s="57" t="s">
        <v>29</v>
      </c>
      <c r="M3" s="103" t="s">
        <v>147</v>
      </c>
      <c r="N3" s="47"/>
      <c r="O3" s="47"/>
      <c r="P3" s="57" t="s">
        <v>1</v>
      </c>
      <c r="Q3" s="104"/>
      <c r="R3" s="104"/>
      <c r="S3" s="77" t="s">
        <v>38</v>
      </c>
      <c r="T3" s="77" t="s">
        <v>18</v>
      </c>
      <c r="U3" s="124"/>
      <c r="V3" s="105"/>
      <c r="W3" s="203"/>
      <c r="X3" s="203"/>
      <c r="Y3" s="203"/>
    </row>
    <row r="4" spans="1:25" ht="24.75" customHeight="1" x14ac:dyDescent="0.25">
      <c r="A4" s="5" t="s">
        <v>7</v>
      </c>
      <c r="B4" s="5" t="s">
        <v>64</v>
      </c>
      <c r="C4" s="53" t="s">
        <v>13</v>
      </c>
      <c r="D4" s="53" t="s">
        <v>13</v>
      </c>
      <c r="E4" s="53" t="s">
        <v>3</v>
      </c>
      <c r="F4" s="53" t="s">
        <v>8</v>
      </c>
      <c r="G4" s="44" t="s">
        <v>62</v>
      </c>
      <c r="H4" s="44" t="s">
        <v>20</v>
      </c>
      <c r="I4" s="106" t="s">
        <v>22</v>
      </c>
      <c r="J4" s="50" t="s">
        <v>17</v>
      </c>
      <c r="K4" s="50" t="s">
        <v>25</v>
      </c>
      <c r="L4" s="7" t="s">
        <v>27</v>
      </c>
      <c r="M4" s="7" t="s">
        <v>148</v>
      </c>
      <c r="N4" s="11" t="s">
        <v>27</v>
      </c>
      <c r="O4" s="11" t="s">
        <v>27</v>
      </c>
      <c r="P4" s="11" t="s">
        <v>47</v>
      </c>
      <c r="Q4" s="78" t="s">
        <v>46</v>
      </c>
      <c r="R4" s="78" t="s">
        <v>160</v>
      </c>
      <c r="S4" s="78" t="s">
        <v>35</v>
      </c>
      <c r="T4" s="78" t="s">
        <v>36</v>
      </c>
      <c r="U4" s="124"/>
      <c r="V4" s="105"/>
      <c r="W4" s="204" t="s">
        <v>6</v>
      </c>
      <c r="X4" s="204" t="s">
        <v>15</v>
      </c>
      <c r="Y4" s="204" t="s">
        <v>231</v>
      </c>
    </row>
    <row r="5" spans="1:25" ht="18.75" customHeight="1" x14ac:dyDescent="0.25">
      <c r="A5" s="6" t="s">
        <v>32</v>
      </c>
      <c r="B5" s="6" t="s">
        <v>65</v>
      </c>
      <c r="C5" s="54" t="s">
        <v>34</v>
      </c>
      <c r="D5" s="6" t="s">
        <v>37</v>
      </c>
      <c r="E5" s="54" t="s">
        <v>33</v>
      </c>
      <c r="F5" s="54" t="s">
        <v>9</v>
      </c>
      <c r="G5" s="45" t="s">
        <v>135</v>
      </c>
      <c r="H5" s="45" t="s">
        <v>21</v>
      </c>
      <c r="I5" s="107" t="s">
        <v>23</v>
      </c>
      <c r="J5" s="51" t="s">
        <v>68</v>
      </c>
      <c r="K5" s="51" t="s">
        <v>26</v>
      </c>
      <c r="L5" s="8" t="s">
        <v>26</v>
      </c>
      <c r="M5" s="8" t="s">
        <v>30</v>
      </c>
      <c r="N5" s="8" t="s">
        <v>22</v>
      </c>
      <c r="O5" s="8" t="s">
        <v>28</v>
      </c>
      <c r="P5" s="58" t="s">
        <v>48</v>
      </c>
      <c r="Q5" s="79" t="s">
        <v>30</v>
      </c>
      <c r="R5" s="79" t="s">
        <v>161</v>
      </c>
      <c r="S5" s="79" t="s">
        <v>31</v>
      </c>
      <c r="T5" s="79" t="s">
        <v>21</v>
      </c>
      <c r="U5" s="124" t="s">
        <v>66</v>
      </c>
      <c r="V5" s="108"/>
      <c r="W5" s="205" t="s">
        <v>232</v>
      </c>
      <c r="X5" s="205" t="s">
        <v>232</v>
      </c>
      <c r="Y5" s="205" t="s">
        <v>232</v>
      </c>
    </row>
    <row r="6" spans="1:25" s="9" customFormat="1" ht="14.45" customHeight="1" x14ac:dyDescent="0.25">
      <c r="A6" s="29"/>
      <c r="B6" s="29"/>
      <c r="C6" s="48"/>
      <c r="D6" s="48"/>
      <c r="E6" s="48"/>
      <c r="F6" s="64"/>
      <c r="G6" s="64" t="str">
        <f t="shared" ref="G6:G147" si="0">IF(H6="Napidíj","Nem rendszeres juttatás","Bérköltség")</f>
        <v>Bérköltség</v>
      </c>
      <c r="H6" s="29"/>
      <c r="I6" s="65"/>
      <c r="J6" s="65">
        <f t="shared" ref="J6" si="1">ROUND(I6*Q6,0)</f>
        <v>0</v>
      </c>
      <c r="K6" s="66"/>
      <c r="L6" s="66"/>
      <c r="M6" s="178" t="e">
        <f t="shared" ref="M6" si="2">L6/K6</f>
        <v>#DIV/0!</v>
      </c>
      <c r="N6" s="97"/>
      <c r="O6" s="97"/>
      <c r="P6" s="109" t="e">
        <f t="shared" ref="P6:P7" si="3">L6/K6-N6/I6</f>
        <v>#DIV/0!</v>
      </c>
      <c r="Q6" s="68">
        <v>0.13</v>
      </c>
      <c r="R6" s="197"/>
      <c r="S6" s="75"/>
      <c r="T6" s="49"/>
      <c r="U6" s="98"/>
      <c r="V6" s="98"/>
    </row>
    <row r="7" spans="1:25" s="9" customFormat="1" ht="14.45" customHeight="1" x14ac:dyDescent="0.25">
      <c r="A7" s="29" t="s">
        <v>175</v>
      </c>
      <c r="B7" s="29" t="s">
        <v>152</v>
      </c>
      <c r="C7" s="48" t="s">
        <v>84</v>
      </c>
      <c r="D7" s="48" t="s">
        <v>63</v>
      </c>
      <c r="E7" s="179" t="s">
        <v>256</v>
      </c>
      <c r="F7" s="64" t="s">
        <v>8</v>
      </c>
      <c r="G7" s="64" t="str">
        <f t="shared" ref="G7:G13" si="4">IF(H7="Napidíj","Nem rendszeres juttatás","Bérköltség")</f>
        <v>Bérköltség</v>
      </c>
      <c r="H7" s="29" t="s">
        <v>15</v>
      </c>
      <c r="I7" s="65">
        <v>144000</v>
      </c>
      <c r="J7" s="65">
        <f>ROUND(I7*Q7,0)</f>
        <v>18720</v>
      </c>
      <c r="K7" s="66">
        <v>130</v>
      </c>
      <c r="L7" s="66">
        <v>130</v>
      </c>
      <c r="M7" s="178">
        <f>L7/K7</f>
        <v>1</v>
      </c>
      <c r="N7" s="97">
        <f>ROUND(I7*M7,0)</f>
        <v>144000</v>
      </c>
      <c r="O7" s="97">
        <f>ROUND(N7*Q7,0)</f>
        <v>18720</v>
      </c>
      <c r="P7" s="109">
        <f t="shared" si="3"/>
        <v>0</v>
      </c>
      <c r="Q7" s="68">
        <v>0.13</v>
      </c>
      <c r="R7" s="197" t="s">
        <v>176</v>
      </c>
      <c r="S7" s="75">
        <v>44951</v>
      </c>
      <c r="T7" s="49" t="s">
        <v>226</v>
      </c>
      <c r="U7" s="98"/>
      <c r="V7" s="98">
        <v>1</v>
      </c>
    </row>
    <row r="8" spans="1:25" s="9" customFormat="1" ht="14.45" customHeight="1" x14ac:dyDescent="0.25">
      <c r="A8" s="29" t="s">
        <v>175</v>
      </c>
      <c r="B8" s="29" t="s">
        <v>152</v>
      </c>
      <c r="C8" s="48" t="s">
        <v>84</v>
      </c>
      <c r="D8" s="48" t="s">
        <v>63</v>
      </c>
      <c r="E8" s="48" t="s">
        <v>89</v>
      </c>
      <c r="F8" s="64" t="s">
        <v>8</v>
      </c>
      <c r="G8" s="64" t="str">
        <f t="shared" si="4"/>
        <v>Bérköltség</v>
      </c>
      <c r="H8" s="29" t="s">
        <v>15</v>
      </c>
      <c r="I8" s="65">
        <v>240000</v>
      </c>
      <c r="J8" s="65">
        <v>1040</v>
      </c>
      <c r="K8" s="66">
        <v>130</v>
      </c>
      <c r="L8" s="66">
        <v>130</v>
      </c>
      <c r="M8" s="178">
        <f t="shared" ref="M8" si="5">L8/K8</f>
        <v>1</v>
      </c>
      <c r="N8" s="97">
        <f t="shared" ref="N8" si="6">ROUND(I8*M8,0)</f>
        <v>240000</v>
      </c>
      <c r="O8" s="97">
        <v>1040</v>
      </c>
      <c r="P8" s="109">
        <f t="shared" ref="P8" si="7">L8/K8-N8/I8</f>
        <v>0</v>
      </c>
      <c r="Q8" s="68">
        <v>0.13</v>
      </c>
      <c r="R8" s="197" t="s">
        <v>176</v>
      </c>
      <c r="S8" s="75">
        <v>44951</v>
      </c>
      <c r="T8" s="49" t="s">
        <v>226</v>
      </c>
      <c r="U8" s="98"/>
      <c r="V8" s="98">
        <v>1</v>
      </c>
      <c r="W8" s="9" t="str">
        <f>IF(VLOOKUP($R8,'Havi béradatok'!$B:$E,2,FALSE)=D8,"EGYEZIK","HIBÁS")</f>
        <v>EGYEZIK</v>
      </c>
      <c r="X8" s="9">
        <f>VLOOKUP($R8,'Havi béradatok'!$B:$E,3,FALSE)-I8</f>
        <v>0</v>
      </c>
      <c r="Y8" s="9">
        <f>VLOOKUP($R8,'Havi béradatok'!$B:$E,4,FALSE)-J8</f>
        <v>0</v>
      </c>
    </row>
    <row r="9" spans="1:25" s="9" customFormat="1" ht="14.45" customHeight="1" x14ac:dyDescent="0.25">
      <c r="A9" s="29" t="s">
        <v>175</v>
      </c>
      <c r="B9" s="29" t="s">
        <v>152</v>
      </c>
      <c r="C9" s="48" t="s">
        <v>84</v>
      </c>
      <c r="D9" s="48" t="s">
        <v>63</v>
      </c>
      <c r="E9" s="48" t="s">
        <v>90</v>
      </c>
      <c r="F9" s="64" t="s">
        <v>9</v>
      </c>
      <c r="G9" s="64" t="str">
        <f t="shared" si="4"/>
        <v>Bérköltség</v>
      </c>
      <c r="H9" s="29" t="s">
        <v>15</v>
      </c>
      <c r="I9" s="65">
        <v>240000</v>
      </c>
      <c r="J9" s="65">
        <f t="shared" ref="J9:J13" si="8">ROUND(I9*Q9,0)</f>
        <v>31200</v>
      </c>
      <c r="K9" s="66">
        <v>130</v>
      </c>
      <c r="L9" s="66">
        <v>130</v>
      </c>
      <c r="M9" s="178">
        <f t="shared" ref="M9:M13" si="9">L9/K9</f>
        <v>1</v>
      </c>
      <c r="N9" s="97">
        <f t="shared" ref="N9:N13" si="10">ROUND(I9*M9,0)</f>
        <v>240000</v>
      </c>
      <c r="O9" s="97">
        <f t="shared" ref="O9:O13" si="11">ROUND(N9*Q9,0)</f>
        <v>31200</v>
      </c>
      <c r="P9" s="109">
        <f t="shared" ref="P9:P13" si="12">L9/K9-N9/I9</f>
        <v>0</v>
      </c>
      <c r="Q9" s="68">
        <v>0.13</v>
      </c>
      <c r="R9" s="197" t="s">
        <v>176</v>
      </c>
      <c r="S9" s="75">
        <v>44951</v>
      </c>
      <c r="T9" s="49" t="s">
        <v>226</v>
      </c>
      <c r="U9" s="98"/>
      <c r="V9" s="98"/>
    </row>
    <row r="10" spans="1:25" s="9" customFormat="1" ht="14.45" customHeight="1" x14ac:dyDescent="0.25">
      <c r="A10" s="29" t="s">
        <v>175</v>
      </c>
      <c r="B10" s="29" t="s">
        <v>152</v>
      </c>
      <c r="C10" s="48" t="s">
        <v>84</v>
      </c>
      <c r="D10" s="48" t="s">
        <v>63</v>
      </c>
      <c r="E10" s="48" t="s">
        <v>91</v>
      </c>
      <c r="F10" s="64" t="s">
        <v>9</v>
      </c>
      <c r="G10" s="64" t="str">
        <f t="shared" si="4"/>
        <v>Bérköltség</v>
      </c>
      <c r="H10" s="29" t="s">
        <v>15</v>
      </c>
      <c r="I10" s="65">
        <v>240000</v>
      </c>
      <c r="J10" s="65">
        <f t="shared" si="8"/>
        <v>31200</v>
      </c>
      <c r="K10" s="66">
        <v>130</v>
      </c>
      <c r="L10" s="66">
        <v>130</v>
      </c>
      <c r="M10" s="178">
        <f t="shared" si="9"/>
        <v>1</v>
      </c>
      <c r="N10" s="97">
        <f t="shared" si="10"/>
        <v>240000</v>
      </c>
      <c r="O10" s="97">
        <f t="shared" si="11"/>
        <v>31200</v>
      </c>
      <c r="P10" s="109">
        <f t="shared" si="12"/>
        <v>0</v>
      </c>
      <c r="Q10" s="68">
        <v>0.13</v>
      </c>
      <c r="R10" s="197" t="s">
        <v>176</v>
      </c>
      <c r="S10" s="75">
        <v>44951</v>
      </c>
      <c r="T10" s="49" t="s">
        <v>226</v>
      </c>
      <c r="U10" s="98"/>
      <c r="V10" s="98"/>
    </row>
    <row r="11" spans="1:25" s="9" customFormat="1" ht="14.45" customHeight="1" x14ac:dyDescent="0.25">
      <c r="A11" s="29" t="s">
        <v>175</v>
      </c>
      <c r="B11" s="29" t="s">
        <v>152</v>
      </c>
      <c r="C11" s="48" t="s">
        <v>84</v>
      </c>
      <c r="D11" s="48" t="s">
        <v>63</v>
      </c>
      <c r="E11" s="48" t="s">
        <v>92</v>
      </c>
      <c r="F11" s="64" t="s">
        <v>9</v>
      </c>
      <c r="G11" s="64" t="str">
        <f t="shared" si="4"/>
        <v>Bérköltség</v>
      </c>
      <c r="H11" s="29" t="s">
        <v>15</v>
      </c>
      <c r="I11" s="65">
        <v>240000</v>
      </c>
      <c r="J11" s="65">
        <f t="shared" si="8"/>
        <v>31200</v>
      </c>
      <c r="K11" s="66">
        <v>130</v>
      </c>
      <c r="L11" s="66">
        <v>130</v>
      </c>
      <c r="M11" s="178">
        <f t="shared" si="9"/>
        <v>1</v>
      </c>
      <c r="N11" s="97">
        <f t="shared" si="10"/>
        <v>240000</v>
      </c>
      <c r="O11" s="97">
        <f t="shared" si="11"/>
        <v>31200</v>
      </c>
      <c r="P11" s="109">
        <f t="shared" si="12"/>
        <v>0</v>
      </c>
      <c r="Q11" s="68">
        <v>0.13</v>
      </c>
      <c r="R11" s="197" t="s">
        <v>176</v>
      </c>
      <c r="S11" s="75">
        <v>44951</v>
      </c>
      <c r="T11" s="49" t="s">
        <v>226</v>
      </c>
      <c r="U11" s="98"/>
      <c r="V11" s="98"/>
    </row>
    <row r="12" spans="1:25" s="9" customFormat="1" ht="14.45" customHeight="1" x14ac:dyDescent="0.25">
      <c r="A12" s="29" t="s">
        <v>175</v>
      </c>
      <c r="B12" s="29" t="s">
        <v>152</v>
      </c>
      <c r="C12" s="48" t="s">
        <v>84</v>
      </c>
      <c r="D12" s="48" t="s">
        <v>63</v>
      </c>
      <c r="E12" s="48" t="s">
        <v>93</v>
      </c>
      <c r="F12" s="64" t="s">
        <v>9</v>
      </c>
      <c r="G12" s="64" t="str">
        <f t="shared" si="4"/>
        <v>Bérköltség</v>
      </c>
      <c r="H12" s="29" t="s">
        <v>15</v>
      </c>
      <c r="I12" s="65">
        <v>240000</v>
      </c>
      <c r="J12" s="65">
        <f t="shared" si="8"/>
        <v>31200</v>
      </c>
      <c r="K12" s="66">
        <v>130</v>
      </c>
      <c r="L12" s="66">
        <v>130</v>
      </c>
      <c r="M12" s="178">
        <f t="shared" si="9"/>
        <v>1</v>
      </c>
      <c r="N12" s="97">
        <f t="shared" si="10"/>
        <v>240000</v>
      </c>
      <c r="O12" s="97">
        <f t="shared" si="11"/>
        <v>31200</v>
      </c>
      <c r="P12" s="109">
        <f t="shared" si="12"/>
        <v>0</v>
      </c>
      <c r="Q12" s="68">
        <v>0.13</v>
      </c>
      <c r="R12" s="197" t="s">
        <v>176</v>
      </c>
      <c r="S12" s="75">
        <v>44951</v>
      </c>
      <c r="T12" s="49" t="s">
        <v>226</v>
      </c>
      <c r="U12" s="98"/>
      <c r="V12" s="98"/>
    </row>
    <row r="13" spans="1:25" s="9" customFormat="1" ht="14.45" customHeight="1" x14ac:dyDescent="0.25">
      <c r="A13" s="29" t="s">
        <v>175</v>
      </c>
      <c r="B13" s="29" t="s">
        <v>152</v>
      </c>
      <c r="C13" s="48" t="s">
        <v>84</v>
      </c>
      <c r="D13" s="48" t="s">
        <v>63</v>
      </c>
      <c r="E13" s="48" t="s">
        <v>94</v>
      </c>
      <c r="F13" s="64" t="s">
        <v>9</v>
      </c>
      <c r="G13" s="64" t="str">
        <f t="shared" si="4"/>
        <v>Bérköltség</v>
      </c>
      <c r="H13" s="29" t="s">
        <v>15</v>
      </c>
      <c r="I13" s="65">
        <v>240000</v>
      </c>
      <c r="J13" s="65">
        <f t="shared" si="8"/>
        <v>31200</v>
      </c>
      <c r="K13" s="66">
        <v>130</v>
      </c>
      <c r="L13" s="66">
        <v>130</v>
      </c>
      <c r="M13" s="178">
        <f t="shared" si="9"/>
        <v>1</v>
      </c>
      <c r="N13" s="97">
        <f t="shared" si="10"/>
        <v>240000</v>
      </c>
      <c r="O13" s="97">
        <f t="shared" si="11"/>
        <v>31200</v>
      </c>
      <c r="P13" s="109">
        <f t="shared" si="12"/>
        <v>0</v>
      </c>
      <c r="Q13" s="68">
        <v>0.13</v>
      </c>
      <c r="R13" s="197" t="s">
        <v>176</v>
      </c>
      <c r="S13" s="75">
        <v>44951</v>
      </c>
      <c r="T13" s="49" t="s">
        <v>226</v>
      </c>
      <c r="U13" s="98"/>
      <c r="V13" s="98"/>
    </row>
    <row r="14" spans="1:25" s="9" customFormat="1" ht="14.45" customHeight="1" x14ac:dyDescent="0.25">
      <c r="A14" s="29" t="s">
        <v>146</v>
      </c>
      <c r="B14" s="29" t="s">
        <v>152</v>
      </c>
      <c r="C14" s="48" t="s">
        <v>84</v>
      </c>
      <c r="D14" s="48" t="s">
        <v>63</v>
      </c>
      <c r="E14" s="179" t="s">
        <v>256</v>
      </c>
      <c r="F14" s="64" t="s">
        <v>8</v>
      </c>
      <c r="G14" s="64" t="str">
        <f t="shared" si="0"/>
        <v>Bérköltség</v>
      </c>
      <c r="H14" s="29" t="s">
        <v>15</v>
      </c>
      <c r="I14" s="65">
        <v>144000</v>
      </c>
      <c r="J14" s="65">
        <f>ROUND(I14*Q14,0)</f>
        <v>18720</v>
      </c>
      <c r="K14" s="66">
        <v>87</v>
      </c>
      <c r="L14" s="66">
        <v>87</v>
      </c>
      <c r="M14" s="178">
        <f>L14/K14</f>
        <v>1</v>
      </c>
      <c r="N14" s="97">
        <f>ROUND(I14*M14,0)</f>
        <v>144000</v>
      </c>
      <c r="O14" s="97">
        <f>ROUND(N14*Q14,0)</f>
        <v>18720</v>
      </c>
      <c r="P14" s="109">
        <f t="shared" ref="P14" si="13">L14/K14-N14/I14</f>
        <v>0</v>
      </c>
      <c r="Q14" s="68">
        <v>0.13</v>
      </c>
      <c r="R14" s="197" t="s">
        <v>162</v>
      </c>
      <c r="S14" s="75"/>
      <c r="T14" s="49" t="s">
        <v>226</v>
      </c>
      <c r="U14" s="98"/>
      <c r="V14" s="98">
        <v>1</v>
      </c>
    </row>
    <row r="15" spans="1:25" s="9" customFormat="1" ht="14.45" customHeight="1" x14ac:dyDescent="0.25">
      <c r="A15" s="29" t="s">
        <v>146</v>
      </c>
      <c r="B15" s="29" t="s">
        <v>152</v>
      </c>
      <c r="C15" s="48" t="s">
        <v>84</v>
      </c>
      <c r="D15" s="48" t="s">
        <v>63</v>
      </c>
      <c r="E15" s="48" t="s">
        <v>89</v>
      </c>
      <c r="F15" s="64" t="s">
        <v>8</v>
      </c>
      <c r="G15" s="64" t="str">
        <f t="shared" si="0"/>
        <v>Bérköltség</v>
      </c>
      <c r="H15" s="29" t="s">
        <v>15</v>
      </c>
      <c r="I15" s="65">
        <v>240000</v>
      </c>
      <c r="J15" s="65">
        <f t="shared" ref="J15:J23" si="14">ROUND(I15*Q15,0)</f>
        <v>31200</v>
      </c>
      <c r="K15" s="66">
        <v>87</v>
      </c>
      <c r="L15" s="66">
        <v>87</v>
      </c>
      <c r="M15" s="178">
        <f t="shared" ref="M15:M23" si="15">L15/K15</f>
        <v>1</v>
      </c>
      <c r="N15" s="97">
        <f t="shared" ref="N15:N23" si="16">ROUND(I15*M15,0)</f>
        <v>240000</v>
      </c>
      <c r="O15" s="97">
        <f t="shared" ref="O15:O28" si="17">ROUND(N15*Q15,0)</f>
        <v>31200</v>
      </c>
      <c r="P15" s="109">
        <f t="shared" ref="P15:P23" si="18">L15/K15-N15/I15</f>
        <v>0</v>
      </c>
      <c r="Q15" s="68">
        <v>0.13</v>
      </c>
      <c r="R15" s="197" t="s">
        <v>162</v>
      </c>
      <c r="S15" s="75"/>
      <c r="T15" s="49" t="s">
        <v>226</v>
      </c>
      <c r="U15" s="98"/>
      <c r="V15" s="98">
        <v>1</v>
      </c>
      <c r="W15" s="9" t="str">
        <f>IF(VLOOKUP($R15,'Havi béradatok'!$B:$E,2,FALSE)=D15,"EGYEZIK","HIBÁS")</f>
        <v>EGYEZIK</v>
      </c>
      <c r="X15" s="9">
        <f>VLOOKUP($R15,'Havi béradatok'!$B:$E,3,FALSE)-I15</f>
        <v>0</v>
      </c>
      <c r="Y15" s="9">
        <f>VLOOKUP($R15,'Havi béradatok'!$B:$E,4,FALSE)-J15</f>
        <v>0</v>
      </c>
    </row>
    <row r="16" spans="1:25" s="9" customFormat="1" ht="14.45" customHeight="1" x14ac:dyDescent="0.25">
      <c r="A16" s="29" t="s">
        <v>146</v>
      </c>
      <c r="B16" s="29" t="s">
        <v>152</v>
      </c>
      <c r="C16" s="48" t="s">
        <v>84</v>
      </c>
      <c r="D16" s="48" t="s">
        <v>63</v>
      </c>
      <c r="E16" s="48" t="s">
        <v>90</v>
      </c>
      <c r="F16" s="64" t="s">
        <v>9</v>
      </c>
      <c r="G16" s="64" t="str">
        <f t="shared" si="0"/>
        <v>Bérköltség</v>
      </c>
      <c r="H16" s="29" t="s">
        <v>15</v>
      </c>
      <c r="I16" s="65">
        <v>240000</v>
      </c>
      <c r="J16" s="65">
        <f t="shared" si="14"/>
        <v>31200</v>
      </c>
      <c r="K16" s="66">
        <v>87</v>
      </c>
      <c r="L16" s="66">
        <v>87</v>
      </c>
      <c r="M16" s="178">
        <f t="shared" si="15"/>
        <v>1</v>
      </c>
      <c r="N16" s="97">
        <f t="shared" si="16"/>
        <v>240000</v>
      </c>
      <c r="O16" s="97">
        <f t="shared" si="17"/>
        <v>31200</v>
      </c>
      <c r="P16" s="109">
        <f t="shared" si="18"/>
        <v>0</v>
      </c>
      <c r="Q16" s="68">
        <v>0.13</v>
      </c>
      <c r="R16" s="197" t="s">
        <v>162</v>
      </c>
      <c r="S16" s="75"/>
      <c r="T16" s="49" t="s">
        <v>226</v>
      </c>
      <c r="U16" s="98"/>
      <c r="V16" s="98"/>
    </row>
    <row r="17" spans="1:25" s="9" customFormat="1" ht="14.45" customHeight="1" x14ac:dyDescent="0.25">
      <c r="A17" s="29" t="s">
        <v>146</v>
      </c>
      <c r="B17" s="29" t="s">
        <v>152</v>
      </c>
      <c r="C17" s="48" t="s">
        <v>84</v>
      </c>
      <c r="D17" s="48" t="s">
        <v>63</v>
      </c>
      <c r="E17" s="48" t="s">
        <v>91</v>
      </c>
      <c r="F17" s="64" t="s">
        <v>9</v>
      </c>
      <c r="G17" s="64" t="str">
        <f t="shared" si="0"/>
        <v>Bérköltség</v>
      </c>
      <c r="H17" s="29" t="s">
        <v>15</v>
      </c>
      <c r="I17" s="65">
        <v>240000</v>
      </c>
      <c r="J17" s="65">
        <f t="shared" si="14"/>
        <v>31200</v>
      </c>
      <c r="K17" s="66">
        <v>87</v>
      </c>
      <c r="L17" s="66">
        <v>87</v>
      </c>
      <c r="M17" s="178">
        <f t="shared" si="15"/>
        <v>1</v>
      </c>
      <c r="N17" s="97">
        <f t="shared" si="16"/>
        <v>240000</v>
      </c>
      <c r="O17" s="97">
        <f t="shared" si="17"/>
        <v>31200</v>
      </c>
      <c r="P17" s="109">
        <f t="shared" si="18"/>
        <v>0</v>
      </c>
      <c r="Q17" s="68">
        <v>0.13</v>
      </c>
      <c r="R17" s="197" t="s">
        <v>162</v>
      </c>
      <c r="S17" s="75"/>
      <c r="T17" s="49" t="s">
        <v>226</v>
      </c>
      <c r="U17" s="98"/>
      <c r="V17" s="98"/>
    </row>
    <row r="18" spans="1:25" s="9" customFormat="1" ht="14.45" customHeight="1" x14ac:dyDescent="0.25">
      <c r="A18" s="29" t="s">
        <v>146</v>
      </c>
      <c r="B18" s="29" t="s">
        <v>152</v>
      </c>
      <c r="C18" s="48" t="s">
        <v>84</v>
      </c>
      <c r="D18" s="48" t="s">
        <v>63</v>
      </c>
      <c r="E18" s="48" t="s">
        <v>92</v>
      </c>
      <c r="F18" s="64" t="s">
        <v>9</v>
      </c>
      <c r="G18" s="64" t="str">
        <f t="shared" si="0"/>
        <v>Bérköltség</v>
      </c>
      <c r="H18" s="29" t="s">
        <v>15</v>
      </c>
      <c r="I18" s="65">
        <v>240000</v>
      </c>
      <c r="J18" s="65">
        <f t="shared" si="14"/>
        <v>31200</v>
      </c>
      <c r="K18" s="66">
        <v>87</v>
      </c>
      <c r="L18" s="66">
        <v>87</v>
      </c>
      <c r="M18" s="178">
        <f t="shared" si="15"/>
        <v>1</v>
      </c>
      <c r="N18" s="97">
        <f t="shared" si="16"/>
        <v>240000</v>
      </c>
      <c r="O18" s="97">
        <f t="shared" si="17"/>
        <v>31200</v>
      </c>
      <c r="P18" s="109">
        <f t="shared" si="18"/>
        <v>0</v>
      </c>
      <c r="Q18" s="68">
        <v>0.13</v>
      </c>
      <c r="R18" s="197" t="s">
        <v>162</v>
      </c>
      <c r="S18" s="75"/>
      <c r="T18" s="49" t="s">
        <v>226</v>
      </c>
      <c r="U18" s="98"/>
      <c r="V18" s="98"/>
    </row>
    <row r="19" spans="1:25" s="9" customFormat="1" ht="14.45" customHeight="1" x14ac:dyDescent="0.25">
      <c r="A19" s="29" t="s">
        <v>146</v>
      </c>
      <c r="B19" s="29" t="s">
        <v>152</v>
      </c>
      <c r="C19" s="48" t="s">
        <v>84</v>
      </c>
      <c r="D19" s="48" t="s">
        <v>63</v>
      </c>
      <c r="E19" s="48" t="s">
        <v>93</v>
      </c>
      <c r="F19" s="64" t="s">
        <v>9</v>
      </c>
      <c r="G19" s="64" t="str">
        <f t="shared" si="0"/>
        <v>Bérköltség</v>
      </c>
      <c r="H19" s="29" t="s">
        <v>15</v>
      </c>
      <c r="I19" s="65">
        <v>240000</v>
      </c>
      <c r="J19" s="65">
        <f t="shared" si="14"/>
        <v>31200</v>
      </c>
      <c r="K19" s="66">
        <v>87</v>
      </c>
      <c r="L19" s="66">
        <v>87</v>
      </c>
      <c r="M19" s="178">
        <f t="shared" si="15"/>
        <v>1</v>
      </c>
      <c r="N19" s="97">
        <f t="shared" si="16"/>
        <v>240000</v>
      </c>
      <c r="O19" s="97">
        <f t="shared" si="17"/>
        <v>31200</v>
      </c>
      <c r="P19" s="109">
        <f t="shared" si="18"/>
        <v>0</v>
      </c>
      <c r="Q19" s="68">
        <v>0.13</v>
      </c>
      <c r="R19" s="197" t="s">
        <v>162</v>
      </c>
      <c r="S19" s="75"/>
      <c r="T19" s="49" t="s">
        <v>226</v>
      </c>
      <c r="U19" s="98"/>
      <c r="V19" s="98"/>
    </row>
    <row r="20" spans="1:25" s="9" customFormat="1" ht="14.45" customHeight="1" x14ac:dyDescent="0.25">
      <c r="A20" s="29" t="s">
        <v>146</v>
      </c>
      <c r="B20" s="29" t="s">
        <v>152</v>
      </c>
      <c r="C20" s="48" t="s">
        <v>84</v>
      </c>
      <c r="D20" s="48" t="s">
        <v>63</v>
      </c>
      <c r="E20" s="48" t="s">
        <v>94</v>
      </c>
      <c r="F20" s="64" t="s">
        <v>9</v>
      </c>
      <c r="G20" s="64" t="str">
        <f t="shared" si="0"/>
        <v>Bérköltség</v>
      </c>
      <c r="H20" s="29" t="s">
        <v>15</v>
      </c>
      <c r="I20" s="65">
        <v>240000</v>
      </c>
      <c r="J20" s="65">
        <f t="shared" si="14"/>
        <v>31200</v>
      </c>
      <c r="K20" s="66">
        <v>87</v>
      </c>
      <c r="L20" s="66">
        <v>87</v>
      </c>
      <c r="M20" s="178">
        <f t="shared" si="15"/>
        <v>1</v>
      </c>
      <c r="N20" s="97">
        <f t="shared" si="16"/>
        <v>240000</v>
      </c>
      <c r="O20" s="97">
        <f t="shared" si="17"/>
        <v>31200</v>
      </c>
      <c r="P20" s="109">
        <f t="shared" si="18"/>
        <v>0</v>
      </c>
      <c r="Q20" s="68">
        <v>0.13</v>
      </c>
      <c r="R20" s="197" t="s">
        <v>162</v>
      </c>
      <c r="S20" s="75"/>
      <c r="T20" s="49" t="s">
        <v>226</v>
      </c>
      <c r="U20" s="98"/>
      <c r="V20" s="98"/>
    </row>
    <row r="21" spans="1:25" s="9" customFormat="1" ht="14.45" customHeight="1" x14ac:dyDescent="0.25">
      <c r="A21" s="29" t="s">
        <v>146</v>
      </c>
      <c r="B21" s="29" t="s">
        <v>152</v>
      </c>
      <c r="C21" s="48" t="s">
        <v>84</v>
      </c>
      <c r="D21" s="48" t="s">
        <v>63</v>
      </c>
      <c r="E21" s="48" t="s">
        <v>95</v>
      </c>
      <c r="F21" s="64" t="s">
        <v>9</v>
      </c>
      <c r="G21" s="64" t="str">
        <f t="shared" si="0"/>
        <v>Bérköltség</v>
      </c>
      <c r="H21" s="29" t="s">
        <v>15</v>
      </c>
      <c r="I21" s="65">
        <v>240000</v>
      </c>
      <c r="J21" s="65">
        <f t="shared" si="14"/>
        <v>31200</v>
      </c>
      <c r="K21" s="66">
        <v>87</v>
      </c>
      <c r="L21" s="66">
        <v>87</v>
      </c>
      <c r="M21" s="178">
        <f t="shared" si="15"/>
        <v>1</v>
      </c>
      <c r="N21" s="97">
        <f t="shared" si="16"/>
        <v>240000</v>
      </c>
      <c r="O21" s="97">
        <f t="shared" si="17"/>
        <v>31200</v>
      </c>
      <c r="P21" s="109">
        <f t="shared" si="18"/>
        <v>0</v>
      </c>
      <c r="Q21" s="68">
        <v>0.13</v>
      </c>
      <c r="R21" s="197" t="s">
        <v>162</v>
      </c>
      <c r="S21" s="75"/>
      <c r="T21" s="49" t="s">
        <v>226</v>
      </c>
      <c r="U21" s="98"/>
      <c r="V21" s="98"/>
    </row>
    <row r="22" spans="1:25" s="9" customFormat="1" ht="14.45" customHeight="1" x14ac:dyDescent="0.25">
      <c r="A22" s="29" t="s">
        <v>146</v>
      </c>
      <c r="B22" s="29" t="s">
        <v>152</v>
      </c>
      <c r="C22" s="48" t="s">
        <v>84</v>
      </c>
      <c r="D22" s="48" t="s">
        <v>63</v>
      </c>
      <c r="E22" s="48" t="s">
        <v>96</v>
      </c>
      <c r="F22" s="64" t="s">
        <v>9</v>
      </c>
      <c r="G22" s="64" t="str">
        <f t="shared" si="0"/>
        <v>Bérköltség</v>
      </c>
      <c r="H22" s="29" t="s">
        <v>15</v>
      </c>
      <c r="I22" s="65">
        <v>240000</v>
      </c>
      <c r="J22" s="65">
        <f t="shared" si="14"/>
        <v>31200</v>
      </c>
      <c r="K22" s="66">
        <v>87</v>
      </c>
      <c r="L22" s="66">
        <v>87</v>
      </c>
      <c r="M22" s="178">
        <f t="shared" si="15"/>
        <v>1</v>
      </c>
      <c r="N22" s="97">
        <f t="shared" si="16"/>
        <v>240000</v>
      </c>
      <c r="O22" s="97">
        <f t="shared" si="17"/>
        <v>31200</v>
      </c>
      <c r="P22" s="109">
        <f t="shared" si="18"/>
        <v>0</v>
      </c>
      <c r="Q22" s="68">
        <v>0.13</v>
      </c>
      <c r="R22" s="197" t="s">
        <v>162</v>
      </c>
      <c r="S22" s="75"/>
      <c r="T22" s="49" t="s">
        <v>226</v>
      </c>
      <c r="U22" s="98"/>
      <c r="V22" s="98"/>
    </row>
    <row r="23" spans="1:25" s="9" customFormat="1" ht="14.45" customHeight="1" x14ac:dyDescent="0.25">
      <c r="A23" s="29" t="s">
        <v>146</v>
      </c>
      <c r="B23" s="29" t="s">
        <v>152</v>
      </c>
      <c r="C23" s="48" t="s">
        <v>84</v>
      </c>
      <c r="D23" s="48" t="s">
        <v>63</v>
      </c>
      <c r="E23" s="48" t="s">
        <v>97</v>
      </c>
      <c r="F23" s="64" t="s">
        <v>9</v>
      </c>
      <c r="G23" s="64" t="str">
        <f t="shared" si="0"/>
        <v>Bérköltség</v>
      </c>
      <c r="H23" s="29" t="s">
        <v>15</v>
      </c>
      <c r="I23" s="65">
        <v>240000</v>
      </c>
      <c r="J23" s="65">
        <f t="shared" si="14"/>
        <v>31200</v>
      </c>
      <c r="K23" s="66">
        <v>87</v>
      </c>
      <c r="L23" s="66">
        <v>87</v>
      </c>
      <c r="M23" s="178">
        <f t="shared" si="15"/>
        <v>1</v>
      </c>
      <c r="N23" s="97">
        <f t="shared" si="16"/>
        <v>240000</v>
      </c>
      <c r="O23" s="97">
        <f t="shared" si="17"/>
        <v>31200</v>
      </c>
      <c r="P23" s="109">
        <f t="shared" si="18"/>
        <v>0</v>
      </c>
      <c r="Q23" s="68">
        <v>0.13</v>
      </c>
      <c r="R23" s="197" t="s">
        <v>162</v>
      </c>
      <c r="S23" s="75"/>
      <c r="T23" s="49" t="s">
        <v>226</v>
      </c>
      <c r="U23" s="98"/>
      <c r="V23" s="98"/>
    </row>
    <row r="24" spans="1:25" s="9" customFormat="1" ht="14.45" customHeight="1" x14ac:dyDescent="0.25">
      <c r="A24" s="29" t="s">
        <v>227</v>
      </c>
      <c r="B24" s="29" t="s">
        <v>151</v>
      </c>
      <c r="C24" s="48" t="s">
        <v>84</v>
      </c>
      <c r="D24" s="48" t="s">
        <v>67</v>
      </c>
      <c r="E24" s="48" t="s">
        <v>89</v>
      </c>
      <c r="F24" s="64" t="s">
        <v>8</v>
      </c>
      <c r="G24" s="64" t="str">
        <f t="shared" ref="G24" si="19">IF(H24="Napidíj","Nem rendszeres juttatás","Bérköltség")</f>
        <v>Bérköltség</v>
      </c>
      <c r="H24" s="29" t="s">
        <v>15</v>
      </c>
      <c r="I24" s="65">
        <v>120000</v>
      </c>
      <c r="J24" s="65">
        <f t="shared" ref="J24" si="20">ROUND(I24*Q24,0)</f>
        <v>15600</v>
      </c>
      <c r="K24" s="66">
        <v>44</v>
      </c>
      <c r="L24" s="66">
        <v>44</v>
      </c>
      <c r="M24" s="178">
        <f t="shared" ref="M24" si="21">L24/K24</f>
        <v>1</v>
      </c>
      <c r="N24" s="97">
        <f t="shared" ref="N24" si="22">ROUND(I24*M24,0)</f>
        <v>120000</v>
      </c>
      <c r="O24" s="97">
        <f t="shared" ref="O24" si="23">ROUND(N24*Q24,0)</f>
        <v>15600</v>
      </c>
      <c r="P24" s="109">
        <f t="shared" ref="P24" si="24">L24/K24-N24/I24</f>
        <v>0</v>
      </c>
      <c r="Q24" s="68">
        <v>0.13</v>
      </c>
      <c r="R24" s="197" t="s">
        <v>228</v>
      </c>
      <c r="S24" s="75">
        <v>44963</v>
      </c>
      <c r="T24" s="49" t="s">
        <v>226</v>
      </c>
      <c r="U24" s="98"/>
      <c r="V24" s="98">
        <v>1</v>
      </c>
      <c r="W24" s="9" t="str">
        <f>IF(VLOOKUP($R24,'Havi béradatok'!$B:$E,2,FALSE)=D24,"EGYEZIK","HIBÁS")</f>
        <v>EGYEZIK</v>
      </c>
      <c r="X24" s="9">
        <f>VLOOKUP($R24,'Havi béradatok'!$B:$E,3,FALSE)-I24</f>
        <v>0</v>
      </c>
      <c r="Y24" s="9">
        <f>VLOOKUP($R24,'Havi béradatok'!$B:$E,4,FALSE)-J24</f>
        <v>0</v>
      </c>
    </row>
    <row r="25" spans="1:25" s="9" customFormat="1" ht="14.45" customHeight="1" x14ac:dyDescent="0.25">
      <c r="A25" s="29" t="s">
        <v>227</v>
      </c>
      <c r="B25" s="29" t="s">
        <v>151</v>
      </c>
      <c r="C25" s="48" t="s">
        <v>84</v>
      </c>
      <c r="D25" s="48" t="s">
        <v>67</v>
      </c>
      <c r="E25" s="48" t="s">
        <v>90</v>
      </c>
      <c r="F25" s="64" t="s">
        <v>9</v>
      </c>
      <c r="G25" s="64" t="str">
        <f t="shared" ref="G25:G26" si="25">IF(H25="Napidíj","Nem rendszeres juttatás","Bérköltség")</f>
        <v>Bérköltség</v>
      </c>
      <c r="H25" s="29" t="s">
        <v>15</v>
      </c>
      <c r="I25" s="65">
        <v>120000</v>
      </c>
      <c r="J25" s="65">
        <f t="shared" ref="J25:J26" si="26">ROUND(I25*Q25,0)</f>
        <v>15600</v>
      </c>
      <c r="K25" s="66">
        <v>44</v>
      </c>
      <c r="L25" s="66">
        <v>44</v>
      </c>
      <c r="M25" s="178">
        <f t="shared" ref="M25:M26" si="27">L25/K25</f>
        <v>1</v>
      </c>
      <c r="N25" s="97">
        <f t="shared" ref="N25:N26" si="28">ROUND(I25*M25,0)</f>
        <v>120000</v>
      </c>
      <c r="O25" s="97">
        <f t="shared" ref="O25:O26" si="29">ROUND(N25*Q25,0)</f>
        <v>15600</v>
      </c>
      <c r="P25" s="109">
        <f t="shared" ref="P25:P26" si="30">L25/K25-N25/I25</f>
        <v>0</v>
      </c>
      <c r="Q25" s="68">
        <v>0.13</v>
      </c>
      <c r="R25" s="197" t="s">
        <v>228</v>
      </c>
      <c r="S25" s="75">
        <v>44963</v>
      </c>
      <c r="T25" s="49" t="s">
        <v>226</v>
      </c>
      <c r="U25" s="98"/>
      <c r="V25" s="98"/>
    </row>
    <row r="26" spans="1:25" s="9" customFormat="1" ht="14.45" customHeight="1" x14ac:dyDescent="0.25">
      <c r="A26" s="29" t="s">
        <v>227</v>
      </c>
      <c r="B26" s="29" t="s">
        <v>151</v>
      </c>
      <c r="C26" s="48" t="s">
        <v>84</v>
      </c>
      <c r="D26" s="48" t="s">
        <v>67</v>
      </c>
      <c r="E26" s="48" t="s">
        <v>91</v>
      </c>
      <c r="F26" s="64" t="s">
        <v>9</v>
      </c>
      <c r="G26" s="64" t="str">
        <f t="shared" si="25"/>
        <v>Bérköltség</v>
      </c>
      <c r="H26" s="29" t="s">
        <v>15</v>
      </c>
      <c r="I26" s="65">
        <v>120000</v>
      </c>
      <c r="J26" s="65">
        <f t="shared" si="26"/>
        <v>15600</v>
      </c>
      <c r="K26" s="66">
        <v>44</v>
      </c>
      <c r="L26" s="66">
        <v>44</v>
      </c>
      <c r="M26" s="178">
        <f t="shared" si="27"/>
        <v>1</v>
      </c>
      <c r="N26" s="97">
        <f t="shared" si="28"/>
        <v>120000</v>
      </c>
      <c r="O26" s="97">
        <f t="shared" si="29"/>
        <v>15600</v>
      </c>
      <c r="P26" s="109">
        <f t="shared" si="30"/>
        <v>0</v>
      </c>
      <c r="Q26" s="68">
        <v>0.13</v>
      </c>
      <c r="R26" s="197" t="s">
        <v>228</v>
      </c>
      <c r="S26" s="75">
        <v>44963</v>
      </c>
      <c r="T26" s="49" t="s">
        <v>226</v>
      </c>
      <c r="U26" s="98"/>
      <c r="V26" s="98"/>
    </row>
    <row r="27" spans="1:25" s="9" customFormat="1" ht="14.45" customHeight="1" x14ac:dyDescent="0.25">
      <c r="A27" s="29" t="s">
        <v>227</v>
      </c>
      <c r="B27" s="29" t="s">
        <v>151</v>
      </c>
      <c r="C27" s="48" t="s">
        <v>84</v>
      </c>
      <c r="D27" s="48" t="s">
        <v>67</v>
      </c>
      <c r="E27" s="48" t="s">
        <v>92</v>
      </c>
      <c r="F27" s="64" t="s">
        <v>9</v>
      </c>
      <c r="G27" s="64" t="str">
        <f t="shared" ref="G27" si="31">IF(H27="Napidíj","Nem rendszeres juttatás","Bérköltség")</f>
        <v>Bérköltség</v>
      </c>
      <c r="H27" s="29" t="s">
        <v>15</v>
      </c>
      <c r="I27" s="65">
        <v>120000</v>
      </c>
      <c r="J27" s="65">
        <f t="shared" ref="J27" si="32">ROUND(I27*Q27,0)</f>
        <v>15600</v>
      </c>
      <c r="K27" s="66">
        <v>44</v>
      </c>
      <c r="L27" s="66">
        <v>44</v>
      </c>
      <c r="M27" s="178">
        <f t="shared" ref="M27" si="33">L27/K27</f>
        <v>1</v>
      </c>
      <c r="N27" s="97">
        <f t="shared" ref="N27" si="34">ROUND(I27*M27,0)</f>
        <v>120000</v>
      </c>
      <c r="O27" s="97">
        <f t="shared" ref="O27" si="35">ROUND(N27*Q27,0)</f>
        <v>15600</v>
      </c>
      <c r="P27" s="109">
        <f t="shared" ref="P27" si="36">L27/K27-N27/I27</f>
        <v>0</v>
      </c>
      <c r="Q27" s="68">
        <v>0.13</v>
      </c>
      <c r="R27" s="197" t="s">
        <v>228</v>
      </c>
      <c r="S27" s="75">
        <v>44963</v>
      </c>
      <c r="T27" s="49" t="s">
        <v>226</v>
      </c>
      <c r="U27" s="98"/>
      <c r="V27" s="98"/>
    </row>
    <row r="28" spans="1:25" s="9" customFormat="1" ht="14.45" customHeight="1" x14ac:dyDescent="0.25">
      <c r="A28" s="29" t="s">
        <v>50</v>
      </c>
      <c r="B28" s="29" t="s">
        <v>152</v>
      </c>
      <c r="C28" s="48" t="s">
        <v>85</v>
      </c>
      <c r="D28" s="48" t="s">
        <v>52</v>
      </c>
      <c r="E28" s="48" t="s">
        <v>87</v>
      </c>
      <c r="F28" s="64" t="s">
        <v>8</v>
      </c>
      <c r="G28" s="64" t="str">
        <f t="shared" si="0"/>
        <v>Bérköltség</v>
      </c>
      <c r="H28" s="29" t="s">
        <v>15</v>
      </c>
      <c r="I28" s="65">
        <v>599200</v>
      </c>
      <c r="J28" s="65">
        <f t="shared" ref="J28" si="37">ROUND(I28*Q28,0)</f>
        <v>77896</v>
      </c>
      <c r="K28" s="66">
        <v>174</v>
      </c>
      <c r="L28" s="66">
        <v>73</v>
      </c>
      <c r="M28" s="178">
        <f t="shared" ref="M28" si="38">L28/K28</f>
        <v>0.41954022988505746</v>
      </c>
      <c r="N28" s="97">
        <v>250000</v>
      </c>
      <c r="O28" s="97">
        <f t="shared" si="17"/>
        <v>32500</v>
      </c>
      <c r="P28" s="109">
        <f t="shared" ref="P28" si="39">L28/K28-N28/I28</f>
        <v>2.3172659331215373E-3</v>
      </c>
      <c r="Q28" s="68">
        <v>0.13</v>
      </c>
      <c r="R28" s="197" t="s">
        <v>163</v>
      </c>
      <c r="S28" s="75"/>
      <c r="T28" s="49" t="s">
        <v>226</v>
      </c>
      <c r="U28" s="98"/>
      <c r="V28" s="98">
        <v>1</v>
      </c>
      <c r="W28" s="9" t="s">
        <v>236</v>
      </c>
      <c r="X28" s="9">
        <v>0</v>
      </c>
      <c r="Y28" s="9">
        <v>0</v>
      </c>
    </row>
    <row r="29" spans="1:25" s="9" customFormat="1" ht="14.45" customHeight="1" x14ac:dyDescent="0.25">
      <c r="A29" s="29" t="s">
        <v>50</v>
      </c>
      <c r="B29" s="29" t="s">
        <v>152</v>
      </c>
      <c r="C29" s="48" t="s">
        <v>85</v>
      </c>
      <c r="D29" s="48" t="s">
        <v>52</v>
      </c>
      <c r="E29" s="48" t="s">
        <v>88</v>
      </c>
      <c r="F29" s="64" t="s">
        <v>8</v>
      </c>
      <c r="G29" s="64" t="str">
        <f t="shared" si="0"/>
        <v>Bérköltség</v>
      </c>
      <c r="H29" s="29" t="s">
        <v>15</v>
      </c>
      <c r="I29" s="65">
        <v>599200</v>
      </c>
      <c r="J29" s="65">
        <f t="shared" ref="J29:J33" si="40">ROUND(I29*Q29,0)</f>
        <v>77896</v>
      </c>
      <c r="K29" s="66">
        <v>174</v>
      </c>
      <c r="L29" s="66">
        <v>73</v>
      </c>
      <c r="M29" s="178">
        <f t="shared" ref="M29:M33" si="41">L29/K29</f>
        <v>0.41954022988505746</v>
      </c>
      <c r="N29" s="97">
        <v>250000</v>
      </c>
      <c r="O29" s="97">
        <f t="shared" ref="O29:O33" si="42">ROUND(N29*Q29,0)</f>
        <v>32500</v>
      </c>
      <c r="P29" s="109">
        <f t="shared" ref="P29:P76" si="43">L29/K29-N29/I29</f>
        <v>2.3172659331215373E-3</v>
      </c>
      <c r="Q29" s="68">
        <v>0.13</v>
      </c>
      <c r="R29" s="197" t="s">
        <v>163</v>
      </c>
      <c r="S29" s="75"/>
      <c r="T29" s="49" t="s">
        <v>226</v>
      </c>
      <c r="U29" s="98"/>
      <c r="V29" s="98">
        <v>2</v>
      </c>
      <c r="W29" s="9" t="str">
        <f>IF(VLOOKUP($R29,'Havi béradatok'!$B:$E,2,FALSE)=D29,"EGYEZIK","HIBÁS")</f>
        <v>EGYEZIK</v>
      </c>
      <c r="X29" s="9">
        <f>VLOOKUP($R29,'Havi béradatok'!$B:$E,3,FALSE)-I29</f>
        <v>0</v>
      </c>
      <c r="Y29" s="213">
        <f>VLOOKUP($R29,'Havi béradatok'!$B:$E,4,FALSE)-J29</f>
        <v>0</v>
      </c>
    </row>
    <row r="30" spans="1:25" s="9" customFormat="1" ht="14.45" customHeight="1" x14ac:dyDescent="0.25">
      <c r="A30" s="29" t="s">
        <v>50</v>
      </c>
      <c r="B30" s="29" t="s">
        <v>152</v>
      </c>
      <c r="C30" s="48" t="s">
        <v>85</v>
      </c>
      <c r="D30" s="48" t="s">
        <v>52</v>
      </c>
      <c r="E30" s="48" t="s">
        <v>89</v>
      </c>
      <c r="F30" s="64" t="s">
        <v>8</v>
      </c>
      <c r="G30" s="64" t="str">
        <f t="shared" si="0"/>
        <v>Bérköltség</v>
      </c>
      <c r="H30" s="29" t="s">
        <v>15</v>
      </c>
      <c r="I30" s="65">
        <v>599200</v>
      </c>
      <c r="J30" s="65">
        <f t="shared" si="40"/>
        <v>77896</v>
      </c>
      <c r="K30" s="66">
        <v>174</v>
      </c>
      <c r="L30" s="66">
        <v>73</v>
      </c>
      <c r="M30" s="178">
        <f t="shared" si="41"/>
        <v>0.41954022988505746</v>
      </c>
      <c r="N30" s="97">
        <v>250000</v>
      </c>
      <c r="O30" s="97">
        <f t="shared" si="42"/>
        <v>32500</v>
      </c>
      <c r="P30" s="109">
        <f t="shared" si="43"/>
        <v>2.3172659331215373E-3</v>
      </c>
      <c r="Q30" s="68">
        <v>0.13</v>
      </c>
      <c r="R30" s="197" t="s">
        <v>163</v>
      </c>
      <c r="S30" s="75"/>
      <c r="T30" s="49" t="s">
        <v>226</v>
      </c>
      <c r="U30" s="98"/>
      <c r="V30" s="98">
        <v>2</v>
      </c>
      <c r="W30" s="9" t="str">
        <f>IF(VLOOKUP($R30,'Havi béradatok'!$B:$E,2,FALSE)=D30,"EGYEZIK","HIBÁS")</f>
        <v>EGYEZIK</v>
      </c>
      <c r="X30" s="9">
        <f>VLOOKUP($R30,'Havi béradatok'!$B:$E,3,FALSE)-I30</f>
        <v>0</v>
      </c>
      <c r="Y30" s="9">
        <f>VLOOKUP($R30,'Havi béradatok'!$B:$E,4,FALSE)-J30</f>
        <v>0</v>
      </c>
    </row>
    <row r="31" spans="1:25" s="9" customFormat="1" ht="14.45" customHeight="1" x14ac:dyDescent="0.25">
      <c r="A31" s="29" t="s">
        <v>50</v>
      </c>
      <c r="B31" s="29" t="s">
        <v>152</v>
      </c>
      <c r="C31" s="48" t="s">
        <v>85</v>
      </c>
      <c r="D31" s="48" t="s">
        <v>52</v>
      </c>
      <c r="E31" s="48" t="s">
        <v>90</v>
      </c>
      <c r="F31" s="64" t="s">
        <v>9</v>
      </c>
      <c r="G31" s="64" t="str">
        <f t="shared" si="0"/>
        <v>Bérköltség</v>
      </c>
      <c r="H31" s="29" t="s">
        <v>15</v>
      </c>
      <c r="I31" s="65">
        <v>599200</v>
      </c>
      <c r="J31" s="65">
        <f t="shared" si="40"/>
        <v>77896</v>
      </c>
      <c r="K31" s="66">
        <v>174</v>
      </c>
      <c r="L31" s="66">
        <v>73</v>
      </c>
      <c r="M31" s="178">
        <f t="shared" si="41"/>
        <v>0.41954022988505746</v>
      </c>
      <c r="N31" s="97">
        <v>250000</v>
      </c>
      <c r="O31" s="97">
        <f t="shared" si="42"/>
        <v>32500</v>
      </c>
      <c r="P31" s="109">
        <f t="shared" si="43"/>
        <v>2.3172659331215373E-3</v>
      </c>
      <c r="Q31" s="68">
        <v>0.13</v>
      </c>
      <c r="R31" s="197" t="s">
        <v>163</v>
      </c>
      <c r="S31" s="75"/>
      <c r="T31" s="49" t="s">
        <v>226</v>
      </c>
      <c r="U31" s="98"/>
      <c r="V31" s="98"/>
    </row>
    <row r="32" spans="1:25" s="9" customFormat="1" ht="14.45" customHeight="1" x14ac:dyDescent="0.25">
      <c r="A32" s="29" t="s">
        <v>50</v>
      </c>
      <c r="B32" s="29" t="s">
        <v>152</v>
      </c>
      <c r="C32" s="48" t="s">
        <v>85</v>
      </c>
      <c r="D32" s="48" t="s">
        <v>52</v>
      </c>
      <c r="E32" s="48" t="s">
        <v>91</v>
      </c>
      <c r="F32" s="64" t="s">
        <v>9</v>
      </c>
      <c r="G32" s="64" t="str">
        <f t="shared" si="0"/>
        <v>Bérköltség</v>
      </c>
      <c r="H32" s="29" t="s">
        <v>15</v>
      </c>
      <c r="I32" s="65">
        <v>599200</v>
      </c>
      <c r="J32" s="65">
        <f t="shared" si="40"/>
        <v>77896</v>
      </c>
      <c r="K32" s="66">
        <v>174</v>
      </c>
      <c r="L32" s="66">
        <v>73</v>
      </c>
      <c r="M32" s="178">
        <f t="shared" si="41"/>
        <v>0.41954022988505746</v>
      </c>
      <c r="N32" s="97">
        <v>250000</v>
      </c>
      <c r="O32" s="97">
        <f t="shared" si="42"/>
        <v>32500</v>
      </c>
      <c r="P32" s="109">
        <f t="shared" si="43"/>
        <v>2.3172659331215373E-3</v>
      </c>
      <c r="Q32" s="68">
        <v>0.13</v>
      </c>
      <c r="R32" s="197" t="s">
        <v>163</v>
      </c>
      <c r="S32" s="75"/>
      <c r="T32" s="49" t="s">
        <v>226</v>
      </c>
      <c r="U32" s="98"/>
      <c r="V32" s="98"/>
    </row>
    <row r="33" spans="1:25" s="9" customFormat="1" ht="14.45" customHeight="1" x14ac:dyDescent="0.25">
      <c r="A33" s="29" t="s">
        <v>50</v>
      </c>
      <c r="B33" s="29" t="s">
        <v>152</v>
      </c>
      <c r="C33" s="48" t="s">
        <v>85</v>
      </c>
      <c r="D33" s="48" t="s">
        <v>52</v>
      </c>
      <c r="E33" s="48" t="s">
        <v>92</v>
      </c>
      <c r="F33" s="64" t="s">
        <v>9</v>
      </c>
      <c r="G33" s="64" t="str">
        <f t="shared" si="0"/>
        <v>Bérköltség</v>
      </c>
      <c r="H33" s="29" t="s">
        <v>15</v>
      </c>
      <c r="I33" s="65">
        <v>599200</v>
      </c>
      <c r="J33" s="65">
        <f t="shared" si="40"/>
        <v>77896</v>
      </c>
      <c r="K33" s="66">
        <v>174</v>
      </c>
      <c r="L33" s="66">
        <v>73</v>
      </c>
      <c r="M33" s="178">
        <f t="shared" si="41"/>
        <v>0.41954022988505746</v>
      </c>
      <c r="N33" s="97">
        <v>250000</v>
      </c>
      <c r="O33" s="97">
        <f t="shared" si="42"/>
        <v>32500</v>
      </c>
      <c r="P33" s="109">
        <f t="shared" si="43"/>
        <v>2.3172659331215373E-3</v>
      </c>
      <c r="Q33" s="68">
        <v>0.13</v>
      </c>
      <c r="R33" s="197" t="s">
        <v>163</v>
      </c>
      <c r="S33" s="75"/>
      <c r="T33" s="49" t="s">
        <v>226</v>
      </c>
      <c r="U33" s="98"/>
      <c r="V33" s="98"/>
    </row>
    <row r="34" spans="1:25" s="9" customFormat="1" ht="14.45" customHeight="1" x14ac:dyDescent="0.25">
      <c r="A34" s="29" t="s">
        <v>166</v>
      </c>
      <c r="B34" s="29" t="s">
        <v>151</v>
      </c>
      <c r="C34" s="48" t="s">
        <v>84</v>
      </c>
      <c r="D34" s="48" t="s">
        <v>167</v>
      </c>
      <c r="E34" s="48" t="s">
        <v>88</v>
      </c>
      <c r="F34" s="64" t="s">
        <v>8</v>
      </c>
      <c r="G34" s="64" t="str">
        <f t="shared" ref="G34" si="44">IF(H34="Napidíj","Nem rendszeres juttatás","Bérköltség")</f>
        <v>Bérköltség</v>
      </c>
      <c r="H34" s="29" t="s">
        <v>15</v>
      </c>
      <c r="I34" s="65">
        <v>120000</v>
      </c>
      <c r="J34" s="65">
        <f t="shared" ref="J34" si="45">ROUND(I34*Q34,0)</f>
        <v>15600</v>
      </c>
      <c r="K34" s="66">
        <v>44</v>
      </c>
      <c r="L34" s="66">
        <v>44</v>
      </c>
      <c r="M34" s="178">
        <f t="shared" ref="M34" si="46">L34/K34</f>
        <v>1</v>
      </c>
      <c r="N34" s="97">
        <f t="shared" ref="N34" si="47">ROUND(I34*M34,0)</f>
        <v>120000</v>
      </c>
      <c r="O34" s="97">
        <f t="shared" ref="O34" si="48">ROUND(N34*Q34,0)</f>
        <v>15600</v>
      </c>
      <c r="P34" s="109">
        <f t="shared" ref="P34" si="49">L34/K34-N34/I34</f>
        <v>0</v>
      </c>
      <c r="Q34" s="68">
        <v>0.13</v>
      </c>
      <c r="R34" s="197" t="s">
        <v>168</v>
      </c>
      <c r="S34" s="75">
        <v>44951</v>
      </c>
      <c r="T34" s="49" t="s">
        <v>226</v>
      </c>
      <c r="U34" s="98"/>
      <c r="V34" s="98">
        <v>1</v>
      </c>
      <c r="W34" s="9" t="str">
        <f>IF(VLOOKUP($R34,'Havi béradatok'!$B:$E,2,FALSE)=D34,"EGYEZIK","HIBÁS")</f>
        <v>EGYEZIK</v>
      </c>
      <c r="X34" s="9">
        <f>VLOOKUP($R34,'Havi béradatok'!$B:$E,3,FALSE)-I34</f>
        <v>0</v>
      </c>
      <c r="Y34" s="9">
        <f>VLOOKUP($R34,'Havi béradatok'!$B:$E,4,FALSE)-J34</f>
        <v>0</v>
      </c>
    </row>
    <row r="35" spans="1:25" s="9" customFormat="1" ht="14.45" customHeight="1" x14ac:dyDescent="0.25">
      <c r="A35" s="29" t="s">
        <v>166</v>
      </c>
      <c r="B35" s="29" t="s">
        <v>151</v>
      </c>
      <c r="C35" s="48" t="s">
        <v>84</v>
      </c>
      <c r="D35" s="48" t="s">
        <v>167</v>
      </c>
      <c r="E35" s="48" t="s">
        <v>89</v>
      </c>
      <c r="F35" s="64" t="s">
        <v>8</v>
      </c>
      <c r="G35" s="64" t="str">
        <f t="shared" ref="G35:G44" si="50">IF(H35="Napidíj","Nem rendszeres juttatás","Bérköltség")</f>
        <v>Bérköltség</v>
      </c>
      <c r="H35" s="29" t="s">
        <v>15</v>
      </c>
      <c r="I35" s="65">
        <v>120000</v>
      </c>
      <c r="J35" s="65">
        <f t="shared" ref="J35:J44" si="51">ROUND(I35*Q35,0)</f>
        <v>15600</v>
      </c>
      <c r="K35" s="66">
        <v>44</v>
      </c>
      <c r="L35" s="66">
        <v>44</v>
      </c>
      <c r="M35" s="178">
        <f t="shared" ref="M35:M44" si="52">L35/K35</f>
        <v>1</v>
      </c>
      <c r="N35" s="97">
        <f t="shared" ref="N35:N44" si="53">ROUND(I35*M35,0)</f>
        <v>120000</v>
      </c>
      <c r="O35" s="97">
        <f t="shared" ref="O35:O44" si="54">ROUND(N35*Q35,0)</f>
        <v>15600</v>
      </c>
      <c r="P35" s="109">
        <f t="shared" ref="P35:P44" si="55">L35/K35-N35/I35</f>
        <v>0</v>
      </c>
      <c r="Q35" s="68">
        <v>0.13</v>
      </c>
      <c r="R35" s="197" t="s">
        <v>168</v>
      </c>
      <c r="S35" s="75">
        <v>44951</v>
      </c>
      <c r="T35" s="49" t="s">
        <v>226</v>
      </c>
      <c r="U35" s="98"/>
      <c r="V35" s="98">
        <v>1</v>
      </c>
      <c r="W35" s="9" t="str">
        <f>IF(VLOOKUP($R35,'Havi béradatok'!$B:$E,2,FALSE)=D35,"EGYEZIK","HIBÁS")</f>
        <v>EGYEZIK</v>
      </c>
      <c r="X35" s="9">
        <f>VLOOKUP($R35,'Havi béradatok'!$B:$E,3,FALSE)-I35</f>
        <v>0</v>
      </c>
      <c r="Y35" s="9">
        <f>VLOOKUP($R35,'Havi béradatok'!$B:$E,4,FALSE)-J35</f>
        <v>0</v>
      </c>
    </row>
    <row r="36" spans="1:25" s="9" customFormat="1" ht="14.45" customHeight="1" x14ac:dyDescent="0.25">
      <c r="A36" s="29" t="s">
        <v>166</v>
      </c>
      <c r="B36" s="29" t="s">
        <v>151</v>
      </c>
      <c r="C36" s="48" t="s">
        <v>84</v>
      </c>
      <c r="D36" s="48" t="s">
        <v>167</v>
      </c>
      <c r="E36" s="48" t="s">
        <v>90</v>
      </c>
      <c r="F36" s="64" t="s">
        <v>9</v>
      </c>
      <c r="G36" s="64" t="str">
        <f t="shared" si="50"/>
        <v>Bérköltség</v>
      </c>
      <c r="H36" s="29" t="s">
        <v>15</v>
      </c>
      <c r="I36" s="65">
        <v>120000</v>
      </c>
      <c r="J36" s="65">
        <f t="shared" si="51"/>
        <v>15600</v>
      </c>
      <c r="K36" s="66">
        <v>44</v>
      </c>
      <c r="L36" s="66">
        <v>44</v>
      </c>
      <c r="M36" s="178">
        <f t="shared" si="52"/>
        <v>1</v>
      </c>
      <c r="N36" s="97">
        <f t="shared" si="53"/>
        <v>120000</v>
      </c>
      <c r="O36" s="97">
        <f t="shared" si="54"/>
        <v>15600</v>
      </c>
      <c r="P36" s="109">
        <f t="shared" si="55"/>
        <v>0</v>
      </c>
      <c r="Q36" s="68">
        <v>0.13</v>
      </c>
      <c r="R36" s="197" t="s">
        <v>168</v>
      </c>
      <c r="S36" s="75">
        <v>44951</v>
      </c>
      <c r="T36" s="49" t="s">
        <v>226</v>
      </c>
      <c r="U36" s="98"/>
      <c r="V36" s="98"/>
    </row>
    <row r="37" spans="1:25" s="9" customFormat="1" ht="14.45" customHeight="1" x14ac:dyDescent="0.25">
      <c r="A37" s="29" t="s">
        <v>166</v>
      </c>
      <c r="B37" s="29" t="s">
        <v>151</v>
      </c>
      <c r="C37" s="48" t="s">
        <v>84</v>
      </c>
      <c r="D37" s="48" t="s">
        <v>167</v>
      </c>
      <c r="E37" s="48" t="s">
        <v>91</v>
      </c>
      <c r="F37" s="64" t="s">
        <v>9</v>
      </c>
      <c r="G37" s="64" t="str">
        <f t="shared" si="50"/>
        <v>Bérköltség</v>
      </c>
      <c r="H37" s="29" t="s">
        <v>15</v>
      </c>
      <c r="I37" s="65">
        <v>120000</v>
      </c>
      <c r="J37" s="65">
        <f t="shared" si="51"/>
        <v>15600</v>
      </c>
      <c r="K37" s="66">
        <v>44</v>
      </c>
      <c r="L37" s="66">
        <v>44</v>
      </c>
      <c r="M37" s="178">
        <f t="shared" si="52"/>
        <v>1</v>
      </c>
      <c r="N37" s="97">
        <f t="shared" si="53"/>
        <v>120000</v>
      </c>
      <c r="O37" s="97">
        <f t="shared" si="54"/>
        <v>15600</v>
      </c>
      <c r="P37" s="109">
        <f t="shared" si="55"/>
        <v>0</v>
      </c>
      <c r="Q37" s="68">
        <v>0.13</v>
      </c>
      <c r="R37" s="197" t="s">
        <v>168</v>
      </c>
      <c r="S37" s="75">
        <v>44951</v>
      </c>
      <c r="T37" s="49" t="s">
        <v>226</v>
      </c>
      <c r="U37" s="98"/>
      <c r="V37" s="98"/>
    </row>
    <row r="38" spans="1:25" s="9" customFormat="1" ht="14.45" customHeight="1" x14ac:dyDescent="0.25">
      <c r="A38" s="29" t="s">
        <v>166</v>
      </c>
      <c r="B38" s="29" t="s">
        <v>151</v>
      </c>
      <c r="C38" s="48" t="s">
        <v>84</v>
      </c>
      <c r="D38" s="48" t="s">
        <v>167</v>
      </c>
      <c r="E38" s="48" t="s">
        <v>92</v>
      </c>
      <c r="F38" s="64" t="s">
        <v>9</v>
      </c>
      <c r="G38" s="64" t="str">
        <f t="shared" si="50"/>
        <v>Bérköltség</v>
      </c>
      <c r="H38" s="29" t="s">
        <v>15</v>
      </c>
      <c r="I38" s="65">
        <v>120000</v>
      </c>
      <c r="J38" s="65">
        <f t="shared" si="51"/>
        <v>15600</v>
      </c>
      <c r="K38" s="66">
        <v>44</v>
      </c>
      <c r="L38" s="66">
        <v>44</v>
      </c>
      <c r="M38" s="178">
        <f t="shared" si="52"/>
        <v>1</v>
      </c>
      <c r="N38" s="97">
        <f t="shared" si="53"/>
        <v>120000</v>
      </c>
      <c r="O38" s="97">
        <f t="shared" si="54"/>
        <v>15600</v>
      </c>
      <c r="P38" s="109">
        <f t="shared" si="55"/>
        <v>0</v>
      </c>
      <c r="Q38" s="68">
        <v>0.13</v>
      </c>
      <c r="R38" s="197" t="s">
        <v>168</v>
      </c>
      <c r="S38" s="75">
        <v>44951</v>
      </c>
      <c r="T38" s="49" t="s">
        <v>226</v>
      </c>
      <c r="U38" s="98"/>
      <c r="V38" s="98"/>
    </row>
    <row r="39" spans="1:25" s="9" customFormat="1" ht="14.45" customHeight="1" x14ac:dyDescent="0.25">
      <c r="A39" s="29" t="s">
        <v>166</v>
      </c>
      <c r="B39" s="29" t="s">
        <v>151</v>
      </c>
      <c r="C39" s="48" t="s">
        <v>84</v>
      </c>
      <c r="D39" s="48" t="s">
        <v>167</v>
      </c>
      <c r="E39" s="48" t="s">
        <v>93</v>
      </c>
      <c r="F39" s="64" t="s">
        <v>9</v>
      </c>
      <c r="G39" s="64" t="str">
        <f t="shared" si="50"/>
        <v>Bérköltség</v>
      </c>
      <c r="H39" s="29" t="s">
        <v>15</v>
      </c>
      <c r="I39" s="65">
        <v>120000</v>
      </c>
      <c r="J39" s="65">
        <f t="shared" si="51"/>
        <v>15600</v>
      </c>
      <c r="K39" s="66">
        <v>44</v>
      </c>
      <c r="L39" s="66">
        <v>44</v>
      </c>
      <c r="M39" s="178">
        <f t="shared" si="52"/>
        <v>1</v>
      </c>
      <c r="N39" s="97">
        <f t="shared" si="53"/>
        <v>120000</v>
      </c>
      <c r="O39" s="97">
        <f t="shared" si="54"/>
        <v>15600</v>
      </c>
      <c r="P39" s="109">
        <f t="shared" si="55"/>
        <v>0</v>
      </c>
      <c r="Q39" s="68">
        <v>0.13</v>
      </c>
      <c r="R39" s="197" t="s">
        <v>168</v>
      </c>
      <c r="S39" s="75">
        <v>44951</v>
      </c>
      <c r="T39" s="49" t="s">
        <v>226</v>
      </c>
      <c r="U39" s="98"/>
      <c r="V39" s="98"/>
    </row>
    <row r="40" spans="1:25" s="9" customFormat="1" ht="14.45" customHeight="1" x14ac:dyDescent="0.25">
      <c r="A40" s="29" t="s">
        <v>166</v>
      </c>
      <c r="B40" s="29" t="s">
        <v>151</v>
      </c>
      <c r="C40" s="48" t="s">
        <v>84</v>
      </c>
      <c r="D40" s="48" t="s">
        <v>167</v>
      </c>
      <c r="E40" s="48" t="s">
        <v>94</v>
      </c>
      <c r="F40" s="64" t="s">
        <v>9</v>
      </c>
      <c r="G40" s="64" t="str">
        <f t="shared" si="50"/>
        <v>Bérköltség</v>
      </c>
      <c r="H40" s="29" t="s">
        <v>15</v>
      </c>
      <c r="I40" s="65">
        <v>120000</v>
      </c>
      <c r="J40" s="65">
        <f t="shared" si="51"/>
        <v>15600</v>
      </c>
      <c r="K40" s="66">
        <v>44</v>
      </c>
      <c r="L40" s="66">
        <v>44</v>
      </c>
      <c r="M40" s="178">
        <f t="shared" si="52"/>
        <v>1</v>
      </c>
      <c r="N40" s="97">
        <f t="shared" si="53"/>
        <v>120000</v>
      </c>
      <c r="O40" s="97">
        <f t="shared" si="54"/>
        <v>15600</v>
      </c>
      <c r="P40" s="109">
        <f t="shared" si="55"/>
        <v>0</v>
      </c>
      <c r="Q40" s="68">
        <v>0.13</v>
      </c>
      <c r="R40" s="197" t="s">
        <v>168</v>
      </c>
      <c r="S40" s="75">
        <v>44951</v>
      </c>
      <c r="T40" s="49" t="s">
        <v>226</v>
      </c>
      <c r="U40" s="98"/>
      <c r="V40" s="98"/>
    </row>
    <row r="41" spans="1:25" s="9" customFormat="1" ht="14.45" customHeight="1" x14ac:dyDescent="0.25">
      <c r="A41" s="29" t="s">
        <v>166</v>
      </c>
      <c r="B41" s="29" t="s">
        <v>151</v>
      </c>
      <c r="C41" s="48" t="s">
        <v>84</v>
      </c>
      <c r="D41" s="48" t="s">
        <v>167</v>
      </c>
      <c r="E41" s="48" t="s">
        <v>95</v>
      </c>
      <c r="F41" s="64" t="s">
        <v>9</v>
      </c>
      <c r="G41" s="64" t="str">
        <f t="shared" si="50"/>
        <v>Bérköltség</v>
      </c>
      <c r="H41" s="29" t="s">
        <v>15</v>
      </c>
      <c r="I41" s="65">
        <v>120000</v>
      </c>
      <c r="J41" s="65">
        <f t="shared" si="51"/>
        <v>15600</v>
      </c>
      <c r="K41" s="66">
        <v>44</v>
      </c>
      <c r="L41" s="66">
        <v>44</v>
      </c>
      <c r="M41" s="178">
        <f t="shared" si="52"/>
        <v>1</v>
      </c>
      <c r="N41" s="97">
        <f t="shared" si="53"/>
        <v>120000</v>
      </c>
      <c r="O41" s="97">
        <f t="shared" si="54"/>
        <v>15600</v>
      </c>
      <c r="P41" s="109">
        <f t="shared" si="55"/>
        <v>0</v>
      </c>
      <c r="Q41" s="68">
        <v>0.13</v>
      </c>
      <c r="R41" s="197" t="s">
        <v>168</v>
      </c>
      <c r="S41" s="75">
        <v>44951</v>
      </c>
      <c r="T41" s="49" t="s">
        <v>226</v>
      </c>
      <c r="U41" s="98"/>
      <c r="V41" s="98"/>
    </row>
    <row r="42" spans="1:25" s="9" customFormat="1" ht="14.45" customHeight="1" x14ac:dyDescent="0.25">
      <c r="A42" s="29" t="s">
        <v>166</v>
      </c>
      <c r="B42" s="29" t="s">
        <v>151</v>
      </c>
      <c r="C42" s="48" t="s">
        <v>84</v>
      </c>
      <c r="D42" s="48" t="s">
        <v>167</v>
      </c>
      <c r="E42" s="48" t="s">
        <v>96</v>
      </c>
      <c r="F42" s="64" t="s">
        <v>9</v>
      </c>
      <c r="G42" s="64" t="str">
        <f t="shared" si="50"/>
        <v>Bérköltség</v>
      </c>
      <c r="H42" s="29" t="s">
        <v>15</v>
      </c>
      <c r="I42" s="65">
        <v>120000</v>
      </c>
      <c r="J42" s="65">
        <f t="shared" si="51"/>
        <v>15600</v>
      </c>
      <c r="K42" s="66">
        <v>44</v>
      </c>
      <c r="L42" s="66">
        <v>44</v>
      </c>
      <c r="M42" s="178">
        <f t="shared" si="52"/>
        <v>1</v>
      </c>
      <c r="N42" s="97">
        <f t="shared" si="53"/>
        <v>120000</v>
      </c>
      <c r="O42" s="97">
        <f t="shared" si="54"/>
        <v>15600</v>
      </c>
      <c r="P42" s="109">
        <f t="shared" si="55"/>
        <v>0</v>
      </c>
      <c r="Q42" s="68">
        <v>0.13</v>
      </c>
      <c r="R42" s="197" t="s">
        <v>168</v>
      </c>
      <c r="S42" s="75">
        <v>44951</v>
      </c>
      <c r="T42" s="49" t="s">
        <v>226</v>
      </c>
      <c r="U42" s="98"/>
      <c r="V42" s="98"/>
    </row>
    <row r="43" spans="1:25" s="9" customFormat="1" ht="14.45" customHeight="1" x14ac:dyDescent="0.25">
      <c r="A43" s="29" t="s">
        <v>166</v>
      </c>
      <c r="B43" s="29" t="s">
        <v>151</v>
      </c>
      <c r="C43" s="48" t="s">
        <v>84</v>
      </c>
      <c r="D43" s="48" t="s">
        <v>167</v>
      </c>
      <c r="E43" s="48" t="s">
        <v>97</v>
      </c>
      <c r="F43" s="64" t="s">
        <v>9</v>
      </c>
      <c r="G43" s="64" t="str">
        <f t="shared" si="50"/>
        <v>Bérköltség</v>
      </c>
      <c r="H43" s="29" t="s">
        <v>15</v>
      </c>
      <c r="I43" s="65">
        <v>120000</v>
      </c>
      <c r="J43" s="65">
        <f t="shared" si="51"/>
        <v>15600</v>
      </c>
      <c r="K43" s="66">
        <v>44</v>
      </c>
      <c r="L43" s="66">
        <v>44</v>
      </c>
      <c r="M43" s="178">
        <f t="shared" si="52"/>
        <v>1</v>
      </c>
      <c r="N43" s="97">
        <f t="shared" si="53"/>
        <v>120000</v>
      </c>
      <c r="O43" s="97">
        <f t="shared" si="54"/>
        <v>15600</v>
      </c>
      <c r="P43" s="109">
        <f t="shared" si="55"/>
        <v>0</v>
      </c>
      <c r="Q43" s="68">
        <v>0.13</v>
      </c>
      <c r="R43" s="197" t="s">
        <v>168</v>
      </c>
      <c r="S43" s="75">
        <v>44951</v>
      </c>
      <c r="T43" s="49" t="s">
        <v>226</v>
      </c>
      <c r="U43" s="98"/>
      <c r="V43" s="98"/>
    </row>
    <row r="44" spans="1:25" s="9" customFormat="1" ht="14.45" customHeight="1" x14ac:dyDescent="0.25">
      <c r="A44" s="29" t="s">
        <v>169</v>
      </c>
      <c r="B44" s="29" t="s">
        <v>151</v>
      </c>
      <c r="C44" s="48" t="s">
        <v>84</v>
      </c>
      <c r="D44" s="48" t="s">
        <v>167</v>
      </c>
      <c r="E44" s="48" t="s">
        <v>88</v>
      </c>
      <c r="F44" s="64" t="s">
        <v>8</v>
      </c>
      <c r="G44" s="64" t="str">
        <f t="shared" si="50"/>
        <v>Bérköltség</v>
      </c>
      <c r="H44" s="29" t="s">
        <v>15</v>
      </c>
      <c r="I44" s="65">
        <v>480000</v>
      </c>
      <c r="J44" s="65">
        <f t="shared" si="51"/>
        <v>62400</v>
      </c>
      <c r="K44" s="66">
        <v>87</v>
      </c>
      <c r="L44" s="66">
        <v>87</v>
      </c>
      <c r="M44" s="178">
        <f t="shared" si="52"/>
        <v>1</v>
      </c>
      <c r="N44" s="97">
        <f t="shared" si="53"/>
        <v>480000</v>
      </c>
      <c r="O44" s="97">
        <f t="shared" si="54"/>
        <v>62400</v>
      </c>
      <c r="P44" s="109">
        <f t="shared" si="55"/>
        <v>0</v>
      </c>
      <c r="Q44" s="68">
        <v>0.13</v>
      </c>
      <c r="R44" s="197" t="s">
        <v>170</v>
      </c>
      <c r="S44" s="75">
        <v>44960</v>
      </c>
      <c r="T44" s="49" t="s">
        <v>226</v>
      </c>
      <c r="U44" s="98"/>
      <c r="V44" s="98">
        <v>1</v>
      </c>
      <c r="W44" s="9" t="str">
        <f>IF(VLOOKUP($R44,'Havi béradatok'!$B:$E,2,FALSE)=D44,"EGYEZIK","HIBÁS")</f>
        <v>EGYEZIK</v>
      </c>
      <c r="X44" s="9">
        <f>VLOOKUP($R44,'Havi béradatok'!$B:$E,3,FALSE)-I44</f>
        <v>0</v>
      </c>
      <c r="Y44" s="9">
        <f>VLOOKUP($R44,'Havi béradatok'!$B:$E,4,FALSE)-J44</f>
        <v>0</v>
      </c>
    </row>
    <row r="45" spans="1:25" s="9" customFormat="1" ht="14.45" customHeight="1" x14ac:dyDescent="0.25">
      <c r="A45" s="29" t="s">
        <v>169</v>
      </c>
      <c r="B45" s="29" t="s">
        <v>151</v>
      </c>
      <c r="C45" s="48" t="s">
        <v>84</v>
      </c>
      <c r="D45" s="48" t="s">
        <v>167</v>
      </c>
      <c r="E45" s="48" t="s">
        <v>89</v>
      </c>
      <c r="F45" s="64" t="s">
        <v>8</v>
      </c>
      <c r="G45" s="64" t="str">
        <f t="shared" ref="G45:G70" si="56">IF(H45="Napidíj","Nem rendszeres juttatás","Bérköltség")</f>
        <v>Bérköltség</v>
      </c>
      <c r="H45" s="29" t="s">
        <v>15</v>
      </c>
      <c r="I45" s="65">
        <v>480000</v>
      </c>
      <c r="J45" s="65">
        <f t="shared" ref="J45:J51" si="57">ROUND(I45*Q45,0)</f>
        <v>62400</v>
      </c>
      <c r="K45" s="66">
        <v>87</v>
      </c>
      <c r="L45" s="66">
        <v>87</v>
      </c>
      <c r="M45" s="178">
        <f t="shared" ref="M45:M51" si="58">L45/K45</f>
        <v>1</v>
      </c>
      <c r="N45" s="97">
        <f t="shared" ref="N45:N51" si="59">ROUND(I45*M45,0)</f>
        <v>480000</v>
      </c>
      <c r="O45" s="97">
        <f t="shared" ref="O45:O51" si="60">ROUND(N45*Q45,0)</f>
        <v>62400</v>
      </c>
      <c r="P45" s="109">
        <f t="shared" ref="P45:P61" si="61">L45/K45-N45/I45</f>
        <v>0</v>
      </c>
      <c r="Q45" s="68">
        <v>0.13</v>
      </c>
      <c r="R45" s="197" t="s">
        <v>170</v>
      </c>
      <c r="S45" s="75">
        <v>44960</v>
      </c>
      <c r="T45" s="49" t="s">
        <v>226</v>
      </c>
      <c r="U45" s="98"/>
      <c r="V45" s="98">
        <v>1</v>
      </c>
      <c r="W45" s="9" t="str">
        <f>IF(VLOOKUP($R45,'Havi béradatok'!$B:$E,2,FALSE)=D45,"EGYEZIK","HIBÁS")</f>
        <v>EGYEZIK</v>
      </c>
      <c r="X45" s="9">
        <f>VLOOKUP($R45,'Havi béradatok'!$B:$E,3,FALSE)-I45</f>
        <v>0</v>
      </c>
      <c r="Y45" s="9">
        <f>VLOOKUP($R45,'Havi béradatok'!$B:$E,4,FALSE)-J45</f>
        <v>0</v>
      </c>
    </row>
    <row r="46" spans="1:25" s="9" customFormat="1" ht="14.45" customHeight="1" x14ac:dyDescent="0.25">
      <c r="A46" s="29" t="s">
        <v>169</v>
      </c>
      <c r="B46" s="29" t="s">
        <v>151</v>
      </c>
      <c r="C46" s="48" t="s">
        <v>84</v>
      </c>
      <c r="D46" s="48" t="s">
        <v>167</v>
      </c>
      <c r="E46" s="48" t="s">
        <v>90</v>
      </c>
      <c r="F46" s="64" t="s">
        <v>9</v>
      </c>
      <c r="G46" s="64" t="str">
        <f t="shared" si="56"/>
        <v>Bérköltség</v>
      </c>
      <c r="H46" s="29" t="s">
        <v>15</v>
      </c>
      <c r="I46" s="65">
        <v>480000</v>
      </c>
      <c r="J46" s="65">
        <f t="shared" si="57"/>
        <v>62400</v>
      </c>
      <c r="K46" s="66">
        <v>87</v>
      </c>
      <c r="L46" s="66">
        <v>87</v>
      </c>
      <c r="M46" s="178">
        <f t="shared" si="58"/>
        <v>1</v>
      </c>
      <c r="N46" s="97">
        <f t="shared" si="59"/>
        <v>480000</v>
      </c>
      <c r="O46" s="97">
        <f t="shared" si="60"/>
        <v>62400</v>
      </c>
      <c r="P46" s="109">
        <f t="shared" si="61"/>
        <v>0</v>
      </c>
      <c r="Q46" s="68">
        <v>0.13</v>
      </c>
      <c r="R46" s="197" t="s">
        <v>170</v>
      </c>
      <c r="S46" s="75">
        <v>44960</v>
      </c>
      <c r="T46" s="49" t="s">
        <v>226</v>
      </c>
      <c r="U46" s="98"/>
      <c r="V46" s="98"/>
    </row>
    <row r="47" spans="1:25" s="9" customFormat="1" ht="14.45" customHeight="1" x14ac:dyDescent="0.25">
      <c r="A47" s="29" t="s">
        <v>169</v>
      </c>
      <c r="B47" s="29" t="s">
        <v>151</v>
      </c>
      <c r="C47" s="48" t="s">
        <v>84</v>
      </c>
      <c r="D47" s="48" t="s">
        <v>167</v>
      </c>
      <c r="E47" s="48" t="s">
        <v>91</v>
      </c>
      <c r="F47" s="64" t="s">
        <v>9</v>
      </c>
      <c r="G47" s="64" t="str">
        <f t="shared" si="56"/>
        <v>Bérköltség</v>
      </c>
      <c r="H47" s="29" t="s">
        <v>15</v>
      </c>
      <c r="I47" s="65">
        <v>480000</v>
      </c>
      <c r="J47" s="65">
        <f t="shared" si="57"/>
        <v>62400</v>
      </c>
      <c r="K47" s="66">
        <v>87</v>
      </c>
      <c r="L47" s="66">
        <v>87</v>
      </c>
      <c r="M47" s="178">
        <f t="shared" si="58"/>
        <v>1</v>
      </c>
      <c r="N47" s="97">
        <f t="shared" si="59"/>
        <v>480000</v>
      </c>
      <c r="O47" s="97">
        <f t="shared" si="60"/>
        <v>62400</v>
      </c>
      <c r="P47" s="109">
        <f t="shared" si="61"/>
        <v>0</v>
      </c>
      <c r="Q47" s="68">
        <v>0.13</v>
      </c>
      <c r="R47" s="197" t="s">
        <v>170</v>
      </c>
      <c r="S47" s="75">
        <v>44960</v>
      </c>
      <c r="T47" s="49" t="s">
        <v>226</v>
      </c>
      <c r="U47" s="98"/>
      <c r="V47" s="98"/>
    </row>
    <row r="48" spans="1:25" s="9" customFormat="1" ht="14.45" customHeight="1" x14ac:dyDescent="0.25">
      <c r="A48" s="29" t="s">
        <v>169</v>
      </c>
      <c r="B48" s="29" t="s">
        <v>151</v>
      </c>
      <c r="C48" s="48" t="s">
        <v>84</v>
      </c>
      <c r="D48" s="48" t="s">
        <v>167</v>
      </c>
      <c r="E48" s="48" t="s">
        <v>92</v>
      </c>
      <c r="F48" s="64" t="s">
        <v>9</v>
      </c>
      <c r="G48" s="64" t="str">
        <f t="shared" si="56"/>
        <v>Bérköltség</v>
      </c>
      <c r="H48" s="29" t="s">
        <v>15</v>
      </c>
      <c r="I48" s="65">
        <v>480000</v>
      </c>
      <c r="J48" s="65">
        <f t="shared" si="57"/>
        <v>62400</v>
      </c>
      <c r="K48" s="66">
        <v>87</v>
      </c>
      <c r="L48" s="66">
        <v>87</v>
      </c>
      <c r="M48" s="178">
        <f t="shared" si="58"/>
        <v>1</v>
      </c>
      <c r="N48" s="97">
        <f t="shared" si="59"/>
        <v>480000</v>
      </c>
      <c r="O48" s="97">
        <f t="shared" si="60"/>
        <v>62400</v>
      </c>
      <c r="P48" s="109">
        <f t="shared" si="61"/>
        <v>0</v>
      </c>
      <c r="Q48" s="68">
        <v>0.13</v>
      </c>
      <c r="R48" s="197" t="s">
        <v>170</v>
      </c>
      <c r="S48" s="75">
        <v>44960</v>
      </c>
      <c r="T48" s="49" t="s">
        <v>226</v>
      </c>
      <c r="U48" s="98"/>
      <c r="V48" s="98"/>
    </row>
    <row r="49" spans="1:25" s="9" customFormat="1" ht="14.45" customHeight="1" x14ac:dyDescent="0.25">
      <c r="A49" s="29" t="s">
        <v>169</v>
      </c>
      <c r="B49" s="29" t="s">
        <v>151</v>
      </c>
      <c r="C49" s="48" t="s">
        <v>84</v>
      </c>
      <c r="D49" s="48" t="s">
        <v>167</v>
      </c>
      <c r="E49" s="48" t="s">
        <v>93</v>
      </c>
      <c r="F49" s="64" t="s">
        <v>9</v>
      </c>
      <c r="G49" s="64" t="str">
        <f t="shared" si="56"/>
        <v>Bérköltség</v>
      </c>
      <c r="H49" s="29" t="s">
        <v>15</v>
      </c>
      <c r="I49" s="65">
        <v>480000</v>
      </c>
      <c r="J49" s="65">
        <f t="shared" si="57"/>
        <v>62400</v>
      </c>
      <c r="K49" s="66">
        <v>87</v>
      </c>
      <c r="L49" s="66">
        <v>87</v>
      </c>
      <c r="M49" s="178">
        <f t="shared" si="58"/>
        <v>1</v>
      </c>
      <c r="N49" s="97">
        <f t="shared" si="59"/>
        <v>480000</v>
      </c>
      <c r="O49" s="97">
        <f t="shared" si="60"/>
        <v>62400</v>
      </c>
      <c r="P49" s="109">
        <f t="shared" si="61"/>
        <v>0</v>
      </c>
      <c r="Q49" s="68">
        <v>0.13</v>
      </c>
      <c r="R49" s="197" t="s">
        <v>170</v>
      </c>
      <c r="S49" s="75">
        <v>44960</v>
      </c>
      <c r="T49" s="49" t="s">
        <v>226</v>
      </c>
      <c r="U49" s="98"/>
      <c r="V49" s="98"/>
    </row>
    <row r="50" spans="1:25" s="9" customFormat="1" ht="14.45" customHeight="1" x14ac:dyDescent="0.25">
      <c r="A50" s="29" t="s">
        <v>169</v>
      </c>
      <c r="B50" s="29" t="s">
        <v>151</v>
      </c>
      <c r="C50" s="48" t="s">
        <v>84</v>
      </c>
      <c r="D50" s="48" t="s">
        <v>167</v>
      </c>
      <c r="E50" s="48" t="s">
        <v>94</v>
      </c>
      <c r="F50" s="64" t="s">
        <v>9</v>
      </c>
      <c r="G50" s="64" t="str">
        <f t="shared" si="56"/>
        <v>Bérköltség</v>
      </c>
      <c r="H50" s="29" t="s">
        <v>15</v>
      </c>
      <c r="I50" s="65">
        <v>480000</v>
      </c>
      <c r="J50" s="65">
        <f t="shared" si="57"/>
        <v>62400</v>
      </c>
      <c r="K50" s="66">
        <v>87</v>
      </c>
      <c r="L50" s="66">
        <v>87</v>
      </c>
      <c r="M50" s="178">
        <f t="shared" si="58"/>
        <v>1</v>
      </c>
      <c r="N50" s="97">
        <f t="shared" si="59"/>
        <v>480000</v>
      </c>
      <c r="O50" s="97">
        <f t="shared" si="60"/>
        <v>62400</v>
      </c>
      <c r="P50" s="109">
        <f t="shared" si="61"/>
        <v>0</v>
      </c>
      <c r="Q50" s="68">
        <v>0.13</v>
      </c>
      <c r="R50" s="197" t="s">
        <v>170</v>
      </c>
      <c r="S50" s="75">
        <v>44960</v>
      </c>
      <c r="T50" s="49" t="s">
        <v>226</v>
      </c>
      <c r="U50" s="98"/>
      <c r="V50" s="98"/>
    </row>
    <row r="51" spans="1:25" s="9" customFormat="1" ht="14.45" customHeight="1" x14ac:dyDescent="0.25">
      <c r="A51" s="29" t="s">
        <v>177</v>
      </c>
      <c r="B51" s="29" t="s">
        <v>151</v>
      </c>
      <c r="C51" s="48" t="s">
        <v>84</v>
      </c>
      <c r="D51" s="48" t="s">
        <v>167</v>
      </c>
      <c r="E51" s="48" t="s">
        <v>88</v>
      </c>
      <c r="F51" s="64" t="s">
        <v>8</v>
      </c>
      <c r="G51" s="64" t="str">
        <f t="shared" si="56"/>
        <v>Bérköltség</v>
      </c>
      <c r="H51" s="29" t="s">
        <v>15</v>
      </c>
      <c r="I51" s="65">
        <v>980000</v>
      </c>
      <c r="J51" s="65">
        <f t="shared" si="57"/>
        <v>127400</v>
      </c>
      <c r="K51" s="66">
        <v>174</v>
      </c>
      <c r="L51" s="66">
        <v>174</v>
      </c>
      <c r="M51" s="178">
        <f t="shared" si="58"/>
        <v>1</v>
      </c>
      <c r="N51" s="97">
        <f t="shared" si="59"/>
        <v>980000</v>
      </c>
      <c r="O51" s="97">
        <f t="shared" si="60"/>
        <v>127400</v>
      </c>
      <c r="P51" s="109">
        <f t="shared" si="61"/>
        <v>0</v>
      </c>
      <c r="Q51" s="68">
        <v>0.13</v>
      </c>
      <c r="R51" s="197" t="s">
        <v>178</v>
      </c>
      <c r="S51" s="75">
        <v>44951</v>
      </c>
      <c r="T51" s="49" t="s">
        <v>226</v>
      </c>
      <c r="U51" s="98"/>
      <c r="V51" s="98">
        <v>1</v>
      </c>
      <c r="W51" s="9" t="str">
        <f>IF(VLOOKUP($R51,'Havi béradatok'!$B:$E,2,FALSE)=D51,"EGYEZIK","HIBÁS")</f>
        <v>EGYEZIK</v>
      </c>
      <c r="X51" s="9">
        <f>VLOOKUP($R51,'Havi béradatok'!$B:$E,3,FALSE)-I51</f>
        <v>0</v>
      </c>
      <c r="Y51" s="9">
        <f>VLOOKUP($R51,'Havi béradatok'!$B:$E,4,FALSE)-J51</f>
        <v>0</v>
      </c>
    </row>
    <row r="52" spans="1:25" s="9" customFormat="1" ht="14.45" customHeight="1" x14ac:dyDescent="0.25">
      <c r="A52" s="29" t="s">
        <v>177</v>
      </c>
      <c r="B52" s="29" t="s">
        <v>151</v>
      </c>
      <c r="C52" s="48" t="s">
        <v>84</v>
      </c>
      <c r="D52" s="48" t="s">
        <v>167</v>
      </c>
      <c r="E52" s="48" t="s">
        <v>89</v>
      </c>
      <c r="F52" s="64" t="s">
        <v>8</v>
      </c>
      <c r="G52" s="64" t="str">
        <f t="shared" ref="G52:G60" si="62">IF(H52="Napidíj","Nem rendszeres juttatás","Bérköltség")</f>
        <v>Bérköltség</v>
      </c>
      <c r="H52" s="29" t="s">
        <v>15</v>
      </c>
      <c r="I52" s="65">
        <v>980000</v>
      </c>
      <c r="J52" s="65">
        <f t="shared" ref="J52:J60" si="63">ROUND(I52*Q52,0)</f>
        <v>127400</v>
      </c>
      <c r="K52" s="66">
        <v>174</v>
      </c>
      <c r="L52" s="66">
        <v>174</v>
      </c>
      <c r="M52" s="178">
        <f t="shared" ref="M52:M60" si="64">L52/K52</f>
        <v>1</v>
      </c>
      <c r="N52" s="97">
        <f t="shared" ref="N52:N60" si="65">ROUND(I52*M52,0)</f>
        <v>980000</v>
      </c>
      <c r="O52" s="97">
        <f t="shared" ref="O52:O60" si="66">ROUND(N52*Q52,0)</f>
        <v>127400</v>
      </c>
      <c r="P52" s="109">
        <f t="shared" ref="P52:P60" si="67">L52/K52-N52/I52</f>
        <v>0</v>
      </c>
      <c r="Q52" s="68">
        <v>0.13</v>
      </c>
      <c r="R52" s="197" t="s">
        <v>178</v>
      </c>
      <c r="S52" s="75">
        <v>44951</v>
      </c>
      <c r="T52" s="49" t="s">
        <v>226</v>
      </c>
      <c r="U52" s="98"/>
      <c r="V52" s="98">
        <v>1</v>
      </c>
      <c r="W52" s="9" t="str">
        <f>IF(VLOOKUP($R52,'Havi béradatok'!$B:$E,2,FALSE)=D52,"EGYEZIK","HIBÁS")</f>
        <v>EGYEZIK</v>
      </c>
      <c r="X52" s="9">
        <f>VLOOKUP($R52,'Havi béradatok'!$B:$E,3,FALSE)-I52</f>
        <v>0</v>
      </c>
      <c r="Y52" s="9">
        <f>VLOOKUP($R52,'Havi béradatok'!$B:$E,4,FALSE)-J52</f>
        <v>0</v>
      </c>
    </row>
    <row r="53" spans="1:25" s="9" customFormat="1" ht="14.45" customHeight="1" x14ac:dyDescent="0.25">
      <c r="A53" s="29" t="s">
        <v>177</v>
      </c>
      <c r="B53" s="29" t="s">
        <v>151</v>
      </c>
      <c r="C53" s="48" t="s">
        <v>84</v>
      </c>
      <c r="D53" s="48" t="s">
        <v>167</v>
      </c>
      <c r="E53" s="48" t="s">
        <v>90</v>
      </c>
      <c r="F53" s="64" t="s">
        <v>9</v>
      </c>
      <c r="G53" s="64" t="str">
        <f t="shared" si="62"/>
        <v>Bérköltség</v>
      </c>
      <c r="H53" s="29" t="s">
        <v>15</v>
      </c>
      <c r="I53" s="65">
        <v>980000</v>
      </c>
      <c r="J53" s="65">
        <f t="shared" si="63"/>
        <v>127400</v>
      </c>
      <c r="K53" s="66">
        <v>174</v>
      </c>
      <c r="L53" s="66">
        <v>174</v>
      </c>
      <c r="M53" s="178">
        <f t="shared" si="64"/>
        <v>1</v>
      </c>
      <c r="N53" s="97">
        <f t="shared" si="65"/>
        <v>980000</v>
      </c>
      <c r="O53" s="97">
        <f t="shared" si="66"/>
        <v>127400</v>
      </c>
      <c r="P53" s="109">
        <f t="shared" si="67"/>
        <v>0</v>
      </c>
      <c r="Q53" s="68">
        <v>0.13</v>
      </c>
      <c r="R53" s="197" t="s">
        <v>178</v>
      </c>
      <c r="S53" s="75">
        <v>44951</v>
      </c>
      <c r="T53" s="49" t="s">
        <v>226</v>
      </c>
      <c r="U53" s="98"/>
      <c r="V53" s="98"/>
    </row>
    <row r="54" spans="1:25" s="9" customFormat="1" ht="14.45" customHeight="1" x14ac:dyDescent="0.25">
      <c r="A54" s="29" t="s">
        <v>177</v>
      </c>
      <c r="B54" s="29" t="s">
        <v>151</v>
      </c>
      <c r="C54" s="48" t="s">
        <v>84</v>
      </c>
      <c r="D54" s="48" t="s">
        <v>167</v>
      </c>
      <c r="E54" s="48" t="s">
        <v>91</v>
      </c>
      <c r="F54" s="64" t="s">
        <v>9</v>
      </c>
      <c r="G54" s="64" t="str">
        <f t="shared" si="62"/>
        <v>Bérköltség</v>
      </c>
      <c r="H54" s="29" t="s">
        <v>15</v>
      </c>
      <c r="I54" s="65">
        <v>980000</v>
      </c>
      <c r="J54" s="65">
        <f t="shared" si="63"/>
        <v>127400</v>
      </c>
      <c r="K54" s="66">
        <v>174</v>
      </c>
      <c r="L54" s="66">
        <v>174</v>
      </c>
      <c r="M54" s="178">
        <f t="shared" si="64"/>
        <v>1</v>
      </c>
      <c r="N54" s="97">
        <f t="shared" si="65"/>
        <v>980000</v>
      </c>
      <c r="O54" s="97">
        <f t="shared" si="66"/>
        <v>127400</v>
      </c>
      <c r="P54" s="109">
        <f t="shared" si="67"/>
        <v>0</v>
      </c>
      <c r="Q54" s="68">
        <v>0.13</v>
      </c>
      <c r="R54" s="197" t="s">
        <v>178</v>
      </c>
      <c r="S54" s="75">
        <v>44951</v>
      </c>
      <c r="T54" s="49" t="s">
        <v>226</v>
      </c>
      <c r="U54" s="98"/>
      <c r="V54" s="98"/>
    </row>
    <row r="55" spans="1:25" s="9" customFormat="1" ht="14.45" customHeight="1" x14ac:dyDescent="0.25">
      <c r="A55" s="29" t="s">
        <v>177</v>
      </c>
      <c r="B55" s="29" t="s">
        <v>151</v>
      </c>
      <c r="C55" s="48" t="s">
        <v>84</v>
      </c>
      <c r="D55" s="48" t="s">
        <v>167</v>
      </c>
      <c r="E55" s="48" t="s">
        <v>92</v>
      </c>
      <c r="F55" s="64" t="s">
        <v>9</v>
      </c>
      <c r="G55" s="64" t="str">
        <f t="shared" si="62"/>
        <v>Bérköltség</v>
      </c>
      <c r="H55" s="29" t="s">
        <v>15</v>
      </c>
      <c r="I55" s="65">
        <v>980000</v>
      </c>
      <c r="J55" s="65">
        <f t="shared" si="63"/>
        <v>127400</v>
      </c>
      <c r="K55" s="66">
        <v>174</v>
      </c>
      <c r="L55" s="66">
        <v>174</v>
      </c>
      <c r="M55" s="178">
        <f t="shared" si="64"/>
        <v>1</v>
      </c>
      <c r="N55" s="97">
        <f t="shared" si="65"/>
        <v>980000</v>
      </c>
      <c r="O55" s="97">
        <f t="shared" si="66"/>
        <v>127400</v>
      </c>
      <c r="P55" s="109">
        <f t="shared" si="67"/>
        <v>0</v>
      </c>
      <c r="Q55" s="68">
        <v>0.13</v>
      </c>
      <c r="R55" s="197" t="s">
        <v>178</v>
      </c>
      <c r="S55" s="75">
        <v>44951</v>
      </c>
      <c r="T55" s="49" t="s">
        <v>226</v>
      </c>
      <c r="U55" s="98"/>
      <c r="V55" s="98"/>
    </row>
    <row r="56" spans="1:25" s="9" customFormat="1" ht="14.45" customHeight="1" x14ac:dyDescent="0.25">
      <c r="A56" s="29" t="s">
        <v>177</v>
      </c>
      <c r="B56" s="29" t="s">
        <v>151</v>
      </c>
      <c r="C56" s="48" t="s">
        <v>84</v>
      </c>
      <c r="D56" s="48" t="s">
        <v>167</v>
      </c>
      <c r="E56" s="48" t="s">
        <v>93</v>
      </c>
      <c r="F56" s="64" t="s">
        <v>9</v>
      </c>
      <c r="G56" s="64" t="str">
        <f t="shared" si="62"/>
        <v>Bérköltség</v>
      </c>
      <c r="H56" s="29" t="s">
        <v>15</v>
      </c>
      <c r="I56" s="65">
        <v>980000</v>
      </c>
      <c r="J56" s="65">
        <f t="shared" si="63"/>
        <v>127400</v>
      </c>
      <c r="K56" s="66">
        <v>174</v>
      </c>
      <c r="L56" s="66">
        <v>174</v>
      </c>
      <c r="M56" s="178">
        <f t="shared" si="64"/>
        <v>1</v>
      </c>
      <c r="N56" s="97">
        <f t="shared" si="65"/>
        <v>980000</v>
      </c>
      <c r="O56" s="97">
        <f t="shared" si="66"/>
        <v>127400</v>
      </c>
      <c r="P56" s="109">
        <f t="shared" si="67"/>
        <v>0</v>
      </c>
      <c r="Q56" s="68">
        <v>0.13</v>
      </c>
      <c r="R56" s="197" t="s">
        <v>178</v>
      </c>
      <c r="S56" s="75">
        <v>44951</v>
      </c>
      <c r="T56" s="49" t="s">
        <v>226</v>
      </c>
      <c r="U56" s="98"/>
      <c r="V56" s="98"/>
    </row>
    <row r="57" spans="1:25" s="9" customFormat="1" ht="14.45" customHeight="1" x14ac:dyDescent="0.25">
      <c r="A57" s="29" t="s">
        <v>177</v>
      </c>
      <c r="B57" s="29" t="s">
        <v>151</v>
      </c>
      <c r="C57" s="48" t="s">
        <v>84</v>
      </c>
      <c r="D57" s="48" t="s">
        <v>167</v>
      </c>
      <c r="E57" s="48" t="s">
        <v>94</v>
      </c>
      <c r="F57" s="64" t="s">
        <v>9</v>
      </c>
      <c r="G57" s="64" t="str">
        <f t="shared" si="62"/>
        <v>Bérköltség</v>
      </c>
      <c r="H57" s="29" t="s">
        <v>15</v>
      </c>
      <c r="I57" s="65">
        <v>980000</v>
      </c>
      <c r="J57" s="65">
        <f t="shared" si="63"/>
        <v>127400</v>
      </c>
      <c r="K57" s="66">
        <v>174</v>
      </c>
      <c r="L57" s="66">
        <v>174</v>
      </c>
      <c r="M57" s="178">
        <f t="shared" si="64"/>
        <v>1</v>
      </c>
      <c r="N57" s="97">
        <f t="shared" si="65"/>
        <v>980000</v>
      </c>
      <c r="O57" s="97">
        <f t="shared" si="66"/>
        <v>127400</v>
      </c>
      <c r="P57" s="109">
        <f t="shared" si="67"/>
        <v>0</v>
      </c>
      <c r="Q57" s="68">
        <v>0.13</v>
      </c>
      <c r="R57" s="197" t="s">
        <v>178</v>
      </c>
      <c r="S57" s="75">
        <v>44951</v>
      </c>
      <c r="T57" s="49" t="s">
        <v>226</v>
      </c>
      <c r="U57" s="98"/>
      <c r="V57" s="98"/>
    </row>
    <row r="58" spans="1:25" s="9" customFormat="1" ht="14.45" customHeight="1" x14ac:dyDescent="0.25">
      <c r="A58" s="29" t="s">
        <v>177</v>
      </c>
      <c r="B58" s="29" t="s">
        <v>151</v>
      </c>
      <c r="C58" s="48" t="s">
        <v>84</v>
      </c>
      <c r="D58" s="48" t="s">
        <v>167</v>
      </c>
      <c r="E58" s="48" t="s">
        <v>95</v>
      </c>
      <c r="F58" s="64" t="s">
        <v>9</v>
      </c>
      <c r="G58" s="64" t="str">
        <f t="shared" si="62"/>
        <v>Bérköltség</v>
      </c>
      <c r="H58" s="29" t="s">
        <v>15</v>
      </c>
      <c r="I58" s="65">
        <v>980000</v>
      </c>
      <c r="J58" s="65">
        <f t="shared" si="63"/>
        <v>127400</v>
      </c>
      <c r="K58" s="66">
        <v>174</v>
      </c>
      <c r="L58" s="66">
        <v>174</v>
      </c>
      <c r="M58" s="178">
        <f t="shared" si="64"/>
        <v>1</v>
      </c>
      <c r="N58" s="97">
        <f t="shared" si="65"/>
        <v>980000</v>
      </c>
      <c r="O58" s="97">
        <f t="shared" si="66"/>
        <v>127400</v>
      </c>
      <c r="P58" s="109">
        <f t="shared" si="67"/>
        <v>0</v>
      </c>
      <c r="Q58" s="68">
        <v>0.13</v>
      </c>
      <c r="R58" s="197" t="s">
        <v>178</v>
      </c>
      <c r="S58" s="75">
        <v>44951</v>
      </c>
      <c r="T58" s="49" t="s">
        <v>226</v>
      </c>
      <c r="U58" s="98"/>
      <c r="V58" s="98"/>
    </row>
    <row r="59" spans="1:25" s="9" customFormat="1" ht="14.45" customHeight="1" x14ac:dyDescent="0.25">
      <c r="A59" s="29" t="s">
        <v>177</v>
      </c>
      <c r="B59" s="29" t="s">
        <v>151</v>
      </c>
      <c r="C59" s="48" t="s">
        <v>84</v>
      </c>
      <c r="D59" s="48" t="s">
        <v>167</v>
      </c>
      <c r="E59" s="48" t="s">
        <v>96</v>
      </c>
      <c r="F59" s="64" t="s">
        <v>9</v>
      </c>
      <c r="G59" s="64" t="str">
        <f t="shared" si="62"/>
        <v>Bérköltség</v>
      </c>
      <c r="H59" s="29" t="s">
        <v>15</v>
      </c>
      <c r="I59" s="65">
        <v>980000</v>
      </c>
      <c r="J59" s="65">
        <f t="shared" si="63"/>
        <v>127400</v>
      </c>
      <c r="K59" s="66">
        <v>174</v>
      </c>
      <c r="L59" s="66">
        <v>174</v>
      </c>
      <c r="M59" s="178">
        <f t="shared" si="64"/>
        <v>1</v>
      </c>
      <c r="N59" s="97">
        <f t="shared" si="65"/>
        <v>980000</v>
      </c>
      <c r="O59" s="97">
        <f t="shared" si="66"/>
        <v>127400</v>
      </c>
      <c r="P59" s="109">
        <f t="shared" si="67"/>
        <v>0</v>
      </c>
      <c r="Q59" s="68">
        <v>0.13</v>
      </c>
      <c r="R59" s="197" t="s">
        <v>178</v>
      </c>
      <c r="S59" s="75">
        <v>44951</v>
      </c>
      <c r="T59" s="49" t="s">
        <v>226</v>
      </c>
      <c r="U59" s="98"/>
      <c r="V59" s="98"/>
    </row>
    <row r="60" spans="1:25" s="9" customFormat="1" ht="14.45" customHeight="1" x14ac:dyDescent="0.25">
      <c r="A60" s="29" t="s">
        <v>177</v>
      </c>
      <c r="B60" s="29" t="s">
        <v>151</v>
      </c>
      <c r="C60" s="48" t="s">
        <v>84</v>
      </c>
      <c r="D60" s="48" t="s">
        <v>167</v>
      </c>
      <c r="E60" s="48" t="s">
        <v>97</v>
      </c>
      <c r="F60" s="64" t="s">
        <v>9</v>
      </c>
      <c r="G60" s="64" t="str">
        <f t="shared" si="62"/>
        <v>Bérköltség</v>
      </c>
      <c r="H60" s="29" t="s">
        <v>15</v>
      </c>
      <c r="I60" s="65">
        <v>980000</v>
      </c>
      <c r="J60" s="65">
        <f t="shared" si="63"/>
        <v>127400</v>
      </c>
      <c r="K60" s="66">
        <v>174</v>
      </c>
      <c r="L60" s="66">
        <v>174</v>
      </c>
      <c r="M60" s="178">
        <f t="shared" si="64"/>
        <v>1</v>
      </c>
      <c r="N60" s="97">
        <f t="shared" si="65"/>
        <v>980000</v>
      </c>
      <c r="O60" s="97">
        <f t="shared" si="66"/>
        <v>127400</v>
      </c>
      <c r="P60" s="109">
        <f t="shared" si="67"/>
        <v>0</v>
      </c>
      <c r="Q60" s="68">
        <v>0.13</v>
      </c>
      <c r="R60" s="197" t="s">
        <v>178</v>
      </c>
      <c r="S60" s="75">
        <v>44951</v>
      </c>
      <c r="T60" s="49" t="s">
        <v>226</v>
      </c>
      <c r="U60" s="98"/>
      <c r="V60" s="98"/>
    </row>
    <row r="61" spans="1:25" s="9" customFormat="1" ht="14.45" customHeight="1" x14ac:dyDescent="0.25">
      <c r="A61" s="29" t="s">
        <v>173</v>
      </c>
      <c r="B61" s="29" t="s">
        <v>151</v>
      </c>
      <c r="C61" s="48" t="s">
        <v>84</v>
      </c>
      <c r="D61" s="48" t="s">
        <v>63</v>
      </c>
      <c r="E61" s="179" t="s">
        <v>256</v>
      </c>
      <c r="F61" s="64" t="s">
        <v>8</v>
      </c>
      <c r="G61" s="64" t="str">
        <f t="shared" si="56"/>
        <v>Bérköltség</v>
      </c>
      <c r="H61" s="29" t="s">
        <v>15</v>
      </c>
      <c r="I61" s="65">
        <v>264000</v>
      </c>
      <c r="J61" s="65">
        <f>ROUND(I61*Q61,0)</f>
        <v>34320</v>
      </c>
      <c r="K61" s="66">
        <v>174</v>
      </c>
      <c r="L61" s="66">
        <v>95</v>
      </c>
      <c r="M61" s="178">
        <f>L61/K61</f>
        <v>0.54597701149425293</v>
      </c>
      <c r="N61" s="97">
        <f>ROUND(I61*M61,0)</f>
        <v>144138</v>
      </c>
      <c r="O61" s="97">
        <f>ROUND(N61*Q61,0)</f>
        <v>18738</v>
      </c>
      <c r="P61" s="109">
        <f t="shared" si="61"/>
        <v>-2.6123301977154512E-7</v>
      </c>
      <c r="Q61" s="68">
        <v>0.13</v>
      </c>
      <c r="R61" s="197" t="s">
        <v>174</v>
      </c>
      <c r="S61" s="75">
        <v>44951</v>
      </c>
      <c r="T61" s="49" t="s">
        <v>226</v>
      </c>
      <c r="U61" s="98"/>
      <c r="V61" s="98">
        <v>1</v>
      </c>
    </row>
    <row r="62" spans="1:25" s="9" customFormat="1" ht="14.45" customHeight="1" x14ac:dyDescent="0.25">
      <c r="A62" s="29" t="s">
        <v>173</v>
      </c>
      <c r="B62" s="29" t="s">
        <v>151</v>
      </c>
      <c r="C62" s="48" t="s">
        <v>84</v>
      </c>
      <c r="D62" s="48" t="s">
        <v>67</v>
      </c>
      <c r="E62" s="48" t="s">
        <v>89</v>
      </c>
      <c r="F62" s="64" t="s">
        <v>8</v>
      </c>
      <c r="G62" s="64" t="str">
        <f t="shared" si="56"/>
        <v>Bérköltség</v>
      </c>
      <c r="H62" s="29" t="s">
        <v>15</v>
      </c>
      <c r="I62" s="65">
        <v>440000</v>
      </c>
      <c r="J62" s="65">
        <f t="shared" ref="J62:J71" si="68">ROUND(I62*Q62,0)</f>
        <v>57200</v>
      </c>
      <c r="K62" s="66">
        <v>174</v>
      </c>
      <c r="L62" s="66">
        <v>95</v>
      </c>
      <c r="M62" s="178">
        <f t="shared" ref="M62:M71" si="69">L62/K62</f>
        <v>0.54597701149425293</v>
      </c>
      <c r="N62" s="97">
        <f t="shared" ref="N62:N71" si="70">ROUND(I62*M62,0)</f>
        <v>240230</v>
      </c>
      <c r="O62" s="97">
        <f t="shared" ref="O62:O71" si="71">ROUND(N62*Q62,0)</f>
        <v>31230</v>
      </c>
      <c r="P62" s="109">
        <f t="shared" ref="P62:P71" si="72">L62/K62-N62/I62</f>
        <v>-2.6123301977154512E-7</v>
      </c>
      <c r="Q62" s="68">
        <v>0.13</v>
      </c>
      <c r="R62" s="197" t="s">
        <v>174</v>
      </c>
      <c r="S62" s="75">
        <v>44951</v>
      </c>
      <c r="T62" s="49" t="s">
        <v>226</v>
      </c>
      <c r="U62" s="98"/>
      <c r="V62" s="98">
        <v>1</v>
      </c>
      <c r="W62" s="9" t="str">
        <f>IF(VLOOKUP($R62,'Havi béradatok'!$B:$E,2,FALSE)=D62,"EGYEZIK","HIBÁS")</f>
        <v>EGYEZIK</v>
      </c>
      <c r="X62" s="9">
        <f>VLOOKUP($R62,'Havi béradatok'!$B:$E,3,FALSE)-I62</f>
        <v>0</v>
      </c>
      <c r="Y62" s="9">
        <f>VLOOKUP($R62,'Havi béradatok'!$B:$E,4,FALSE)-J62</f>
        <v>0</v>
      </c>
    </row>
    <row r="63" spans="1:25" s="9" customFormat="1" ht="14.45" customHeight="1" x14ac:dyDescent="0.25">
      <c r="A63" s="29" t="s">
        <v>173</v>
      </c>
      <c r="B63" s="29" t="s">
        <v>151</v>
      </c>
      <c r="C63" s="48" t="s">
        <v>84</v>
      </c>
      <c r="D63" s="48" t="s">
        <v>63</v>
      </c>
      <c r="E63" s="48" t="s">
        <v>90</v>
      </c>
      <c r="F63" s="64" t="s">
        <v>9</v>
      </c>
      <c r="G63" s="64" t="str">
        <f t="shared" si="56"/>
        <v>Bérköltség</v>
      </c>
      <c r="H63" s="29" t="s">
        <v>15</v>
      </c>
      <c r="I63" s="65">
        <v>440000</v>
      </c>
      <c r="J63" s="65">
        <f t="shared" si="68"/>
        <v>57200</v>
      </c>
      <c r="K63" s="66">
        <v>174</v>
      </c>
      <c r="L63" s="66">
        <v>95</v>
      </c>
      <c r="M63" s="178">
        <f t="shared" si="69"/>
        <v>0.54597701149425293</v>
      </c>
      <c r="N63" s="97">
        <f t="shared" si="70"/>
        <v>240230</v>
      </c>
      <c r="O63" s="97">
        <f t="shared" si="71"/>
        <v>31230</v>
      </c>
      <c r="P63" s="109">
        <f t="shared" si="72"/>
        <v>-2.6123301977154512E-7</v>
      </c>
      <c r="Q63" s="68">
        <v>0.13</v>
      </c>
      <c r="R63" s="197" t="s">
        <v>174</v>
      </c>
      <c r="S63" s="75">
        <v>44951</v>
      </c>
      <c r="T63" s="49" t="s">
        <v>226</v>
      </c>
      <c r="U63" s="98"/>
      <c r="V63" s="98"/>
    </row>
    <row r="64" spans="1:25" s="9" customFormat="1" ht="14.45" customHeight="1" x14ac:dyDescent="0.25">
      <c r="A64" s="29" t="s">
        <v>173</v>
      </c>
      <c r="B64" s="29" t="s">
        <v>151</v>
      </c>
      <c r="C64" s="48" t="s">
        <v>84</v>
      </c>
      <c r="D64" s="48" t="s">
        <v>63</v>
      </c>
      <c r="E64" s="48" t="s">
        <v>91</v>
      </c>
      <c r="F64" s="64" t="s">
        <v>9</v>
      </c>
      <c r="G64" s="64" t="str">
        <f t="shared" si="56"/>
        <v>Bérköltség</v>
      </c>
      <c r="H64" s="29" t="s">
        <v>15</v>
      </c>
      <c r="I64" s="65">
        <v>440000</v>
      </c>
      <c r="J64" s="65">
        <f t="shared" si="68"/>
        <v>57200</v>
      </c>
      <c r="K64" s="66">
        <v>174</v>
      </c>
      <c r="L64" s="66">
        <v>95</v>
      </c>
      <c r="M64" s="178">
        <f t="shared" si="69"/>
        <v>0.54597701149425293</v>
      </c>
      <c r="N64" s="97">
        <f t="shared" si="70"/>
        <v>240230</v>
      </c>
      <c r="O64" s="97">
        <f t="shared" si="71"/>
        <v>31230</v>
      </c>
      <c r="P64" s="109">
        <f t="shared" si="72"/>
        <v>-2.6123301977154512E-7</v>
      </c>
      <c r="Q64" s="68">
        <v>0.13</v>
      </c>
      <c r="R64" s="197" t="s">
        <v>174</v>
      </c>
      <c r="S64" s="75">
        <v>44951</v>
      </c>
      <c r="T64" s="49" t="s">
        <v>226</v>
      </c>
      <c r="U64" s="98"/>
      <c r="V64" s="98"/>
    </row>
    <row r="65" spans="1:25" s="9" customFormat="1" ht="14.45" customHeight="1" x14ac:dyDescent="0.25">
      <c r="A65" s="29" t="s">
        <v>173</v>
      </c>
      <c r="B65" s="29" t="s">
        <v>151</v>
      </c>
      <c r="C65" s="48" t="s">
        <v>84</v>
      </c>
      <c r="D65" s="48" t="s">
        <v>63</v>
      </c>
      <c r="E65" s="48" t="s">
        <v>92</v>
      </c>
      <c r="F65" s="64" t="s">
        <v>9</v>
      </c>
      <c r="G65" s="64" t="str">
        <f t="shared" si="56"/>
        <v>Bérköltség</v>
      </c>
      <c r="H65" s="29" t="s">
        <v>15</v>
      </c>
      <c r="I65" s="65">
        <v>440000</v>
      </c>
      <c r="J65" s="65">
        <f t="shared" si="68"/>
        <v>57200</v>
      </c>
      <c r="K65" s="66">
        <v>174</v>
      </c>
      <c r="L65" s="66">
        <v>95</v>
      </c>
      <c r="M65" s="178">
        <f t="shared" si="69"/>
        <v>0.54597701149425293</v>
      </c>
      <c r="N65" s="97">
        <f t="shared" si="70"/>
        <v>240230</v>
      </c>
      <c r="O65" s="97">
        <f t="shared" si="71"/>
        <v>31230</v>
      </c>
      <c r="P65" s="109">
        <f t="shared" si="72"/>
        <v>-2.6123301977154512E-7</v>
      </c>
      <c r="Q65" s="68">
        <v>0.13</v>
      </c>
      <c r="R65" s="197" t="s">
        <v>174</v>
      </c>
      <c r="S65" s="75">
        <v>44951</v>
      </c>
      <c r="T65" s="49" t="s">
        <v>226</v>
      </c>
      <c r="U65" s="98"/>
      <c r="V65" s="98"/>
    </row>
    <row r="66" spans="1:25" s="9" customFormat="1" ht="14.45" customHeight="1" x14ac:dyDescent="0.25">
      <c r="A66" s="29" t="s">
        <v>173</v>
      </c>
      <c r="B66" s="29" t="s">
        <v>151</v>
      </c>
      <c r="C66" s="48" t="s">
        <v>84</v>
      </c>
      <c r="D66" s="48" t="s">
        <v>63</v>
      </c>
      <c r="E66" s="48" t="s">
        <v>93</v>
      </c>
      <c r="F66" s="64" t="s">
        <v>9</v>
      </c>
      <c r="G66" s="64" t="str">
        <f t="shared" si="56"/>
        <v>Bérköltség</v>
      </c>
      <c r="H66" s="29" t="s">
        <v>15</v>
      </c>
      <c r="I66" s="65">
        <v>440000</v>
      </c>
      <c r="J66" s="65">
        <f t="shared" si="68"/>
        <v>57200</v>
      </c>
      <c r="K66" s="66">
        <v>174</v>
      </c>
      <c r="L66" s="66">
        <v>95</v>
      </c>
      <c r="M66" s="178">
        <f t="shared" si="69"/>
        <v>0.54597701149425293</v>
      </c>
      <c r="N66" s="97">
        <f t="shared" si="70"/>
        <v>240230</v>
      </c>
      <c r="O66" s="97">
        <f t="shared" si="71"/>
        <v>31230</v>
      </c>
      <c r="P66" s="109">
        <f t="shared" si="72"/>
        <v>-2.6123301977154512E-7</v>
      </c>
      <c r="Q66" s="68">
        <v>0.13</v>
      </c>
      <c r="R66" s="197" t="s">
        <v>174</v>
      </c>
      <c r="S66" s="75">
        <v>44951</v>
      </c>
      <c r="T66" s="49" t="s">
        <v>226</v>
      </c>
      <c r="U66" s="98"/>
      <c r="V66" s="98"/>
    </row>
    <row r="67" spans="1:25" s="9" customFormat="1" ht="14.45" customHeight="1" x14ac:dyDescent="0.25">
      <c r="A67" s="29" t="s">
        <v>173</v>
      </c>
      <c r="B67" s="29" t="s">
        <v>151</v>
      </c>
      <c r="C67" s="48" t="s">
        <v>84</v>
      </c>
      <c r="D67" s="48" t="s">
        <v>63</v>
      </c>
      <c r="E67" s="48" t="s">
        <v>94</v>
      </c>
      <c r="F67" s="64" t="s">
        <v>9</v>
      </c>
      <c r="G67" s="64" t="str">
        <f t="shared" si="56"/>
        <v>Bérköltség</v>
      </c>
      <c r="H67" s="29" t="s">
        <v>15</v>
      </c>
      <c r="I67" s="65">
        <v>440000</v>
      </c>
      <c r="J67" s="65">
        <f t="shared" si="68"/>
        <v>57200</v>
      </c>
      <c r="K67" s="66">
        <v>174</v>
      </c>
      <c r="L67" s="66">
        <v>95</v>
      </c>
      <c r="M67" s="178">
        <f t="shared" si="69"/>
        <v>0.54597701149425293</v>
      </c>
      <c r="N67" s="97">
        <f t="shared" si="70"/>
        <v>240230</v>
      </c>
      <c r="O67" s="97">
        <f t="shared" si="71"/>
        <v>31230</v>
      </c>
      <c r="P67" s="109">
        <f t="shared" si="72"/>
        <v>-2.6123301977154512E-7</v>
      </c>
      <c r="Q67" s="68">
        <v>0.13</v>
      </c>
      <c r="R67" s="197" t="s">
        <v>174</v>
      </c>
      <c r="S67" s="75">
        <v>44951</v>
      </c>
      <c r="T67" s="49" t="s">
        <v>226</v>
      </c>
      <c r="U67" s="98"/>
      <c r="V67" s="98"/>
    </row>
    <row r="68" spans="1:25" s="9" customFormat="1" ht="14.45" customHeight="1" x14ac:dyDescent="0.25">
      <c r="A68" s="29" t="s">
        <v>173</v>
      </c>
      <c r="B68" s="29" t="s">
        <v>151</v>
      </c>
      <c r="C68" s="48" t="s">
        <v>84</v>
      </c>
      <c r="D68" s="48" t="s">
        <v>63</v>
      </c>
      <c r="E68" s="48" t="s">
        <v>95</v>
      </c>
      <c r="F68" s="64" t="s">
        <v>9</v>
      </c>
      <c r="G68" s="64" t="str">
        <f t="shared" si="56"/>
        <v>Bérköltség</v>
      </c>
      <c r="H68" s="29" t="s">
        <v>15</v>
      </c>
      <c r="I68" s="65">
        <v>440000</v>
      </c>
      <c r="J68" s="65">
        <f t="shared" si="68"/>
        <v>57200</v>
      </c>
      <c r="K68" s="66">
        <v>174</v>
      </c>
      <c r="L68" s="66">
        <v>95</v>
      </c>
      <c r="M68" s="178">
        <f t="shared" si="69"/>
        <v>0.54597701149425293</v>
      </c>
      <c r="N68" s="97">
        <f t="shared" si="70"/>
        <v>240230</v>
      </c>
      <c r="O68" s="97">
        <f t="shared" si="71"/>
        <v>31230</v>
      </c>
      <c r="P68" s="109">
        <f t="shared" si="72"/>
        <v>-2.6123301977154512E-7</v>
      </c>
      <c r="Q68" s="68">
        <v>0.13</v>
      </c>
      <c r="R68" s="197" t="s">
        <v>174</v>
      </c>
      <c r="S68" s="75">
        <v>44951</v>
      </c>
      <c r="T68" s="49" t="s">
        <v>226</v>
      </c>
      <c r="U68" s="98"/>
      <c r="V68" s="98"/>
    </row>
    <row r="69" spans="1:25" s="9" customFormat="1" ht="14.45" customHeight="1" x14ac:dyDescent="0.25">
      <c r="A69" s="29" t="s">
        <v>173</v>
      </c>
      <c r="B69" s="29" t="s">
        <v>151</v>
      </c>
      <c r="C69" s="48" t="s">
        <v>84</v>
      </c>
      <c r="D69" s="48" t="s">
        <v>63</v>
      </c>
      <c r="E69" s="48" t="s">
        <v>96</v>
      </c>
      <c r="F69" s="64" t="s">
        <v>9</v>
      </c>
      <c r="G69" s="64" t="str">
        <f t="shared" si="56"/>
        <v>Bérköltség</v>
      </c>
      <c r="H69" s="29" t="s">
        <v>15</v>
      </c>
      <c r="I69" s="65">
        <v>440000</v>
      </c>
      <c r="J69" s="65">
        <f t="shared" si="68"/>
        <v>57200</v>
      </c>
      <c r="K69" s="66">
        <v>174</v>
      </c>
      <c r="L69" s="66">
        <v>95</v>
      </c>
      <c r="M69" s="178">
        <f t="shared" si="69"/>
        <v>0.54597701149425293</v>
      </c>
      <c r="N69" s="97">
        <f t="shared" si="70"/>
        <v>240230</v>
      </c>
      <c r="O69" s="97">
        <f t="shared" si="71"/>
        <v>31230</v>
      </c>
      <c r="P69" s="109">
        <f t="shared" si="72"/>
        <v>-2.6123301977154512E-7</v>
      </c>
      <c r="Q69" s="68">
        <v>0.13</v>
      </c>
      <c r="R69" s="197" t="s">
        <v>174</v>
      </c>
      <c r="S69" s="75">
        <v>44951</v>
      </c>
      <c r="T69" s="49" t="s">
        <v>226</v>
      </c>
      <c r="U69" s="98"/>
      <c r="V69" s="98"/>
    </row>
    <row r="70" spans="1:25" s="9" customFormat="1" ht="14.45" customHeight="1" x14ac:dyDescent="0.25">
      <c r="A70" s="29" t="s">
        <v>173</v>
      </c>
      <c r="B70" s="29" t="s">
        <v>151</v>
      </c>
      <c r="C70" s="48" t="s">
        <v>84</v>
      </c>
      <c r="D70" s="48" t="s">
        <v>63</v>
      </c>
      <c r="E70" s="48" t="s">
        <v>97</v>
      </c>
      <c r="F70" s="64" t="s">
        <v>9</v>
      </c>
      <c r="G70" s="64" t="str">
        <f t="shared" si="56"/>
        <v>Bérköltség</v>
      </c>
      <c r="H70" s="29" t="s">
        <v>15</v>
      </c>
      <c r="I70" s="65">
        <v>440000</v>
      </c>
      <c r="J70" s="65">
        <f t="shared" si="68"/>
        <v>57200</v>
      </c>
      <c r="K70" s="66">
        <v>174</v>
      </c>
      <c r="L70" s="66">
        <v>95</v>
      </c>
      <c r="M70" s="178">
        <f t="shared" si="69"/>
        <v>0.54597701149425293</v>
      </c>
      <c r="N70" s="97">
        <f t="shared" si="70"/>
        <v>240230</v>
      </c>
      <c r="O70" s="97">
        <f t="shared" si="71"/>
        <v>31230</v>
      </c>
      <c r="P70" s="109">
        <f t="shared" si="72"/>
        <v>-2.6123301977154512E-7</v>
      </c>
      <c r="Q70" s="68">
        <v>0.13</v>
      </c>
      <c r="R70" s="197" t="s">
        <v>174</v>
      </c>
      <c r="S70" s="75">
        <v>44951</v>
      </c>
      <c r="T70" s="49" t="s">
        <v>226</v>
      </c>
      <c r="U70" s="98"/>
      <c r="V70" s="98"/>
    </row>
    <row r="71" spans="1:25" s="9" customFormat="1" ht="14.45" customHeight="1" x14ac:dyDescent="0.25">
      <c r="A71" s="29" t="s">
        <v>182</v>
      </c>
      <c r="B71" s="29" t="s">
        <v>151</v>
      </c>
      <c r="C71" s="48" t="s">
        <v>84</v>
      </c>
      <c r="D71" s="48" t="s">
        <v>183</v>
      </c>
      <c r="E71" s="48" t="s">
        <v>88</v>
      </c>
      <c r="F71" s="64" t="s">
        <v>8</v>
      </c>
      <c r="G71" s="64" t="str">
        <f t="shared" ref="G71:G75" si="73">IF(H71="Napidíj","Nem rendszeres juttatás","Bérköltség")</f>
        <v>Bérköltség</v>
      </c>
      <c r="H71" s="29" t="s">
        <v>15</v>
      </c>
      <c r="I71" s="65">
        <v>650000</v>
      </c>
      <c r="J71" s="65">
        <f t="shared" si="68"/>
        <v>84500</v>
      </c>
      <c r="K71" s="66">
        <v>174</v>
      </c>
      <c r="L71" s="66">
        <v>27</v>
      </c>
      <c r="M71" s="178">
        <f t="shared" si="69"/>
        <v>0.15517241379310345</v>
      </c>
      <c r="N71" s="97">
        <f t="shared" si="70"/>
        <v>100862</v>
      </c>
      <c r="O71" s="97">
        <f t="shared" si="71"/>
        <v>13112</v>
      </c>
      <c r="P71" s="109">
        <f t="shared" si="72"/>
        <v>1.0610079576034437E-7</v>
      </c>
      <c r="Q71" s="68">
        <v>0.13</v>
      </c>
      <c r="R71" s="197" t="s">
        <v>184</v>
      </c>
      <c r="S71" s="75">
        <v>44951</v>
      </c>
      <c r="T71" s="49" t="s">
        <v>226</v>
      </c>
      <c r="U71" s="98"/>
      <c r="V71" s="98">
        <v>1</v>
      </c>
      <c r="W71" s="9" t="str">
        <f>IF(VLOOKUP($R71,'Havi béradatok'!$B:$E,2,FALSE)=D71,"EGYEZIK","HIBÁS")</f>
        <v>EGYEZIK</v>
      </c>
      <c r="X71" s="9">
        <f>VLOOKUP($R71,'Havi béradatok'!$B:$E,3,FALSE)-I71</f>
        <v>0</v>
      </c>
      <c r="Y71" s="213">
        <f>VLOOKUP($R71,'Havi béradatok'!$B:$E,4,FALSE)-J71</f>
        <v>0</v>
      </c>
    </row>
    <row r="72" spans="1:25" s="9" customFormat="1" ht="14.45" customHeight="1" x14ac:dyDescent="0.25">
      <c r="A72" s="29" t="s">
        <v>182</v>
      </c>
      <c r="B72" s="29" t="s">
        <v>151</v>
      </c>
      <c r="C72" s="48" t="s">
        <v>84</v>
      </c>
      <c r="D72" s="48" t="s">
        <v>183</v>
      </c>
      <c r="E72" s="48" t="s">
        <v>89</v>
      </c>
      <c r="F72" s="64" t="s">
        <v>8</v>
      </c>
      <c r="G72" s="64" t="str">
        <f t="shared" si="73"/>
        <v>Bérköltség</v>
      </c>
      <c r="H72" s="29" t="s">
        <v>15</v>
      </c>
      <c r="I72" s="65">
        <v>650000</v>
      </c>
      <c r="J72" s="65">
        <f t="shared" ref="J72" si="74">ROUND(I72*Q72,0)</f>
        <v>84500</v>
      </c>
      <c r="K72" s="66">
        <v>174</v>
      </c>
      <c r="L72" s="66">
        <v>27</v>
      </c>
      <c r="M72" s="178">
        <f t="shared" ref="M72" si="75">L72/K72</f>
        <v>0.15517241379310345</v>
      </c>
      <c r="N72" s="97">
        <f t="shared" ref="N72" si="76">ROUND(I72*M72,0)</f>
        <v>100862</v>
      </c>
      <c r="O72" s="97">
        <f t="shared" ref="O72" si="77">ROUND(N72*Q72,0)</f>
        <v>13112</v>
      </c>
      <c r="P72" s="109">
        <f t="shared" ref="P72" si="78">L72/K72-N72/I72</f>
        <v>1.0610079576034437E-7</v>
      </c>
      <c r="Q72" s="68">
        <v>0.13</v>
      </c>
      <c r="R72" s="197" t="s">
        <v>184</v>
      </c>
      <c r="S72" s="75">
        <v>44972</v>
      </c>
      <c r="T72" s="49" t="s">
        <v>226</v>
      </c>
      <c r="U72" s="98"/>
      <c r="V72" s="98">
        <v>1</v>
      </c>
      <c r="W72" s="9" t="str">
        <f>IF(VLOOKUP($R72,'Havi béradatok'!$B:$E,2,FALSE)=D72,"EGYEZIK","HIBÁS")</f>
        <v>EGYEZIK</v>
      </c>
      <c r="X72" s="9">
        <f>VLOOKUP($R72,'Havi béradatok'!$B:$E,3,FALSE)-I72</f>
        <v>0</v>
      </c>
      <c r="Y72" s="9">
        <f>VLOOKUP($R72,'Havi béradatok'!$B:$E,4,FALSE)-J72</f>
        <v>0</v>
      </c>
    </row>
    <row r="73" spans="1:25" s="9" customFormat="1" ht="14.45" customHeight="1" x14ac:dyDescent="0.25">
      <c r="A73" s="29" t="s">
        <v>182</v>
      </c>
      <c r="B73" s="29" t="s">
        <v>151</v>
      </c>
      <c r="C73" s="48" t="s">
        <v>84</v>
      </c>
      <c r="D73" s="48" t="s">
        <v>183</v>
      </c>
      <c r="E73" s="48" t="s">
        <v>90</v>
      </c>
      <c r="F73" s="64" t="s">
        <v>9</v>
      </c>
      <c r="G73" s="64" t="str">
        <f t="shared" si="73"/>
        <v>Bérköltség</v>
      </c>
      <c r="H73" s="29" t="s">
        <v>15</v>
      </c>
      <c r="I73" s="65">
        <v>650000</v>
      </c>
      <c r="J73" s="65">
        <f t="shared" ref="J73:J75" si="79">ROUND(I73*Q73,0)</f>
        <v>84500</v>
      </c>
      <c r="K73" s="66">
        <v>174</v>
      </c>
      <c r="L73" s="66">
        <v>27</v>
      </c>
      <c r="M73" s="178">
        <f t="shared" ref="M73:M75" si="80">L73/K73</f>
        <v>0.15517241379310345</v>
      </c>
      <c r="N73" s="97">
        <f t="shared" ref="N73:N75" si="81">ROUND(I73*M73,0)</f>
        <v>100862</v>
      </c>
      <c r="O73" s="97">
        <f t="shared" ref="O73:O75" si="82">ROUND(N73*Q73,0)</f>
        <v>13112</v>
      </c>
      <c r="P73" s="109">
        <f t="shared" ref="P73:P75" si="83">L73/K73-N73/I73</f>
        <v>1.0610079576034437E-7</v>
      </c>
      <c r="Q73" s="68">
        <v>0.13</v>
      </c>
      <c r="R73" s="197" t="s">
        <v>184</v>
      </c>
      <c r="S73" s="75">
        <v>44972</v>
      </c>
      <c r="T73" s="49" t="s">
        <v>226</v>
      </c>
      <c r="U73" s="98"/>
      <c r="V73" s="98"/>
    </row>
    <row r="74" spans="1:25" s="9" customFormat="1" ht="14.45" customHeight="1" x14ac:dyDescent="0.25">
      <c r="A74" s="29" t="s">
        <v>182</v>
      </c>
      <c r="B74" s="29" t="s">
        <v>151</v>
      </c>
      <c r="C74" s="48" t="s">
        <v>84</v>
      </c>
      <c r="D74" s="48" t="s">
        <v>183</v>
      </c>
      <c r="E74" s="48" t="s">
        <v>91</v>
      </c>
      <c r="F74" s="64" t="s">
        <v>9</v>
      </c>
      <c r="G74" s="64" t="str">
        <f t="shared" si="73"/>
        <v>Bérköltség</v>
      </c>
      <c r="H74" s="29" t="s">
        <v>15</v>
      </c>
      <c r="I74" s="65">
        <v>650000</v>
      </c>
      <c r="J74" s="65">
        <f t="shared" si="79"/>
        <v>84500</v>
      </c>
      <c r="K74" s="66">
        <v>174</v>
      </c>
      <c r="L74" s="66">
        <v>27</v>
      </c>
      <c r="M74" s="178">
        <f t="shared" si="80"/>
        <v>0.15517241379310345</v>
      </c>
      <c r="N74" s="97">
        <f t="shared" si="81"/>
        <v>100862</v>
      </c>
      <c r="O74" s="97">
        <f t="shared" si="82"/>
        <v>13112</v>
      </c>
      <c r="P74" s="109">
        <f t="shared" si="83"/>
        <v>1.0610079576034437E-7</v>
      </c>
      <c r="Q74" s="68">
        <v>0.13</v>
      </c>
      <c r="R74" s="197" t="s">
        <v>184</v>
      </c>
      <c r="S74" s="75">
        <v>44972</v>
      </c>
      <c r="T74" s="49" t="s">
        <v>226</v>
      </c>
      <c r="U74" s="98"/>
      <c r="V74" s="98"/>
    </row>
    <row r="75" spans="1:25" s="9" customFormat="1" ht="14.45" customHeight="1" x14ac:dyDescent="0.25">
      <c r="A75" s="29" t="s">
        <v>182</v>
      </c>
      <c r="B75" s="29" t="s">
        <v>151</v>
      </c>
      <c r="C75" s="48" t="s">
        <v>84</v>
      </c>
      <c r="D75" s="48" t="s">
        <v>183</v>
      </c>
      <c r="E75" s="48" t="s">
        <v>92</v>
      </c>
      <c r="F75" s="64" t="s">
        <v>9</v>
      </c>
      <c r="G75" s="64" t="str">
        <f t="shared" si="73"/>
        <v>Bérköltség</v>
      </c>
      <c r="H75" s="29" t="s">
        <v>15</v>
      </c>
      <c r="I75" s="65">
        <v>650000</v>
      </c>
      <c r="J75" s="65">
        <f t="shared" si="79"/>
        <v>84500</v>
      </c>
      <c r="K75" s="66">
        <v>174</v>
      </c>
      <c r="L75" s="66">
        <v>27</v>
      </c>
      <c r="M75" s="178">
        <f t="shared" si="80"/>
        <v>0.15517241379310345</v>
      </c>
      <c r="N75" s="97">
        <f t="shared" si="81"/>
        <v>100862</v>
      </c>
      <c r="O75" s="97">
        <f t="shared" si="82"/>
        <v>13112</v>
      </c>
      <c r="P75" s="109">
        <f t="shared" si="83"/>
        <v>1.0610079576034437E-7</v>
      </c>
      <c r="Q75" s="68">
        <v>0.13</v>
      </c>
      <c r="R75" s="197" t="s">
        <v>184</v>
      </c>
      <c r="S75" s="75">
        <v>44972</v>
      </c>
      <c r="T75" s="49" t="s">
        <v>226</v>
      </c>
      <c r="U75" s="98"/>
      <c r="V75" s="98"/>
    </row>
    <row r="76" spans="1:25" s="9" customFormat="1" ht="14.45" customHeight="1" x14ac:dyDescent="0.25">
      <c r="A76" s="29" t="s">
        <v>149</v>
      </c>
      <c r="B76" s="29" t="s">
        <v>151</v>
      </c>
      <c r="C76" s="48" t="s">
        <v>84</v>
      </c>
      <c r="D76" s="48" t="s">
        <v>67</v>
      </c>
      <c r="E76" s="48" t="s">
        <v>88</v>
      </c>
      <c r="F76" s="64" t="s">
        <v>8</v>
      </c>
      <c r="G76" s="64" t="str">
        <f t="shared" si="0"/>
        <v>Bérköltség</v>
      </c>
      <c r="H76" s="29" t="s">
        <v>15</v>
      </c>
      <c r="I76" s="65">
        <v>916000</v>
      </c>
      <c r="J76" s="65">
        <f>ROUND(I76*Q76,0)</f>
        <v>119080</v>
      </c>
      <c r="K76" s="66">
        <v>174</v>
      </c>
      <c r="L76" s="66">
        <v>87</v>
      </c>
      <c r="M76" s="178">
        <f>L76/K76</f>
        <v>0.5</v>
      </c>
      <c r="N76" s="97">
        <f>ROUND(I76*M76,0)</f>
        <v>458000</v>
      </c>
      <c r="O76" s="97">
        <f>ROUND(N76*Q76,0)</f>
        <v>59540</v>
      </c>
      <c r="P76" s="109">
        <f t="shared" si="43"/>
        <v>0</v>
      </c>
      <c r="Q76" s="68">
        <v>0.13</v>
      </c>
      <c r="R76" s="197" t="s">
        <v>164</v>
      </c>
      <c r="S76" s="75"/>
      <c r="T76" s="49" t="s">
        <v>226</v>
      </c>
      <c r="U76" s="98"/>
      <c r="V76" s="98">
        <v>1</v>
      </c>
      <c r="W76" s="9" t="str">
        <f>IF(VLOOKUP($R76,'Havi béradatok'!$B:$E,2,FALSE)=D76,"EGYEZIK","HIBÁS")</f>
        <v>EGYEZIK</v>
      </c>
      <c r="X76" s="9">
        <f>VLOOKUP($R76,'Havi béradatok'!$B:$E,3,FALSE)-I76</f>
        <v>0</v>
      </c>
      <c r="Y76" s="9">
        <f>VLOOKUP($R76,'Havi béradatok'!$B:$E,4,FALSE)-J76</f>
        <v>0</v>
      </c>
    </row>
    <row r="77" spans="1:25" s="9" customFormat="1" ht="14.45" customHeight="1" x14ac:dyDescent="0.25">
      <c r="A77" s="29" t="s">
        <v>149</v>
      </c>
      <c r="B77" s="29" t="s">
        <v>151</v>
      </c>
      <c r="C77" s="48" t="s">
        <v>84</v>
      </c>
      <c r="D77" s="48" t="s">
        <v>67</v>
      </c>
      <c r="E77" s="48" t="s">
        <v>89</v>
      </c>
      <c r="F77" s="64" t="s">
        <v>8</v>
      </c>
      <c r="G77" s="64" t="str">
        <f t="shared" si="0"/>
        <v>Bérköltség</v>
      </c>
      <c r="H77" s="29" t="s">
        <v>15</v>
      </c>
      <c r="I77" s="65">
        <v>916000</v>
      </c>
      <c r="J77" s="65">
        <f t="shared" ref="J77:J144" si="84">ROUND(I77*Q77,0)</f>
        <v>119080</v>
      </c>
      <c r="K77" s="66">
        <v>174</v>
      </c>
      <c r="L77" s="66">
        <v>87</v>
      </c>
      <c r="M77" s="178">
        <f t="shared" ref="M77:M144" si="85">L77/K77</f>
        <v>0.5</v>
      </c>
      <c r="N77" s="97">
        <f t="shared" ref="N77:N144" si="86">ROUND(I77*M77,0)</f>
        <v>458000</v>
      </c>
      <c r="O77" s="97">
        <f t="shared" ref="O77:O144" si="87">ROUND(N77*Q77,0)</f>
        <v>59540</v>
      </c>
      <c r="P77" s="109">
        <f t="shared" ref="P77:P144" si="88">L77/K77-N77/I77</f>
        <v>0</v>
      </c>
      <c r="Q77" s="68">
        <v>0.13</v>
      </c>
      <c r="R77" s="197" t="s">
        <v>164</v>
      </c>
      <c r="S77" s="75"/>
      <c r="T77" s="49" t="s">
        <v>226</v>
      </c>
      <c r="U77" s="98"/>
      <c r="V77" s="98">
        <v>1</v>
      </c>
      <c r="W77" s="9" t="str">
        <f>IF(VLOOKUP($R77,'Havi béradatok'!$B:$E,2,FALSE)=D77,"EGYEZIK","HIBÁS")</f>
        <v>EGYEZIK</v>
      </c>
      <c r="X77" s="9">
        <f>VLOOKUP($R77,'Havi béradatok'!$B:$E,3,FALSE)-I77</f>
        <v>0</v>
      </c>
      <c r="Y77" s="9">
        <f>VLOOKUP($R77,'Havi béradatok'!$B:$E,4,FALSE)-J77</f>
        <v>0</v>
      </c>
    </row>
    <row r="78" spans="1:25" s="9" customFormat="1" ht="14.45" customHeight="1" x14ac:dyDescent="0.25">
      <c r="A78" s="29" t="s">
        <v>149</v>
      </c>
      <c r="B78" s="29" t="s">
        <v>151</v>
      </c>
      <c r="C78" s="48" t="s">
        <v>84</v>
      </c>
      <c r="D78" s="48" t="s">
        <v>67</v>
      </c>
      <c r="E78" s="48" t="s">
        <v>90</v>
      </c>
      <c r="F78" s="64" t="s">
        <v>9</v>
      </c>
      <c r="G78" s="64" t="str">
        <f t="shared" si="0"/>
        <v>Bérköltség</v>
      </c>
      <c r="H78" s="29" t="s">
        <v>15</v>
      </c>
      <c r="I78" s="65">
        <v>916000</v>
      </c>
      <c r="J78" s="65">
        <f t="shared" si="84"/>
        <v>119080</v>
      </c>
      <c r="K78" s="66">
        <v>174</v>
      </c>
      <c r="L78" s="66">
        <v>87</v>
      </c>
      <c r="M78" s="178">
        <f t="shared" si="85"/>
        <v>0.5</v>
      </c>
      <c r="N78" s="97">
        <f t="shared" si="86"/>
        <v>458000</v>
      </c>
      <c r="O78" s="97">
        <f t="shared" si="87"/>
        <v>59540</v>
      </c>
      <c r="P78" s="109">
        <f t="shared" si="88"/>
        <v>0</v>
      </c>
      <c r="Q78" s="68">
        <v>0.13</v>
      </c>
      <c r="R78" s="197" t="s">
        <v>164</v>
      </c>
      <c r="S78" s="75"/>
      <c r="T78" s="49" t="s">
        <v>226</v>
      </c>
      <c r="U78" s="98"/>
      <c r="V78" s="98"/>
    </row>
    <row r="79" spans="1:25" s="9" customFormat="1" ht="14.45" customHeight="1" x14ac:dyDescent="0.25">
      <c r="A79" s="29" t="s">
        <v>149</v>
      </c>
      <c r="B79" s="29" t="s">
        <v>151</v>
      </c>
      <c r="C79" s="48" t="s">
        <v>84</v>
      </c>
      <c r="D79" s="48" t="s">
        <v>67</v>
      </c>
      <c r="E79" s="48" t="s">
        <v>91</v>
      </c>
      <c r="F79" s="64" t="s">
        <v>9</v>
      </c>
      <c r="G79" s="64" t="str">
        <f t="shared" si="0"/>
        <v>Bérköltség</v>
      </c>
      <c r="H79" s="29" t="s">
        <v>15</v>
      </c>
      <c r="I79" s="65">
        <v>916000</v>
      </c>
      <c r="J79" s="65">
        <f t="shared" si="84"/>
        <v>119080</v>
      </c>
      <c r="K79" s="66">
        <v>174</v>
      </c>
      <c r="L79" s="66">
        <v>87</v>
      </c>
      <c r="M79" s="178">
        <f t="shared" si="85"/>
        <v>0.5</v>
      </c>
      <c r="N79" s="97">
        <f t="shared" si="86"/>
        <v>458000</v>
      </c>
      <c r="O79" s="97">
        <f t="shared" si="87"/>
        <v>59540</v>
      </c>
      <c r="P79" s="109">
        <f t="shared" si="88"/>
        <v>0</v>
      </c>
      <c r="Q79" s="68">
        <v>0.13</v>
      </c>
      <c r="R79" s="197" t="s">
        <v>164</v>
      </c>
      <c r="S79" s="75"/>
      <c r="T79" s="49" t="s">
        <v>226</v>
      </c>
      <c r="U79" s="98"/>
      <c r="V79" s="98"/>
    </row>
    <row r="80" spans="1:25" s="9" customFormat="1" ht="14.45" customHeight="1" x14ac:dyDescent="0.25">
      <c r="A80" s="29" t="s">
        <v>149</v>
      </c>
      <c r="B80" s="29" t="s">
        <v>151</v>
      </c>
      <c r="C80" s="48" t="s">
        <v>84</v>
      </c>
      <c r="D80" s="48" t="s">
        <v>67</v>
      </c>
      <c r="E80" s="48" t="s">
        <v>92</v>
      </c>
      <c r="F80" s="64" t="s">
        <v>9</v>
      </c>
      <c r="G80" s="64" t="str">
        <f t="shared" si="0"/>
        <v>Bérköltség</v>
      </c>
      <c r="H80" s="29" t="s">
        <v>15</v>
      </c>
      <c r="I80" s="65">
        <v>916000</v>
      </c>
      <c r="J80" s="65">
        <f t="shared" si="84"/>
        <v>119080</v>
      </c>
      <c r="K80" s="66">
        <v>174</v>
      </c>
      <c r="L80" s="66">
        <v>87</v>
      </c>
      <c r="M80" s="178">
        <f t="shared" si="85"/>
        <v>0.5</v>
      </c>
      <c r="N80" s="97">
        <f t="shared" si="86"/>
        <v>458000</v>
      </c>
      <c r="O80" s="97">
        <f t="shared" si="87"/>
        <v>59540</v>
      </c>
      <c r="P80" s="109">
        <f t="shared" si="88"/>
        <v>0</v>
      </c>
      <c r="Q80" s="68">
        <v>0.13</v>
      </c>
      <c r="R80" s="197" t="s">
        <v>164</v>
      </c>
      <c r="S80" s="75"/>
      <c r="T80" s="49" t="s">
        <v>226</v>
      </c>
      <c r="U80" s="98"/>
      <c r="V80" s="98"/>
    </row>
    <row r="81" spans="1:25" s="9" customFormat="1" ht="14.45" customHeight="1" x14ac:dyDescent="0.25">
      <c r="A81" s="29" t="s">
        <v>149</v>
      </c>
      <c r="B81" s="29" t="s">
        <v>151</v>
      </c>
      <c r="C81" s="48" t="s">
        <v>84</v>
      </c>
      <c r="D81" s="48" t="s">
        <v>67</v>
      </c>
      <c r="E81" s="48" t="s">
        <v>93</v>
      </c>
      <c r="F81" s="64" t="s">
        <v>9</v>
      </c>
      <c r="G81" s="64" t="str">
        <f t="shared" si="0"/>
        <v>Bérköltség</v>
      </c>
      <c r="H81" s="29" t="s">
        <v>15</v>
      </c>
      <c r="I81" s="65">
        <v>916000</v>
      </c>
      <c r="J81" s="65">
        <f t="shared" si="84"/>
        <v>119080</v>
      </c>
      <c r="K81" s="66">
        <v>174</v>
      </c>
      <c r="L81" s="66">
        <v>87</v>
      </c>
      <c r="M81" s="178">
        <f t="shared" si="85"/>
        <v>0.5</v>
      </c>
      <c r="N81" s="97">
        <f t="shared" si="86"/>
        <v>458000</v>
      </c>
      <c r="O81" s="97">
        <f t="shared" si="87"/>
        <v>59540</v>
      </c>
      <c r="P81" s="109">
        <f t="shared" si="88"/>
        <v>0</v>
      </c>
      <c r="Q81" s="68">
        <v>0.13</v>
      </c>
      <c r="R81" s="197" t="s">
        <v>164</v>
      </c>
      <c r="S81" s="75"/>
      <c r="T81" s="49" t="s">
        <v>226</v>
      </c>
      <c r="U81" s="98"/>
      <c r="V81" s="98"/>
    </row>
    <row r="82" spans="1:25" s="9" customFormat="1" ht="14.45" customHeight="1" x14ac:dyDescent="0.25">
      <c r="A82" s="29" t="s">
        <v>149</v>
      </c>
      <c r="B82" s="29" t="s">
        <v>151</v>
      </c>
      <c r="C82" s="48" t="s">
        <v>84</v>
      </c>
      <c r="D82" s="48" t="s">
        <v>67</v>
      </c>
      <c r="E82" s="48" t="s">
        <v>94</v>
      </c>
      <c r="F82" s="64" t="s">
        <v>9</v>
      </c>
      <c r="G82" s="64" t="str">
        <f t="shared" si="0"/>
        <v>Bérköltség</v>
      </c>
      <c r="H82" s="29" t="s">
        <v>15</v>
      </c>
      <c r="I82" s="65">
        <v>916000</v>
      </c>
      <c r="J82" s="65">
        <f t="shared" si="84"/>
        <v>119080</v>
      </c>
      <c r="K82" s="66">
        <v>174</v>
      </c>
      <c r="L82" s="66">
        <v>87</v>
      </c>
      <c r="M82" s="178">
        <f t="shared" si="85"/>
        <v>0.5</v>
      </c>
      <c r="N82" s="97">
        <f t="shared" si="86"/>
        <v>458000</v>
      </c>
      <c r="O82" s="97">
        <f t="shared" si="87"/>
        <v>59540</v>
      </c>
      <c r="P82" s="109">
        <f t="shared" si="88"/>
        <v>0</v>
      </c>
      <c r="Q82" s="68">
        <v>0.13</v>
      </c>
      <c r="R82" s="197" t="s">
        <v>164</v>
      </c>
      <c r="S82" s="75"/>
      <c r="T82" s="49" t="s">
        <v>226</v>
      </c>
      <c r="U82" s="98"/>
      <c r="V82" s="98"/>
    </row>
    <row r="83" spans="1:25" s="9" customFormat="1" ht="14.45" customHeight="1" x14ac:dyDescent="0.25">
      <c r="A83" s="29" t="s">
        <v>149</v>
      </c>
      <c r="B83" s="29" t="s">
        <v>151</v>
      </c>
      <c r="C83" s="48" t="s">
        <v>84</v>
      </c>
      <c r="D83" s="48" t="s">
        <v>67</v>
      </c>
      <c r="E83" s="48" t="s">
        <v>95</v>
      </c>
      <c r="F83" s="64" t="s">
        <v>9</v>
      </c>
      <c r="G83" s="64" t="str">
        <f t="shared" si="0"/>
        <v>Bérköltség</v>
      </c>
      <c r="H83" s="29" t="s">
        <v>15</v>
      </c>
      <c r="I83" s="65">
        <v>916000</v>
      </c>
      <c r="J83" s="65">
        <f t="shared" si="84"/>
        <v>119080</v>
      </c>
      <c r="K83" s="66">
        <v>174</v>
      </c>
      <c r="L83" s="66">
        <v>87</v>
      </c>
      <c r="M83" s="178">
        <f t="shared" si="85"/>
        <v>0.5</v>
      </c>
      <c r="N83" s="97">
        <f t="shared" si="86"/>
        <v>458000</v>
      </c>
      <c r="O83" s="97">
        <f t="shared" si="87"/>
        <v>59540</v>
      </c>
      <c r="P83" s="109">
        <f t="shared" si="88"/>
        <v>0</v>
      </c>
      <c r="Q83" s="68">
        <v>0.13</v>
      </c>
      <c r="R83" s="197" t="s">
        <v>164</v>
      </c>
      <c r="S83" s="75"/>
      <c r="T83" s="49" t="s">
        <v>226</v>
      </c>
      <c r="U83" s="98"/>
      <c r="V83" s="98"/>
    </row>
    <row r="84" spans="1:25" s="9" customFormat="1" ht="14.45" customHeight="1" x14ac:dyDescent="0.25">
      <c r="A84" s="29" t="s">
        <v>149</v>
      </c>
      <c r="B84" s="29" t="s">
        <v>151</v>
      </c>
      <c r="C84" s="48" t="s">
        <v>84</v>
      </c>
      <c r="D84" s="48" t="s">
        <v>67</v>
      </c>
      <c r="E84" s="48" t="s">
        <v>96</v>
      </c>
      <c r="F84" s="64" t="s">
        <v>9</v>
      </c>
      <c r="G84" s="64" t="str">
        <f t="shared" si="0"/>
        <v>Bérköltség</v>
      </c>
      <c r="H84" s="29" t="s">
        <v>15</v>
      </c>
      <c r="I84" s="65">
        <v>916000</v>
      </c>
      <c r="J84" s="65">
        <f t="shared" si="84"/>
        <v>119080</v>
      </c>
      <c r="K84" s="66">
        <v>174</v>
      </c>
      <c r="L84" s="66">
        <v>87</v>
      </c>
      <c r="M84" s="178">
        <f t="shared" si="85"/>
        <v>0.5</v>
      </c>
      <c r="N84" s="97">
        <f t="shared" si="86"/>
        <v>458000</v>
      </c>
      <c r="O84" s="97">
        <f t="shared" si="87"/>
        <v>59540</v>
      </c>
      <c r="P84" s="109">
        <f t="shared" si="88"/>
        <v>0</v>
      </c>
      <c r="Q84" s="68">
        <v>0.13</v>
      </c>
      <c r="R84" s="197" t="s">
        <v>164</v>
      </c>
      <c r="S84" s="75"/>
      <c r="T84" s="49" t="s">
        <v>226</v>
      </c>
      <c r="U84" s="98"/>
      <c r="V84" s="98"/>
    </row>
    <row r="85" spans="1:25" s="9" customFormat="1" ht="14.45" customHeight="1" x14ac:dyDescent="0.25">
      <c r="A85" s="29" t="s">
        <v>149</v>
      </c>
      <c r="B85" s="29" t="s">
        <v>151</v>
      </c>
      <c r="C85" s="48" t="s">
        <v>84</v>
      </c>
      <c r="D85" s="48" t="s">
        <v>67</v>
      </c>
      <c r="E85" s="48" t="s">
        <v>97</v>
      </c>
      <c r="F85" s="64" t="s">
        <v>9</v>
      </c>
      <c r="G85" s="64" t="str">
        <f t="shared" si="0"/>
        <v>Bérköltség</v>
      </c>
      <c r="H85" s="29" t="s">
        <v>15</v>
      </c>
      <c r="I85" s="65">
        <v>916000</v>
      </c>
      <c r="J85" s="65">
        <f t="shared" si="84"/>
        <v>119080</v>
      </c>
      <c r="K85" s="66">
        <v>174</v>
      </c>
      <c r="L85" s="66">
        <v>87</v>
      </c>
      <c r="M85" s="178">
        <f t="shared" si="85"/>
        <v>0.5</v>
      </c>
      <c r="N85" s="97">
        <f t="shared" si="86"/>
        <v>458000</v>
      </c>
      <c r="O85" s="97">
        <f t="shared" si="87"/>
        <v>59540</v>
      </c>
      <c r="P85" s="109">
        <f t="shared" si="88"/>
        <v>0</v>
      </c>
      <c r="Q85" s="68">
        <v>0.13</v>
      </c>
      <c r="R85" s="197" t="s">
        <v>164</v>
      </c>
      <c r="S85" s="75"/>
      <c r="T85" s="49" t="s">
        <v>226</v>
      </c>
      <c r="U85" s="98"/>
      <c r="V85" s="98"/>
    </row>
    <row r="86" spans="1:25" s="9" customFormat="1" ht="14.45" customHeight="1" x14ac:dyDescent="0.25">
      <c r="A86" s="29" t="s">
        <v>229</v>
      </c>
      <c r="B86" s="29" t="s">
        <v>151</v>
      </c>
      <c r="C86" s="48" t="s">
        <v>84</v>
      </c>
      <c r="D86" s="48" t="s">
        <v>67</v>
      </c>
      <c r="E86" s="48" t="s">
        <v>89</v>
      </c>
      <c r="F86" s="64" t="s">
        <v>8</v>
      </c>
      <c r="G86" s="64" t="str">
        <f t="shared" si="0"/>
        <v>Bérköltség</v>
      </c>
      <c r="H86" s="29" t="s">
        <v>15</v>
      </c>
      <c r="I86" s="65">
        <v>120000</v>
      </c>
      <c r="J86" s="65">
        <f t="shared" si="84"/>
        <v>15600</v>
      </c>
      <c r="K86" s="66">
        <v>44</v>
      </c>
      <c r="L86" s="66">
        <v>44</v>
      </c>
      <c r="M86" s="178">
        <f t="shared" si="85"/>
        <v>1</v>
      </c>
      <c r="N86" s="97">
        <f t="shared" si="86"/>
        <v>120000</v>
      </c>
      <c r="O86" s="97">
        <f t="shared" si="87"/>
        <v>15600</v>
      </c>
      <c r="P86" s="109">
        <f t="shared" si="88"/>
        <v>0</v>
      </c>
      <c r="Q86" s="68">
        <v>0.13</v>
      </c>
      <c r="R86" s="197" t="s">
        <v>230</v>
      </c>
      <c r="S86" s="75">
        <v>44963</v>
      </c>
      <c r="T86" s="49" t="s">
        <v>226</v>
      </c>
      <c r="U86" s="98"/>
      <c r="V86" s="98">
        <v>1</v>
      </c>
      <c r="W86" s="9" t="str">
        <f>IF(VLOOKUP($R86,'Havi béradatok'!$B:$E,2,FALSE)=D86,"EGYEZIK","HIBÁS")</f>
        <v>EGYEZIK</v>
      </c>
      <c r="X86" s="9">
        <f>VLOOKUP($R86,'Havi béradatok'!$B:$E,3,FALSE)-I86</f>
        <v>0</v>
      </c>
      <c r="Y86" s="9">
        <f>VLOOKUP($R86,'Havi béradatok'!$B:$E,4,FALSE)-J86</f>
        <v>0</v>
      </c>
    </row>
    <row r="87" spans="1:25" s="9" customFormat="1" ht="14.45" customHeight="1" x14ac:dyDescent="0.25">
      <c r="A87" s="29" t="s">
        <v>229</v>
      </c>
      <c r="B87" s="29" t="s">
        <v>151</v>
      </c>
      <c r="C87" s="48" t="s">
        <v>84</v>
      </c>
      <c r="D87" s="48" t="s">
        <v>67</v>
      </c>
      <c r="E87" s="48" t="s">
        <v>90</v>
      </c>
      <c r="F87" s="64" t="s">
        <v>9</v>
      </c>
      <c r="G87" s="64" t="str">
        <f t="shared" si="0"/>
        <v>Bérköltség</v>
      </c>
      <c r="H87" s="29" t="s">
        <v>15</v>
      </c>
      <c r="I87" s="65">
        <v>120000</v>
      </c>
      <c r="J87" s="65">
        <f t="shared" ref="J87:J89" si="89">ROUND(I87*Q87,0)</f>
        <v>15600</v>
      </c>
      <c r="K87" s="66">
        <v>44</v>
      </c>
      <c r="L87" s="66">
        <v>44</v>
      </c>
      <c r="M87" s="178">
        <f t="shared" ref="M87:M89" si="90">L87/K87</f>
        <v>1</v>
      </c>
      <c r="N87" s="97">
        <f t="shared" ref="N87:N89" si="91">ROUND(I87*M87,0)</f>
        <v>120000</v>
      </c>
      <c r="O87" s="97">
        <f t="shared" ref="O87:O89" si="92">ROUND(N87*Q87,0)</f>
        <v>15600</v>
      </c>
      <c r="P87" s="109">
        <f t="shared" ref="P87:P89" si="93">L87/K87-N87/I87</f>
        <v>0</v>
      </c>
      <c r="Q87" s="68">
        <v>0.13</v>
      </c>
      <c r="R87" s="197" t="s">
        <v>230</v>
      </c>
      <c r="S87" s="75">
        <v>44963</v>
      </c>
      <c r="T87" s="49" t="s">
        <v>226</v>
      </c>
      <c r="U87" s="98"/>
      <c r="V87" s="98"/>
    </row>
    <row r="88" spans="1:25" s="9" customFormat="1" ht="14.45" customHeight="1" x14ac:dyDescent="0.25">
      <c r="A88" s="29" t="s">
        <v>229</v>
      </c>
      <c r="B88" s="29" t="s">
        <v>151</v>
      </c>
      <c r="C88" s="48" t="s">
        <v>84</v>
      </c>
      <c r="D88" s="48" t="s">
        <v>67</v>
      </c>
      <c r="E88" s="48" t="s">
        <v>91</v>
      </c>
      <c r="F88" s="64" t="s">
        <v>9</v>
      </c>
      <c r="G88" s="64" t="str">
        <f t="shared" si="0"/>
        <v>Bérköltség</v>
      </c>
      <c r="H88" s="29" t="s">
        <v>15</v>
      </c>
      <c r="I88" s="65">
        <v>120000</v>
      </c>
      <c r="J88" s="65">
        <f t="shared" si="89"/>
        <v>15600</v>
      </c>
      <c r="K88" s="66">
        <v>44</v>
      </c>
      <c r="L88" s="66">
        <v>44</v>
      </c>
      <c r="M88" s="178">
        <f t="shared" si="90"/>
        <v>1</v>
      </c>
      <c r="N88" s="97">
        <f t="shared" si="91"/>
        <v>120000</v>
      </c>
      <c r="O88" s="97">
        <f t="shared" si="92"/>
        <v>15600</v>
      </c>
      <c r="P88" s="109">
        <f t="shared" si="93"/>
        <v>0</v>
      </c>
      <c r="Q88" s="68">
        <v>0.13</v>
      </c>
      <c r="R88" s="197" t="s">
        <v>230</v>
      </c>
      <c r="S88" s="75">
        <v>44963</v>
      </c>
      <c r="T88" s="49" t="s">
        <v>226</v>
      </c>
      <c r="U88" s="98"/>
      <c r="V88" s="98"/>
    </row>
    <row r="89" spans="1:25" s="9" customFormat="1" ht="14.45" customHeight="1" x14ac:dyDescent="0.25">
      <c r="A89" s="29" t="s">
        <v>229</v>
      </c>
      <c r="B89" s="29" t="s">
        <v>151</v>
      </c>
      <c r="C89" s="48" t="s">
        <v>84</v>
      </c>
      <c r="D89" s="48" t="s">
        <v>67</v>
      </c>
      <c r="E89" s="48" t="s">
        <v>92</v>
      </c>
      <c r="F89" s="64" t="s">
        <v>9</v>
      </c>
      <c r="G89" s="64" t="str">
        <f t="shared" si="0"/>
        <v>Bérköltség</v>
      </c>
      <c r="H89" s="29" t="s">
        <v>15</v>
      </c>
      <c r="I89" s="65">
        <v>120000</v>
      </c>
      <c r="J89" s="65">
        <f t="shared" si="89"/>
        <v>15600</v>
      </c>
      <c r="K89" s="66">
        <v>44</v>
      </c>
      <c r="L89" s="66">
        <v>44</v>
      </c>
      <c r="M89" s="178">
        <f t="shared" si="90"/>
        <v>1</v>
      </c>
      <c r="N89" s="97">
        <f t="shared" si="91"/>
        <v>120000</v>
      </c>
      <c r="O89" s="97">
        <f t="shared" si="92"/>
        <v>15600</v>
      </c>
      <c r="P89" s="109">
        <f t="shared" si="93"/>
        <v>0</v>
      </c>
      <c r="Q89" s="68">
        <v>0.13</v>
      </c>
      <c r="R89" s="197" t="s">
        <v>230</v>
      </c>
      <c r="S89" s="75">
        <v>44963</v>
      </c>
      <c r="T89" s="49" t="s">
        <v>226</v>
      </c>
      <c r="U89" s="98"/>
      <c r="V89" s="98"/>
    </row>
    <row r="90" spans="1:25" s="9" customFormat="1" ht="14.45" customHeight="1" x14ac:dyDescent="0.25">
      <c r="A90" s="29" t="s">
        <v>171</v>
      </c>
      <c r="B90" s="29" t="s">
        <v>151</v>
      </c>
      <c r="C90" s="48" t="s">
        <v>84</v>
      </c>
      <c r="D90" s="48" t="s">
        <v>167</v>
      </c>
      <c r="E90" s="179" t="s">
        <v>256</v>
      </c>
      <c r="F90" s="64" t="s">
        <v>8</v>
      </c>
      <c r="G90" s="64" t="str">
        <f t="shared" ref="G90:G143" si="94">IF(H90="Napidíj","Nem rendszeres juttatás","Bérköltség")</f>
        <v>Bérköltség</v>
      </c>
      <c r="H90" s="29" t="s">
        <v>15</v>
      </c>
      <c r="I90" s="65">
        <v>288000</v>
      </c>
      <c r="J90" s="65">
        <f>ROUND(I90*Q90,0)</f>
        <v>37440</v>
      </c>
      <c r="K90" s="66">
        <v>87</v>
      </c>
      <c r="L90" s="66">
        <v>87</v>
      </c>
      <c r="M90" s="178">
        <f>L90/K90</f>
        <v>1</v>
      </c>
      <c r="N90" s="97">
        <f>ROUND(I90*M90,0)</f>
        <v>288000</v>
      </c>
      <c r="O90" s="97">
        <f>ROUND(N90*Q90,0)</f>
        <v>37440</v>
      </c>
      <c r="P90" s="109">
        <f t="shared" si="88"/>
        <v>0</v>
      </c>
      <c r="Q90" s="68">
        <v>0.13</v>
      </c>
      <c r="R90" s="197" t="s">
        <v>172</v>
      </c>
      <c r="S90" s="75">
        <v>44951</v>
      </c>
      <c r="T90" s="49" t="s">
        <v>226</v>
      </c>
      <c r="U90" s="98"/>
      <c r="V90" s="98">
        <v>1</v>
      </c>
    </row>
    <row r="91" spans="1:25" s="9" customFormat="1" ht="14.45" customHeight="1" x14ac:dyDescent="0.25">
      <c r="A91" s="29" t="s">
        <v>171</v>
      </c>
      <c r="B91" s="29" t="s">
        <v>151</v>
      </c>
      <c r="C91" s="48" t="s">
        <v>84</v>
      </c>
      <c r="D91" s="48" t="s">
        <v>167</v>
      </c>
      <c r="E91" s="48" t="s">
        <v>89</v>
      </c>
      <c r="F91" s="64" t="s">
        <v>8</v>
      </c>
      <c r="G91" s="64" t="str">
        <f t="shared" si="94"/>
        <v>Bérköltség</v>
      </c>
      <c r="H91" s="29" t="s">
        <v>15</v>
      </c>
      <c r="I91" s="65">
        <v>480000</v>
      </c>
      <c r="J91" s="65">
        <f t="shared" ref="J91:J99" si="95">ROUND(I91*Q91,0)</f>
        <v>62400</v>
      </c>
      <c r="K91" s="66">
        <v>87</v>
      </c>
      <c r="L91" s="66">
        <v>87</v>
      </c>
      <c r="M91" s="178">
        <f t="shared" ref="M91:M99" si="96">L91/K91</f>
        <v>1</v>
      </c>
      <c r="N91" s="97">
        <f t="shared" ref="N91:N99" si="97">ROUND(I91*M91,0)</f>
        <v>480000</v>
      </c>
      <c r="O91" s="97">
        <f t="shared" ref="O91:O99" si="98">ROUND(N91*Q91,0)</f>
        <v>62400</v>
      </c>
      <c r="P91" s="109">
        <f t="shared" ref="P91:P134" si="99">L91/K91-N91/I91</f>
        <v>0</v>
      </c>
      <c r="Q91" s="68">
        <v>0.13</v>
      </c>
      <c r="R91" s="197" t="s">
        <v>172</v>
      </c>
      <c r="S91" s="75">
        <v>44951</v>
      </c>
      <c r="T91" s="49" t="s">
        <v>226</v>
      </c>
      <c r="U91" s="98"/>
      <c r="V91" s="98">
        <v>1</v>
      </c>
      <c r="W91" s="9" t="str">
        <f>IF(VLOOKUP($R91,'Havi béradatok'!$B:$E,2,FALSE)=D91,"EGYEZIK","HIBÁS")</f>
        <v>EGYEZIK</v>
      </c>
      <c r="X91" s="9">
        <f>VLOOKUP($R91,'Havi béradatok'!$B:$E,3,FALSE)-I91</f>
        <v>0</v>
      </c>
      <c r="Y91" s="9">
        <f>VLOOKUP($R91,'Havi béradatok'!$B:$E,4,FALSE)-J91</f>
        <v>0</v>
      </c>
    </row>
    <row r="92" spans="1:25" s="9" customFormat="1" ht="14.45" customHeight="1" x14ac:dyDescent="0.25">
      <c r="A92" s="29" t="s">
        <v>171</v>
      </c>
      <c r="B92" s="29" t="s">
        <v>151</v>
      </c>
      <c r="C92" s="48" t="s">
        <v>84</v>
      </c>
      <c r="D92" s="48" t="s">
        <v>167</v>
      </c>
      <c r="E92" s="48" t="s">
        <v>90</v>
      </c>
      <c r="F92" s="64" t="s">
        <v>9</v>
      </c>
      <c r="G92" s="64" t="str">
        <f t="shared" si="94"/>
        <v>Bérköltség</v>
      </c>
      <c r="H92" s="29" t="s">
        <v>15</v>
      </c>
      <c r="I92" s="65">
        <v>480000</v>
      </c>
      <c r="J92" s="65">
        <f t="shared" si="95"/>
        <v>62400</v>
      </c>
      <c r="K92" s="66">
        <v>87</v>
      </c>
      <c r="L92" s="66">
        <v>87</v>
      </c>
      <c r="M92" s="178">
        <f t="shared" si="96"/>
        <v>1</v>
      </c>
      <c r="N92" s="97">
        <f t="shared" si="97"/>
        <v>480000</v>
      </c>
      <c r="O92" s="97">
        <f t="shared" si="98"/>
        <v>62400</v>
      </c>
      <c r="P92" s="109">
        <f t="shared" si="99"/>
        <v>0</v>
      </c>
      <c r="Q92" s="68">
        <v>0.13</v>
      </c>
      <c r="R92" s="197" t="s">
        <v>172</v>
      </c>
      <c r="S92" s="75">
        <v>44951</v>
      </c>
      <c r="T92" s="49" t="s">
        <v>226</v>
      </c>
      <c r="U92" s="98"/>
      <c r="V92" s="98"/>
    </row>
    <row r="93" spans="1:25" s="9" customFormat="1" ht="14.45" customHeight="1" x14ac:dyDescent="0.25">
      <c r="A93" s="29" t="s">
        <v>171</v>
      </c>
      <c r="B93" s="29" t="s">
        <v>151</v>
      </c>
      <c r="C93" s="48" t="s">
        <v>84</v>
      </c>
      <c r="D93" s="48" t="s">
        <v>167</v>
      </c>
      <c r="E93" s="48" t="s">
        <v>91</v>
      </c>
      <c r="F93" s="64" t="s">
        <v>9</v>
      </c>
      <c r="G93" s="64" t="str">
        <f t="shared" si="94"/>
        <v>Bérköltség</v>
      </c>
      <c r="H93" s="29" t="s">
        <v>15</v>
      </c>
      <c r="I93" s="65">
        <v>480000</v>
      </c>
      <c r="J93" s="65">
        <f t="shared" si="95"/>
        <v>62400</v>
      </c>
      <c r="K93" s="66">
        <v>87</v>
      </c>
      <c r="L93" s="66">
        <v>87</v>
      </c>
      <c r="M93" s="178">
        <f t="shared" si="96"/>
        <v>1</v>
      </c>
      <c r="N93" s="97">
        <f t="shared" si="97"/>
        <v>480000</v>
      </c>
      <c r="O93" s="97">
        <f t="shared" si="98"/>
        <v>62400</v>
      </c>
      <c r="P93" s="109">
        <f t="shared" si="99"/>
        <v>0</v>
      </c>
      <c r="Q93" s="68">
        <v>0.13</v>
      </c>
      <c r="R93" s="197" t="s">
        <v>172</v>
      </c>
      <c r="S93" s="75">
        <v>44951</v>
      </c>
      <c r="T93" s="49" t="s">
        <v>226</v>
      </c>
      <c r="U93" s="98"/>
      <c r="V93" s="98"/>
    </row>
    <row r="94" spans="1:25" s="9" customFormat="1" ht="14.45" customHeight="1" x14ac:dyDescent="0.25">
      <c r="A94" s="29" t="s">
        <v>171</v>
      </c>
      <c r="B94" s="29" t="s">
        <v>151</v>
      </c>
      <c r="C94" s="48" t="s">
        <v>84</v>
      </c>
      <c r="D94" s="48" t="s">
        <v>167</v>
      </c>
      <c r="E94" s="48" t="s">
        <v>92</v>
      </c>
      <c r="F94" s="64" t="s">
        <v>9</v>
      </c>
      <c r="G94" s="64" t="str">
        <f t="shared" si="94"/>
        <v>Bérköltség</v>
      </c>
      <c r="H94" s="29" t="s">
        <v>15</v>
      </c>
      <c r="I94" s="65">
        <v>480000</v>
      </c>
      <c r="J94" s="65">
        <f t="shared" si="95"/>
        <v>62400</v>
      </c>
      <c r="K94" s="66">
        <v>87</v>
      </c>
      <c r="L94" s="66">
        <v>87</v>
      </c>
      <c r="M94" s="178">
        <f t="shared" si="96"/>
        <v>1</v>
      </c>
      <c r="N94" s="97">
        <f t="shared" si="97"/>
        <v>480000</v>
      </c>
      <c r="O94" s="97">
        <f t="shared" si="98"/>
        <v>62400</v>
      </c>
      <c r="P94" s="109">
        <f t="shared" si="99"/>
        <v>0</v>
      </c>
      <c r="Q94" s="68">
        <v>0.13</v>
      </c>
      <c r="R94" s="197" t="s">
        <v>172</v>
      </c>
      <c r="S94" s="75">
        <v>44951</v>
      </c>
      <c r="T94" s="49" t="s">
        <v>226</v>
      </c>
      <c r="U94" s="98"/>
      <c r="V94" s="98"/>
    </row>
    <row r="95" spans="1:25" s="9" customFormat="1" ht="14.45" customHeight="1" x14ac:dyDescent="0.25">
      <c r="A95" s="29" t="s">
        <v>171</v>
      </c>
      <c r="B95" s="29" t="s">
        <v>151</v>
      </c>
      <c r="C95" s="48" t="s">
        <v>84</v>
      </c>
      <c r="D95" s="48" t="s">
        <v>167</v>
      </c>
      <c r="E95" s="48" t="s">
        <v>93</v>
      </c>
      <c r="F95" s="64" t="s">
        <v>9</v>
      </c>
      <c r="G95" s="64" t="str">
        <f t="shared" si="94"/>
        <v>Bérköltség</v>
      </c>
      <c r="H95" s="29" t="s">
        <v>15</v>
      </c>
      <c r="I95" s="65">
        <v>480000</v>
      </c>
      <c r="J95" s="65">
        <f t="shared" si="95"/>
        <v>62400</v>
      </c>
      <c r="K95" s="66">
        <v>87</v>
      </c>
      <c r="L95" s="66">
        <v>87</v>
      </c>
      <c r="M95" s="178">
        <f t="shared" si="96"/>
        <v>1</v>
      </c>
      <c r="N95" s="97">
        <f t="shared" si="97"/>
        <v>480000</v>
      </c>
      <c r="O95" s="97">
        <f t="shared" si="98"/>
        <v>62400</v>
      </c>
      <c r="P95" s="109">
        <f t="shared" si="99"/>
        <v>0</v>
      </c>
      <c r="Q95" s="68">
        <v>0.13</v>
      </c>
      <c r="R95" s="197" t="s">
        <v>172</v>
      </c>
      <c r="S95" s="75">
        <v>44951</v>
      </c>
      <c r="T95" s="49" t="s">
        <v>226</v>
      </c>
      <c r="U95" s="98"/>
      <c r="V95" s="98"/>
    </row>
    <row r="96" spans="1:25" s="9" customFormat="1" ht="14.45" customHeight="1" x14ac:dyDescent="0.25">
      <c r="A96" s="29" t="s">
        <v>171</v>
      </c>
      <c r="B96" s="29" t="s">
        <v>151</v>
      </c>
      <c r="C96" s="48" t="s">
        <v>84</v>
      </c>
      <c r="D96" s="48" t="s">
        <v>167</v>
      </c>
      <c r="E96" s="48" t="s">
        <v>94</v>
      </c>
      <c r="F96" s="64" t="s">
        <v>9</v>
      </c>
      <c r="G96" s="64" t="str">
        <f t="shared" si="94"/>
        <v>Bérköltség</v>
      </c>
      <c r="H96" s="29" t="s">
        <v>15</v>
      </c>
      <c r="I96" s="65">
        <v>480000</v>
      </c>
      <c r="J96" s="65">
        <f t="shared" si="95"/>
        <v>62400</v>
      </c>
      <c r="K96" s="66">
        <v>87</v>
      </c>
      <c r="L96" s="66">
        <v>87</v>
      </c>
      <c r="M96" s="178">
        <f t="shared" si="96"/>
        <v>1</v>
      </c>
      <c r="N96" s="97">
        <f t="shared" si="97"/>
        <v>480000</v>
      </c>
      <c r="O96" s="97">
        <f t="shared" si="98"/>
        <v>62400</v>
      </c>
      <c r="P96" s="109">
        <f t="shared" si="99"/>
        <v>0</v>
      </c>
      <c r="Q96" s="68">
        <v>0.13</v>
      </c>
      <c r="R96" s="197" t="s">
        <v>172</v>
      </c>
      <c r="S96" s="75">
        <v>44951</v>
      </c>
      <c r="T96" s="49" t="s">
        <v>226</v>
      </c>
      <c r="U96" s="98"/>
      <c r="V96" s="98"/>
    </row>
    <row r="97" spans="1:25" s="9" customFormat="1" ht="14.45" customHeight="1" x14ac:dyDescent="0.25">
      <c r="A97" s="29" t="s">
        <v>171</v>
      </c>
      <c r="B97" s="29" t="s">
        <v>151</v>
      </c>
      <c r="C97" s="48" t="s">
        <v>84</v>
      </c>
      <c r="D97" s="48" t="s">
        <v>167</v>
      </c>
      <c r="E97" s="48" t="s">
        <v>95</v>
      </c>
      <c r="F97" s="64" t="s">
        <v>9</v>
      </c>
      <c r="G97" s="64" t="str">
        <f t="shared" si="94"/>
        <v>Bérköltség</v>
      </c>
      <c r="H97" s="29" t="s">
        <v>15</v>
      </c>
      <c r="I97" s="65">
        <v>480000</v>
      </c>
      <c r="J97" s="65">
        <f t="shared" si="95"/>
        <v>62400</v>
      </c>
      <c r="K97" s="66">
        <v>87</v>
      </c>
      <c r="L97" s="66">
        <v>87</v>
      </c>
      <c r="M97" s="178">
        <f t="shared" si="96"/>
        <v>1</v>
      </c>
      <c r="N97" s="97">
        <f t="shared" si="97"/>
        <v>480000</v>
      </c>
      <c r="O97" s="97">
        <f t="shared" si="98"/>
        <v>62400</v>
      </c>
      <c r="P97" s="109">
        <f t="shared" si="99"/>
        <v>0</v>
      </c>
      <c r="Q97" s="68">
        <v>0.13</v>
      </c>
      <c r="R97" s="197" t="s">
        <v>172</v>
      </c>
      <c r="S97" s="75">
        <v>44951</v>
      </c>
      <c r="T97" s="49" t="s">
        <v>226</v>
      </c>
      <c r="U97" s="98"/>
      <c r="V97" s="98"/>
    </row>
    <row r="98" spans="1:25" s="9" customFormat="1" ht="14.45" customHeight="1" x14ac:dyDescent="0.25">
      <c r="A98" s="29" t="s">
        <v>171</v>
      </c>
      <c r="B98" s="29" t="s">
        <v>151</v>
      </c>
      <c r="C98" s="48" t="s">
        <v>84</v>
      </c>
      <c r="D98" s="48" t="s">
        <v>167</v>
      </c>
      <c r="E98" s="48" t="s">
        <v>96</v>
      </c>
      <c r="F98" s="64" t="s">
        <v>9</v>
      </c>
      <c r="G98" s="64" t="str">
        <f t="shared" si="94"/>
        <v>Bérköltség</v>
      </c>
      <c r="H98" s="29" t="s">
        <v>15</v>
      </c>
      <c r="I98" s="65">
        <v>480000</v>
      </c>
      <c r="J98" s="65">
        <f t="shared" si="95"/>
        <v>62400</v>
      </c>
      <c r="K98" s="66">
        <v>87</v>
      </c>
      <c r="L98" s="66">
        <v>87</v>
      </c>
      <c r="M98" s="178">
        <f t="shared" si="96"/>
        <v>1</v>
      </c>
      <c r="N98" s="97">
        <f t="shared" si="97"/>
        <v>480000</v>
      </c>
      <c r="O98" s="97">
        <f t="shared" si="98"/>
        <v>62400</v>
      </c>
      <c r="P98" s="109">
        <f t="shared" si="99"/>
        <v>0</v>
      </c>
      <c r="Q98" s="68">
        <v>0.13</v>
      </c>
      <c r="R98" s="197" t="s">
        <v>172</v>
      </c>
      <c r="S98" s="75">
        <v>44951</v>
      </c>
      <c r="T98" s="49" t="s">
        <v>226</v>
      </c>
      <c r="U98" s="98"/>
      <c r="V98" s="98"/>
    </row>
    <row r="99" spans="1:25" s="9" customFormat="1" ht="14.45" customHeight="1" x14ac:dyDescent="0.25">
      <c r="A99" s="29" t="s">
        <v>171</v>
      </c>
      <c r="B99" s="29" t="s">
        <v>151</v>
      </c>
      <c r="C99" s="48" t="s">
        <v>84</v>
      </c>
      <c r="D99" s="48" t="s">
        <v>167</v>
      </c>
      <c r="E99" s="48" t="s">
        <v>97</v>
      </c>
      <c r="F99" s="64" t="s">
        <v>9</v>
      </c>
      <c r="G99" s="64" t="str">
        <f t="shared" si="94"/>
        <v>Bérköltség</v>
      </c>
      <c r="H99" s="29" t="s">
        <v>15</v>
      </c>
      <c r="I99" s="65">
        <v>480000</v>
      </c>
      <c r="J99" s="65">
        <f t="shared" si="95"/>
        <v>62400</v>
      </c>
      <c r="K99" s="66">
        <v>87</v>
      </c>
      <c r="L99" s="66">
        <v>87</v>
      </c>
      <c r="M99" s="178">
        <f t="shared" si="96"/>
        <v>1</v>
      </c>
      <c r="N99" s="97">
        <f t="shared" si="97"/>
        <v>480000</v>
      </c>
      <c r="O99" s="97">
        <f t="shared" si="98"/>
        <v>62400</v>
      </c>
      <c r="P99" s="109">
        <f t="shared" si="99"/>
        <v>0</v>
      </c>
      <c r="Q99" s="68">
        <v>0.13</v>
      </c>
      <c r="R99" s="197" t="s">
        <v>172</v>
      </c>
      <c r="S99" s="75">
        <v>44951</v>
      </c>
      <c r="T99" s="49" t="s">
        <v>226</v>
      </c>
      <c r="U99" s="98"/>
      <c r="V99" s="98"/>
    </row>
    <row r="100" spans="1:25" s="9" customFormat="1" ht="14.45" customHeight="1" x14ac:dyDescent="0.25">
      <c r="A100" s="29" t="s">
        <v>237</v>
      </c>
      <c r="B100" s="29" t="s">
        <v>151</v>
      </c>
      <c r="C100" s="48" t="s">
        <v>84</v>
      </c>
      <c r="D100" s="48" t="s">
        <v>167</v>
      </c>
      <c r="E100" s="48" t="s">
        <v>89</v>
      </c>
      <c r="F100" s="64" t="s">
        <v>8</v>
      </c>
      <c r="G100" s="64" t="str">
        <f t="shared" ref="G100" si="100">IF(H100="Napidíj","Nem rendszeres juttatás","Bérköltség")</f>
        <v>Bérköltség</v>
      </c>
      <c r="H100" s="29" t="s">
        <v>15</v>
      </c>
      <c r="I100" s="65">
        <v>1590000</v>
      </c>
      <c r="J100" s="65">
        <f t="shared" ref="J100" si="101">ROUND(I100*Q100,0)</f>
        <v>206700</v>
      </c>
      <c r="K100" s="66">
        <v>174</v>
      </c>
      <c r="L100" s="66">
        <v>23</v>
      </c>
      <c r="M100" s="178">
        <f t="shared" ref="M100" si="102">L100/K100</f>
        <v>0.13218390804597702</v>
      </c>
      <c r="N100" s="97">
        <f t="shared" ref="N100" si="103">ROUND(I100*M100,0)</f>
        <v>210172</v>
      </c>
      <c r="O100" s="97">
        <f t="shared" ref="O100" si="104">ROUND(N100*Q100,0)</f>
        <v>27322</v>
      </c>
      <c r="P100" s="109">
        <f t="shared" ref="P100" si="105">L100/K100-N100/I100</f>
        <v>2.6024723487338974E-7</v>
      </c>
      <c r="Q100" s="68">
        <v>0.13</v>
      </c>
      <c r="R100" s="197" t="s">
        <v>238</v>
      </c>
      <c r="S100" s="75">
        <v>44981</v>
      </c>
      <c r="T100" s="49" t="s">
        <v>226</v>
      </c>
      <c r="U100" s="98"/>
      <c r="V100" s="98">
        <v>1</v>
      </c>
      <c r="W100" s="9" t="str">
        <f>IF(VLOOKUP($R100,'Havi béradatok'!$B:$E,2,FALSE)=D100,"EGYEZIK","HIBÁS")</f>
        <v>EGYEZIK</v>
      </c>
      <c r="X100" s="9">
        <f>VLOOKUP($R100,'Havi béradatok'!$B:$E,3,FALSE)-I100</f>
        <v>0</v>
      </c>
      <c r="Y100" s="9">
        <f>VLOOKUP($R100,'Havi béradatok'!$B:$E,4,FALSE)-J100</f>
        <v>0</v>
      </c>
    </row>
    <row r="101" spans="1:25" s="9" customFormat="1" ht="14.45" customHeight="1" x14ac:dyDescent="0.25">
      <c r="A101" s="29" t="s">
        <v>237</v>
      </c>
      <c r="B101" s="29" t="s">
        <v>151</v>
      </c>
      <c r="C101" s="48" t="s">
        <v>84</v>
      </c>
      <c r="D101" s="48" t="s">
        <v>167</v>
      </c>
      <c r="E101" s="48" t="s">
        <v>90</v>
      </c>
      <c r="F101" s="64" t="s">
        <v>9</v>
      </c>
      <c r="G101" s="64" t="str">
        <f t="shared" ref="G101:G105" si="106">IF(H101="Napidíj","Nem rendszeres juttatás","Bérköltség")</f>
        <v>Bérköltség</v>
      </c>
      <c r="H101" s="29" t="s">
        <v>15</v>
      </c>
      <c r="I101" s="65">
        <v>1590000</v>
      </c>
      <c r="J101" s="65">
        <f t="shared" ref="J101:J105" si="107">ROUND(I101*Q101,0)</f>
        <v>206700</v>
      </c>
      <c r="K101" s="66">
        <v>174</v>
      </c>
      <c r="L101" s="66">
        <v>23</v>
      </c>
      <c r="M101" s="178">
        <f t="shared" ref="M101:M105" si="108">L101/K101</f>
        <v>0.13218390804597702</v>
      </c>
      <c r="N101" s="97">
        <f t="shared" ref="N101:N105" si="109">ROUND(I101*M101,0)</f>
        <v>210172</v>
      </c>
      <c r="O101" s="97">
        <f t="shared" ref="O101:O105" si="110">ROUND(N101*Q101,0)</f>
        <v>27322</v>
      </c>
      <c r="P101" s="109">
        <f t="shared" ref="P101:P105" si="111">L101/K101-N101/I101</f>
        <v>2.6024723487338974E-7</v>
      </c>
      <c r="Q101" s="68">
        <v>0.13</v>
      </c>
      <c r="R101" s="197" t="s">
        <v>238</v>
      </c>
      <c r="S101" s="75">
        <v>44981</v>
      </c>
      <c r="T101" s="49" t="s">
        <v>226</v>
      </c>
      <c r="U101" s="98"/>
      <c r="V101" s="98"/>
    </row>
    <row r="102" spans="1:25" s="9" customFormat="1" ht="14.45" customHeight="1" x14ac:dyDescent="0.25">
      <c r="A102" s="29" t="s">
        <v>237</v>
      </c>
      <c r="B102" s="29" t="s">
        <v>151</v>
      </c>
      <c r="C102" s="48" t="s">
        <v>84</v>
      </c>
      <c r="D102" s="48" t="s">
        <v>167</v>
      </c>
      <c r="E102" s="48" t="s">
        <v>91</v>
      </c>
      <c r="F102" s="64" t="s">
        <v>9</v>
      </c>
      <c r="G102" s="64" t="str">
        <f t="shared" si="106"/>
        <v>Bérköltség</v>
      </c>
      <c r="H102" s="29" t="s">
        <v>15</v>
      </c>
      <c r="I102" s="65">
        <v>1590000</v>
      </c>
      <c r="J102" s="65">
        <f t="shared" si="107"/>
        <v>206700</v>
      </c>
      <c r="K102" s="66">
        <v>174</v>
      </c>
      <c r="L102" s="66">
        <v>23</v>
      </c>
      <c r="M102" s="178">
        <f t="shared" si="108"/>
        <v>0.13218390804597702</v>
      </c>
      <c r="N102" s="97">
        <f t="shared" si="109"/>
        <v>210172</v>
      </c>
      <c r="O102" s="97">
        <f t="shared" si="110"/>
        <v>27322</v>
      </c>
      <c r="P102" s="109">
        <f t="shared" si="111"/>
        <v>2.6024723487338974E-7</v>
      </c>
      <c r="Q102" s="68">
        <v>0.13</v>
      </c>
      <c r="R102" s="197" t="s">
        <v>238</v>
      </c>
      <c r="S102" s="75">
        <v>44981</v>
      </c>
      <c r="T102" s="49" t="s">
        <v>226</v>
      </c>
      <c r="U102" s="98"/>
      <c r="V102" s="98"/>
    </row>
    <row r="103" spans="1:25" s="9" customFormat="1" ht="14.45" customHeight="1" x14ac:dyDescent="0.25">
      <c r="A103" s="29" t="s">
        <v>237</v>
      </c>
      <c r="B103" s="29" t="s">
        <v>151</v>
      </c>
      <c r="C103" s="48" t="s">
        <v>84</v>
      </c>
      <c r="D103" s="48" t="s">
        <v>167</v>
      </c>
      <c r="E103" s="48" t="s">
        <v>92</v>
      </c>
      <c r="F103" s="64" t="s">
        <v>9</v>
      </c>
      <c r="G103" s="64" t="str">
        <f t="shared" si="106"/>
        <v>Bérköltség</v>
      </c>
      <c r="H103" s="29" t="s">
        <v>15</v>
      </c>
      <c r="I103" s="65">
        <v>1590000</v>
      </c>
      <c r="J103" s="65">
        <f t="shared" si="107"/>
        <v>206700</v>
      </c>
      <c r="K103" s="66">
        <v>174</v>
      </c>
      <c r="L103" s="66">
        <v>23</v>
      </c>
      <c r="M103" s="178">
        <f t="shared" si="108"/>
        <v>0.13218390804597702</v>
      </c>
      <c r="N103" s="97">
        <f t="shared" si="109"/>
        <v>210172</v>
      </c>
      <c r="O103" s="97">
        <f t="shared" si="110"/>
        <v>27322</v>
      </c>
      <c r="P103" s="109">
        <f t="shared" si="111"/>
        <v>2.6024723487338974E-7</v>
      </c>
      <c r="Q103" s="68">
        <v>0.13</v>
      </c>
      <c r="R103" s="197" t="s">
        <v>238</v>
      </c>
      <c r="S103" s="75">
        <v>44981</v>
      </c>
      <c r="T103" s="49" t="s">
        <v>226</v>
      </c>
      <c r="U103" s="98"/>
      <c r="V103" s="98"/>
    </row>
    <row r="104" spans="1:25" s="9" customFormat="1" ht="14.45" customHeight="1" x14ac:dyDescent="0.25">
      <c r="A104" s="29" t="s">
        <v>237</v>
      </c>
      <c r="B104" s="29" t="s">
        <v>151</v>
      </c>
      <c r="C104" s="48" t="s">
        <v>84</v>
      </c>
      <c r="D104" s="48" t="s">
        <v>167</v>
      </c>
      <c r="E104" s="48" t="s">
        <v>93</v>
      </c>
      <c r="F104" s="64" t="s">
        <v>9</v>
      </c>
      <c r="G104" s="64" t="str">
        <f t="shared" si="106"/>
        <v>Bérköltség</v>
      </c>
      <c r="H104" s="29" t="s">
        <v>15</v>
      </c>
      <c r="I104" s="65">
        <v>1590000</v>
      </c>
      <c r="J104" s="65">
        <f t="shared" si="107"/>
        <v>206700</v>
      </c>
      <c r="K104" s="66">
        <v>174</v>
      </c>
      <c r="L104" s="66">
        <v>23</v>
      </c>
      <c r="M104" s="178">
        <f t="shared" si="108"/>
        <v>0.13218390804597702</v>
      </c>
      <c r="N104" s="97">
        <f t="shared" si="109"/>
        <v>210172</v>
      </c>
      <c r="O104" s="97">
        <f t="shared" si="110"/>
        <v>27322</v>
      </c>
      <c r="P104" s="109">
        <f t="shared" si="111"/>
        <v>2.6024723487338974E-7</v>
      </c>
      <c r="Q104" s="68">
        <v>0.13</v>
      </c>
      <c r="R104" s="197" t="s">
        <v>238</v>
      </c>
      <c r="S104" s="75">
        <v>44981</v>
      </c>
      <c r="T104" s="49" t="s">
        <v>226</v>
      </c>
      <c r="U104" s="98"/>
      <c r="V104" s="98"/>
    </row>
    <row r="105" spans="1:25" s="9" customFormat="1" ht="14.45" customHeight="1" x14ac:dyDescent="0.25">
      <c r="A105" s="29" t="s">
        <v>237</v>
      </c>
      <c r="B105" s="29" t="s">
        <v>151</v>
      </c>
      <c r="C105" s="48" t="s">
        <v>84</v>
      </c>
      <c r="D105" s="48" t="s">
        <v>167</v>
      </c>
      <c r="E105" s="48" t="s">
        <v>94</v>
      </c>
      <c r="F105" s="64" t="s">
        <v>9</v>
      </c>
      <c r="G105" s="64" t="str">
        <f t="shared" si="106"/>
        <v>Bérköltség</v>
      </c>
      <c r="H105" s="29" t="s">
        <v>15</v>
      </c>
      <c r="I105" s="65">
        <v>1590000</v>
      </c>
      <c r="J105" s="65">
        <f t="shared" si="107"/>
        <v>206700</v>
      </c>
      <c r="K105" s="66">
        <v>174</v>
      </c>
      <c r="L105" s="66">
        <v>23</v>
      </c>
      <c r="M105" s="178">
        <f t="shared" si="108"/>
        <v>0.13218390804597702</v>
      </c>
      <c r="N105" s="97">
        <f t="shared" si="109"/>
        <v>210172</v>
      </c>
      <c r="O105" s="97">
        <f t="shared" si="110"/>
        <v>27322</v>
      </c>
      <c r="P105" s="109">
        <f t="shared" si="111"/>
        <v>2.6024723487338974E-7</v>
      </c>
      <c r="Q105" s="68">
        <v>0.13</v>
      </c>
      <c r="R105" s="197" t="s">
        <v>238</v>
      </c>
      <c r="S105" s="75">
        <v>44981</v>
      </c>
      <c r="T105" s="49" t="s">
        <v>226</v>
      </c>
      <c r="U105" s="98"/>
      <c r="V105" s="98"/>
    </row>
    <row r="106" spans="1:25" s="9" customFormat="1" ht="14.45" customHeight="1" x14ac:dyDescent="0.25">
      <c r="A106" s="29" t="s">
        <v>185</v>
      </c>
      <c r="B106" s="29" t="s">
        <v>151</v>
      </c>
      <c r="C106" s="48" t="s">
        <v>84</v>
      </c>
      <c r="D106" s="48" t="s">
        <v>180</v>
      </c>
      <c r="E106" s="48" t="s">
        <v>88</v>
      </c>
      <c r="F106" s="64" t="s">
        <v>8</v>
      </c>
      <c r="G106" s="64" t="str">
        <f t="shared" ref="G106" si="112">IF(H106="Napidíj","Nem rendszeres juttatás","Bérköltség")</f>
        <v>Bérköltség</v>
      </c>
      <c r="H106" s="29" t="s">
        <v>15</v>
      </c>
      <c r="I106" s="65">
        <v>950000</v>
      </c>
      <c r="J106" s="65">
        <f t="shared" ref="J106" si="113">ROUND(I106*Q106,0)</f>
        <v>123500</v>
      </c>
      <c r="K106" s="66">
        <v>174</v>
      </c>
      <c r="L106" s="66">
        <v>37</v>
      </c>
      <c r="M106" s="178">
        <f t="shared" ref="M106" si="114">L106/K106</f>
        <v>0.21264367816091953</v>
      </c>
      <c r="N106" s="97">
        <f t="shared" ref="N106" si="115">ROUND(I106*M106,0)</f>
        <v>202011</v>
      </c>
      <c r="O106" s="97">
        <f t="shared" ref="O106" si="116">ROUND(N106*Q106,0)</f>
        <v>26261</v>
      </c>
      <c r="P106" s="109">
        <f t="shared" ref="P106" si="117">L106/K106-N106/I106</f>
        <v>5.202661826908539E-7</v>
      </c>
      <c r="Q106" s="68">
        <v>0.13</v>
      </c>
      <c r="R106" s="197" t="s">
        <v>186</v>
      </c>
      <c r="S106" s="75">
        <v>44957</v>
      </c>
      <c r="T106" s="49" t="s">
        <v>226</v>
      </c>
      <c r="U106" s="98"/>
      <c r="V106" s="98">
        <v>1</v>
      </c>
      <c r="W106" s="9" t="str">
        <f>IF(VLOOKUP($R106,'Havi béradatok'!$B:$E,2,FALSE)=D106,"EGYEZIK","HIBÁS")</f>
        <v>EGYEZIK</v>
      </c>
      <c r="X106" s="9">
        <f>VLOOKUP($R106,'Havi béradatok'!$B:$E,3,FALSE)-I106</f>
        <v>-77727</v>
      </c>
      <c r="Y106" s="9">
        <f>VLOOKUP($R106,'Havi béradatok'!$B:$E,4,FALSE)-J106</f>
        <v>-10105</v>
      </c>
    </row>
    <row r="107" spans="1:25" s="9" customFormat="1" ht="14.45" customHeight="1" x14ac:dyDescent="0.25">
      <c r="A107" s="29" t="s">
        <v>185</v>
      </c>
      <c r="B107" s="29" t="s">
        <v>151</v>
      </c>
      <c r="C107" s="48" t="s">
        <v>84</v>
      </c>
      <c r="D107" s="48" t="s">
        <v>180</v>
      </c>
      <c r="E107" s="48" t="s">
        <v>89</v>
      </c>
      <c r="F107" s="64" t="s">
        <v>8</v>
      </c>
      <c r="G107" s="64" t="str">
        <f t="shared" ref="G107:G109" si="118">IF(H107="Napidíj","Nem rendszeres juttatás","Bérköltség")</f>
        <v>Bérköltség</v>
      </c>
      <c r="H107" s="29" t="s">
        <v>15</v>
      </c>
      <c r="I107" s="65">
        <v>872273</v>
      </c>
      <c r="J107" s="65">
        <f t="shared" ref="J107:J109" si="119">ROUND(I107*Q107,0)</f>
        <v>113395</v>
      </c>
      <c r="K107" s="66">
        <v>174</v>
      </c>
      <c r="L107" s="66">
        <v>37</v>
      </c>
      <c r="M107" s="178">
        <f t="shared" ref="M107:M109" si="120">L107/K107</f>
        <v>0.21264367816091953</v>
      </c>
      <c r="N107" s="97">
        <f t="shared" ref="N107:N109" si="121">ROUND(I107*M107,0)</f>
        <v>185483</v>
      </c>
      <c r="O107" s="97">
        <f t="shared" ref="O107:O109" si="122">ROUND(N107*Q107,0)</f>
        <v>24113</v>
      </c>
      <c r="P107" s="109">
        <f t="shared" ref="P107:P109" si="123">L107/K107-N107/I107</f>
        <v>3.8873203658806865E-7</v>
      </c>
      <c r="Q107" s="68">
        <v>0.13</v>
      </c>
      <c r="R107" s="197" t="s">
        <v>186</v>
      </c>
      <c r="S107" s="75">
        <v>44957</v>
      </c>
      <c r="T107" s="49" t="s">
        <v>226</v>
      </c>
      <c r="U107" s="98"/>
      <c r="V107" s="98">
        <v>1</v>
      </c>
      <c r="W107" s="9" t="str">
        <f>IF(VLOOKUP($R107,'Havi béradatok'!$B:$E,2,FALSE)=D107,"EGYEZIK","HIBÁS")</f>
        <v>EGYEZIK</v>
      </c>
      <c r="X107" s="9">
        <f>VLOOKUP($R107,'Havi béradatok'!$B:$E,3,FALSE)-I107</f>
        <v>0</v>
      </c>
      <c r="Y107" s="9">
        <f>VLOOKUP($R107,'Havi béradatok'!$B:$E,4,FALSE)-J107</f>
        <v>0</v>
      </c>
    </row>
    <row r="108" spans="1:25" s="9" customFormat="1" ht="14.45" customHeight="1" x14ac:dyDescent="0.25">
      <c r="A108" s="29" t="s">
        <v>185</v>
      </c>
      <c r="B108" s="29" t="s">
        <v>151</v>
      </c>
      <c r="C108" s="48" t="s">
        <v>84</v>
      </c>
      <c r="D108" s="48" t="s">
        <v>180</v>
      </c>
      <c r="E108" s="48" t="s">
        <v>90</v>
      </c>
      <c r="F108" s="64" t="s">
        <v>9</v>
      </c>
      <c r="G108" s="64" t="str">
        <f t="shared" si="118"/>
        <v>Bérköltség</v>
      </c>
      <c r="H108" s="29" t="s">
        <v>15</v>
      </c>
      <c r="I108" s="65">
        <v>950000</v>
      </c>
      <c r="J108" s="65">
        <f t="shared" si="119"/>
        <v>123500</v>
      </c>
      <c r="K108" s="66">
        <v>174</v>
      </c>
      <c r="L108" s="66">
        <v>37</v>
      </c>
      <c r="M108" s="178">
        <f t="shared" si="120"/>
        <v>0.21264367816091953</v>
      </c>
      <c r="N108" s="97">
        <f t="shared" si="121"/>
        <v>202011</v>
      </c>
      <c r="O108" s="97">
        <f t="shared" si="122"/>
        <v>26261</v>
      </c>
      <c r="P108" s="109">
        <f t="shared" si="123"/>
        <v>5.202661826908539E-7</v>
      </c>
      <c r="Q108" s="68">
        <v>0.13</v>
      </c>
      <c r="R108" s="197" t="s">
        <v>186</v>
      </c>
      <c r="S108" s="75">
        <v>44957</v>
      </c>
      <c r="T108" s="49" t="s">
        <v>226</v>
      </c>
      <c r="U108" s="98"/>
      <c r="V108" s="98"/>
    </row>
    <row r="109" spans="1:25" s="9" customFormat="1" ht="14.45" customHeight="1" x14ac:dyDescent="0.25">
      <c r="A109" s="29" t="s">
        <v>185</v>
      </c>
      <c r="B109" s="29" t="s">
        <v>151</v>
      </c>
      <c r="C109" s="48" t="s">
        <v>84</v>
      </c>
      <c r="D109" s="48" t="s">
        <v>180</v>
      </c>
      <c r="E109" s="48" t="s">
        <v>91</v>
      </c>
      <c r="F109" s="64" t="s">
        <v>9</v>
      </c>
      <c r="G109" s="64" t="str">
        <f t="shared" si="118"/>
        <v>Bérköltség</v>
      </c>
      <c r="H109" s="29" t="s">
        <v>15</v>
      </c>
      <c r="I109" s="65">
        <v>950000</v>
      </c>
      <c r="J109" s="65">
        <f t="shared" si="119"/>
        <v>123500</v>
      </c>
      <c r="K109" s="66">
        <v>174</v>
      </c>
      <c r="L109" s="66">
        <v>37</v>
      </c>
      <c r="M109" s="178">
        <f t="shared" si="120"/>
        <v>0.21264367816091953</v>
      </c>
      <c r="N109" s="97">
        <f t="shared" si="121"/>
        <v>202011</v>
      </c>
      <c r="O109" s="97">
        <f t="shared" si="122"/>
        <v>26261</v>
      </c>
      <c r="P109" s="109">
        <f t="shared" si="123"/>
        <v>5.202661826908539E-7</v>
      </c>
      <c r="Q109" s="68">
        <v>0.13</v>
      </c>
      <c r="R109" s="197" t="s">
        <v>186</v>
      </c>
      <c r="S109" s="75">
        <v>44957</v>
      </c>
      <c r="T109" s="49" t="s">
        <v>226</v>
      </c>
      <c r="U109" s="98"/>
      <c r="V109" s="98"/>
    </row>
    <row r="110" spans="1:25" s="9" customFormat="1" ht="14.45" customHeight="1" x14ac:dyDescent="0.25">
      <c r="A110" s="29" t="s">
        <v>239</v>
      </c>
      <c r="B110" s="29" t="s">
        <v>151</v>
      </c>
      <c r="C110" s="48" t="s">
        <v>84</v>
      </c>
      <c r="D110" s="48" t="s">
        <v>67</v>
      </c>
      <c r="E110" s="48" t="s">
        <v>90</v>
      </c>
      <c r="F110" s="64" t="s">
        <v>9</v>
      </c>
      <c r="G110" s="64" t="str">
        <f t="shared" ref="G110" si="124">IF(H110="Napidíj","Nem rendszeres juttatás","Bérköltség")</f>
        <v>Bérköltség</v>
      </c>
      <c r="H110" s="29" t="s">
        <v>15</v>
      </c>
      <c r="I110" s="65">
        <v>636000</v>
      </c>
      <c r="J110" s="65">
        <f t="shared" ref="J110" si="125">ROUND(I110*Q110,0)</f>
        <v>82680</v>
      </c>
      <c r="K110" s="66">
        <v>174</v>
      </c>
      <c r="L110" s="66">
        <v>174</v>
      </c>
      <c r="M110" s="178">
        <f t="shared" ref="M110" si="126">L110/K110</f>
        <v>1</v>
      </c>
      <c r="N110" s="97">
        <f t="shared" ref="N110" si="127">ROUND(I110*M110,0)</f>
        <v>636000</v>
      </c>
      <c r="O110" s="97">
        <f t="shared" ref="O110" si="128">ROUND(N110*Q110,0)</f>
        <v>82680</v>
      </c>
      <c r="P110" s="109">
        <f t="shared" ref="P110" si="129">L110/K110-N110/I110</f>
        <v>0</v>
      </c>
      <c r="Q110" s="68">
        <v>0.13</v>
      </c>
      <c r="R110" s="197" t="s">
        <v>240</v>
      </c>
      <c r="S110" s="75">
        <v>44987</v>
      </c>
      <c r="T110" s="49" t="s">
        <v>226</v>
      </c>
      <c r="U110" s="98"/>
      <c r="V110" s="98"/>
    </row>
    <row r="111" spans="1:25" s="9" customFormat="1" ht="14.45" customHeight="1" x14ac:dyDescent="0.25">
      <c r="A111" s="29" t="s">
        <v>239</v>
      </c>
      <c r="B111" s="29" t="s">
        <v>151</v>
      </c>
      <c r="C111" s="48" t="s">
        <v>84</v>
      </c>
      <c r="D111" s="48" t="s">
        <v>67</v>
      </c>
      <c r="E111" s="48" t="s">
        <v>91</v>
      </c>
      <c r="F111" s="64" t="s">
        <v>9</v>
      </c>
      <c r="G111" s="64" t="str">
        <f t="shared" ref="G111:G125" si="130">IF(H111="Napidíj","Nem rendszeres juttatás","Bérköltség")</f>
        <v>Bérköltség</v>
      </c>
      <c r="H111" s="29" t="s">
        <v>15</v>
      </c>
      <c r="I111" s="65">
        <v>636000</v>
      </c>
      <c r="J111" s="65">
        <f t="shared" ref="J111:J125" si="131">ROUND(I111*Q111,0)</f>
        <v>82680</v>
      </c>
      <c r="K111" s="66">
        <v>174</v>
      </c>
      <c r="L111" s="66">
        <v>174</v>
      </c>
      <c r="M111" s="178">
        <f t="shared" ref="M111:M125" si="132">L111/K111</f>
        <v>1</v>
      </c>
      <c r="N111" s="97">
        <f t="shared" ref="N111:N125" si="133">ROUND(I111*M111,0)</f>
        <v>636000</v>
      </c>
      <c r="O111" s="97">
        <f t="shared" ref="O111:O125" si="134">ROUND(N111*Q111,0)</f>
        <v>82680</v>
      </c>
      <c r="P111" s="109">
        <f t="shared" ref="P111:P125" si="135">L111/K111-N111/I111</f>
        <v>0</v>
      </c>
      <c r="Q111" s="68">
        <v>0.13</v>
      </c>
      <c r="R111" s="197" t="s">
        <v>240</v>
      </c>
      <c r="S111" s="75">
        <v>44987</v>
      </c>
      <c r="T111" s="49" t="s">
        <v>226</v>
      </c>
      <c r="U111" s="98"/>
      <c r="V111" s="98"/>
    </row>
    <row r="112" spans="1:25" s="9" customFormat="1" ht="14.45" customHeight="1" x14ac:dyDescent="0.25">
      <c r="A112" s="29" t="s">
        <v>239</v>
      </c>
      <c r="B112" s="29" t="s">
        <v>151</v>
      </c>
      <c r="C112" s="48" t="s">
        <v>84</v>
      </c>
      <c r="D112" s="48" t="s">
        <v>67</v>
      </c>
      <c r="E112" s="48" t="s">
        <v>92</v>
      </c>
      <c r="F112" s="64" t="s">
        <v>9</v>
      </c>
      <c r="G112" s="64" t="str">
        <f t="shared" si="130"/>
        <v>Bérköltség</v>
      </c>
      <c r="H112" s="29" t="s">
        <v>15</v>
      </c>
      <c r="I112" s="65">
        <v>636000</v>
      </c>
      <c r="J112" s="65">
        <f t="shared" si="131"/>
        <v>82680</v>
      </c>
      <c r="K112" s="66">
        <v>174</v>
      </c>
      <c r="L112" s="66">
        <v>174</v>
      </c>
      <c r="M112" s="178">
        <f t="shared" si="132"/>
        <v>1</v>
      </c>
      <c r="N112" s="97">
        <f t="shared" si="133"/>
        <v>636000</v>
      </c>
      <c r="O112" s="97">
        <f t="shared" si="134"/>
        <v>82680</v>
      </c>
      <c r="P112" s="109">
        <f t="shared" si="135"/>
        <v>0</v>
      </c>
      <c r="Q112" s="68">
        <v>0.13</v>
      </c>
      <c r="R112" s="197" t="s">
        <v>240</v>
      </c>
      <c r="S112" s="75">
        <v>44987</v>
      </c>
      <c r="T112" s="49" t="s">
        <v>226</v>
      </c>
      <c r="U112" s="98"/>
      <c r="V112" s="98"/>
    </row>
    <row r="113" spans="1:22" s="9" customFormat="1" ht="14.45" customHeight="1" x14ac:dyDescent="0.25">
      <c r="A113" s="29" t="s">
        <v>239</v>
      </c>
      <c r="B113" s="29" t="s">
        <v>151</v>
      </c>
      <c r="C113" s="48" t="s">
        <v>84</v>
      </c>
      <c r="D113" s="48" t="s">
        <v>67</v>
      </c>
      <c r="E113" s="48" t="s">
        <v>93</v>
      </c>
      <c r="F113" s="64" t="s">
        <v>9</v>
      </c>
      <c r="G113" s="64" t="str">
        <f t="shared" si="130"/>
        <v>Bérköltség</v>
      </c>
      <c r="H113" s="29" t="s">
        <v>15</v>
      </c>
      <c r="I113" s="65">
        <v>636000</v>
      </c>
      <c r="J113" s="65">
        <f t="shared" si="131"/>
        <v>82680</v>
      </c>
      <c r="K113" s="66">
        <v>174</v>
      </c>
      <c r="L113" s="66">
        <v>174</v>
      </c>
      <c r="M113" s="178">
        <f t="shared" si="132"/>
        <v>1</v>
      </c>
      <c r="N113" s="97">
        <f t="shared" si="133"/>
        <v>636000</v>
      </c>
      <c r="O113" s="97">
        <f t="shared" si="134"/>
        <v>82680</v>
      </c>
      <c r="P113" s="109">
        <f t="shared" si="135"/>
        <v>0</v>
      </c>
      <c r="Q113" s="68">
        <v>0.13</v>
      </c>
      <c r="R113" s="197" t="s">
        <v>240</v>
      </c>
      <c r="S113" s="75">
        <v>44987</v>
      </c>
      <c r="T113" s="49" t="s">
        <v>226</v>
      </c>
      <c r="U113" s="98"/>
      <c r="V113" s="98"/>
    </row>
    <row r="114" spans="1:22" s="9" customFormat="1" ht="14.45" customHeight="1" x14ac:dyDescent="0.25">
      <c r="A114" s="29" t="s">
        <v>239</v>
      </c>
      <c r="B114" s="29" t="s">
        <v>151</v>
      </c>
      <c r="C114" s="48" t="s">
        <v>84</v>
      </c>
      <c r="D114" s="48" t="s">
        <v>67</v>
      </c>
      <c r="E114" s="48" t="s">
        <v>94</v>
      </c>
      <c r="F114" s="64" t="s">
        <v>9</v>
      </c>
      <c r="G114" s="64" t="str">
        <f t="shared" si="130"/>
        <v>Bérköltség</v>
      </c>
      <c r="H114" s="29" t="s">
        <v>15</v>
      </c>
      <c r="I114" s="65">
        <v>636000</v>
      </c>
      <c r="J114" s="65">
        <f t="shared" si="131"/>
        <v>82680</v>
      </c>
      <c r="K114" s="66">
        <v>174</v>
      </c>
      <c r="L114" s="66">
        <v>174</v>
      </c>
      <c r="M114" s="178">
        <f t="shared" si="132"/>
        <v>1</v>
      </c>
      <c r="N114" s="97">
        <f t="shared" si="133"/>
        <v>636000</v>
      </c>
      <c r="O114" s="97">
        <f t="shared" si="134"/>
        <v>82680</v>
      </c>
      <c r="P114" s="109">
        <f t="shared" si="135"/>
        <v>0</v>
      </c>
      <c r="Q114" s="68">
        <v>0.13</v>
      </c>
      <c r="R114" s="197" t="s">
        <v>240</v>
      </c>
      <c r="S114" s="75">
        <v>44987</v>
      </c>
      <c r="T114" s="49" t="s">
        <v>226</v>
      </c>
      <c r="U114" s="98"/>
      <c r="V114" s="98"/>
    </row>
    <row r="115" spans="1:22" s="9" customFormat="1" ht="14.45" customHeight="1" x14ac:dyDescent="0.25">
      <c r="A115" s="29" t="s">
        <v>239</v>
      </c>
      <c r="B115" s="29" t="s">
        <v>151</v>
      </c>
      <c r="C115" s="48" t="s">
        <v>84</v>
      </c>
      <c r="D115" s="48" t="s">
        <v>67</v>
      </c>
      <c r="E115" s="48" t="s">
        <v>95</v>
      </c>
      <c r="F115" s="64" t="s">
        <v>9</v>
      </c>
      <c r="G115" s="64" t="str">
        <f t="shared" si="130"/>
        <v>Bérköltség</v>
      </c>
      <c r="H115" s="29" t="s">
        <v>15</v>
      </c>
      <c r="I115" s="65">
        <v>636000</v>
      </c>
      <c r="J115" s="65">
        <f t="shared" si="131"/>
        <v>82680</v>
      </c>
      <c r="K115" s="66">
        <v>174</v>
      </c>
      <c r="L115" s="66">
        <v>174</v>
      </c>
      <c r="M115" s="178">
        <f t="shared" si="132"/>
        <v>1</v>
      </c>
      <c r="N115" s="97">
        <f t="shared" si="133"/>
        <v>636000</v>
      </c>
      <c r="O115" s="97">
        <f t="shared" si="134"/>
        <v>82680</v>
      </c>
      <c r="P115" s="109">
        <f t="shared" si="135"/>
        <v>0</v>
      </c>
      <c r="Q115" s="68">
        <v>0.13</v>
      </c>
      <c r="R115" s="197" t="s">
        <v>240</v>
      </c>
      <c r="S115" s="75">
        <v>44987</v>
      </c>
      <c r="T115" s="49" t="s">
        <v>226</v>
      </c>
      <c r="U115" s="98"/>
      <c r="V115" s="98"/>
    </row>
    <row r="116" spans="1:22" s="9" customFormat="1" ht="14.45" customHeight="1" x14ac:dyDescent="0.25">
      <c r="A116" s="29" t="s">
        <v>239</v>
      </c>
      <c r="B116" s="29" t="s">
        <v>151</v>
      </c>
      <c r="C116" s="48" t="s">
        <v>84</v>
      </c>
      <c r="D116" s="48" t="s">
        <v>67</v>
      </c>
      <c r="E116" s="48" t="s">
        <v>96</v>
      </c>
      <c r="F116" s="64" t="s">
        <v>9</v>
      </c>
      <c r="G116" s="64" t="str">
        <f t="shared" si="130"/>
        <v>Bérköltség</v>
      </c>
      <c r="H116" s="29" t="s">
        <v>15</v>
      </c>
      <c r="I116" s="65">
        <v>636000</v>
      </c>
      <c r="J116" s="65">
        <f t="shared" si="131"/>
        <v>82680</v>
      </c>
      <c r="K116" s="66">
        <v>174</v>
      </c>
      <c r="L116" s="66">
        <v>174</v>
      </c>
      <c r="M116" s="178">
        <f t="shared" si="132"/>
        <v>1</v>
      </c>
      <c r="N116" s="97">
        <f t="shared" si="133"/>
        <v>636000</v>
      </c>
      <c r="O116" s="97">
        <f t="shared" si="134"/>
        <v>82680</v>
      </c>
      <c r="P116" s="109">
        <f t="shared" si="135"/>
        <v>0</v>
      </c>
      <c r="Q116" s="68">
        <v>0.13</v>
      </c>
      <c r="R116" s="197" t="s">
        <v>240</v>
      </c>
      <c r="S116" s="75">
        <v>44987</v>
      </c>
      <c r="T116" s="49" t="s">
        <v>226</v>
      </c>
      <c r="U116" s="98"/>
      <c r="V116" s="98"/>
    </row>
    <row r="117" spans="1:22" s="9" customFormat="1" ht="14.45" customHeight="1" x14ac:dyDescent="0.25">
      <c r="A117" s="29" t="s">
        <v>239</v>
      </c>
      <c r="B117" s="29" t="s">
        <v>151</v>
      </c>
      <c r="C117" s="48" t="s">
        <v>84</v>
      </c>
      <c r="D117" s="48" t="s">
        <v>67</v>
      </c>
      <c r="E117" s="48" t="s">
        <v>97</v>
      </c>
      <c r="F117" s="64" t="s">
        <v>9</v>
      </c>
      <c r="G117" s="64" t="str">
        <f t="shared" si="130"/>
        <v>Bérköltség</v>
      </c>
      <c r="H117" s="29" t="s">
        <v>15</v>
      </c>
      <c r="I117" s="65">
        <v>636000</v>
      </c>
      <c r="J117" s="65">
        <f t="shared" si="131"/>
        <v>82680</v>
      </c>
      <c r="K117" s="66">
        <v>174</v>
      </c>
      <c r="L117" s="66">
        <v>174</v>
      </c>
      <c r="M117" s="178">
        <f t="shared" si="132"/>
        <v>1</v>
      </c>
      <c r="N117" s="97">
        <f t="shared" si="133"/>
        <v>636000</v>
      </c>
      <c r="O117" s="97">
        <f t="shared" si="134"/>
        <v>82680</v>
      </c>
      <c r="P117" s="109">
        <f t="shared" si="135"/>
        <v>0</v>
      </c>
      <c r="Q117" s="68">
        <v>0.13</v>
      </c>
      <c r="R117" s="197" t="s">
        <v>240</v>
      </c>
      <c r="S117" s="75">
        <v>44987</v>
      </c>
      <c r="T117" s="49" t="s">
        <v>226</v>
      </c>
      <c r="U117" s="98"/>
      <c r="V117" s="98"/>
    </row>
    <row r="118" spans="1:22" s="9" customFormat="1" ht="14.45" customHeight="1" x14ac:dyDescent="0.25">
      <c r="A118" s="29" t="s">
        <v>251</v>
      </c>
      <c r="B118" s="29" t="s">
        <v>151</v>
      </c>
      <c r="C118" s="48" t="s">
        <v>84</v>
      </c>
      <c r="D118" s="48"/>
      <c r="E118" s="48" t="s">
        <v>250</v>
      </c>
      <c r="F118" s="64" t="s">
        <v>9</v>
      </c>
      <c r="G118" s="64" t="str">
        <f t="shared" si="130"/>
        <v>Bérköltség</v>
      </c>
      <c r="H118" s="29" t="s">
        <v>15</v>
      </c>
      <c r="I118" s="65">
        <v>200000</v>
      </c>
      <c r="J118" s="65">
        <f t="shared" si="131"/>
        <v>26000</v>
      </c>
      <c r="K118" s="66">
        <v>174</v>
      </c>
      <c r="L118" s="66">
        <v>174</v>
      </c>
      <c r="M118" s="178">
        <f t="shared" si="132"/>
        <v>1</v>
      </c>
      <c r="N118" s="97">
        <f t="shared" si="133"/>
        <v>200000</v>
      </c>
      <c r="O118" s="97">
        <f t="shared" si="134"/>
        <v>26000</v>
      </c>
      <c r="P118" s="109">
        <f t="shared" si="135"/>
        <v>0</v>
      </c>
      <c r="Q118" s="68">
        <v>0.13</v>
      </c>
      <c r="R118" s="197" t="s">
        <v>252</v>
      </c>
      <c r="S118" s="75">
        <v>45015</v>
      </c>
      <c r="T118" s="49"/>
      <c r="U118" s="98"/>
      <c r="V118" s="98"/>
    </row>
    <row r="119" spans="1:22" s="9" customFormat="1" ht="14.45" customHeight="1" x14ac:dyDescent="0.25">
      <c r="A119" s="29" t="s">
        <v>251</v>
      </c>
      <c r="B119" s="29" t="s">
        <v>151</v>
      </c>
      <c r="C119" s="48" t="s">
        <v>84</v>
      </c>
      <c r="D119" s="48"/>
      <c r="E119" s="48" t="s">
        <v>91</v>
      </c>
      <c r="F119" s="64" t="s">
        <v>9</v>
      </c>
      <c r="G119" s="64" t="str">
        <f t="shared" si="130"/>
        <v>Bérköltség</v>
      </c>
      <c r="H119" s="29" t="s">
        <v>15</v>
      </c>
      <c r="I119" s="65">
        <v>400000</v>
      </c>
      <c r="J119" s="65">
        <f t="shared" si="131"/>
        <v>52000</v>
      </c>
      <c r="K119" s="66">
        <v>174</v>
      </c>
      <c r="L119" s="66">
        <v>174</v>
      </c>
      <c r="M119" s="178">
        <f t="shared" si="132"/>
        <v>1</v>
      </c>
      <c r="N119" s="97">
        <f t="shared" si="133"/>
        <v>400000</v>
      </c>
      <c r="O119" s="97">
        <f t="shared" si="134"/>
        <v>52000</v>
      </c>
      <c r="P119" s="109">
        <f t="shared" si="135"/>
        <v>0</v>
      </c>
      <c r="Q119" s="68">
        <v>0.13</v>
      </c>
      <c r="R119" s="197" t="s">
        <v>252</v>
      </c>
      <c r="S119" s="75">
        <v>45015</v>
      </c>
      <c r="T119" s="49"/>
      <c r="U119" s="98"/>
      <c r="V119" s="98"/>
    </row>
    <row r="120" spans="1:22" s="9" customFormat="1" ht="14.45" customHeight="1" x14ac:dyDescent="0.25">
      <c r="A120" s="29" t="s">
        <v>251</v>
      </c>
      <c r="B120" s="29" t="s">
        <v>151</v>
      </c>
      <c r="C120" s="48" t="s">
        <v>84</v>
      </c>
      <c r="D120" s="48"/>
      <c r="E120" s="48" t="s">
        <v>92</v>
      </c>
      <c r="F120" s="64" t="s">
        <v>9</v>
      </c>
      <c r="G120" s="64" t="str">
        <f t="shared" si="130"/>
        <v>Bérköltség</v>
      </c>
      <c r="H120" s="29" t="s">
        <v>15</v>
      </c>
      <c r="I120" s="65">
        <v>400000</v>
      </c>
      <c r="J120" s="65">
        <f t="shared" si="131"/>
        <v>52000</v>
      </c>
      <c r="K120" s="66">
        <v>174</v>
      </c>
      <c r="L120" s="66">
        <v>174</v>
      </c>
      <c r="M120" s="178">
        <f t="shared" si="132"/>
        <v>1</v>
      </c>
      <c r="N120" s="97">
        <f t="shared" si="133"/>
        <v>400000</v>
      </c>
      <c r="O120" s="97">
        <f t="shared" si="134"/>
        <v>52000</v>
      </c>
      <c r="P120" s="109">
        <f t="shared" si="135"/>
        <v>0</v>
      </c>
      <c r="Q120" s="68">
        <v>0.13</v>
      </c>
      <c r="R120" s="197" t="s">
        <v>252</v>
      </c>
      <c r="S120" s="75">
        <v>45015</v>
      </c>
      <c r="T120" s="49"/>
      <c r="U120" s="98"/>
      <c r="V120" s="98"/>
    </row>
    <row r="121" spans="1:22" s="9" customFormat="1" ht="14.45" customHeight="1" x14ac:dyDescent="0.25">
      <c r="A121" s="29" t="s">
        <v>251</v>
      </c>
      <c r="B121" s="29" t="s">
        <v>151</v>
      </c>
      <c r="C121" s="48" t="s">
        <v>84</v>
      </c>
      <c r="D121" s="48"/>
      <c r="E121" s="48" t="s">
        <v>93</v>
      </c>
      <c r="F121" s="64" t="s">
        <v>9</v>
      </c>
      <c r="G121" s="64" t="str">
        <f t="shared" si="130"/>
        <v>Bérköltség</v>
      </c>
      <c r="H121" s="29" t="s">
        <v>15</v>
      </c>
      <c r="I121" s="65">
        <v>400000</v>
      </c>
      <c r="J121" s="65">
        <f t="shared" si="131"/>
        <v>52000</v>
      </c>
      <c r="K121" s="66">
        <v>174</v>
      </c>
      <c r="L121" s="66">
        <v>174</v>
      </c>
      <c r="M121" s="178">
        <f t="shared" si="132"/>
        <v>1</v>
      </c>
      <c r="N121" s="97">
        <f t="shared" si="133"/>
        <v>400000</v>
      </c>
      <c r="O121" s="97">
        <f t="shared" si="134"/>
        <v>52000</v>
      </c>
      <c r="P121" s="109">
        <f t="shared" si="135"/>
        <v>0</v>
      </c>
      <c r="Q121" s="68">
        <v>0.13</v>
      </c>
      <c r="R121" s="197" t="s">
        <v>252</v>
      </c>
      <c r="S121" s="75">
        <v>45015</v>
      </c>
      <c r="T121" s="49"/>
      <c r="U121" s="98"/>
      <c r="V121" s="98"/>
    </row>
    <row r="122" spans="1:22" s="9" customFormat="1" ht="14.45" customHeight="1" x14ac:dyDescent="0.25">
      <c r="A122" s="29" t="s">
        <v>251</v>
      </c>
      <c r="B122" s="29" t="s">
        <v>151</v>
      </c>
      <c r="C122" s="48" t="s">
        <v>84</v>
      </c>
      <c r="D122" s="48"/>
      <c r="E122" s="48" t="s">
        <v>94</v>
      </c>
      <c r="F122" s="64" t="s">
        <v>9</v>
      </c>
      <c r="G122" s="64" t="str">
        <f t="shared" si="130"/>
        <v>Bérköltség</v>
      </c>
      <c r="H122" s="29" t="s">
        <v>15</v>
      </c>
      <c r="I122" s="65">
        <v>400000</v>
      </c>
      <c r="J122" s="65">
        <f t="shared" si="131"/>
        <v>52000</v>
      </c>
      <c r="K122" s="66">
        <v>174</v>
      </c>
      <c r="L122" s="66">
        <v>174</v>
      </c>
      <c r="M122" s="178">
        <f t="shared" si="132"/>
        <v>1</v>
      </c>
      <c r="N122" s="97">
        <f t="shared" si="133"/>
        <v>400000</v>
      </c>
      <c r="O122" s="97">
        <f t="shared" si="134"/>
        <v>52000</v>
      </c>
      <c r="P122" s="109">
        <f t="shared" si="135"/>
        <v>0</v>
      </c>
      <c r="Q122" s="68">
        <v>0.13</v>
      </c>
      <c r="R122" s="197" t="s">
        <v>252</v>
      </c>
      <c r="S122" s="75">
        <v>45015</v>
      </c>
      <c r="T122" s="49"/>
      <c r="U122" s="98"/>
      <c r="V122" s="98"/>
    </row>
    <row r="123" spans="1:22" s="9" customFormat="1" ht="14.45" customHeight="1" x14ac:dyDescent="0.25">
      <c r="A123" s="29" t="s">
        <v>251</v>
      </c>
      <c r="B123" s="29" t="s">
        <v>151</v>
      </c>
      <c r="C123" s="48" t="s">
        <v>84</v>
      </c>
      <c r="D123" s="48"/>
      <c r="E123" s="48" t="s">
        <v>95</v>
      </c>
      <c r="F123" s="64" t="s">
        <v>9</v>
      </c>
      <c r="G123" s="64" t="str">
        <f t="shared" si="130"/>
        <v>Bérköltség</v>
      </c>
      <c r="H123" s="29" t="s">
        <v>15</v>
      </c>
      <c r="I123" s="65">
        <v>400000</v>
      </c>
      <c r="J123" s="65">
        <f t="shared" si="131"/>
        <v>52000</v>
      </c>
      <c r="K123" s="66">
        <v>174</v>
      </c>
      <c r="L123" s="66">
        <v>174</v>
      </c>
      <c r="M123" s="178">
        <f t="shared" si="132"/>
        <v>1</v>
      </c>
      <c r="N123" s="97">
        <f t="shared" si="133"/>
        <v>400000</v>
      </c>
      <c r="O123" s="97">
        <f t="shared" si="134"/>
        <v>52000</v>
      </c>
      <c r="P123" s="109">
        <f t="shared" si="135"/>
        <v>0</v>
      </c>
      <c r="Q123" s="68">
        <v>0.13</v>
      </c>
      <c r="R123" s="197" t="s">
        <v>252</v>
      </c>
      <c r="S123" s="75">
        <v>45015</v>
      </c>
      <c r="T123" s="49"/>
      <c r="U123" s="98"/>
      <c r="V123" s="98"/>
    </row>
    <row r="124" spans="1:22" s="9" customFormat="1" ht="14.45" customHeight="1" x14ac:dyDescent="0.25">
      <c r="A124" s="29" t="s">
        <v>251</v>
      </c>
      <c r="B124" s="29" t="s">
        <v>151</v>
      </c>
      <c r="C124" s="48" t="s">
        <v>84</v>
      </c>
      <c r="D124" s="48"/>
      <c r="E124" s="48" t="s">
        <v>96</v>
      </c>
      <c r="F124" s="64" t="s">
        <v>9</v>
      </c>
      <c r="G124" s="64" t="str">
        <f t="shared" si="130"/>
        <v>Bérköltség</v>
      </c>
      <c r="H124" s="29" t="s">
        <v>15</v>
      </c>
      <c r="I124" s="65">
        <v>400000</v>
      </c>
      <c r="J124" s="65">
        <f t="shared" si="131"/>
        <v>52000</v>
      </c>
      <c r="K124" s="66">
        <v>174</v>
      </c>
      <c r="L124" s="66">
        <v>174</v>
      </c>
      <c r="M124" s="178">
        <f t="shared" si="132"/>
        <v>1</v>
      </c>
      <c r="N124" s="97">
        <f t="shared" si="133"/>
        <v>400000</v>
      </c>
      <c r="O124" s="97">
        <f t="shared" si="134"/>
        <v>52000</v>
      </c>
      <c r="P124" s="109">
        <f t="shared" si="135"/>
        <v>0</v>
      </c>
      <c r="Q124" s="68">
        <v>0.13</v>
      </c>
      <c r="R124" s="197" t="s">
        <v>252</v>
      </c>
      <c r="S124" s="75">
        <v>45015</v>
      </c>
      <c r="T124" s="49"/>
      <c r="U124" s="98"/>
      <c r="V124" s="98"/>
    </row>
    <row r="125" spans="1:22" s="9" customFormat="1" ht="14.45" customHeight="1" x14ac:dyDescent="0.25">
      <c r="A125" s="29" t="s">
        <v>251</v>
      </c>
      <c r="B125" s="29" t="s">
        <v>151</v>
      </c>
      <c r="C125" s="48" t="s">
        <v>84</v>
      </c>
      <c r="D125" s="48"/>
      <c r="E125" s="48" t="s">
        <v>97</v>
      </c>
      <c r="F125" s="64" t="s">
        <v>9</v>
      </c>
      <c r="G125" s="64" t="str">
        <f t="shared" si="130"/>
        <v>Bérköltség</v>
      </c>
      <c r="H125" s="29" t="s">
        <v>15</v>
      </c>
      <c r="I125" s="65">
        <v>400000</v>
      </c>
      <c r="J125" s="65">
        <f t="shared" si="131"/>
        <v>52000</v>
      </c>
      <c r="K125" s="66">
        <v>174</v>
      </c>
      <c r="L125" s="66">
        <v>174</v>
      </c>
      <c r="M125" s="178">
        <f t="shared" si="132"/>
        <v>1</v>
      </c>
      <c r="N125" s="97">
        <f t="shared" si="133"/>
        <v>400000</v>
      </c>
      <c r="O125" s="97">
        <f t="shared" si="134"/>
        <v>52000</v>
      </c>
      <c r="P125" s="109">
        <f t="shared" si="135"/>
        <v>0</v>
      </c>
      <c r="Q125" s="68">
        <v>0.13</v>
      </c>
      <c r="R125" s="197" t="s">
        <v>252</v>
      </c>
      <c r="S125" s="75">
        <v>45015</v>
      </c>
      <c r="T125" s="49"/>
      <c r="U125" s="98"/>
      <c r="V125" s="98"/>
    </row>
    <row r="126" spans="1:22" s="9" customFormat="1" ht="14.45" customHeight="1" x14ac:dyDescent="0.25">
      <c r="A126" s="29" t="s">
        <v>248</v>
      </c>
      <c r="B126" s="29" t="s">
        <v>151</v>
      </c>
      <c r="C126" s="48" t="s">
        <v>84</v>
      </c>
      <c r="D126" s="48"/>
      <c r="E126" s="48" t="s">
        <v>250</v>
      </c>
      <c r="F126" s="64" t="s">
        <v>9</v>
      </c>
      <c r="G126" s="64" t="str">
        <f t="shared" ref="G126" si="136">IF(H126="Napidíj","Nem rendszeres juttatás","Bérköltség")</f>
        <v>Bérköltség</v>
      </c>
      <c r="H126" s="29" t="s">
        <v>15</v>
      </c>
      <c r="I126" s="65">
        <v>200000</v>
      </c>
      <c r="J126" s="65">
        <f t="shared" ref="J126" si="137">ROUND(I126*Q126,0)</f>
        <v>26000</v>
      </c>
      <c r="K126" s="66">
        <v>174</v>
      </c>
      <c r="L126" s="66">
        <v>174</v>
      </c>
      <c r="M126" s="178">
        <f t="shared" ref="M126" si="138">L126/K126</f>
        <v>1</v>
      </c>
      <c r="N126" s="97">
        <f t="shared" ref="N126" si="139">ROUND(I126*M126,0)</f>
        <v>200000</v>
      </c>
      <c r="O126" s="97">
        <f t="shared" ref="O126" si="140">ROUND(N126*Q126,0)</f>
        <v>26000</v>
      </c>
      <c r="P126" s="109">
        <f t="shared" ref="P126" si="141">L126/K126-N126/I126</f>
        <v>0</v>
      </c>
      <c r="Q126" s="68">
        <v>0.13</v>
      </c>
      <c r="R126" s="197" t="s">
        <v>249</v>
      </c>
      <c r="S126" s="75">
        <v>45015</v>
      </c>
      <c r="T126" s="49"/>
      <c r="U126" s="98"/>
      <c r="V126" s="98"/>
    </row>
    <row r="127" spans="1:22" s="9" customFormat="1" ht="14.45" customHeight="1" x14ac:dyDescent="0.25">
      <c r="A127" s="29" t="s">
        <v>248</v>
      </c>
      <c r="B127" s="29" t="s">
        <v>151</v>
      </c>
      <c r="C127" s="48" t="s">
        <v>84</v>
      </c>
      <c r="D127" s="48"/>
      <c r="E127" s="48" t="s">
        <v>91</v>
      </c>
      <c r="F127" s="64" t="s">
        <v>9</v>
      </c>
      <c r="G127" s="64" t="str">
        <f t="shared" ref="G127:G133" si="142">IF(H127="Napidíj","Nem rendszeres juttatás","Bérköltség")</f>
        <v>Bérköltség</v>
      </c>
      <c r="H127" s="29" t="s">
        <v>15</v>
      </c>
      <c r="I127" s="65">
        <v>400000</v>
      </c>
      <c r="J127" s="65">
        <f t="shared" ref="J127:J133" si="143">ROUND(I127*Q127,0)</f>
        <v>52000</v>
      </c>
      <c r="K127" s="66">
        <v>174</v>
      </c>
      <c r="L127" s="66">
        <v>174</v>
      </c>
      <c r="M127" s="178">
        <f t="shared" ref="M127:M133" si="144">L127/K127</f>
        <v>1</v>
      </c>
      <c r="N127" s="97">
        <f t="shared" ref="N127:N133" si="145">ROUND(I127*M127,0)</f>
        <v>400000</v>
      </c>
      <c r="O127" s="97">
        <f t="shared" ref="O127:O133" si="146">ROUND(N127*Q127,0)</f>
        <v>52000</v>
      </c>
      <c r="P127" s="109">
        <f t="shared" ref="P127:P133" si="147">L127/K127-N127/I127</f>
        <v>0</v>
      </c>
      <c r="Q127" s="68">
        <v>0.13</v>
      </c>
      <c r="R127" s="197" t="s">
        <v>249</v>
      </c>
      <c r="S127" s="75">
        <v>45015</v>
      </c>
      <c r="T127" s="49"/>
      <c r="U127" s="98"/>
      <c r="V127" s="98"/>
    </row>
    <row r="128" spans="1:22" s="9" customFormat="1" ht="14.45" customHeight="1" x14ac:dyDescent="0.25">
      <c r="A128" s="29" t="s">
        <v>248</v>
      </c>
      <c r="B128" s="29" t="s">
        <v>151</v>
      </c>
      <c r="C128" s="48" t="s">
        <v>84</v>
      </c>
      <c r="D128" s="48"/>
      <c r="E128" s="48" t="s">
        <v>92</v>
      </c>
      <c r="F128" s="64" t="s">
        <v>9</v>
      </c>
      <c r="G128" s="64" t="str">
        <f t="shared" si="142"/>
        <v>Bérköltség</v>
      </c>
      <c r="H128" s="29" t="s">
        <v>15</v>
      </c>
      <c r="I128" s="65">
        <v>400000</v>
      </c>
      <c r="J128" s="65">
        <f t="shared" si="143"/>
        <v>52000</v>
      </c>
      <c r="K128" s="66">
        <v>174</v>
      </c>
      <c r="L128" s="66">
        <v>174</v>
      </c>
      <c r="M128" s="178">
        <f t="shared" si="144"/>
        <v>1</v>
      </c>
      <c r="N128" s="97">
        <f t="shared" si="145"/>
        <v>400000</v>
      </c>
      <c r="O128" s="97">
        <f t="shared" si="146"/>
        <v>52000</v>
      </c>
      <c r="P128" s="109">
        <f t="shared" si="147"/>
        <v>0</v>
      </c>
      <c r="Q128" s="68">
        <v>0.13</v>
      </c>
      <c r="R128" s="197" t="s">
        <v>249</v>
      </c>
      <c r="S128" s="75">
        <v>45015</v>
      </c>
      <c r="T128" s="49"/>
      <c r="U128" s="98"/>
      <c r="V128" s="98"/>
    </row>
    <row r="129" spans="1:25" s="9" customFormat="1" ht="14.45" customHeight="1" x14ac:dyDescent="0.25">
      <c r="A129" s="29" t="s">
        <v>248</v>
      </c>
      <c r="B129" s="29" t="s">
        <v>151</v>
      </c>
      <c r="C129" s="48" t="s">
        <v>84</v>
      </c>
      <c r="D129" s="48"/>
      <c r="E129" s="48" t="s">
        <v>93</v>
      </c>
      <c r="F129" s="64" t="s">
        <v>9</v>
      </c>
      <c r="G129" s="64" t="str">
        <f t="shared" si="142"/>
        <v>Bérköltség</v>
      </c>
      <c r="H129" s="29" t="s">
        <v>15</v>
      </c>
      <c r="I129" s="65">
        <v>400000</v>
      </c>
      <c r="J129" s="65">
        <f t="shared" si="143"/>
        <v>52000</v>
      </c>
      <c r="K129" s="66">
        <v>174</v>
      </c>
      <c r="L129" s="66">
        <v>174</v>
      </c>
      <c r="M129" s="178">
        <f t="shared" si="144"/>
        <v>1</v>
      </c>
      <c r="N129" s="97">
        <f t="shared" si="145"/>
        <v>400000</v>
      </c>
      <c r="O129" s="97">
        <f t="shared" si="146"/>
        <v>52000</v>
      </c>
      <c r="P129" s="109">
        <f t="shared" si="147"/>
        <v>0</v>
      </c>
      <c r="Q129" s="68">
        <v>0.13</v>
      </c>
      <c r="R129" s="197" t="s">
        <v>249</v>
      </c>
      <c r="S129" s="75">
        <v>45015</v>
      </c>
      <c r="T129" s="49"/>
      <c r="U129" s="98"/>
      <c r="V129" s="98"/>
    </row>
    <row r="130" spans="1:25" s="9" customFormat="1" ht="14.45" customHeight="1" x14ac:dyDescent="0.25">
      <c r="A130" s="29" t="s">
        <v>248</v>
      </c>
      <c r="B130" s="29" t="s">
        <v>151</v>
      </c>
      <c r="C130" s="48" t="s">
        <v>84</v>
      </c>
      <c r="D130" s="48"/>
      <c r="E130" s="48" t="s">
        <v>94</v>
      </c>
      <c r="F130" s="64" t="s">
        <v>9</v>
      </c>
      <c r="G130" s="64" t="str">
        <f t="shared" si="142"/>
        <v>Bérköltség</v>
      </c>
      <c r="H130" s="29" t="s">
        <v>15</v>
      </c>
      <c r="I130" s="65">
        <v>400000</v>
      </c>
      <c r="J130" s="65">
        <f t="shared" si="143"/>
        <v>52000</v>
      </c>
      <c r="K130" s="66">
        <v>174</v>
      </c>
      <c r="L130" s="66">
        <v>174</v>
      </c>
      <c r="M130" s="178">
        <f t="shared" si="144"/>
        <v>1</v>
      </c>
      <c r="N130" s="97">
        <f t="shared" si="145"/>
        <v>400000</v>
      </c>
      <c r="O130" s="97">
        <f t="shared" si="146"/>
        <v>52000</v>
      </c>
      <c r="P130" s="109">
        <f t="shared" si="147"/>
        <v>0</v>
      </c>
      <c r="Q130" s="68">
        <v>0.13</v>
      </c>
      <c r="R130" s="197" t="s">
        <v>249</v>
      </c>
      <c r="S130" s="75">
        <v>45015</v>
      </c>
      <c r="T130" s="49"/>
      <c r="U130" s="98"/>
      <c r="V130" s="98"/>
    </row>
    <row r="131" spans="1:25" s="9" customFormat="1" ht="14.45" customHeight="1" x14ac:dyDescent="0.25">
      <c r="A131" s="29" t="s">
        <v>248</v>
      </c>
      <c r="B131" s="29" t="s">
        <v>151</v>
      </c>
      <c r="C131" s="48" t="s">
        <v>84</v>
      </c>
      <c r="D131" s="48"/>
      <c r="E131" s="48" t="s">
        <v>95</v>
      </c>
      <c r="F131" s="64" t="s">
        <v>9</v>
      </c>
      <c r="G131" s="64" t="str">
        <f t="shared" si="142"/>
        <v>Bérköltség</v>
      </c>
      <c r="H131" s="29" t="s">
        <v>15</v>
      </c>
      <c r="I131" s="65">
        <v>400000</v>
      </c>
      <c r="J131" s="65">
        <f t="shared" si="143"/>
        <v>52000</v>
      </c>
      <c r="K131" s="66">
        <v>174</v>
      </c>
      <c r="L131" s="66">
        <v>174</v>
      </c>
      <c r="M131" s="178">
        <f t="shared" si="144"/>
        <v>1</v>
      </c>
      <c r="N131" s="97">
        <f t="shared" si="145"/>
        <v>400000</v>
      </c>
      <c r="O131" s="97">
        <f t="shared" si="146"/>
        <v>52000</v>
      </c>
      <c r="P131" s="109">
        <f t="shared" si="147"/>
        <v>0</v>
      </c>
      <c r="Q131" s="68">
        <v>0.13</v>
      </c>
      <c r="R131" s="197" t="s">
        <v>249</v>
      </c>
      <c r="S131" s="75">
        <v>45015</v>
      </c>
      <c r="T131" s="49"/>
      <c r="U131" s="98"/>
      <c r="V131" s="98"/>
    </row>
    <row r="132" spans="1:25" s="9" customFormat="1" ht="14.45" customHeight="1" x14ac:dyDescent="0.25">
      <c r="A132" s="29" t="s">
        <v>248</v>
      </c>
      <c r="B132" s="29" t="s">
        <v>151</v>
      </c>
      <c r="C132" s="48" t="s">
        <v>84</v>
      </c>
      <c r="D132" s="48"/>
      <c r="E132" s="48" t="s">
        <v>96</v>
      </c>
      <c r="F132" s="64" t="s">
        <v>9</v>
      </c>
      <c r="G132" s="64" t="str">
        <f t="shared" si="142"/>
        <v>Bérköltség</v>
      </c>
      <c r="H132" s="29" t="s">
        <v>15</v>
      </c>
      <c r="I132" s="65">
        <v>400000</v>
      </c>
      <c r="J132" s="65">
        <f t="shared" si="143"/>
        <v>52000</v>
      </c>
      <c r="K132" s="66">
        <v>174</v>
      </c>
      <c r="L132" s="66">
        <v>174</v>
      </c>
      <c r="M132" s="178">
        <f t="shared" si="144"/>
        <v>1</v>
      </c>
      <c r="N132" s="97">
        <f t="shared" si="145"/>
        <v>400000</v>
      </c>
      <c r="O132" s="97">
        <f t="shared" si="146"/>
        <v>52000</v>
      </c>
      <c r="P132" s="109">
        <f t="shared" si="147"/>
        <v>0</v>
      </c>
      <c r="Q132" s="68">
        <v>0.13</v>
      </c>
      <c r="R132" s="197" t="s">
        <v>249</v>
      </c>
      <c r="S132" s="75">
        <v>45015</v>
      </c>
      <c r="T132" s="49"/>
      <c r="U132" s="98"/>
      <c r="V132" s="98"/>
    </row>
    <row r="133" spans="1:25" s="9" customFormat="1" ht="14.45" customHeight="1" x14ac:dyDescent="0.25">
      <c r="A133" s="29" t="s">
        <v>248</v>
      </c>
      <c r="B133" s="29" t="s">
        <v>151</v>
      </c>
      <c r="C133" s="48" t="s">
        <v>84</v>
      </c>
      <c r="D133" s="48"/>
      <c r="E133" s="48" t="s">
        <v>97</v>
      </c>
      <c r="F133" s="64" t="s">
        <v>9</v>
      </c>
      <c r="G133" s="64" t="str">
        <f t="shared" si="142"/>
        <v>Bérköltség</v>
      </c>
      <c r="H133" s="29" t="s">
        <v>15</v>
      </c>
      <c r="I133" s="65">
        <v>400000</v>
      </c>
      <c r="J133" s="65">
        <f t="shared" si="143"/>
        <v>52000</v>
      </c>
      <c r="K133" s="66">
        <v>174</v>
      </c>
      <c r="L133" s="66">
        <v>174</v>
      </c>
      <c r="M133" s="178">
        <f t="shared" si="144"/>
        <v>1</v>
      </c>
      <c r="N133" s="97">
        <f t="shared" si="145"/>
        <v>400000</v>
      </c>
      <c r="O133" s="97">
        <f t="shared" si="146"/>
        <v>52000</v>
      </c>
      <c r="P133" s="109">
        <f t="shared" si="147"/>
        <v>0</v>
      </c>
      <c r="Q133" s="68">
        <v>0.13</v>
      </c>
      <c r="R133" s="197" t="s">
        <v>249</v>
      </c>
      <c r="S133" s="75">
        <v>45015</v>
      </c>
      <c r="T133" s="49"/>
      <c r="U133" s="98"/>
      <c r="V133" s="98"/>
    </row>
    <row r="134" spans="1:25" s="9" customFormat="1" ht="14.45" customHeight="1" x14ac:dyDescent="0.25">
      <c r="A134" s="29" t="s">
        <v>179</v>
      </c>
      <c r="B134" s="29" t="s">
        <v>151</v>
      </c>
      <c r="C134" s="48" t="s">
        <v>84</v>
      </c>
      <c r="D134" s="48" t="s">
        <v>180</v>
      </c>
      <c r="E134" s="48" t="s">
        <v>88</v>
      </c>
      <c r="F134" s="64" t="s">
        <v>8</v>
      </c>
      <c r="G134" s="64" t="str">
        <f t="shared" si="94"/>
        <v>Bérköltség</v>
      </c>
      <c r="H134" s="29" t="s">
        <v>15</v>
      </c>
      <c r="I134" s="65">
        <v>995000</v>
      </c>
      <c r="J134" s="65">
        <f>ROUND(I134*Q134,0)</f>
        <v>129350</v>
      </c>
      <c r="K134" s="66">
        <v>174</v>
      </c>
      <c r="L134" s="66">
        <v>42</v>
      </c>
      <c r="M134" s="178">
        <f>L134/K134</f>
        <v>0.2413793103448276</v>
      </c>
      <c r="N134" s="97">
        <v>203966</v>
      </c>
      <c r="O134" s="97">
        <f>ROUND(N134*Q134,0)</f>
        <v>26516</v>
      </c>
      <c r="P134" s="109">
        <f t="shared" si="99"/>
        <v>3.6388355570958236E-2</v>
      </c>
      <c r="Q134" s="68">
        <v>0.13</v>
      </c>
      <c r="R134" s="197" t="s">
        <v>181</v>
      </c>
      <c r="S134" s="75">
        <v>44951</v>
      </c>
      <c r="T134" s="49" t="s">
        <v>226</v>
      </c>
      <c r="U134" s="98"/>
      <c r="V134" s="98">
        <v>1</v>
      </c>
      <c r="W134" s="9" t="str">
        <f>IF(VLOOKUP($R134,'Havi béradatok'!$B:$E,2,FALSE)=D134,"EGYEZIK","HIBÁS")</f>
        <v>EGYEZIK</v>
      </c>
      <c r="X134" s="9">
        <f>VLOOKUP($R134,'Havi béradatok'!$B:$E,3,FALSE)-I134</f>
        <v>0</v>
      </c>
      <c r="Y134" s="9">
        <f>VLOOKUP($R134,'Havi béradatok'!$B:$E,4,FALSE)-J134</f>
        <v>0</v>
      </c>
    </row>
    <row r="135" spans="1:25" s="9" customFormat="1" ht="14.45" customHeight="1" x14ac:dyDescent="0.25">
      <c r="A135" s="29" t="s">
        <v>179</v>
      </c>
      <c r="B135" s="29" t="s">
        <v>151</v>
      </c>
      <c r="C135" s="48" t="s">
        <v>84</v>
      </c>
      <c r="D135" s="48" t="s">
        <v>180</v>
      </c>
      <c r="E135" s="48" t="s">
        <v>89</v>
      </c>
      <c r="F135" s="64" t="s">
        <v>8</v>
      </c>
      <c r="G135" s="64" t="str">
        <f t="shared" si="94"/>
        <v>Bérköltség</v>
      </c>
      <c r="H135" s="29" t="s">
        <v>15</v>
      </c>
      <c r="I135" s="65">
        <v>995000</v>
      </c>
      <c r="J135" s="65">
        <f t="shared" ref="J135:J143" si="148">ROUND(I135*Q135,0)</f>
        <v>129350</v>
      </c>
      <c r="K135" s="66">
        <v>174</v>
      </c>
      <c r="L135" s="66">
        <v>42</v>
      </c>
      <c r="M135" s="178">
        <f t="shared" ref="M135:M143" si="149">L135/K135</f>
        <v>0.2413793103448276</v>
      </c>
      <c r="N135" s="97">
        <v>203966</v>
      </c>
      <c r="O135" s="97">
        <f t="shared" ref="O135:O143" si="150">ROUND(N135*Q135,0)</f>
        <v>26516</v>
      </c>
      <c r="P135" s="109">
        <f t="shared" ref="P135:P143" si="151">L135/K135-N135/I135</f>
        <v>3.6388355570958236E-2</v>
      </c>
      <c r="Q135" s="68">
        <v>0.13</v>
      </c>
      <c r="R135" s="197" t="s">
        <v>181</v>
      </c>
      <c r="S135" s="75">
        <v>44951</v>
      </c>
      <c r="T135" s="49" t="s">
        <v>226</v>
      </c>
      <c r="U135" s="98"/>
      <c r="V135" s="98">
        <v>1</v>
      </c>
      <c r="W135" s="9" t="str">
        <f>IF(VLOOKUP($R135,'Havi béradatok'!$B:$E,2,FALSE)=D135,"EGYEZIK","HIBÁS")</f>
        <v>EGYEZIK</v>
      </c>
      <c r="X135" s="9">
        <f>VLOOKUP($R135,'Havi béradatok'!$B:$E,3,FALSE)-I135</f>
        <v>0</v>
      </c>
      <c r="Y135" s="9">
        <f>VLOOKUP($R135,'Havi béradatok'!$B:$E,4,FALSE)-J135</f>
        <v>0</v>
      </c>
    </row>
    <row r="136" spans="1:25" s="9" customFormat="1" ht="14.45" customHeight="1" x14ac:dyDescent="0.25">
      <c r="A136" s="29" t="s">
        <v>179</v>
      </c>
      <c r="B136" s="29" t="s">
        <v>151</v>
      </c>
      <c r="C136" s="48" t="s">
        <v>84</v>
      </c>
      <c r="D136" s="48" t="s">
        <v>180</v>
      </c>
      <c r="E136" s="48" t="s">
        <v>90</v>
      </c>
      <c r="F136" s="64" t="s">
        <v>9</v>
      </c>
      <c r="G136" s="64" t="str">
        <f t="shared" si="94"/>
        <v>Bérköltség</v>
      </c>
      <c r="H136" s="29" t="s">
        <v>15</v>
      </c>
      <c r="I136" s="65">
        <v>995000</v>
      </c>
      <c r="J136" s="65">
        <f t="shared" si="148"/>
        <v>129350</v>
      </c>
      <c r="K136" s="66">
        <v>174</v>
      </c>
      <c r="L136" s="66">
        <v>42</v>
      </c>
      <c r="M136" s="178">
        <f t="shared" si="149"/>
        <v>0.2413793103448276</v>
      </c>
      <c r="N136" s="97">
        <v>203966</v>
      </c>
      <c r="O136" s="97">
        <f t="shared" si="150"/>
        <v>26516</v>
      </c>
      <c r="P136" s="109">
        <f t="shared" si="151"/>
        <v>3.6388355570958236E-2</v>
      </c>
      <c r="Q136" s="68">
        <v>0.13</v>
      </c>
      <c r="R136" s="197" t="s">
        <v>181</v>
      </c>
      <c r="S136" s="75">
        <v>44951</v>
      </c>
      <c r="T136" s="49" t="s">
        <v>226</v>
      </c>
      <c r="U136" s="98"/>
      <c r="V136" s="98"/>
    </row>
    <row r="137" spans="1:25" s="9" customFormat="1" ht="14.45" customHeight="1" x14ac:dyDescent="0.25">
      <c r="A137" s="29" t="s">
        <v>179</v>
      </c>
      <c r="B137" s="29" t="s">
        <v>151</v>
      </c>
      <c r="C137" s="48" t="s">
        <v>84</v>
      </c>
      <c r="D137" s="48" t="s">
        <v>180</v>
      </c>
      <c r="E137" s="48" t="s">
        <v>91</v>
      </c>
      <c r="F137" s="64" t="s">
        <v>9</v>
      </c>
      <c r="G137" s="64" t="str">
        <f t="shared" si="94"/>
        <v>Bérköltség</v>
      </c>
      <c r="H137" s="29" t="s">
        <v>15</v>
      </c>
      <c r="I137" s="65">
        <v>995000</v>
      </c>
      <c r="J137" s="65">
        <f t="shared" si="148"/>
        <v>129350</v>
      </c>
      <c r="K137" s="66">
        <v>174</v>
      </c>
      <c r="L137" s="66">
        <v>42</v>
      </c>
      <c r="M137" s="178">
        <f t="shared" si="149"/>
        <v>0.2413793103448276</v>
      </c>
      <c r="N137" s="97">
        <v>203966</v>
      </c>
      <c r="O137" s="97">
        <f t="shared" si="150"/>
        <v>26516</v>
      </c>
      <c r="P137" s="109">
        <f t="shared" si="151"/>
        <v>3.6388355570958236E-2</v>
      </c>
      <c r="Q137" s="68">
        <v>0.13</v>
      </c>
      <c r="R137" s="197" t="s">
        <v>181</v>
      </c>
      <c r="S137" s="75">
        <v>44951</v>
      </c>
      <c r="T137" s="49" t="s">
        <v>226</v>
      </c>
      <c r="U137" s="98"/>
      <c r="V137" s="98"/>
    </row>
    <row r="138" spans="1:25" s="9" customFormat="1" ht="14.45" customHeight="1" x14ac:dyDescent="0.25">
      <c r="A138" s="29" t="s">
        <v>179</v>
      </c>
      <c r="B138" s="29" t="s">
        <v>151</v>
      </c>
      <c r="C138" s="48" t="s">
        <v>84</v>
      </c>
      <c r="D138" s="48" t="s">
        <v>180</v>
      </c>
      <c r="E138" s="48" t="s">
        <v>92</v>
      </c>
      <c r="F138" s="64" t="s">
        <v>9</v>
      </c>
      <c r="G138" s="64" t="str">
        <f t="shared" si="94"/>
        <v>Bérköltség</v>
      </c>
      <c r="H138" s="29" t="s">
        <v>15</v>
      </c>
      <c r="I138" s="65">
        <v>995000</v>
      </c>
      <c r="J138" s="65">
        <f t="shared" si="148"/>
        <v>129350</v>
      </c>
      <c r="K138" s="66">
        <v>174</v>
      </c>
      <c r="L138" s="66">
        <v>42</v>
      </c>
      <c r="M138" s="178">
        <f t="shared" si="149"/>
        <v>0.2413793103448276</v>
      </c>
      <c r="N138" s="97">
        <v>203966</v>
      </c>
      <c r="O138" s="97">
        <f t="shared" si="150"/>
        <v>26516</v>
      </c>
      <c r="P138" s="109">
        <f t="shared" si="151"/>
        <v>3.6388355570958236E-2</v>
      </c>
      <c r="Q138" s="68">
        <v>0.13</v>
      </c>
      <c r="R138" s="197" t="s">
        <v>181</v>
      </c>
      <c r="S138" s="75">
        <v>44951</v>
      </c>
      <c r="T138" s="49" t="s">
        <v>226</v>
      </c>
      <c r="U138" s="98"/>
      <c r="V138" s="98"/>
    </row>
    <row r="139" spans="1:25" s="9" customFormat="1" ht="14.45" customHeight="1" x14ac:dyDescent="0.25">
      <c r="A139" s="29" t="s">
        <v>179</v>
      </c>
      <c r="B139" s="29" t="s">
        <v>151</v>
      </c>
      <c r="C139" s="48" t="s">
        <v>84</v>
      </c>
      <c r="D139" s="48" t="s">
        <v>180</v>
      </c>
      <c r="E139" s="48" t="s">
        <v>93</v>
      </c>
      <c r="F139" s="64" t="s">
        <v>9</v>
      </c>
      <c r="G139" s="64" t="str">
        <f t="shared" si="94"/>
        <v>Bérköltség</v>
      </c>
      <c r="H139" s="29" t="s">
        <v>15</v>
      </c>
      <c r="I139" s="65">
        <v>995000</v>
      </c>
      <c r="J139" s="65">
        <f t="shared" si="148"/>
        <v>129350</v>
      </c>
      <c r="K139" s="66">
        <v>174</v>
      </c>
      <c r="L139" s="66">
        <v>42</v>
      </c>
      <c r="M139" s="178">
        <f t="shared" si="149"/>
        <v>0.2413793103448276</v>
      </c>
      <c r="N139" s="97">
        <v>203966</v>
      </c>
      <c r="O139" s="97">
        <f t="shared" si="150"/>
        <v>26516</v>
      </c>
      <c r="P139" s="109">
        <f t="shared" si="151"/>
        <v>3.6388355570958236E-2</v>
      </c>
      <c r="Q139" s="68">
        <v>0.13</v>
      </c>
      <c r="R139" s="197" t="s">
        <v>181</v>
      </c>
      <c r="S139" s="75">
        <v>44951</v>
      </c>
      <c r="T139" s="49" t="s">
        <v>226</v>
      </c>
      <c r="U139" s="98"/>
      <c r="V139" s="98"/>
    </row>
    <row r="140" spans="1:25" s="9" customFormat="1" ht="14.45" customHeight="1" x14ac:dyDescent="0.25">
      <c r="A140" s="29" t="s">
        <v>179</v>
      </c>
      <c r="B140" s="29" t="s">
        <v>151</v>
      </c>
      <c r="C140" s="48" t="s">
        <v>84</v>
      </c>
      <c r="D140" s="48" t="s">
        <v>180</v>
      </c>
      <c r="E140" s="48" t="s">
        <v>94</v>
      </c>
      <c r="F140" s="64" t="s">
        <v>9</v>
      </c>
      <c r="G140" s="64" t="str">
        <f t="shared" si="94"/>
        <v>Bérköltség</v>
      </c>
      <c r="H140" s="29" t="s">
        <v>15</v>
      </c>
      <c r="I140" s="65">
        <v>995000</v>
      </c>
      <c r="J140" s="65">
        <f t="shared" si="148"/>
        <v>129350</v>
      </c>
      <c r="K140" s="66">
        <v>174</v>
      </c>
      <c r="L140" s="66">
        <v>42</v>
      </c>
      <c r="M140" s="178">
        <f t="shared" si="149"/>
        <v>0.2413793103448276</v>
      </c>
      <c r="N140" s="97">
        <v>203966</v>
      </c>
      <c r="O140" s="97">
        <f t="shared" si="150"/>
        <v>26516</v>
      </c>
      <c r="P140" s="109">
        <f t="shared" si="151"/>
        <v>3.6388355570958236E-2</v>
      </c>
      <c r="Q140" s="68">
        <v>0.13</v>
      </c>
      <c r="R140" s="197" t="s">
        <v>181</v>
      </c>
      <c r="S140" s="75">
        <v>44951</v>
      </c>
      <c r="T140" s="49" t="s">
        <v>226</v>
      </c>
      <c r="U140" s="98"/>
      <c r="V140" s="98"/>
    </row>
    <row r="141" spans="1:25" s="9" customFormat="1" ht="14.45" customHeight="1" x14ac:dyDescent="0.25">
      <c r="A141" s="29" t="s">
        <v>179</v>
      </c>
      <c r="B141" s="29" t="s">
        <v>151</v>
      </c>
      <c r="C141" s="48" t="s">
        <v>84</v>
      </c>
      <c r="D141" s="48" t="s">
        <v>180</v>
      </c>
      <c r="E141" s="48" t="s">
        <v>95</v>
      </c>
      <c r="F141" s="64" t="s">
        <v>9</v>
      </c>
      <c r="G141" s="64" t="str">
        <f t="shared" si="94"/>
        <v>Bérköltség</v>
      </c>
      <c r="H141" s="29" t="s">
        <v>15</v>
      </c>
      <c r="I141" s="65">
        <v>995000</v>
      </c>
      <c r="J141" s="65">
        <f t="shared" si="148"/>
        <v>129350</v>
      </c>
      <c r="K141" s="66">
        <v>174</v>
      </c>
      <c r="L141" s="66">
        <v>42</v>
      </c>
      <c r="M141" s="178">
        <f t="shared" si="149"/>
        <v>0.2413793103448276</v>
      </c>
      <c r="N141" s="97">
        <v>203966</v>
      </c>
      <c r="O141" s="97">
        <f t="shared" si="150"/>
        <v>26516</v>
      </c>
      <c r="P141" s="109">
        <f t="shared" si="151"/>
        <v>3.6388355570958236E-2</v>
      </c>
      <c r="Q141" s="68">
        <v>0.13</v>
      </c>
      <c r="R141" s="197" t="s">
        <v>181</v>
      </c>
      <c r="S141" s="75">
        <v>44951</v>
      </c>
      <c r="T141" s="49" t="s">
        <v>226</v>
      </c>
      <c r="U141" s="98"/>
      <c r="V141" s="98"/>
    </row>
    <row r="142" spans="1:25" s="9" customFormat="1" ht="14.45" customHeight="1" x14ac:dyDescent="0.25">
      <c r="A142" s="29" t="s">
        <v>179</v>
      </c>
      <c r="B142" s="29" t="s">
        <v>151</v>
      </c>
      <c r="C142" s="48" t="s">
        <v>84</v>
      </c>
      <c r="D142" s="48" t="s">
        <v>180</v>
      </c>
      <c r="E142" s="48" t="s">
        <v>96</v>
      </c>
      <c r="F142" s="64" t="s">
        <v>9</v>
      </c>
      <c r="G142" s="64" t="str">
        <f t="shared" si="94"/>
        <v>Bérköltség</v>
      </c>
      <c r="H142" s="29" t="s">
        <v>15</v>
      </c>
      <c r="I142" s="65">
        <v>995000</v>
      </c>
      <c r="J142" s="65">
        <f t="shared" si="148"/>
        <v>129350</v>
      </c>
      <c r="K142" s="66">
        <v>174</v>
      </c>
      <c r="L142" s="66">
        <v>42</v>
      </c>
      <c r="M142" s="178">
        <f t="shared" si="149"/>
        <v>0.2413793103448276</v>
      </c>
      <c r="N142" s="97">
        <v>203966</v>
      </c>
      <c r="O142" s="97">
        <f t="shared" si="150"/>
        <v>26516</v>
      </c>
      <c r="P142" s="109">
        <f t="shared" si="151"/>
        <v>3.6388355570958236E-2</v>
      </c>
      <c r="Q142" s="68">
        <v>0.13</v>
      </c>
      <c r="R142" s="197" t="s">
        <v>181</v>
      </c>
      <c r="S142" s="75">
        <v>44951</v>
      </c>
      <c r="T142" s="49" t="s">
        <v>226</v>
      </c>
      <c r="U142" s="98"/>
      <c r="V142" s="98"/>
    </row>
    <row r="143" spans="1:25" s="9" customFormat="1" ht="14.45" customHeight="1" x14ac:dyDescent="0.25">
      <c r="A143" s="29" t="s">
        <v>179</v>
      </c>
      <c r="B143" s="29" t="s">
        <v>151</v>
      </c>
      <c r="C143" s="48" t="s">
        <v>84</v>
      </c>
      <c r="D143" s="48" t="s">
        <v>180</v>
      </c>
      <c r="E143" s="48" t="s">
        <v>97</v>
      </c>
      <c r="F143" s="64" t="s">
        <v>9</v>
      </c>
      <c r="G143" s="64" t="str">
        <f t="shared" si="94"/>
        <v>Bérköltség</v>
      </c>
      <c r="H143" s="29" t="s">
        <v>15</v>
      </c>
      <c r="I143" s="65">
        <v>995000</v>
      </c>
      <c r="J143" s="65">
        <f t="shared" si="148"/>
        <v>129350</v>
      </c>
      <c r="K143" s="66">
        <v>174</v>
      </c>
      <c r="L143" s="66">
        <v>42</v>
      </c>
      <c r="M143" s="178">
        <f t="shared" si="149"/>
        <v>0.2413793103448276</v>
      </c>
      <c r="N143" s="97">
        <v>203966</v>
      </c>
      <c r="O143" s="97">
        <f t="shared" si="150"/>
        <v>26516</v>
      </c>
      <c r="P143" s="109">
        <f t="shared" si="151"/>
        <v>3.6388355570958236E-2</v>
      </c>
      <c r="Q143" s="68">
        <v>0.13</v>
      </c>
      <c r="R143" s="197" t="s">
        <v>181</v>
      </c>
      <c r="S143" s="75">
        <v>44951</v>
      </c>
      <c r="T143" s="49" t="s">
        <v>226</v>
      </c>
      <c r="U143" s="98"/>
      <c r="V143" s="98"/>
    </row>
    <row r="144" spans="1:25" s="9" customFormat="1" ht="14.45" customHeight="1" x14ac:dyDescent="0.25">
      <c r="A144" s="29" t="s">
        <v>150</v>
      </c>
      <c r="B144" s="29" t="s">
        <v>152</v>
      </c>
      <c r="C144" s="48" t="s">
        <v>85</v>
      </c>
      <c r="D144" s="48" t="s">
        <v>49</v>
      </c>
      <c r="E144" s="48" t="s">
        <v>87</v>
      </c>
      <c r="F144" s="64" t="s">
        <v>8</v>
      </c>
      <c r="G144" s="64" t="str">
        <f t="shared" si="0"/>
        <v>Bérköltség</v>
      </c>
      <c r="H144" s="29" t="s">
        <v>15</v>
      </c>
      <c r="I144" s="65">
        <v>690000</v>
      </c>
      <c r="J144" s="65">
        <f t="shared" si="84"/>
        <v>89700</v>
      </c>
      <c r="K144" s="66">
        <v>174</v>
      </c>
      <c r="L144" s="66">
        <v>92</v>
      </c>
      <c r="M144" s="178">
        <f t="shared" si="85"/>
        <v>0.52873563218390807</v>
      </c>
      <c r="N144" s="97">
        <f t="shared" si="86"/>
        <v>364828</v>
      </c>
      <c r="O144" s="97">
        <f t="shared" si="87"/>
        <v>47428</v>
      </c>
      <c r="P144" s="109">
        <f t="shared" si="88"/>
        <v>-5.9970014987253961E-7</v>
      </c>
      <c r="Q144" s="68">
        <v>0.13</v>
      </c>
      <c r="R144" s="197" t="s">
        <v>165</v>
      </c>
      <c r="S144" s="75"/>
      <c r="T144" s="49" t="s">
        <v>226</v>
      </c>
      <c r="U144" s="98"/>
      <c r="V144" s="98">
        <v>1</v>
      </c>
      <c r="W144" s="9" t="s">
        <v>236</v>
      </c>
      <c r="X144" s="9">
        <v>0</v>
      </c>
      <c r="Y144" s="9">
        <v>0</v>
      </c>
    </row>
    <row r="145" spans="1:25" s="9" customFormat="1" ht="14.45" customHeight="1" x14ac:dyDescent="0.25">
      <c r="A145" s="29" t="s">
        <v>150</v>
      </c>
      <c r="B145" s="29" t="s">
        <v>152</v>
      </c>
      <c r="C145" s="48" t="s">
        <v>85</v>
      </c>
      <c r="D145" s="48" t="s">
        <v>241</v>
      </c>
      <c r="E145" s="48" t="s">
        <v>88</v>
      </c>
      <c r="F145" s="64" t="s">
        <v>8</v>
      </c>
      <c r="G145" s="64" t="str">
        <f t="shared" si="0"/>
        <v>Bérköltség</v>
      </c>
      <c r="H145" s="29" t="s">
        <v>15</v>
      </c>
      <c r="I145" s="65">
        <v>690000</v>
      </c>
      <c r="J145" s="65">
        <f t="shared" ref="J145:J147" si="152">ROUND(I145*Q145,0)</f>
        <v>89700</v>
      </c>
      <c r="K145" s="66">
        <v>174</v>
      </c>
      <c r="L145" s="66">
        <v>92</v>
      </c>
      <c r="M145" s="178">
        <f t="shared" ref="M145:M147" si="153">L145/K145</f>
        <v>0.52873563218390807</v>
      </c>
      <c r="N145" s="97">
        <f t="shared" ref="N145:N147" si="154">ROUND(I145*M145,0)</f>
        <v>364828</v>
      </c>
      <c r="O145" s="97">
        <f t="shared" ref="O145:O147" si="155">ROUND(N145*Q145,0)</f>
        <v>47428</v>
      </c>
      <c r="P145" s="109">
        <f t="shared" ref="P145:P147" si="156">L145/K145-N145/I145</f>
        <v>-5.9970014987253961E-7</v>
      </c>
      <c r="Q145" s="68">
        <v>0.13</v>
      </c>
      <c r="R145" s="197" t="s">
        <v>165</v>
      </c>
      <c r="S145" s="75"/>
      <c r="T145" s="49" t="s">
        <v>226</v>
      </c>
      <c r="U145" s="98"/>
      <c r="V145" s="98">
        <v>2</v>
      </c>
      <c r="W145" s="9" t="str">
        <f>IF(VLOOKUP($R145,'Havi béradatok'!$B:$E,2,FALSE)=D145,"EGYEZIK","HIBÁS")</f>
        <v>EGYEZIK</v>
      </c>
      <c r="X145" s="9">
        <f>VLOOKUP($R145,'Havi béradatok'!$B:$E,3,FALSE)-I145</f>
        <v>1</v>
      </c>
      <c r="Y145" s="9">
        <f>VLOOKUP($R145,'Havi béradatok'!$B:$E,4,FALSE)-J145</f>
        <v>0</v>
      </c>
    </row>
    <row r="146" spans="1:25" s="9" customFormat="1" ht="14.45" customHeight="1" x14ac:dyDescent="0.25">
      <c r="A146" s="29" t="s">
        <v>150</v>
      </c>
      <c r="B146" s="29" t="s">
        <v>152</v>
      </c>
      <c r="C146" s="48" t="s">
        <v>85</v>
      </c>
      <c r="D146" s="48" t="s">
        <v>241</v>
      </c>
      <c r="E146" s="48" t="s">
        <v>89</v>
      </c>
      <c r="F146" s="64" t="s">
        <v>8</v>
      </c>
      <c r="G146" s="64" t="str">
        <f t="shared" si="0"/>
        <v>Bérköltség</v>
      </c>
      <c r="H146" s="29" t="s">
        <v>15</v>
      </c>
      <c r="I146" s="65">
        <v>690000</v>
      </c>
      <c r="J146" s="65">
        <f t="shared" si="152"/>
        <v>89700</v>
      </c>
      <c r="K146" s="66">
        <v>174</v>
      </c>
      <c r="L146" s="66">
        <v>92</v>
      </c>
      <c r="M146" s="178">
        <f t="shared" si="153"/>
        <v>0.52873563218390807</v>
      </c>
      <c r="N146" s="97">
        <f t="shared" si="154"/>
        <v>364828</v>
      </c>
      <c r="O146" s="97">
        <f t="shared" si="155"/>
        <v>47428</v>
      </c>
      <c r="P146" s="109">
        <f t="shared" si="156"/>
        <v>-5.9970014987253961E-7</v>
      </c>
      <c r="Q146" s="68">
        <v>0.13</v>
      </c>
      <c r="R146" s="197" t="s">
        <v>165</v>
      </c>
      <c r="S146" s="75"/>
      <c r="T146" s="49" t="s">
        <v>226</v>
      </c>
      <c r="U146" s="98"/>
      <c r="V146" s="98">
        <v>2</v>
      </c>
      <c r="W146" s="9" t="str">
        <f>IF(VLOOKUP($R146,'Havi béradatok'!$B:$E,2,FALSE)=D146,"EGYEZIK","HIBÁS")</f>
        <v>EGYEZIK</v>
      </c>
      <c r="X146" s="213">
        <f>VLOOKUP($R146,'Havi béradatok'!$B:$E,3,FALSE)-I146</f>
        <v>1</v>
      </c>
      <c r="Y146" s="9">
        <f>VLOOKUP($R146,'Havi béradatok'!$B:$E,4,FALSE)-J146</f>
        <v>0</v>
      </c>
    </row>
    <row r="147" spans="1:25" s="9" customFormat="1" ht="14.45" customHeight="1" x14ac:dyDescent="0.25">
      <c r="A147" s="29" t="s">
        <v>150</v>
      </c>
      <c r="B147" s="29" t="s">
        <v>152</v>
      </c>
      <c r="C147" s="48" t="s">
        <v>85</v>
      </c>
      <c r="D147" s="48" t="s">
        <v>49</v>
      </c>
      <c r="E147" s="48" t="s">
        <v>90</v>
      </c>
      <c r="F147" s="64" t="s">
        <v>9</v>
      </c>
      <c r="G147" s="64" t="str">
        <f t="shared" si="0"/>
        <v>Bérköltség</v>
      </c>
      <c r="H147" s="29" t="s">
        <v>15</v>
      </c>
      <c r="I147" s="65">
        <v>710250</v>
      </c>
      <c r="J147" s="65">
        <f t="shared" si="152"/>
        <v>92333</v>
      </c>
      <c r="K147" s="66">
        <v>174</v>
      </c>
      <c r="L147" s="66">
        <v>47</v>
      </c>
      <c r="M147" s="178">
        <f t="shared" si="153"/>
        <v>0.27011494252873564</v>
      </c>
      <c r="N147" s="97">
        <f t="shared" si="154"/>
        <v>191849</v>
      </c>
      <c r="O147" s="97">
        <f t="shared" si="155"/>
        <v>24940</v>
      </c>
      <c r="P147" s="109">
        <f t="shared" si="156"/>
        <v>1.9420068214648367E-7</v>
      </c>
      <c r="Q147" s="68">
        <v>0.13</v>
      </c>
      <c r="R147" s="197" t="s">
        <v>165</v>
      </c>
      <c r="S147" s="75">
        <v>45015</v>
      </c>
      <c r="T147" s="49" t="s">
        <v>226</v>
      </c>
      <c r="U147" s="98"/>
      <c r="V147" s="98"/>
    </row>
    <row r="148" spans="1:25" s="9" customFormat="1" ht="14.45" customHeight="1" x14ac:dyDescent="0.25">
      <c r="A148" s="29" t="s">
        <v>150</v>
      </c>
      <c r="B148" s="29" t="s">
        <v>152</v>
      </c>
      <c r="C148" s="48" t="s">
        <v>85</v>
      </c>
      <c r="D148" s="48" t="s">
        <v>49</v>
      </c>
      <c r="E148" s="48" t="s">
        <v>91</v>
      </c>
      <c r="F148" s="64" t="s">
        <v>9</v>
      </c>
      <c r="G148" s="64" t="str">
        <f t="shared" ref="G148:G150" si="157">IF(H148="Napidíj","Nem rendszeres juttatás","Bérköltség")</f>
        <v>Bérköltség</v>
      </c>
      <c r="H148" s="29" t="s">
        <v>15</v>
      </c>
      <c r="I148" s="65">
        <v>710250</v>
      </c>
      <c r="J148" s="65">
        <f t="shared" ref="J148" si="158">ROUND(I148*Q148,0)</f>
        <v>92333</v>
      </c>
      <c r="K148" s="66">
        <v>174</v>
      </c>
      <c r="L148" s="66">
        <v>47</v>
      </c>
      <c r="M148" s="178">
        <f t="shared" ref="M148" si="159">L148/K148</f>
        <v>0.27011494252873564</v>
      </c>
      <c r="N148" s="97">
        <f t="shared" ref="N148" si="160">ROUND(I148*M148,0)</f>
        <v>191849</v>
      </c>
      <c r="O148" s="97">
        <f t="shared" ref="O148" si="161">ROUND(N148*Q148,0)</f>
        <v>24940</v>
      </c>
      <c r="P148" s="109">
        <f t="shared" ref="P148" si="162">L148/K148-N148/I148</f>
        <v>1.9420068214648367E-7</v>
      </c>
      <c r="Q148" s="68">
        <v>0.13</v>
      </c>
      <c r="R148" s="197" t="s">
        <v>165</v>
      </c>
      <c r="S148" s="75">
        <v>45034</v>
      </c>
      <c r="T148" s="49" t="s">
        <v>226</v>
      </c>
      <c r="U148" s="98"/>
      <c r="V148" s="98"/>
    </row>
    <row r="149" spans="1:25" s="9" customFormat="1" ht="14.45" customHeight="1" x14ac:dyDescent="0.25">
      <c r="A149" s="29" t="s">
        <v>150</v>
      </c>
      <c r="B149" s="29" t="s">
        <v>152</v>
      </c>
      <c r="C149" s="48" t="s">
        <v>85</v>
      </c>
      <c r="D149" s="48" t="s">
        <v>49</v>
      </c>
      <c r="E149" s="48" t="s">
        <v>92</v>
      </c>
      <c r="F149" s="64" t="s">
        <v>9</v>
      </c>
      <c r="G149" s="64" t="str">
        <f t="shared" si="157"/>
        <v>Bérköltség</v>
      </c>
      <c r="H149" s="29" t="s">
        <v>15</v>
      </c>
      <c r="I149" s="65">
        <v>710250</v>
      </c>
      <c r="J149" s="65">
        <f t="shared" ref="J149:J150" si="163">ROUND(I149*Q149,0)</f>
        <v>92333</v>
      </c>
      <c r="K149" s="66">
        <v>174</v>
      </c>
      <c r="L149" s="66">
        <v>47</v>
      </c>
      <c r="M149" s="178">
        <f t="shared" ref="M149:M150" si="164">L149/K149</f>
        <v>0.27011494252873564</v>
      </c>
      <c r="N149" s="97">
        <f t="shared" ref="N149:N150" si="165">ROUND(I149*M149,0)</f>
        <v>191849</v>
      </c>
      <c r="O149" s="97">
        <f t="shared" ref="O149:O150" si="166">ROUND(N149*Q149,0)</f>
        <v>24940</v>
      </c>
      <c r="P149" s="109">
        <f t="shared" ref="P149:P150" si="167">L149/K149-N149/I149</f>
        <v>1.9420068214648367E-7</v>
      </c>
      <c r="Q149" s="68">
        <v>0.13</v>
      </c>
      <c r="R149" s="197" t="s">
        <v>165</v>
      </c>
      <c r="S149" s="75">
        <v>45034</v>
      </c>
      <c r="T149" s="49" t="s">
        <v>226</v>
      </c>
      <c r="U149" s="98"/>
      <c r="V149" s="98"/>
    </row>
    <row r="150" spans="1:25" s="9" customFormat="1" ht="14.45" customHeight="1" x14ac:dyDescent="0.25">
      <c r="A150" s="29" t="s">
        <v>150</v>
      </c>
      <c r="B150" s="29" t="s">
        <v>152</v>
      </c>
      <c r="C150" s="48" t="s">
        <v>85</v>
      </c>
      <c r="D150" s="48" t="s">
        <v>49</v>
      </c>
      <c r="E150" s="48" t="s">
        <v>93</v>
      </c>
      <c r="F150" s="64" t="s">
        <v>9</v>
      </c>
      <c r="G150" s="64" t="str">
        <f t="shared" si="157"/>
        <v>Bérköltség</v>
      </c>
      <c r="H150" s="29" t="s">
        <v>15</v>
      </c>
      <c r="I150" s="65">
        <v>710250</v>
      </c>
      <c r="J150" s="65">
        <f t="shared" si="163"/>
        <v>92333</v>
      </c>
      <c r="K150" s="66">
        <v>174</v>
      </c>
      <c r="L150" s="66">
        <v>47</v>
      </c>
      <c r="M150" s="178">
        <f t="shared" si="164"/>
        <v>0.27011494252873564</v>
      </c>
      <c r="N150" s="97">
        <f t="shared" si="165"/>
        <v>191849</v>
      </c>
      <c r="O150" s="97">
        <f t="shared" si="166"/>
        <v>24940</v>
      </c>
      <c r="P150" s="109">
        <f t="shared" si="167"/>
        <v>1.9420068214648367E-7</v>
      </c>
      <c r="Q150" s="68">
        <v>0.13</v>
      </c>
      <c r="R150" s="197" t="s">
        <v>165</v>
      </c>
      <c r="S150" s="75">
        <v>45034</v>
      </c>
      <c r="T150" s="49" t="s">
        <v>226</v>
      </c>
      <c r="U150" s="98"/>
      <c r="V150" s="98"/>
    </row>
    <row r="151" spans="1:25" s="9" customFormat="1" ht="14.45" customHeight="1" x14ac:dyDescent="0.25">
      <c r="A151" s="29"/>
      <c r="B151" s="29"/>
      <c r="C151" s="48"/>
      <c r="D151" s="48"/>
      <c r="E151" s="48"/>
      <c r="F151" s="64"/>
      <c r="G151" s="64"/>
      <c r="H151" s="29"/>
      <c r="I151" s="65"/>
      <c r="J151" s="65"/>
      <c r="K151" s="66"/>
      <c r="L151" s="66"/>
      <c r="M151" s="178"/>
      <c r="N151" s="97"/>
      <c r="O151" s="97"/>
      <c r="P151" s="109"/>
      <c r="Q151" s="68"/>
      <c r="R151" s="197"/>
      <c r="S151" s="75"/>
      <c r="T151" s="49"/>
      <c r="U151" s="98"/>
      <c r="V151" s="98"/>
    </row>
    <row r="152" spans="1:25" s="9" customFormat="1" ht="14.45" customHeight="1" x14ac:dyDescent="0.25">
      <c r="A152" s="29"/>
      <c r="B152" s="29"/>
      <c r="C152" s="48"/>
      <c r="D152" s="48"/>
      <c r="E152" s="48"/>
      <c r="F152" s="64"/>
      <c r="G152" s="64"/>
      <c r="H152" s="29"/>
      <c r="I152" s="65"/>
      <c r="J152" s="65"/>
      <c r="K152" s="66"/>
      <c r="L152" s="66"/>
      <c r="M152" s="178"/>
      <c r="N152" s="97"/>
      <c r="O152" s="97"/>
      <c r="P152" s="109"/>
      <c r="Q152" s="68"/>
      <c r="R152" s="197"/>
      <c r="S152" s="75"/>
      <c r="T152" s="49"/>
      <c r="U152" s="98"/>
      <c r="V152" s="98"/>
    </row>
    <row r="153" spans="1:25" s="9" customFormat="1" ht="14.45" customHeight="1" x14ac:dyDescent="0.25">
      <c r="A153" s="29"/>
      <c r="B153" s="29"/>
      <c r="C153" s="48"/>
      <c r="D153" s="48"/>
      <c r="E153" s="48"/>
      <c r="F153" s="64"/>
      <c r="G153" s="64"/>
      <c r="H153" s="29"/>
      <c r="I153" s="65"/>
      <c r="J153" s="65"/>
      <c r="K153" s="66"/>
      <c r="L153" s="66"/>
      <c r="M153" s="178"/>
      <c r="N153" s="97"/>
      <c r="O153" s="97"/>
      <c r="P153" s="109"/>
      <c r="Q153" s="68"/>
      <c r="R153" s="197"/>
      <c r="S153" s="75"/>
      <c r="T153" s="49"/>
      <c r="U153" s="98"/>
      <c r="V153" s="98"/>
    </row>
    <row r="154" spans="1:25" s="9" customFormat="1" ht="14.45" customHeight="1" x14ac:dyDescent="0.25">
      <c r="A154" s="29"/>
      <c r="B154" s="29"/>
      <c r="C154" s="48"/>
      <c r="D154" s="48"/>
      <c r="E154" s="48"/>
      <c r="F154" s="64"/>
      <c r="G154" s="64"/>
      <c r="H154" s="29"/>
      <c r="I154" s="65"/>
      <c r="J154" s="65"/>
      <c r="K154" s="66"/>
      <c r="L154" s="66"/>
      <c r="M154" s="178"/>
      <c r="N154" s="97"/>
      <c r="O154" s="97"/>
      <c r="P154" s="109"/>
      <c r="Q154" s="68"/>
      <c r="R154" s="197"/>
      <c r="S154" s="75"/>
      <c r="T154" s="49"/>
      <c r="U154" s="98"/>
      <c r="V154" s="98"/>
    </row>
    <row r="155" spans="1:25" s="9" customFormat="1" ht="14.45" customHeight="1" x14ac:dyDescent="0.25">
      <c r="A155" s="29"/>
      <c r="B155" s="29"/>
      <c r="C155" s="48"/>
      <c r="D155" s="48"/>
      <c r="E155" s="48"/>
      <c r="F155" s="64"/>
      <c r="G155" s="64"/>
      <c r="H155" s="29"/>
      <c r="I155" s="65"/>
      <c r="J155" s="65"/>
      <c r="K155" s="66"/>
      <c r="L155" s="66"/>
      <c r="M155" s="178"/>
      <c r="N155" s="97"/>
      <c r="O155" s="97"/>
      <c r="P155" s="109"/>
      <c r="Q155" s="68"/>
      <c r="R155" s="197"/>
      <c r="S155" s="75"/>
      <c r="T155" s="49"/>
      <c r="U155" s="98"/>
      <c r="V155" s="98"/>
    </row>
    <row r="156" spans="1:25" ht="14.45" customHeight="1" x14ac:dyDescent="0.25">
      <c r="A156" s="29"/>
      <c r="B156" s="29"/>
      <c r="C156" s="48"/>
      <c r="D156" s="48"/>
      <c r="E156" s="48"/>
      <c r="F156" s="64"/>
      <c r="G156" s="64"/>
      <c r="H156" s="29"/>
      <c r="I156" s="65"/>
      <c r="J156" s="65"/>
      <c r="K156" s="66"/>
      <c r="L156" s="66"/>
      <c r="M156" s="178"/>
      <c r="N156" s="67"/>
      <c r="O156" s="97"/>
      <c r="P156" s="68"/>
      <c r="Q156" s="68"/>
      <c r="R156" s="197"/>
      <c r="S156" s="75"/>
      <c r="T156" s="49"/>
      <c r="U156" s="125"/>
      <c r="V156" s="98"/>
    </row>
    <row r="157" spans="1:25" ht="14.45" customHeight="1" x14ac:dyDescent="0.25">
      <c r="A157" s="55"/>
      <c r="B157" s="29"/>
      <c r="C157" s="56"/>
      <c r="D157" s="56"/>
      <c r="E157" s="56"/>
      <c r="F157" s="94"/>
      <c r="G157" s="94"/>
      <c r="H157" s="55"/>
      <c r="I157" s="95"/>
      <c r="J157" s="95"/>
      <c r="K157" s="70"/>
      <c r="L157" s="70"/>
      <c r="M157" s="70"/>
      <c r="N157" s="71"/>
      <c r="O157" s="71"/>
      <c r="P157" s="73"/>
      <c r="Q157" s="73"/>
      <c r="R157" s="198"/>
      <c r="S157" s="96"/>
      <c r="T157" s="96"/>
      <c r="U157" s="125"/>
    </row>
    <row r="158" spans="1:25" ht="14.45" customHeight="1" x14ac:dyDescent="0.25">
      <c r="A158" s="81" t="s">
        <v>39</v>
      </c>
      <c r="B158" s="81"/>
      <c r="C158" s="82"/>
      <c r="D158" s="82"/>
      <c r="E158" s="82"/>
      <c r="F158" s="83"/>
      <c r="G158" s="83"/>
      <c r="H158" s="81"/>
      <c r="I158" s="84"/>
      <c r="J158" s="84"/>
      <c r="K158" s="85"/>
      <c r="L158" s="85"/>
      <c r="M158" s="85"/>
      <c r="N158" s="86"/>
      <c r="O158" s="86"/>
      <c r="P158" s="87"/>
      <c r="Q158" s="87"/>
      <c r="R158" s="199"/>
      <c r="S158" s="88"/>
      <c r="T158" s="88"/>
      <c r="U158" s="126"/>
    </row>
    <row r="159" spans="1:25" ht="14.45" customHeight="1" x14ac:dyDescent="0.25">
      <c r="A159" s="29"/>
      <c r="B159" s="29"/>
      <c r="C159" s="48"/>
      <c r="D159" s="48"/>
      <c r="E159" s="48"/>
      <c r="F159" s="64"/>
      <c r="G159" s="64" t="str">
        <f t="shared" ref="G159:G174" si="168">IF(H159="Napidíj","Nem rendszeres juttatás","Bérköltség")</f>
        <v>Bérköltség</v>
      </c>
      <c r="H159" s="29"/>
      <c r="I159" s="65"/>
      <c r="J159" s="65"/>
      <c r="K159" s="66"/>
      <c r="L159" s="66"/>
      <c r="M159" s="66"/>
      <c r="N159" s="67"/>
      <c r="O159" s="67"/>
      <c r="P159" s="68"/>
      <c r="Q159" s="68"/>
      <c r="R159" s="197"/>
      <c r="S159" s="49"/>
      <c r="T159" s="49"/>
      <c r="U159" s="125"/>
    </row>
    <row r="160" spans="1:25" s="9" customFormat="1" ht="14.45" customHeight="1" x14ac:dyDescent="0.25">
      <c r="A160" s="29"/>
      <c r="B160" s="29"/>
      <c r="C160" s="48"/>
      <c r="D160" s="48"/>
      <c r="E160" s="48"/>
      <c r="F160" s="64"/>
      <c r="G160" s="64" t="str">
        <f t="shared" si="168"/>
        <v>Bérköltség</v>
      </c>
      <c r="H160" s="29"/>
      <c r="I160" s="65"/>
      <c r="J160" s="65"/>
      <c r="K160" s="66"/>
      <c r="L160" s="66"/>
      <c r="M160" s="66"/>
      <c r="N160" s="67"/>
      <c r="O160" s="97">
        <f t="shared" ref="O160" si="169">ROUND(N160*0.9*Q160,0)</f>
        <v>0</v>
      </c>
      <c r="P160" s="68"/>
      <c r="Q160" s="68">
        <v>0.13</v>
      </c>
      <c r="R160" s="197"/>
      <c r="S160" s="75"/>
      <c r="T160" s="49"/>
      <c r="U160" s="98"/>
      <c r="V160" s="98"/>
    </row>
    <row r="161" spans="1:22" s="9" customFormat="1" ht="14.45" customHeight="1" x14ac:dyDescent="0.25">
      <c r="A161" s="29"/>
      <c r="B161" s="29"/>
      <c r="C161" s="48"/>
      <c r="D161" s="48"/>
      <c r="E161" s="48"/>
      <c r="F161" s="64"/>
      <c r="G161" s="64" t="str">
        <f t="shared" si="168"/>
        <v>Bérköltség</v>
      </c>
      <c r="H161" s="29"/>
      <c r="I161" s="65"/>
      <c r="J161" s="65"/>
      <c r="K161" s="66"/>
      <c r="L161" s="66"/>
      <c r="M161" s="66"/>
      <c r="N161" s="67"/>
      <c r="O161" s="97">
        <f t="shared" ref="O161" si="170">ROUND(N161*0.9*Q161,0)</f>
        <v>0</v>
      </c>
      <c r="P161" s="68"/>
      <c r="Q161" s="68">
        <v>0.13</v>
      </c>
      <c r="R161" s="197"/>
      <c r="S161" s="75"/>
      <c r="T161" s="49"/>
      <c r="U161" s="98"/>
      <c r="V161" s="98"/>
    </row>
    <row r="162" spans="1:22" s="9" customFormat="1" ht="14.45" customHeight="1" x14ac:dyDescent="0.25">
      <c r="A162" s="29"/>
      <c r="B162" s="29"/>
      <c r="C162" s="48"/>
      <c r="D162" s="48"/>
      <c r="E162" s="48"/>
      <c r="F162" s="64"/>
      <c r="G162" s="64" t="str">
        <f t="shared" si="168"/>
        <v>Bérköltség</v>
      </c>
      <c r="H162" s="29"/>
      <c r="I162" s="65"/>
      <c r="J162" s="65"/>
      <c r="K162" s="66"/>
      <c r="L162" s="66"/>
      <c r="M162" s="66"/>
      <c r="N162" s="67"/>
      <c r="O162" s="97">
        <f t="shared" ref="O162:O164" si="171">ROUND(N162*0.9*Q162,0)</f>
        <v>0</v>
      </c>
      <c r="P162" s="68"/>
      <c r="Q162" s="68">
        <v>0.13</v>
      </c>
      <c r="R162" s="197"/>
      <c r="S162" s="75"/>
      <c r="T162" s="49"/>
      <c r="U162" s="98"/>
      <c r="V162" s="98"/>
    </row>
    <row r="163" spans="1:22" s="9" customFormat="1" ht="14.45" customHeight="1" x14ac:dyDescent="0.25">
      <c r="A163" s="29"/>
      <c r="B163" s="29"/>
      <c r="C163" s="48"/>
      <c r="D163" s="48"/>
      <c r="E163" s="48"/>
      <c r="F163" s="64"/>
      <c r="G163" s="64" t="str">
        <f t="shared" si="168"/>
        <v>Bérköltség</v>
      </c>
      <c r="H163" s="29"/>
      <c r="I163" s="65"/>
      <c r="J163" s="65"/>
      <c r="K163" s="66"/>
      <c r="L163" s="66"/>
      <c r="M163" s="66"/>
      <c r="N163" s="67"/>
      <c r="O163" s="97">
        <f t="shared" si="171"/>
        <v>0</v>
      </c>
      <c r="P163" s="68"/>
      <c r="Q163" s="68">
        <v>0.13</v>
      </c>
      <c r="R163" s="197"/>
      <c r="S163" s="75"/>
      <c r="T163" s="49"/>
      <c r="U163" s="98"/>
      <c r="V163" s="98"/>
    </row>
    <row r="164" spans="1:22" s="9" customFormat="1" ht="14.45" customHeight="1" x14ac:dyDescent="0.25">
      <c r="A164" s="29"/>
      <c r="B164" s="29"/>
      <c r="C164" s="48"/>
      <c r="D164" s="48"/>
      <c r="E164" s="48"/>
      <c r="F164" s="64"/>
      <c r="G164" s="64" t="str">
        <f t="shared" si="168"/>
        <v>Bérköltség</v>
      </c>
      <c r="H164" s="29"/>
      <c r="I164" s="65"/>
      <c r="J164" s="65"/>
      <c r="K164" s="66"/>
      <c r="L164" s="66"/>
      <c r="M164" s="66"/>
      <c r="N164" s="67"/>
      <c r="O164" s="97">
        <f t="shared" si="171"/>
        <v>0</v>
      </c>
      <c r="P164" s="68"/>
      <c r="Q164" s="68">
        <v>0.13</v>
      </c>
      <c r="R164" s="197"/>
      <c r="S164" s="75"/>
      <c r="T164" s="49"/>
      <c r="U164" s="98"/>
      <c r="V164" s="98"/>
    </row>
    <row r="165" spans="1:22" s="9" customFormat="1" ht="14.45" customHeight="1" x14ac:dyDescent="0.25">
      <c r="A165" s="29"/>
      <c r="B165" s="29"/>
      <c r="C165" s="48"/>
      <c r="D165" s="48"/>
      <c r="E165" s="48"/>
      <c r="F165" s="64"/>
      <c r="G165" s="64" t="str">
        <f t="shared" si="168"/>
        <v>Bérköltség</v>
      </c>
      <c r="H165" s="29"/>
      <c r="I165" s="65"/>
      <c r="J165" s="65"/>
      <c r="K165" s="66"/>
      <c r="L165" s="66"/>
      <c r="M165" s="66"/>
      <c r="N165" s="67"/>
      <c r="O165" s="97">
        <f t="shared" ref="O165:O167" si="172">ROUND(N165*0.9*Q165,0)</f>
        <v>0</v>
      </c>
      <c r="P165" s="68"/>
      <c r="Q165" s="68">
        <v>0.13</v>
      </c>
      <c r="R165" s="197"/>
      <c r="S165" s="75"/>
      <c r="T165" s="49"/>
      <c r="U165" s="98"/>
      <c r="V165" s="98"/>
    </row>
    <row r="166" spans="1:22" s="9" customFormat="1" ht="14.45" customHeight="1" x14ac:dyDescent="0.25">
      <c r="A166" s="29"/>
      <c r="B166" s="29"/>
      <c r="C166" s="48"/>
      <c r="D166" s="48"/>
      <c r="E166" s="48"/>
      <c r="F166" s="64"/>
      <c r="G166" s="64" t="str">
        <f t="shared" si="168"/>
        <v>Bérköltség</v>
      </c>
      <c r="H166" s="29"/>
      <c r="I166" s="65"/>
      <c r="J166" s="65"/>
      <c r="K166" s="66"/>
      <c r="L166" s="66"/>
      <c r="M166" s="66"/>
      <c r="N166" s="67"/>
      <c r="O166" s="97">
        <f t="shared" si="172"/>
        <v>0</v>
      </c>
      <c r="P166" s="68"/>
      <c r="Q166" s="68">
        <v>0.13</v>
      </c>
      <c r="R166" s="197"/>
      <c r="S166" s="75"/>
      <c r="T166" s="49"/>
      <c r="U166" s="98"/>
      <c r="V166" s="98"/>
    </row>
    <row r="167" spans="1:22" s="9" customFormat="1" ht="14.45" customHeight="1" x14ac:dyDescent="0.25">
      <c r="A167" s="29"/>
      <c r="B167" s="29"/>
      <c r="C167" s="48"/>
      <c r="D167" s="48"/>
      <c r="E167" s="48"/>
      <c r="F167" s="64"/>
      <c r="G167" s="64" t="str">
        <f t="shared" si="168"/>
        <v>Bérköltség</v>
      </c>
      <c r="H167" s="29"/>
      <c r="I167" s="65"/>
      <c r="J167" s="65"/>
      <c r="K167" s="66"/>
      <c r="L167" s="66"/>
      <c r="M167" s="66"/>
      <c r="N167" s="67"/>
      <c r="O167" s="97">
        <f t="shared" si="172"/>
        <v>0</v>
      </c>
      <c r="P167" s="68"/>
      <c r="Q167" s="68">
        <v>0.13</v>
      </c>
      <c r="R167" s="197"/>
      <c r="S167" s="75"/>
      <c r="T167" s="49"/>
      <c r="U167" s="98"/>
      <c r="V167" s="98"/>
    </row>
    <row r="168" spans="1:22" s="9" customFormat="1" ht="14.45" customHeight="1" x14ac:dyDescent="0.25">
      <c r="A168" s="29"/>
      <c r="B168" s="29"/>
      <c r="C168" s="48"/>
      <c r="D168" s="48"/>
      <c r="E168" s="48"/>
      <c r="F168" s="64"/>
      <c r="G168" s="64" t="str">
        <f t="shared" si="168"/>
        <v>Bérköltség</v>
      </c>
      <c r="H168" s="29"/>
      <c r="I168" s="65"/>
      <c r="J168" s="65"/>
      <c r="K168" s="66"/>
      <c r="L168" s="66"/>
      <c r="M168" s="66"/>
      <c r="N168" s="67"/>
      <c r="O168" s="97">
        <f t="shared" ref="O168:O169" si="173">ROUND(N168*0.9*Q168,0)</f>
        <v>0</v>
      </c>
      <c r="P168" s="68"/>
      <c r="Q168" s="68">
        <v>0.13</v>
      </c>
      <c r="R168" s="197"/>
      <c r="S168" s="75"/>
      <c r="T168" s="49"/>
      <c r="U168" s="98"/>
      <c r="V168" s="98"/>
    </row>
    <row r="169" spans="1:22" s="9" customFormat="1" ht="14.45" customHeight="1" x14ac:dyDescent="0.25">
      <c r="A169" s="29"/>
      <c r="B169" s="29"/>
      <c r="C169" s="48"/>
      <c r="D169" s="48"/>
      <c r="E169" s="48"/>
      <c r="F169" s="64"/>
      <c r="G169" s="64" t="str">
        <f t="shared" si="168"/>
        <v>Bérköltség</v>
      </c>
      <c r="H169" s="29"/>
      <c r="I169" s="65"/>
      <c r="J169" s="65"/>
      <c r="K169" s="66"/>
      <c r="L169" s="66"/>
      <c r="M169" s="66"/>
      <c r="N169" s="67"/>
      <c r="O169" s="97">
        <f t="shared" si="173"/>
        <v>0</v>
      </c>
      <c r="P169" s="68"/>
      <c r="Q169" s="68">
        <v>0.13</v>
      </c>
      <c r="R169" s="197"/>
      <c r="S169" s="75"/>
      <c r="T169" s="49"/>
      <c r="U169" s="98"/>
      <c r="V169" s="98"/>
    </row>
    <row r="170" spans="1:22" s="9" customFormat="1" ht="14.45" customHeight="1" x14ac:dyDescent="0.25">
      <c r="A170" s="29"/>
      <c r="B170" s="29"/>
      <c r="C170" s="48"/>
      <c r="D170" s="48"/>
      <c r="E170" s="48"/>
      <c r="F170" s="64"/>
      <c r="G170" s="64" t="str">
        <f t="shared" si="168"/>
        <v>Bérköltség</v>
      </c>
      <c r="H170" s="29"/>
      <c r="I170" s="65"/>
      <c r="J170" s="65"/>
      <c r="K170" s="66"/>
      <c r="L170" s="66"/>
      <c r="M170" s="66"/>
      <c r="N170" s="67"/>
      <c r="O170" s="97">
        <f t="shared" ref="O170" si="174">ROUND(N170*0.9*Q170,0)</f>
        <v>0</v>
      </c>
      <c r="P170" s="109"/>
      <c r="Q170" s="68">
        <v>0.13</v>
      </c>
      <c r="R170" s="197"/>
      <c r="S170" s="75"/>
      <c r="T170" s="49"/>
      <c r="U170" s="98"/>
      <c r="V170" s="98"/>
    </row>
    <row r="171" spans="1:22" ht="14.45" customHeight="1" x14ac:dyDescent="0.25">
      <c r="A171" s="29"/>
      <c r="B171" s="29"/>
      <c r="C171" s="48"/>
      <c r="D171" s="48"/>
      <c r="E171" s="48"/>
      <c r="F171" s="64"/>
      <c r="G171" s="64" t="str">
        <f t="shared" si="168"/>
        <v>Bérköltség</v>
      </c>
      <c r="H171" s="29"/>
      <c r="I171" s="65"/>
      <c r="J171" s="65"/>
      <c r="K171" s="66"/>
      <c r="L171" s="66"/>
      <c r="M171" s="66"/>
      <c r="N171" s="67"/>
      <c r="O171" s="97"/>
      <c r="P171" s="109"/>
      <c r="Q171" s="68"/>
      <c r="R171" s="197"/>
      <c r="S171" s="49"/>
      <c r="T171" s="49"/>
      <c r="U171" s="125"/>
    </row>
    <row r="172" spans="1:22" ht="14.45" customHeight="1" x14ac:dyDescent="0.25">
      <c r="A172" s="29"/>
      <c r="B172" s="29"/>
      <c r="C172" s="48"/>
      <c r="D172" s="48"/>
      <c r="E172" s="48"/>
      <c r="F172" s="64"/>
      <c r="G172" s="64" t="str">
        <f t="shared" si="168"/>
        <v>Bérköltség</v>
      </c>
      <c r="H172" s="29"/>
      <c r="I172" s="65"/>
      <c r="J172" s="65"/>
      <c r="K172" s="66"/>
      <c r="L172" s="66"/>
      <c r="M172" s="66"/>
      <c r="N172" s="67"/>
      <c r="O172" s="97"/>
      <c r="P172" s="109"/>
      <c r="Q172" s="68"/>
      <c r="R172" s="197"/>
      <c r="S172" s="49"/>
      <c r="T172" s="49"/>
      <c r="U172" s="125"/>
    </row>
    <row r="173" spans="1:22" ht="14.45" customHeight="1" x14ac:dyDescent="0.25">
      <c r="A173" s="29"/>
      <c r="B173" s="29"/>
      <c r="C173" s="48"/>
      <c r="D173" s="48"/>
      <c r="E173" s="48"/>
      <c r="F173" s="64"/>
      <c r="G173" s="64" t="str">
        <f t="shared" si="168"/>
        <v>Bérköltség</v>
      </c>
      <c r="H173" s="29"/>
      <c r="I173" s="65"/>
      <c r="J173" s="65"/>
      <c r="K173" s="66"/>
      <c r="L173" s="66"/>
      <c r="M173" s="66"/>
      <c r="N173" s="67"/>
      <c r="O173" s="97"/>
      <c r="P173" s="109"/>
      <c r="Q173" s="68"/>
      <c r="R173" s="197"/>
      <c r="S173" s="49"/>
      <c r="T173" s="49"/>
      <c r="U173" s="125"/>
    </row>
    <row r="174" spans="1:22" s="9" customFormat="1" ht="15" customHeight="1" x14ac:dyDescent="0.25">
      <c r="A174" s="29"/>
      <c r="B174" s="29"/>
      <c r="C174" s="48"/>
      <c r="D174" s="48"/>
      <c r="E174" s="48"/>
      <c r="F174" s="64"/>
      <c r="G174" s="64" t="str">
        <f t="shared" si="168"/>
        <v>Bérköltség</v>
      </c>
      <c r="H174" s="29"/>
      <c r="I174" s="65"/>
      <c r="J174" s="65"/>
      <c r="K174" s="66"/>
      <c r="L174" s="66"/>
      <c r="M174" s="66"/>
      <c r="N174" s="67"/>
      <c r="O174" s="67"/>
      <c r="P174" s="68"/>
      <c r="Q174" s="68"/>
      <c r="R174" s="197"/>
      <c r="S174" s="49"/>
      <c r="T174" s="49"/>
      <c r="U174" s="125"/>
      <c r="V174" s="1"/>
    </row>
    <row r="175" spans="1:22" ht="15" customHeight="1" x14ac:dyDescent="0.25">
      <c r="A175" s="55"/>
      <c r="B175" s="55"/>
      <c r="C175" s="55"/>
      <c r="D175" s="56"/>
      <c r="E175" s="56"/>
      <c r="F175" s="55"/>
      <c r="G175" s="55"/>
      <c r="H175" s="55"/>
      <c r="I175" s="69"/>
      <c r="J175" s="69"/>
      <c r="K175" s="70"/>
      <c r="L175" s="70"/>
      <c r="M175" s="70"/>
      <c r="N175" s="71"/>
      <c r="O175" s="71"/>
      <c r="P175" s="72"/>
      <c r="Q175" s="73"/>
      <c r="R175" s="198"/>
      <c r="S175" s="74"/>
      <c r="T175" s="74"/>
      <c r="U175" s="125"/>
    </row>
    <row r="176" spans="1:22" s="9" customFormat="1" x14ac:dyDescent="0.25">
      <c r="A176" s="129" t="s">
        <v>2</v>
      </c>
      <c r="B176" s="129"/>
      <c r="C176" s="2"/>
      <c r="D176" s="2"/>
      <c r="E176" s="62"/>
      <c r="F176" s="130"/>
      <c r="G176" s="130"/>
      <c r="H176" s="130"/>
      <c r="I176" s="131"/>
      <c r="J176" s="131"/>
      <c r="K176" s="132"/>
      <c r="L176" s="133"/>
      <c r="M176" s="133"/>
      <c r="N176" s="134">
        <f>SUBTOTAL(109,N6:N175)</f>
        <v>49748606</v>
      </c>
      <c r="O176" s="134">
        <f>SUBTOTAL(109,O6:O175)</f>
        <v>6437160</v>
      </c>
      <c r="P176" s="135"/>
      <c r="Q176" s="135"/>
      <c r="R176" s="135"/>
      <c r="S176" s="136"/>
      <c r="T176" s="136"/>
      <c r="U176" s="137"/>
      <c r="V176" s="98"/>
    </row>
    <row r="177" spans="2:24" x14ac:dyDescent="0.25">
      <c r="N177" s="123"/>
    </row>
    <row r="178" spans="2:24" ht="14.45" customHeight="1" x14ac:dyDescent="0.25">
      <c r="L178" s="19"/>
      <c r="M178" s="19"/>
      <c r="N178"/>
      <c r="O178"/>
    </row>
    <row r="179" spans="2:24" s="12" customFormat="1" ht="15" hidden="1" customHeight="1" outlineLevel="1" x14ac:dyDescent="0.25">
      <c r="B179" s="12" t="s">
        <v>151</v>
      </c>
      <c r="C179" s="12" t="s">
        <v>84</v>
      </c>
      <c r="E179" s="91"/>
      <c r="F179" s="12" t="s">
        <v>8</v>
      </c>
      <c r="G179" s="12" t="s">
        <v>56</v>
      </c>
      <c r="H179" s="12" t="s">
        <v>15</v>
      </c>
      <c r="I179" s="46"/>
      <c r="J179" s="46"/>
      <c r="K179" s="18"/>
      <c r="L179" s="59"/>
      <c r="M179" s="59"/>
      <c r="N179" s="14"/>
      <c r="O179" s="15"/>
      <c r="P179" s="42"/>
      <c r="S179" s="18"/>
      <c r="T179" s="80"/>
      <c r="U179" s="18"/>
      <c r="V179" s="1"/>
      <c r="W179"/>
      <c r="X179"/>
    </row>
    <row r="180" spans="2:24" s="12" customFormat="1" ht="15" hidden="1" customHeight="1" outlineLevel="1" x14ac:dyDescent="0.25">
      <c r="B180" s="12" t="s">
        <v>152</v>
      </c>
      <c r="C180" s="12" t="s">
        <v>85</v>
      </c>
      <c r="E180" s="91"/>
      <c r="F180" s="12" t="s">
        <v>9</v>
      </c>
      <c r="G180" s="12" t="s">
        <v>136</v>
      </c>
      <c r="H180" s="12" t="s">
        <v>16</v>
      </c>
      <c r="I180" s="46"/>
      <c r="J180" s="46"/>
      <c r="K180" s="18"/>
      <c r="L180" s="59"/>
      <c r="M180" s="59"/>
      <c r="N180" s="14"/>
      <c r="O180" s="15"/>
      <c r="P180" s="42"/>
      <c r="S180" s="18"/>
      <c r="T180" s="80"/>
      <c r="U180" s="18"/>
      <c r="V180" s="1"/>
      <c r="W180"/>
      <c r="X180"/>
    </row>
    <row r="181" spans="2:24" s="12" customFormat="1" ht="15" hidden="1" customHeight="1" outlineLevel="1" x14ac:dyDescent="0.25">
      <c r="E181" s="153"/>
      <c r="H181" s="12" t="s">
        <v>134</v>
      </c>
      <c r="I181" s="46"/>
      <c r="J181" s="46"/>
      <c r="K181" s="18"/>
      <c r="L181" s="59"/>
      <c r="M181" s="59"/>
      <c r="N181" s="14"/>
      <c r="O181" s="15"/>
      <c r="P181" s="42"/>
      <c r="S181" s="18"/>
      <c r="T181" s="80"/>
      <c r="U181" s="18"/>
      <c r="V181" s="1"/>
      <c r="W181"/>
      <c r="X181"/>
    </row>
    <row r="182" spans="2:24" s="12" customFormat="1" ht="15" hidden="1" customHeight="1" outlineLevel="1" x14ac:dyDescent="0.25">
      <c r="E182" s="91"/>
      <c r="H182" s="12" t="s">
        <v>71</v>
      </c>
      <c r="I182" s="46"/>
      <c r="J182" s="46"/>
      <c r="K182" s="18"/>
      <c r="L182" s="59"/>
      <c r="M182" s="59"/>
      <c r="N182" s="14"/>
      <c r="O182" s="15"/>
      <c r="P182" s="42"/>
      <c r="S182" s="18"/>
      <c r="T182" s="80"/>
      <c r="U182" s="18"/>
      <c r="V182" s="1"/>
      <c r="W182"/>
      <c r="X182"/>
    </row>
    <row r="183" spans="2:24" s="12" customFormat="1" ht="15" hidden="1" customHeight="1" outlineLevel="1" x14ac:dyDescent="0.25">
      <c r="E183" s="153"/>
      <c r="I183" s="46"/>
      <c r="J183" s="46"/>
      <c r="K183" s="18"/>
      <c r="L183" s="59"/>
      <c r="M183" s="59"/>
      <c r="N183" s="14"/>
      <c r="O183" s="15"/>
      <c r="P183" s="42"/>
      <c r="S183" s="18"/>
      <c r="T183" s="80"/>
      <c r="U183" s="18"/>
      <c r="V183" s="1"/>
      <c r="W183"/>
      <c r="X183"/>
    </row>
    <row r="184" spans="2:24" s="12" customFormat="1" ht="15" hidden="1" customHeight="1" outlineLevel="1" x14ac:dyDescent="0.25">
      <c r="E184" s="91"/>
      <c r="I184" s="46"/>
      <c r="J184" s="46"/>
      <c r="K184" s="18"/>
      <c r="L184" s="59"/>
      <c r="M184" s="59"/>
      <c r="N184" s="14"/>
      <c r="O184" s="15"/>
      <c r="P184" s="42"/>
      <c r="S184" s="18"/>
      <c r="T184" s="80"/>
      <c r="U184" s="18"/>
      <c r="V184" s="1"/>
      <c r="W184"/>
      <c r="X184"/>
    </row>
    <row r="185" spans="2:24" s="12" customFormat="1" ht="15" hidden="1" customHeight="1" outlineLevel="1" x14ac:dyDescent="0.25">
      <c r="E185" s="153"/>
      <c r="I185" s="46"/>
      <c r="J185" s="46"/>
      <c r="K185" s="18"/>
      <c r="L185" s="59"/>
      <c r="M185" s="59"/>
      <c r="N185" s="14"/>
      <c r="O185" s="15"/>
      <c r="P185" s="42"/>
      <c r="S185" s="18"/>
      <c r="T185" s="80"/>
      <c r="U185" s="18"/>
      <c r="V185" s="1"/>
      <c r="W185"/>
      <c r="X185"/>
    </row>
    <row r="186" spans="2:24" s="12" customFormat="1" ht="15" hidden="1" customHeight="1" outlineLevel="1" x14ac:dyDescent="0.25">
      <c r="E186" s="91"/>
      <c r="I186" s="46"/>
      <c r="J186" s="46"/>
      <c r="K186" s="18"/>
      <c r="L186" s="59"/>
      <c r="M186" s="59"/>
      <c r="N186" s="14"/>
      <c r="O186" s="15"/>
      <c r="P186" s="42"/>
      <c r="S186" s="18"/>
      <c r="T186" s="80"/>
      <c r="U186" s="18"/>
      <c r="V186" s="1"/>
      <c r="W186"/>
      <c r="X186"/>
    </row>
    <row r="187" spans="2:24" s="12" customFormat="1" ht="15" hidden="1" customHeight="1" outlineLevel="1" x14ac:dyDescent="0.25">
      <c r="E187" s="153"/>
      <c r="I187" s="46"/>
      <c r="J187" s="46"/>
      <c r="K187" s="18"/>
      <c r="L187" s="59"/>
      <c r="M187" s="59"/>
      <c r="N187" s="14"/>
      <c r="O187" s="15"/>
      <c r="P187" s="42"/>
      <c r="S187" s="18"/>
      <c r="T187" s="80"/>
      <c r="U187" s="18"/>
      <c r="V187" s="1"/>
      <c r="W187"/>
      <c r="X187"/>
    </row>
    <row r="188" spans="2:24" s="12" customFormat="1" ht="15" hidden="1" customHeight="1" outlineLevel="1" x14ac:dyDescent="0.25">
      <c r="E188" s="91"/>
      <c r="I188" s="46"/>
      <c r="J188" s="46"/>
      <c r="K188" s="18"/>
      <c r="L188" s="59"/>
      <c r="M188" s="59"/>
      <c r="N188" s="14"/>
      <c r="O188" s="15"/>
      <c r="P188" s="42"/>
      <c r="S188" s="18"/>
      <c r="T188" s="80"/>
      <c r="U188" s="18"/>
      <c r="V188" s="1"/>
      <c r="W188"/>
      <c r="X188"/>
    </row>
    <row r="189" spans="2:24" s="12" customFormat="1" ht="15" hidden="1" customHeight="1" outlineLevel="1" x14ac:dyDescent="0.25">
      <c r="E189" s="153"/>
      <c r="I189" s="46"/>
      <c r="J189" s="46"/>
      <c r="K189" s="18"/>
      <c r="L189" s="59"/>
      <c r="M189" s="59"/>
      <c r="N189" s="14"/>
      <c r="O189" s="15"/>
      <c r="P189" s="42"/>
      <c r="S189" s="18"/>
      <c r="T189" s="80"/>
      <c r="U189" s="18"/>
      <c r="V189" s="1"/>
      <c r="W189"/>
      <c r="X189"/>
    </row>
    <row r="190" spans="2:24" s="12" customFormat="1" ht="15" hidden="1" customHeight="1" outlineLevel="1" x14ac:dyDescent="0.25">
      <c r="E190" s="91"/>
      <c r="I190" s="46"/>
      <c r="J190" s="46"/>
      <c r="K190" s="18"/>
      <c r="L190" s="59"/>
      <c r="M190" s="59"/>
      <c r="N190" s="14"/>
      <c r="O190" s="15"/>
      <c r="P190" s="42"/>
      <c r="S190" s="18"/>
      <c r="T190" s="80"/>
      <c r="U190" s="18"/>
      <c r="V190" s="1"/>
      <c r="W190"/>
      <c r="X190"/>
    </row>
    <row r="191" spans="2:24" s="12" customFormat="1" ht="15" hidden="1" customHeight="1" outlineLevel="1" x14ac:dyDescent="0.25">
      <c r="E191" s="153"/>
      <c r="I191" s="46"/>
      <c r="J191" s="46"/>
      <c r="K191" s="18"/>
      <c r="L191" s="59"/>
      <c r="M191" s="59"/>
      <c r="N191" s="14"/>
      <c r="O191" s="15"/>
      <c r="P191" s="42"/>
      <c r="S191" s="18"/>
      <c r="T191" s="80"/>
      <c r="U191" s="18"/>
      <c r="V191" s="1"/>
      <c r="W191"/>
      <c r="X191"/>
    </row>
    <row r="192" spans="2:24" s="12" customFormat="1" ht="15" hidden="1" customHeight="1" outlineLevel="1" x14ac:dyDescent="0.25">
      <c r="E192" s="91"/>
      <c r="I192" s="46"/>
      <c r="J192" s="46"/>
      <c r="K192" s="18"/>
      <c r="L192" s="59"/>
      <c r="M192" s="59"/>
      <c r="N192" s="14"/>
      <c r="O192" s="15"/>
      <c r="P192" s="42"/>
      <c r="S192" s="18"/>
      <c r="T192" s="80"/>
      <c r="U192" s="18"/>
      <c r="V192" s="1"/>
      <c r="W192"/>
      <c r="X192"/>
    </row>
    <row r="193" spans="5:24" s="12" customFormat="1" ht="15" hidden="1" customHeight="1" outlineLevel="1" x14ac:dyDescent="0.25">
      <c r="E193" s="91"/>
      <c r="I193" s="46"/>
      <c r="J193" s="46"/>
      <c r="K193" s="18"/>
      <c r="L193" s="59"/>
      <c r="M193" s="59"/>
      <c r="N193" s="14"/>
      <c r="O193" s="15"/>
      <c r="P193" s="42"/>
      <c r="S193" s="18"/>
      <c r="T193" s="80"/>
      <c r="U193" s="18"/>
      <c r="V193" s="1"/>
      <c r="W193"/>
      <c r="X193"/>
    </row>
    <row r="194" spans="5:24" s="12" customFormat="1" ht="15" hidden="1" customHeight="1" outlineLevel="1" x14ac:dyDescent="0.25">
      <c r="E194" s="91"/>
      <c r="I194" s="46"/>
      <c r="J194" s="46"/>
      <c r="K194" s="18"/>
      <c r="L194" s="59"/>
      <c r="M194" s="59"/>
      <c r="N194" s="14"/>
      <c r="O194" s="15"/>
      <c r="P194" s="42"/>
      <c r="S194" s="18"/>
      <c r="T194" s="80"/>
      <c r="U194" s="18"/>
      <c r="V194" s="1"/>
      <c r="W194"/>
      <c r="X194"/>
    </row>
    <row r="195" spans="5:24" s="12" customFormat="1" ht="15" hidden="1" customHeight="1" outlineLevel="1" x14ac:dyDescent="0.25">
      <c r="E195" s="91"/>
      <c r="I195" s="46"/>
      <c r="J195" s="46"/>
      <c r="K195" s="18"/>
      <c r="L195" s="59"/>
      <c r="M195" s="59"/>
      <c r="N195" s="14"/>
      <c r="O195" s="15"/>
      <c r="P195" s="42"/>
      <c r="S195" s="18"/>
      <c r="T195" s="80"/>
      <c r="U195" s="18"/>
      <c r="V195" s="1"/>
      <c r="W195"/>
      <c r="X195"/>
    </row>
    <row r="196" spans="5:24" s="12" customFormat="1" ht="15" hidden="1" customHeight="1" outlineLevel="1" x14ac:dyDescent="0.25">
      <c r="E196" s="91"/>
      <c r="I196" s="46"/>
      <c r="J196" s="46"/>
      <c r="K196" s="18"/>
      <c r="L196" s="59"/>
      <c r="M196" s="59"/>
      <c r="N196" s="14"/>
      <c r="O196" s="15"/>
      <c r="P196" s="42"/>
      <c r="S196" s="18"/>
      <c r="T196" s="80"/>
      <c r="U196" s="18"/>
      <c r="V196" s="1"/>
      <c r="W196"/>
      <c r="X196"/>
    </row>
    <row r="197" spans="5:24" s="12" customFormat="1" ht="15" hidden="1" customHeight="1" outlineLevel="1" x14ac:dyDescent="0.25">
      <c r="E197" s="91"/>
      <c r="I197" s="46"/>
      <c r="J197" s="46"/>
      <c r="K197" s="18"/>
      <c r="L197" s="59"/>
      <c r="M197" s="59"/>
      <c r="N197" s="14"/>
      <c r="O197" s="15"/>
      <c r="P197" s="42"/>
      <c r="S197" s="18"/>
      <c r="T197" s="80"/>
      <c r="U197" s="18"/>
      <c r="V197" s="1"/>
      <c r="W197"/>
      <c r="X197"/>
    </row>
    <row r="198" spans="5:24" s="12" customFormat="1" ht="15" hidden="1" customHeight="1" outlineLevel="1" x14ac:dyDescent="0.25">
      <c r="E198" s="91"/>
      <c r="I198" s="46"/>
      <c r="J198" s="46"/>
      <c r="K198" s="18"/>
      <c r="L198" s="59"/>
      <c r="M198" s="59"/>
      <c r="N198" s="14"/>
      <c r="O198" s="15"/>
      <c r="P198" s="42"/>
      <c r="S198" s="18"/>
      <c r="T198" s="80"/>
      <c r="U198" s="18"/>
      <c r="V198" s="1"/>
      <c r="W198"/>
      <c r="X198"/>
    </row>
    <row r="199" spans="5:24" s="12" customFormat="1" ht="15" hidden="1" customHeight="1" outlineLevel="1" x14ac:dyDescent="0.25">
      <c r="E199" s="91"/>
      <c r="I199" s="46"/>
      <c r="J199" s="46"/>
      <c r="K199" s="18"/>
      <c r="L199" s="59"/>
      <c r="M199" s="59"/>
      <c r="N199" s="14"/>
      <c r="O199" s="15"/>
      <c r="P199" s="42"/>
      <c r="S199" s="18"/>
      <c r="T199" s="80"/>
      <c r="U199" s="18"/>
      <c r="V199" s="1"/>
      <c r="W199"/>
      <c r="X199"/>
    </row>
    <row r="200" spans="5:24" s="12" customFormat="1" ht="15" hidden="1" customHeight="1" outlineLevel="1" x14ac:dyDescent="0.25">
      <c r="E200" s="91"/>
      <c r="I200" s="46"/>
      <c r="J200" s="46"/>
      <c r="K200" s="18"/>
      <c r="L200" s="59"/>
      <c r="M200" s="59"/>
      <c r="N200" s="14"/>
      <c r="O200" s="15"/>
      <c r="P200" s="42"/>
      <c r="S200" s="18"/>
      <c r="T200" s="80"/>
      <c r="U200" s="18"/>
      <c r="V200" s="1"/>
      <c r="W200"/>
      <c r="X200"/>
    </row>
    <row r="201" spans="5:24" s="12" customFormat="1" ht="15" hidden="1" customHeight="1" outlineLevel="1" x14ac:dyDescent="0.25">
      <c r="E201" s="91"/>
      <c r="I201" s="46"/>
      <c r="J201" s="46"/>
      <c r="K201" s="18"/>
      <c r="L201" s="59"/>
      <c r="M201" s="59"/>
      <c r="N201" s="14"/>
      <c r="O201" s="15"/>
      <c r="P201" s="42"/>
      <c r="S201" s="18"/>
      <c r="T201" s="80"/>
      <c r="U201" s="18"/>
      <c r="V201" s="1"/>
      <c r="W201"/>
      <c r="X201"/>
    </row>
    <row r="202" spans="5:24" s="12" customFormat="1" ht="15" hidden="1" customHeight="1" outlineLevel="1" x14ac:dyDescent="0.25">
      <c r="E202" s="91"/>
      <c r="I202" s="46"/>
      <c r="J202" s="46"/>
      <c r="K202" s="18"/>
      <c r="L202" s="59"/>
      <c r="M202" s="59"/>
      <c r="N202" s="14"/>
      <c r="O202" s="15"/>
      <c r="P202" s="42"/>
      <c r="S202" s="18"/>
      <c r="T202" s="80"/>
      <c r="U202" s="18"/>
      <c r="V202" s="1"/>
      <c r="W202"/>
      <c r="X202"/>
    </row>
    <row r="203" spans="5:24" s="12" customFormat="1" ht="15" hidden="1" customHeight="1" outlineLevel="1" x14ac:dyDescent="0.25">
      <c r="E203" s="91"/>
      <c r="I203" s="46"/>
      <c r="J203" s="46"/>
      <c r="K203" s="18"/>
      <c r="L203" s="59"/>
      <c r="M203" s="59"/>
      <c r="N203" s="14"/>
      <c r="O203" s="15"/>
      <c r="P203" s="42"/>
      <c r="S203" s="18"/>
      <c r="T203" s="80"/>
      <c r="U203" s="18"/>
      <c r="V203" s="1"/>
      <c r="W203"/>
      <c r="X203"/>
    </row>
    <row r="204" spans="5:24" s="12" customFormat="1" ht="15" hidden="1" customHeight="1" outlineLevel="1" x14ac:dyDescent="0.25">
      <c r="E204" s="91"/>
      <c r="I204" s="46"/>
      <c r="J204" s="46"/>
      <c r="K204" s="18"/>
      <c r="L204" s="59"/>
      <c r="M204" s="59"/>
      <c r="N204" s="14"/>
      <c r="O204" s="15"/>
      <c r="P204" s="42"/>
      <c r="S204" s="18"/>
      <c r="T204" s="80"/>
      <c r="U204" s="18"/>
      <c r="V204" s="1"/>
      <c r="W204"/>
      <c r="X204"/>
    </row>
    <row r="205" spans="5:24" s="12" customFormat="1" ht="15" hidden="1" customHeight="1" outlineLevel="1" x14ac:dyDescent="0.25">
      <c r="E205" s="91"/>
      <c r="I205" s="46"/>
      <c r="J205" s="46"/>
      <c r="K205" s="18"/>
      <c r="L205" s="59"/>
      <c r="M205" s="59"/>
      <c r="N205" s="14"/>
      <c r="O205" s="15"/>
      <c r="P205" s="42"/>
      <c r="S205" s="18"/>
      <c r="T205" s="80"/>
      <c r="U205" s="18"/>
      <c r="V205" s="1"/>
      <c r="W205"/>
      <c r="X205"/>
    </row>
    <row r="206" spans="5:24" s="12" customFormat="1" ht="15" hidden="1" customHeight="1" outlineLevel="1" x14ac:dyDescent="0.25">
      <c r="E206" s="91"/>
      <c r="I206" s="46"/>
      <c r="J206" s="46"/>
      <c r="K206" s="18"/>
      <c r="L206" s="59"/>
      <c r="M206" s="59"/>
      <c r="N206" s="14"/>
      <c r="O206" s="15"/>
      <c r="P206" s="42"/>
      <c r="S206" s="18"/>
      <c r="T206" s="80"/>
      <c r="U206" s="18"/>
      <c r="V206" s="1"/>
      <c r="W206"/>
      <c r="X206"/>
    </row>
    <row r="207" spans="5:24" s="12" customFormat="1" ht="15" hidden="1" customHeight="1" outlineLevel="1" x14ac:dyDescent="0.25">
      <c r="E207" s="91"/>
      <c r="I207" s="46"/>
      <c r="J207" s="46"/>
      <c r="K207" s="18"/>
      <c r="L207" s="59"/>
      <c r="M207" s="59"/>
      <c r="N207" s="14"/>
      <c r="O207" s="15"/>
      <c r="P207" s="42"/>
      <c r="S207" s="18"/>
      <c r="T207" s="80"/>
      <c r="U207" s="18"/>
      <c r="V207" s="1"/>
      <c r="W207"/>
      <c r="X207"/>
    </row>
    <row r="208" spans="5:24" s="12" customFormat="1" ht="15" hidden="1" customHeight="1" outlineLevel="1" x14ac:dyDescent="0.25">
      <c r="E208" s="91"/>
      <c r="I208" s="46"/>
      <c r="J208" s="46"/>
      <c r="K208" s="18"/>
      <c r="L208" s="59"/>
      <c r="M208" s="59"/>
      <c r="N208" s="14"/>
      <c r="O208" s="15"/>
      <c r="P208" s="42"/>
      <c r="S208" s="18"/>
      <c r="T208" s="80"/>
      <c r="U208" s="18"/>
      <c r="V208" s="1"/>
      <c r="W208"/>
      <c r="X208"/>
    </row>
    <row r="209" spans="5:24" s="12" customFormat="1" ht="15" hidden="1" customHeight="1" outlineLevel="1" x14ac:dyDescent="0.25">
      <c r="E209" s="91"/>
      <c r="I209" s="46"/>
      <c r="J209" s="46"/>
      <c r="K209" s="18"/>
      <c r="L209" s="59"/>
      <c r="M209" s="59"/>
      <c r="N209" s="14"/>
      <c r="O209" s="15"/>
      <c r="P209" s="42"/>
      <c r="S209" s="18"/>
      <c r="T209" s="80"/>
      <c r="U209" s="18"/>
      <c r="V209" s="1"/>
      <c r="W209"/>
      <c r="X209"/>
    </row>
    <row r="210" spans="5:24" s="12" customFormat="1" ht="15" hidden="1" customHeight="1" outlineLevel="1" x14ac:dyDescent="0.25">
      <c r="E210" s="91"/>
      <c r="I210" s="46"/>
      <c r="J210" s="46"/>
      <c r="K210" s="18"/>
      <c r="L210" s="59"/>
      <c r="M210" s="59"/>
      <c r="N210" s="14"/>
      <c r="O210" s="15"/>
      <c r="P210" s="42"/>
      <c r="S210" s="18"/>
      <c r="T210" s="80"/>
      <c r="U210" s="18"/>
      <c r="V210" s="1"/>
      <c r="W210"/>
      <c r="X210"/>
    </row>
    <row r="211" spans="5:24" s="12" customFormat="1" ht="15" hidden="1" customHeight="1" outlineLevel="1" x14ac:dyDescent="0.25">
      <c r="E211" s="91"/>
      <c r="I211" s="46"/>
      <c r="J211" s="46"/>
      <c r="K211" s="18"/>
      <c r="L211" s="59"/>
      <c r="M211" s="59"/>
      <c r="N211" s="14"/>
      <c r="O211" s="15"/>
      <c r="P211" s="42"/>
      <c r="S211" s="18"/>
      <c r="T211" s="80"/>
      <c r="U211" s="18"/>
      <c r="V211" s="1"/>
      <c r="W211"/>
      <c r="X211"/>
    </row>
    <row r="212" spans="5:24" s="12" customFormat="1" ht="15" hidden="1" customHeight="1" outlineLevel="1" x14ac:dyDescent="0.25">
      <c r="E212" s="91"/>
      <c r="I212" s="46"/>
      <c r="J212" s="46"/>
      <c r="K212" s="18"/>
      <c r="L212" s="59"/>
      <c r="M212" s="59"/>
      <c r="N212" s="14"/>
      <c r="O212" s="15"/>
      <c r="P212" s="42"/>
      <c r="S212" s="18"/>
      <c r="T212" s="80"/>
      <c r="U212" s="18"/>
      <c r="V212" s="1"/>
      <c r="W212"/>
      <c r="X212"/>
    </row>
    <row r="213" spans="5:24" s="12" customFormat="1" ht="15" hidden="1" customHeight="1" outlineLevel="1" x14ac:dyDescent="0.25">
      <c r="E213" s="91"/>
      <c r="I213" s="46"/>
      <c r="J213" s="46"/>
      <c r="K213" s="18"/>
      <c r="L213" s="59"/>
      <c r="M213" s="59"/>
      <c r="N213" s="14"/>
      <c r="O213" s="15"/>
      <c r="P213" s="42"/>
      <c r="S213" s="18"/>
      <c r="T213" s="80"/>
      <c r="U213" s="18"/>
      <c r="V213" s="1"/>
      <c r="W213"/>
      <c r="X213"/>
    </row>
    <row r="214" spans="5:24" s="12" customFormat="1" ht="15" hidden="1" customHeight="1" outlineLevel="1" x14ac:dyDescent="0.25">
      <c r="E214" s="91"/>
      <c r="I214" s="46"/>
      <c r="J214" s="46"/>
      <c r="K214" s="18"/>
      <c r="L214" s="59"/>
      <c r="M214" s="59"/>
      <c r="N214" s="14"/>
      <c r="O214" s="15"/>
      <c r="P214" s="42"/>
      <c r="S214" s="18"/>
      <c r="T214" s="80"/>
      <c r="U214" s="18"/>
      <c r="V214" s="1"/>
      <c r="W214"/>
      <c r="X214"/>
    </row>
    <row r="215" spans="5:24" s="12" customFormat="1" ht="15" hidden="1" customHeight="1" outlineLevel="1" x14ac:dyDescent="0.25">
      <c r="E215" s="91"/>
      <c r="I215" s="46"/>
      <c r="J215" s="46"/>
      <c r="K215" s="18"/>
      <c r="L215" s="59"/>
      <c r="M215" s="59"/>
      <c r="N215" s="14"/>
      <c r="O215" s="15"/>
      <c r="P215" s="42"/>
      <c r="S215" s="18"/>
      <c r="T215" s="80"/>
      <c r="U215" s="18"/>
      <c r="V215" s="1"/>
      <c r="W215"/>
      <c r="X215"/>
    </row>
    <row r="216" spans="5:24" s="12" customFormat="1" ht="15" hidden="1" customHeight="1" outlineLevel="1" x14ac:dyDescent="0.25">
      <c r="E216" s="91"/>
      <c r="I216" s="46"/>
      <c r="J216" s="46"/>
      <c r="K216" s="18"/>
      <c r="L216" s="59"/>
      <c r="M216" s="59"/>
      <c r="N216" s="14"/>
      <c r="O216" s="15"/>
      <c r="P216" s="42"/>
      <c r="S216" s="18"/>
      <c r="T216" s="80"/>
      <c r="U216" s="18"/>
      <c r="V216" s="1"/>
      <c r="W216"/>
      <c r="X216"/>
    </row>
    <row r="217" spans="5:24" s="12" customFormat="1" ht="15" hidden="1" customHeight="1" outlineLevel="1" x14ac:dyDescent="0.25">
      <c r="E217" s="91"/>
      <c r="I217" s="46"/>
      <c r="J217" s="46"/>
      <c r="K217" s="18"/>
      <c r="L217" s="59"/>
      <c r="M217" s="59"/>
      <c r="N217" s="14"/>
      <c r="O217" s="15"/>
      <c r="P217" s="42"/>
      <c r="S217" s="18"/>
      <c r="T217" s="80"/>
      <c r="U217" s="18"/>
      <c r="V217" s="1"/>
      <c r="W217"/>
      <c r="X217"/>
    </row>
    <row r="218" spans="5:24" s="12" customFormat="1" ht="15" hidden="1" customHeight="1" outlineLevel="1" x14ac:dyDescent="0.25">
      <c r="E218" s="91"/>
      <c r="I218" s="46"/>
      <c r="J218" s="46"/>
      <c r="K218" s="18"/>
      <c r="L218" s="59"/>
      <c r="M218" s="59"/>
      <c r="N218" s="14"/>
      <c r="O218" s="15"/>
      <c r="P218" s="42"/>
      <c r="S218" s="18"/>
      <c r="T218" s="80"/>
      <c r="U218" s="18"/>
      <c r="V218" s="1"/>
      <c r="W218"/>
      <c r="X218"/>
    </row>
    <row r="219" spans="5:24" s="12" customFormat="1" ht="15" hidden="1" customHeight="1" outlineLevel="1" x14ac:dyDescent="0.25">
      <c r="E219" s="91"/>
      <c r="I219" s="46"/>
      <c r="J219" s="46"/>
      <c r="K219" s="18"/>
      <c r="L219" s="59"/>
      <c r="M219" s="59"/>
      <c r="N219" s="14"/>
      <c r="O219" s="15"/>
      <c r="P219" s="42"/>
      <c r="S219" s="18"/>
      <c r="T219" s="80"/>
      <c r="U219" s="18"/>
      <c r="V219" s="1"/>
      <c r="W219"/>
      <c r="X219"/>
    </row>
    <row r="220" spans="5:24" s="12" customFormat="1" ht="15" hidden="1" customHeight="1" outlineLevel="1" x14ac:dyDescent="0.25">
      <c r="E220" s="91"/>
      <c r="I220" s="46"/>
      <c r="J220" s="46"/>
      <c r="K220" s="18"/>
      <c r="L220" s="59"/>
      <c r="M220" s="59"/>
      <c r="N220" s="14"/>
      <c r="O220" s="15"/>
      <c r="P220" s="42"/>
      <c r="S220" s="18"/>
      <c r="T220" s="80"/>
      <c r="U220" s="18"/>
      <c r="V220" s="1"/>
      <c r="W220"/>
      <c r="X220"/>
    </row>
    <row r="221" spans="5:24" s="12" customFormat="1" ht="15" hidden="1" customHeight="1" outlineLevel="1" x14ac:dyDescent="0.25">
      <c r="E221" s="91"/>
      <c r="I221" s="46"/>
      <c r="J221" s="46"/>
      <c r="K221" s="18"/>
      <c r="L221" s="59"/>
      <c r="M221" s="59"/>
      <c r="N221" s="14"/>
      <c r="O221" s="15"/>
      <c r="P221" s="42"/>
      <c r="S221" s="18"/>
      <c r="T221" s="80"/>
      <c r="U221" s="18"/>
      <c r="V221" s="1"/>
      <c r="W221"/>
      <c r="X221"/>
    </row>
    <row r="222" spans="5:24" s="12" customFormat="1" ht="15" hidden="1" customHeight="1" outlineLevel="1" x14ac:dyDescent="0.25">
      <c r="E222" s="91"/>
      <c r="I222" s="46"/>
      <c r="J222" s="46"/>
      <c r="K222" s="18"/>
      <c r="L222" s="59"/>
      <c r="M222" s="59"/>
      <c r="N222" s="14"/>
      <c r="O222" s="15"/>
      <c r="P222" s="42"/>
      <c r="S222" s="18"/>
      <c r="T222" s="80"/>
      <c r="U222" s="18"/>
      <c r="V222" s="1"/>
      <c r="W222"/>
      <c r="X222"/>
    </row>
    <row r="223" spans="5:24" s="12" customFormat="1" ht="15" hidden="1" customHeight="1" outlineLevel="1" x14ac:dyDescent="0.25">
      <c r="E223" s="91"/>
      <c r="I223" s="46"/>
      <c r="J223" s="46"/>
      <c r="K223" s="18"/>
      <c r="L223" s="59"/>
      <c r="M223" s="59"/>
      <c r="N223" s="14"/>
      <c r="O223" s="15"/>
      <c r="P223" s="42"/>
      <c r="S223" s="18"/>
      <c r="T223" s="80"/>
      <c r="U223" s="18"/>
      <c r="V223" s="1"/>
      <c r="W223"/>
      <c r="X223"/>
    </row>
    <row r="224" spans="5:24" s="12" customFormat="1" ht="15" hidden="1" customHeight="1" outlineLevel="1" x14ac:dyDescent="0.25">
      <c r="E224" s="91"/>
      <c r="I224" s="46"/>
      <c r="J224" s="46"/>
      <c r="K224" s="18"/>
      <c r="L224" s="59"/>
      <c r="M224" s="59"/>
      <c r="N224" s="14"/>
      <c r="O224" s="15"/>
      <c r="P224" s="42"/>
      <c r="S224" s="18"/>
      <c r="T224" s="80"/>
      <c r="U224" s="18"/>
      <c r="V224" s="1"/>
      <c r="W224"/>
      <c r="X224"/>
    </row>
    <row r="225" spans="5:24" s="12" customFormat="1" ht="15" hidden="1" customHeight="1" outlineLevel="1" x14ac:dyDescent="0.25">
      <c r="E225" s="91"/>
      <c r="I225" s="46"/>
      <c r="J225" s="46"/>
      <c r="K225" s="18"/>
      <c r="L225" s="59"/>
      <c r="M225" s="59"/>
      <c r="N225" s="14"/>
      <c r="O225" s="15"/>
      <c r="P225" s="42"/>
      <c r="S225" s="18"/>
      <c r="T225" s="80"/>
      <c r="U225" s="18"/>
      <c r="V225" s="1"/>
      <c r="W225"/>
      <c r="X225"/>
    </row>
    <row r="226" spans="5:24" s="12" customFormat="1" ht="15" hidden="1" customHeight="1" outlineLevel="1" x14ac:dyDescent="0.25">
      <c r="E226" s="91"/>
      <c r="I226" s="46"/>
      <c r="J226" s="46"/>
      <c r="K226" s="18"/>
      <c r="L226" s="59"/>
      <c r="M226" s="59"/>
      <c r="N226" s="14"/>
      <c r="O226" s="15"/>
      <c r="P226" s="42"/>
      <c r="S226" s="18"/>
      <c r="T226" s="80"/>
      <c r="U226" s="18"/>
      <c r="V226" s="1"/>
      <c r="W226"/>
      <c r="X226"/>
    </row>
    <row r="227" spans="5:24" s="12" customFormat="1" ht="15" hidden="1" customHeight="1" outlineLevel="1" x14ac:dyDescent="0.25">
      <c r="E227" s="18"/>
      <c r="I227" s="46"/>
      <c r="J227" s="46"/>
      <c r="K227" s="18"/>
      <c r="L227" s="59"/>
      <c r="M227" s="59"/>
      <c r="N227" s="14"/>
      <c r="O227" s="15"/>
      <c r="P227" s="42"/>
      <c r="S227" s="18"/>
      <c r="T227" s="80"/>
      <c r="U227" s="18"/>
      <c r="V227" s="1"/>
      <c r="W227"/>
      <c r="X227"/>
    </row>
    <row r="228" spans="5:24" s="12" customFormat="1" ht="15" hidden="1" customHeight="1" outlineLevel="1" x14ac:dyDescent="0.25">
      <c r="E228" s="18"/>
      <c r="I228" s="46"/>
      <c r="J228" s="46"/>
      <c r="K228" s="18"/>
      <c r="L228" s="59"/>
      <c r="M228" s="59"/>
      <c r="N228" s="14"/>
      <c r="O228" s="15"/>
      <c r="P228" s="42"/>
      <c r="S228" s="18"/>
      <c r="T228" s="80"/>
      <c r="U228" s="18"/>
      <c r="V228" s="1"/>
      <c r="W228"/>
      <c r="X228"/>
    </row>
    <row r="229" spans="5:24" s="12" customFormat="1" ht="15" hidden="1" customHeight="1" outlineLevel="1" x14ac:dyDescent="0.25">
      <c r="E229" s="18"/>
      <c r="I229" s="46"/>
      <c r="J229" s="46"/>
      <c r="K229" s="18"/>
      <c r="L229" s="59"/>
      <c r="M229" s="59"/>
      <c r="N229" s="14"/>
      <c r="O229" s="15"/>
      <c r="P229" s="42"/>
      <c r="S229" s="18"/>
      <c r="T229" s="80"/>
      <c r="U229" s="18"/>
      <c r="V229" s="1"/>
      <c r="W229"/>
      <c r="X229"/>
    </row>
    <row r="230" spans="5:24" s="12" customFormat="1" ht="15" hidden="1" customHeight="1" outlineLevel="1" x14ac:dyDescent="0.25">
      <c r="E230" s="18"/>
      <c r="I230" s="46"/>
      <c r="J230" s="46"/>
      <c r="K230" s="18"/>
      <c r="L230" s="59"/>
      <c r="M230" s="59"/>
      <c r="N230" s="14"/>
      <c r="O230" s="15"/>
      <c r="P230" s="42"/>
      <c r="S230" s="18"/>
      <c r="T230" s="80"/>
      <c r="U230" s="18"/>
      <c r="V230" s="1"/>
      <c r="W230"/>
      <c r="X230"/>
    </row>
    <row r="231" spans="5:24" s="12" customFormat="1" ht="15" hidden="1" customHeight="1" outlineLevel="1" x14ac:dyDescent="0.25">
      <c r="E231" s="18"/>
      <c r="I231" s="46"/>
      <c r="J231" s="46"/>
      <c r="K231" s="18"/>
      <c r="L231" s="18"/>
      <c r="M231" s="18"/>
      <c r="N231" s="14"/>
      <c r="O231" s="15"/>
      <c r="P231" s="42"/>
      <c r="S231" s="18"/>
      <c r="T231" s="80"/>
      <c r="U231" s="18"/>
      <c r="V231" s="1"/>
      <c r="W231"/>
      <c r="X231"/>
    </row>
    <row r="232" spans="5:24" s="12" customFormat="1" ht="15" hidden="1" customHeight="1" outlineLevel="1" x14ac:dyDescent="0.25">
      <c r="E232" s="18"/>
      <c r="I232" s="46"/>
      <c r="J232" s="46"/>
      <c r="K232" s="18"/>
      <c r="L232" s="18"/>
      <c r="M232" s="18"/>
      <c r="N232" s="14"/>
      <c r="O232" s="16"/>
      <c r="P232" s="42"/>
      <c r="S232" s="18"/>
      <c r="T232" s="80"/>
      <c r="U232" s="18"/>
      <c r="V232" s="1"/>
      <c r="W232"/>
      <c r="X232"/>
    </row>
    <row r="233" spans="5:24" s="12" customFormat="1" ht="15" hidden="1" customHeight="1" outlineLevel="1" x14ac:dyDescent="0.25">
      <c r="E233" s="63"/>
      <c r="I233" s="46"/>
      <c r="J233" s="46"/>
      <c r="K233" s="18"/>
      <c r="L233" s="18"/>
      <c r="M233" s="18"/>
      <c r="N233" s="13"/>
      <c r="O233" s="13"/>
      <c r="P233" s="42"/>
      <c r="S233" s="18"/>
      <c r="T233" s="80"/>
      <c r="U233" s="18"/>
      <c r="V233" s="1"/>
      <c r="W233"/>
      <c r="X233"/>
    </row>
    <row r="234" spans="5:24" s="12" customFormat="1" ht="15" hidden="1" customHeight="1" outlineLevel="1" x14ac:dyDescent="0.25">
      <c r="E234" s="63"/>
      <c r="I234" s="46"/>
      <c r="J234" s="46"/>
      <c r="K234" s="18"/>
      <c r="L234" s="18"/>
      <c r="M234" s="18"/>
      <c r="N234" s="13"/>
      <c r="O234" s="13"/>
      <c r="P234" s="42"/>
      <c r="S234" s="18"/>
      <c r="T234" s="80"/>
      <c r="U234" s="18"/>
      <c r="V234" s="1"/>
      <c r="W234"/>
      <c r="X234"/>
    </row>
    <row r="235" spans="5:24" s="12" customFormat="1" ht="15" hidden="1" customHeight="1" outlineLevel="1" x14ac:dyDescent="0.25">
      <c r="E235" s="63"/>
      <c r="I235" s="46"/>
      <c r="J235" s="46"/>
      <c r="K235" s="18"/>
      <c r="L235" s="18"/>
      <c r="M235" s="18"/>
      <c r="N235" s="13"/>
      <c r="O235" s="13"/>
      <c r="P235" s="42"/>
      <c r="S235" s="18"/>
      <c r="T235" s="80"/>
      <c r="U235" s="18"/>
      <c r="V235" s="1"/>
      <c r="W235"/>
      <c r="X235"/>
    </row>
    <row r="236" spans="5:24" s="12" customFormat="1" ht="15" hidden="1" customHeight="1" outlineLevel="1" x14ac:dyDescent="0.25">
      <c r="E236" s="63"/>
      <c r="I236" s="46"/>
      <c r="J236" s="46"/>
      <c r="K236" s="18"/>
      <c r="L236" s="18"/>
      <c r="M236" s="18"/>
      <c r="N236" s="13"/>
      <c r="O236" s="13"/>
      <c r="P236" s="42"/>
      <c r="S236" s="18"/>
      <c r="T236" s="80"/>
      <c r="U236" s="18"/>
      <c r="V236" s="1"/>
      <c r="W236"/>
      <c r="X236"/>
    </row>
    <row r="237" spans="5:24" s="12" customFormat="1" ht="15" hidden="1" customHeight="1" outlineLevel="1" x14ac:dyDescent="0.25">
      <c r="E237" s="63"/>
      <c r="I237" s="46"/>
      <c r="J237" s="46"/>
      <c r="K237" s="18"/>
      <c r="L237" s="18"/>
      <c r="M237" s="18"/>
      <c r="N237" s="13"/>
      <c r="O237" s="13"/>
      <c r="P237" s="42"/>
      <c r="S237" s="18"/>
      <c r="T237" s="80"/>
      <c r="U237" s="18"/>
      <c r="V237" s="1"/>
      <c r="W237"/>
      <c r="X237"/>
    </row>
    <row r="238" spans="5:24" s="12" customFormat="1" ht="15" hidden="1" customHeight="1" outlineLevel="1" x14ac:dyDescent="0.25">
      <c r="E238" s="63"/>
      <c r="I238" s="46"/>
      <c r="J238" s="46"/>
      <c r="K238" s="18"/>
      <c r="L238" s="18"/>
      <c r="M238" s="18"/>
      <c r="N238" s="13"/>
      <c r="O238" s="13"/>
      <c r="P238" s="42"/>
      <c r="S238" s="18"/>
      <c r="T238" s="80"/>
      <c r="U238" s="18"/>
      <c r="V238" s="1"/>
      <c r="W238"/>
      <c r="X238"/>
    </row>
    <row r="239" spans="5:24" s="12" customFormat="1" ht="15" hidden="1" customHeight="1" outlineLevel="1" x14ac:dyDescent="0.25">
      <c r="E239" s="63"/>
      <c r="I239" s="46"/>
      <c r="J239" s="46"/>
      <c r="K239" s="18"/>
      <c r="L239" s="18"/>
      <c r="M239" s="18"/>
      <c r="N239" s="13"/>
      <c r="O239" s="13"/>
      <c r="P239" s="42"/>
      <c r="S239" s="18"/>
      <c r="T239" s="80"/>
      <c r="U239" s="18"/>
      <c r="V239" s="1"/>
      <c r="W239"/>
      <c r="X239"/>
    </row>
    <row r="240" spans="5:24" s="12" customFormat="1" ht="15" hidden="1" customHeight="1" outlineLevel="1" x14ac:dyDescent="0.25">
      <c r="E240" s="63"/>
      <c r="I240" s="46"/>
      <c r="J240" s="46"/>
      <c r="K240" s="18"/>
      <c r="L240" s="18"/>
      <c r="M240" s="18"/>
      <c r="N240" s="13"/>
      <c r="O240" s="13"/>
      <c r="P240" s="42"/>
      <c r="S240" s="18"/>
      <c r="T240" s="80"/>
      <c r="U240" s="18"/>
      <c r="V240" s="1"/>
      <c r="W240"/>
      <c r="X240"/>
    </row>
    <row r="241" spans="5:24" s="12" customFormat="1" ht="15" hidden="1" customHeight="1" outlineLevel="1" x14ac:dyDescent="0.25">
      <c r="E241" s="63"/>
      <c r="I241" s="46"/>
      <c r="J241" s="46"/>
      <c r="K241" s="18"/>
      <c r="L241" s="18"/>
      <c r="M241" s="18"/>
      <c r="N241" s="13"/>
      <c r="O241" s="13"/>
      <c r="P241" s="42"/>
      <c r="S241" s="18"/>
      <c r="T241" s="80"/>
      <c r="U241" s="18"/>
      <c r="V241" s="1"/>
      <c r="W241"/>
      <c r="X241"/>
    </row>
    <row r="242" spans="5:24" s="12" customFormat="1" ht="15" hidden="1" customHeight="1" outlineLevel="1" x14ac:dyDescent="0.25">
      <c r="E242" s="63"/>
      <c r="I242" s="46"/>
      <c r="J242" s="46"/>
      <c r="K242" s="18"/>
      <c r="L242" s="59"/>
      <c r="M242" s="59"/>
      <c r="N242" s="13"/>
      <c r="O242" s="13"/>
      <c r="P242" s="42"/>
      <c r="S242" s="18"/>
      <c r="T242" s="80"/>
      <c r="U242" s="18"/>
      <c r="V242" s="1"/>
      <c r="W242"/>
      <c r="X242"/>
    </row>
    <row r="243" spans="5:24" s="12" customFormat="1" ht="15" hidden="1" customHeight="1" outlineLevel="1" x14ac:dyDescent="0.25">
      <c r="E243" s="63"/>
      <c r="I243" s="46"/>
      <c r="J243" s="46"/>
      <c r="K243" s="18"/>
      <c r="L243" s="59"/>
      <c r="M243" s="59"/>
      <c r="N243" s="13"/>
      <c r="O243" s="13"/>
      <c r="P243" s="42"/>
      <c r="S243" s="18"/>
      <c r="T243" s="80"/>
      <c r="U243" s="18"/>
      <c r="V243" s="1"/>
      <c r="W243"/>
      <c r="X243"/>
    </row>
    <row r="244" spans="5:24" s="12" customFormat="1" ht="15" hidden="1" customHeight="1" outlineLevel="1" x14ac:dyDescent="0.25">
      <c r="E244" s="63"/>
      <c r="I244" s="46"/>
      <c r="J244" s="46"/>
      <c r="K244" s="18"/>
      <c r="L244" s="59"/>
      <c r="M244" s="59"/>
      <c r="N244" s="13"/>
      <c r="O244" s="13"/>
      <c r="P244" s="42"/>
      <c r="S244" s="18"/>
      <c r="T244" s="80"/>
      <c r="U244" s="18"/>
      <c r="V244" s="1"/>
      <c r="W244"/>
      <c r="X244"/>
    </row>
    <row r="245" spans="5:24" s="12" customFormat="1" ht="15" hidden="1" customHeight="1" outlineLevel="1" x14ac:dyDescent="0.25">
      <c r="E245" s="63"/>
      <c r="I245" s="46"/>
      <c r="J245" s="46"/>
      <c r="K245" s="18"/>
      <c r="L245" s="59"/>
      <c r="M245" s="59"/>
      <c r="N245" s="13"/>
      <c r="O245" s="13"/>
      <c r="P245" s="42"/>
      <c r="S245" s="18"/>
      <c r="T245" s="80"/>
      <c r="U245" s="18"/>
      <c r="V245" s="1"/>
      <c r="W245"/>
      <c r="X245"/>
    </row>
    <row r="246" spans="5:24" s="12" customFormat="1" ht="15" hidden="1" customHeight="1" outlineLevel="1" x14ac:dyDescent="0.25">
      <c r="E246" s="63"/>
      <c r="I246" s="46"/>
      <c r="J246" s="46"/>
      <c r="K246" s="18"/>
      <c r="L246" s="59"/>
      <c r="M246" s="59"/>
      <c r="N246" s="13"/>
      <c r="O246" s="13"/>
      <c r="P246" s="42"/>
      <c r="S246" s="18"/>
      <c r="T246" s="80"/>
      <c r="U246" s="18"/>
      <c r="V246" s="1"/>
      <c r="W246"/>
      <c r="X246"/>
    </row>
    <row r="247" spans="5:24" s="12" customFormat="1" ht="15" hidden="1" customHeight="1" outlineLevel="1" x14ac:dyDescent="0.25">
      <c r="E247" s="63"/>
      <c r="I247" s="46"/>
      <c r="J247" s="46"/>
      <c r="K247" s="18"/>
      <c r="L247" s="59"/>
      <c r="M247" s="59"/>
      <c r="N247" s="13"/>
      <c r="O247" s="13"/>
      <c r="P247" s="42"/>
      <c r="S247" s="18"/>
      <c r="T247" s="80"/>
      <c r="U247" s="18"/>
      <c r="V247" s="1"/>
      <c r="W247"/>
      <c r="X247"/>
    </row>
    <row r="248" spans="5:24" s="12" customFormat="1" ht="15" hidden="1" customHeight="1" outlineLevel="1" x14ac:dyDescent="0.25">
      <c r="E248" s="63"/>
      <c r="I248" s="46"/>
      <c r="J248" s="46"/>
      <c r="K248" s="18"/>
      <c r="L248" s="59"/>
      <c r="M248" s="59"/>
      <c r="N248" s="13"/>
      <c r="O248" s="13"/>
      <c r="P248" s="42"/>
      <c r="S248" s="18"/>
      <c r="T248" s="80"/>
      <c r="U248" s="18"/>
      <c r="V248" s="1"/>
      <c r="W248"/>
      <c r="X248"/>
    </row>
    <row r="249" spans="5:24" s="12" customFormat="1" ht="15" hidden="1" customHeight="1" outlineLevel="1" x14ac:dyDescent="0.25">
      <c r="E249" s="63"/>
      <c r="I249" s="46"/>
      <c r="J249" s="46"/>
      <c r="K249" s="18"/>
      <c r="L249" s="59"/>
      <c r="M249" s="59"/>
      <c r="N249" s="13"/>
      <c r="O249" s="13"/>
      <c r="P249" s="42"/>
      <c r="S249" s="18"/>
      <c r="T249" s="80"/>
      <c r="U249" s="18"/>
      <c r="V249" s="1"/>
      <c r="W249"/>
      <c r="X249"/>
    </row>
    <row r="250" spans="5:24" s="12" customFormat="1" ht="15" hidden="1" customHeight="1" outlineLevel="1" x14ac:dyDescent="0.25">
      <c r="E250" s="63"/>
      <c r="I250" s="46"/>
      <c r="J250" s="46"/>
      <c r="K250" s="18"/>
      <c r="L250" s="59"/>
      <c r="M250" s="59"/>
      <c r="N250" s="13"/>
      <c r="O250" s="13"/>
      <c r="P250" s="42"/>
      <c r="S250" s="18"/>
      <c r="T250" s="80"/>
      <c r="U250" s="18"/>
      <c r="V250" s="1"/>
      <c r="W250"/>
      <c r="X250"/>
    </row>
    <row r="251" spans="5:24" s="12" customFormat="1" ht="15" hidden="1" customHeight="1" outlineLevel="1" x14ac:dyDescent="0.25">
      <c r="E251" s="63"/>
      <c r="I251" s="46"/>
      <c r="J251" s="46"/>
      <c r="K251" s="18"/>
      <c r="L251" s="59"/>
      <c r="M251" s="59"/>
      <c r="N251" s="13"/>
      <c r="O251" s="13"/>
      <c r="P251" s="42"/>
      <c r="S251" s="18"/>
      <c r="T251" s="80"/>
      <c r="U251" s="18"/>
      <c r="V251" s="1"/>
      <c r="W251"/>
      <c r="X251"/>
    </row>
    <row r="252" spans="5:24" collapsed="1" x14ac:dyDescent="0.25">
      <c r="N252"/>
    </row>
    <row r="256" spans="5:24" x14ac:dyDescent="0.25">
      <c r="P256" s="41" t="s">
        <v>70</v>
      </c>
    </row>
  </sheetData>
  <autoFilter ref="A5:X175" xr:uid="{00000000-0009-0000-0000-000001000000}"/>
  <sortState xmlns:xlrd2="http://schemas.microsoft.com/office/spreadsheetml/2017/richdata2" ref="A6:AH155">
    <sortCondition ref="A6:A155"/>
    <sortCondition ref="E6:E155"/>
  </sortState>
  <dataConsolidate/>
  <customSheetViews>
    <customSheetView guid="{B3053EE5-F487-4331-B4B6-28A1F2EF1617}" filter="1" showAutoFilter="1" hiddenRows="1" hiddenColumns="1">
      <pane ySplit="4" topLeftCell="A5" activePane="bottomLeft" state="frozen"/>
      <selection pane="bottomLeft" activeCell="H77" sqref="H77"/>
      <pageMargins left="0.70866141732283472" right="0.70866141732283472" top="0.35433070866141736" bottom="0.74803149606299213" header="0.31496062992125984" footer="0.31496062992125984"/>
      <pageSetup paperSize="9" scale="53" orientation="portrait" r:id="rId1"/>
      <autoFilter ref="A4:AV400" xr:uid="{1DB3E0BF-42D9-4856-BDFD-349AF6CE681F}">
        <filterColumn colId="6">
          <filters>
            <filter val="2019.06"/>
            <filter val="2019.07"/>
            <filter val="2019.08"/>
            <filter val="2019.09"/>
            <filter val="2019.10"/>
          </filters>
        </filterColumn>
        <filterColumn colId="8">
          <filters>
            <filter val="Bér"/>
          </filters>
        </filterColumn>
        <filterColumn colId="19">
          <filters>
            <filter val="i"/>
          </filters>
        </filterColumn>
        <filterColumn colId="22">
          <filters blank="1"/>
        </filterColumn>
      </autoFilter>
    </customSheetView>
  </customSheetViews>
  <mergeCells count="1">
    <mergeCell ref="A2:E2"/>
  </mergeCells>
  <phoneticPr fontId="40" type="noConversion"/>
  <dataValidations count="6">
    <dataValidation type="list" allowBlank="1" showInputMessage="1" showErrorMessage="1" sqref="S175:T175" xr:uid="{00000000-0002-0000-0100-000000000000}">
      <formula1>#REF!</formula1>
    </dataValidation>
    <dataValidation type="list" allowBlank="1" showInputMessage="1" showErrorMessage="1" sqref="A65449:D65456 A65440:D65447 A65458:D65458" xr:uid="{00000000-0002-0000-0100-000002000000}">
      <formula1>#REF!</formula1>
    </dataValidation>
    <dataValidation type="list" allowBlank="1" showInputMessage="1" showErrorMessage="1" sqref="C6:C175" xr:uid="{00000000-0002-0000-0100-000004000000}">
      <formula1>$C$179:$C$180</formula1>
    </dataValidation>
    <dataValidation type="list" allowBlank="1" showInputMessage="1" showErrorMessage="1" sqref="F6:F175" xr:uid="{00000000-0002-0000-0100-000008000000}">
      <formula1>$F$179:$F$180</formula1>
    </dataValidation>
    <dataValidation type="list" allowBlank="1" showInputMessage="1" showErrorMessage="1" sqref="H6:H175" xr:uid="{601FE2FC-E7B6-46F4-A2C2-7BA2523D25AF}">
      <formula1>$H$179:$H$182</formula1>
    </dataValidation>
    <dataValidation type="list" allowBlank="1" showInputMessage="1" showErrorMessage="1" sqref="B6:B175" xr:uid="{B2C5F4E1-BBBB-4552-82F9-0BF8C4E15A96}">
      <formula1>$B$179:$B$180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D76AAE-877C-465E-A12B-6C65DAB683B0}">
          <x14:formula1>
            <xm:f>Hónapok!$A$1:$A$48</xm:f>
          </x14:formula1>
          <xm:sqref>E6:E175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4">
    <pageSetUpPr fitToPage="1"/>
  </sheetPr>
  <dimension ref="A1:L28"/>
  <sheetViews>
    <sheetView topLeftCell="A6" zoomScaleNormal="100" workbookViewId="0">
      <selection activeCell="G10" sqref="G10"/>
    </sheetView>
  </sheetViews>
  <sheetFormatPr defaultColWidth="9.140625" defaultRowHeight="15" outlineLevelRow="1" x14ac:dyDescent="0.25"/>
  <cols>
    <col min="1" max="1" width="11.85546875" customWidth="1"/>
    <col min="2" max="2" width="26.85546875" customWidth="1"/>
    <col min="3" max="3" width="22" customWidth="1"/>
    <col min="4" max="4" width="23.85546875" customWidth="1"/>
    <col min="5" max="5" width="34.85546875" customWidth="1"/>
    <col min="6" max="6" width="32.5703125" style="19" customWidth="1"/>
    <col min="7" max="7" width="21.42578125" style="19" customWidth="1"/>
    <col min="8" max="8" width="17.85546875" style="19" customWidth="1"/>
    <col min="9" max="9" width="17.140625" style="10" customWidth="1"/>
    <col min="10" max="10" width="17.140625" style="21" customWidth="1"/>
    <col min="11" max="11" width="14" style="19" customWidth="1"/>
    <col min="12" max="12" width="18.28515625" customWidth="1"/>
    <col min="13" max="14" width="9.140625" customWidth="1"/>
    <col min="15" max="16" width="10.140625" bestFit="1" customWidth="1"/>
  </cols>
  <sheetData>
    <row r="1" spans="1:12" s="12" customFormat="1" hidden="1" outlineLevel="1" x14ac:dyDescent="0.25">
      <c r="B1" s="12" t="s">
        <v>55</v>
      </c>
      <c r="F1" s="18"/>
      <c r="G1" s="18"/>
      <c r="H1" s="18"/>
      <c r="I1" s="17"/>
      <c r="J1" s="20" t="s">
        <v>8</v>
      </c>
      <c r="K1" s="12" t="s">
        <v>84</v>
      </c>
    </row>
    <row r="2" spans="1:12" s="12" customFormat="1" hidden="1" outlineLevel="1" x14ac:dyDescent="0.25">
      <c r="B2" s="12" t="s">
        <v>76</v>
      </c>
      <c r="F2" s="18"/>
      <c r="G2" s="18"/>
      <c r="H2" s="18"/>
      <c r="I2" s="17"/>
      <c r="J2" s="20" t="s">
        <v>9</v>
      </c>
      <c r="K2" s="12" t="s">
        <v>85</v>
      </c>
    </row>
    <row r="3" spans="1:12" s="12" customFormat="1" hidden="1" outlineLevel="1" x14ac:dyDescent="0.25">
      <c r="B3" s="12" t="s">
        <v>138</v>
      </c>
      <c r="F3" s="18"/>
      <c r="G3" s="18"/>
      <c r="H3" s="18"/>
      <c r="I3" s="17"/>
      <c r="J3" s="20"/>
    </row>
    <row r="4" spans="1:12" s="12" customFormat="1" hidden="1" outlineLevel="1" x14ac:dyDescent="0.25">
      <c r="B4" s="12" t="s">
        <v>78</v>
      </c>
      <c r="F4" s="18"/>
      <c r="G4" s="18"/>
      <c r="H4" s="18"/>
      <c r="I4" s="17"/>
      <c r="J4" s="20"/>
    </row>
    <row r="5" spans="1:12" s="12" customFormat="1" hidden="1" outlineLevel="1" x14ac:dyDescent="0.25">
      <c r="F5" s="18"/>
      <c r="G5" s="18"/>
      <c r="H5" s="18"/>
      <c r="I5" s="17"/>
      <c r="J5" s="20"/>
    </row>
    <row r="6" spans="1:12" s="9" customFormat="1" collapsed="1" x14ac:dyDescent="0.25">
      <c r="C6" s="139"/>
      <c r="F6" s="76"/>
      <c r="G6" s="76"/>
      <c r="H6" s="76"/>
      <c r="I6" s="138"/>
      <c r="J6" s="140"/>
      <c r="K6" s="76"/>
    </row>
    <row r="7" spans="1:12" s="146" customFormat="1" ht="30" x14ac:dyDescent="0.25">
      <c r="A7" s="141" t="s">
        <v>12</v>
      </c>
      <c r="B7" s="141" t="s">
        <v>61</v>
      </c>
      <c r="C7" s="142" t="s">
        <v>142</v>
      </c>
      <c r="D7" s="142" t="s">
        <v>4</v>
      </c>
      <c r="E7" s="142" t="s">
        <v>5</v>
      </c>
      <c r="F7" s="143" t="s">
        <v>40</v>
      </c>
      <c r="G7" s="144" t="s">
        <v>139</v>
      </c>
      <c r="H7" s="144" t="s">
        <v>140</v>
      </c>
      <c r="I7" s="144" t="s">
        <v>141</v>
      </c>
      <c r="J7" s="142" t="s">
        <v>11</v>
      </c>
      <c r="K7" s="142" t="s">
        <v>6</v>
      </c>
      <c r="L7" s="145" t="s">
        <v>10</v>
      </c>
    </row>
    <row r="8" spans="1:12" s="148" customFormat="1" ht="15" customHeight="1" x14ac:dyDescent="0.25">
      <c r="A8" s="163"/>
      <c r="B8" s="164"/>
      <c r="C8" s="165"/>
      <c r="D8" s="166"/>
      <c r="E8" s="166"/>
      <c r="F8" s="164"/>
      <c r="G8" s="164"/>
      <c r="H8" s="164"/>
      <c r="I8" s="167">
        <f t="shared" ref="I8:I23" si="0">SUM(G8:H8)</f>
        <v>0</v>
      </c>
      <c r="J8" s="164"/>
      <c r="K8" s="164"/>
      <c r="L8" s="168"/>
    </row>
    <row r="9" spans="1:12" s="148" customFormat="1" ht="30" customHeight="1" x14ac:dyDescent="0.25">
      <c r="A9" s="147"/>
      <c r="B9" s="169" t="s">
        <v>138</v>
      </c>
      <c r="C9" s="170" t="s">
        <v>260</v>
      </c>
      <c r="D9" s="171" t="s">
        <v>261</v>
      </c>
      <c r="E9" s="171" t="s">
        <v>262</v>
      </c>
      <c r="F9" s="169">
        <v>202304272532</v>
      </c>
      <c r="G9" s="215">
        <v>702000</v>
      </c>
      <c r="H9" s="215">
        <v>189540</v>
      </c>
      <c r="I9" s="122">
        <f t="shared" si="0"/>
        <v>891540</v>
      </c>
      <c r="J9" s="169" t="s">
        <v>9</v>
      </c>
      <c r="K9" s="169" t="s">
        <v>84</v>
      </c>
      <c r="L9" s="149"/>
    </row>
    <row r="10" spans="1:12" s="148" customFormat="1" ht="30" customHeight="1" x14ac:dyDescent="0.25">
      <c r="A10" s="147"/>
      <c r="B10" s="169" t="s">
        <v>138</v>
      </c>
      <c r="C10" s="170" t="s">
        <v>263</v>
      </c>
      <c r="D10" s="171" t="s">
        <v>264</v>
      </c>
      <c r="E10" s="171" t="s">
        <v>265</v>
      </c>
      <c r="F10" s="169">
        <v>202304272533</v>
      </c>
      <c r="G10" s="215">
        <v>534280</v>
      </c>
      <c r="H10" s="215">
        <v>144256</v>
      </c>
      <c r="I10" s="122">
        <f t="shared" si="0"/>
        <v>678536</v>
      </c>
      <c r="J10" s="169" t="s">
        <v>9</v>
      </c>
      <c r="K10" s="169" t="s">
        <v>84</v>
      </c>
      <c r="L10" s="149"/>
    </row>
    <row r="11" spans="1:12" s="148" customFormat="1" ht="30" customHeight="1" x14ac:dyDescent="0.25">
      <c r="A11" s="147"/>
      <c r="B11" s="169"/>
      <c r="C11" s="170"/>
      <c r="D11" s="171"/>
      <c r="E11" s="171"/>
      <c r="F11" s="169"/>
      <c r="G11" s="215"/>
      <c r="H11" s="215"/>
      <c r="I11" s="122">
        <f t="shared" si="0"/>
        <v>0</v>
      </c>
      <c r="J11" s="169"/>
      <c r="K11" s="169"/>
      <c r="L11" s="149"/>
    </row>
    <row r="12" spans="1:12" s="148" customFormat="1" ht="30" customHeight="1" x14ac:dyDescent="0.25">
      <c r="A12" s="147"/>
      <c r="B12" s="169"/>
      <c r="C12" s="170"/>
      <c r="D12" s="171"/>
      <c r="E12" s="171"/>
      <c r="F12" s="169"/>
      <c r="G12" s="215"/>
      <c r="H12" s="215"/>
      <c r="I12" s="122">
        <f t="shared" si="0"/>
        <v>0</v>
      </c>
      <c r="J12" s="169"/>
      <c r="K12" s="169"/>
      <c r="L12" s="149"/>
    </row>
    <row r="13" spans="1:12" s="148" customFormat="1" ht="30" customHeight="1" x14ac:dyDescent="0.25">
      <c r="A13" s="147"/>
      <c r="B13" s="169"/>
      <c r="C13" s="170"/>
      <c r="D13" s="171"/>
      <c r="E13" s="171"/>
      <c r="F13" s="169"/>
      <c r="G13" s="215"/>
      <c r="H13" s="215"/>
      <c r="I13" s="122">
        <f t="shared" si="0"/>
        <v>0</v>
      </c>
      <c r="J13" s="169"/>
      <c r="K13" s="169"/>
      <c r="L13" s="149"/>
    </row>
    <row r="14" spans="1:12" s="148" customFormat="1" ht="30" customHeight="1" x14ac:dyDescent="0.25">
      <c r="A14" s="147"/>
      <c r="B14" s="169"/>
      <c r="C14" s="170"/>
      <c r="D14" s="171"/>
      <c r="E14" s="171"/>
      <c r="F14" s="169"/>
      <c r="G14" s="215"/>
      <c r="H14" s="215"/>
      <c r="I14" s="122">
        <f t="shared" si="0"/>
        <v>0</v>
      </c>
      <c r="J14" s="169"/>
      <c r="K14" s="169"/>
      <c r="L14" s="149"/>
    </row>
    <row r="15" spans="1:12" s="148" customFormat="1" ht="30" customHeight="1" x14ac:dyDescent="0.25">
      <c r="A15" s="147"/>
      <c r="B15" s="169"/>
      <c r="C15" s="170"/>
      <c r="D15" s="171"/>
      <c r="E15" s="171"/>
      <c r="F15" s="169"/>
      <c r="G15" s="215"/>
      <c r="H15" s="215"/>
      <c r="I15" s="122">
        <f t="shared" si="0"/>
        <v>0</v>
      </c>
      <c r="J15" s="169"/>
      <c r="K15" s="169"/>
      <c r="L15" s="149"/>
    </row>
    <row r="16" spans="1:12" s="148" customFormat="1" ht="30" customHeight="1" x14ac:dyDescent="0.25">
      <c r="A16" s="147"/>
      <c r="B16" s="169"/>
      <c r="C16" s="170"/>
      <c r="D16" s="171"/>
      <c r="E16" s="171"/>
      <c r="F16" s="169"/>
      <c r="G16" s="215"/>
      <c r="H16" s="215"/>
      <c r="I16" s="122">
        <f t="shared" si="0"/>
        <v>0</v>
      </c>
      <c r="J16" s="169"/>
      <c r="K16" s="169"/>
      <c r="L16" s="149"/>
    </row>
    <row r="17" spans="1:12" s="148" customFormat="1" ht="15" customHeight="1" x14ac:dyDescent="0.25">
      <c r="A17" s="147"/>
      <c r="B17" s="169"/>
      <c r="C17" s="170"/>
      <c r="D17" s="172"/>
      <c r="E17" s="171"/>
      <c r="F17" s="169"/>
      <c r="G17" s="215"/>
      <c r="H17" s="215"/>
      <c r="I17" s="122">
        <f t="shared" si="0"/>
        <v>0</v>
      </c>
      <c r="J17" s="169"/>
      <c r="K17" s="169"/>
      <c r="L17" s="149"/>
    </row>
    <row r="18" spans="1:12" s="148" customFormat="1" ht="30" customHeight="1" x14ac:dyDescent="0.25">
      <c r="A18" s="147"/>
      <c r="B18" s="169"/>
      <c r="C18" s="170"/>
      <c r="D18" s="171"/>
      <c r="E18" s="171"/>
      <c r="F18" s="169"/>
      <c r="G18" s="215"/>
      <c r="H18" s="215"/>
      <c r="I18" s="122">
        <f t="shared" si="0"/>
        <v>0</v>
      </c>
      <c r="J18" s="169"/>
      <c r="K18" s="169"/>
      <c r="L18" s="149"/>
    </row>
    <row r="19" spans="1:12" s="148" customFormat="1" x14ac:dyDescent="0.25">
      <c r="A19" s="147"/>
      <c r="B19" s="169"/>
      <c r="C19" s="170"/>
      <c r="D19" s="171"/>
      <c r="E19" s="171"/>
      <c r="F19" s="169"/>
      <c r="G19" s="215"/>
      <c r="H19" s="215"/>
      <c r="I19" s="122">
        <f t="shared" si="0"/>
        <v>0</v>
      </c>
      <c r="J19" s="169"/>
      <c r="K19" s="169"/>
      <c r="L19" s="149"/>
    </row>
    <row r="20" spans="1:12" s="148" customFormat="1" x14ac:dyDescent="0.25">
      <c r="A20" s="147"/>
      <c r="B20" s="169"/>
      <c r="C20" s="170"/>
      <c r="D20" s="171"/>
      <c r="E20" s="171"/>
      <c r="F20" s="169"/>
      <c r="G20" s="215"/>
      <c r="H20" s="215"/>
      <c r="I20" s="122">
        <f t="shared" si="0"/>
        <v>0</v>
      </c>
      <c r="J20" s="169"/>
      <c r="K20" s="169"/>
      <c r="L20" s="149"/>
    </row>
    <row r="21" spans="1:12" s="28" customFormat="1" x14ac:dyDescent="0.25">
      <c r="A21" s="23"/>
      <c r="B21" s="22"/>
      <c r="C21" s="25"/>
      <c r="D21" s="24"/>
      <c r="E21" s="24"/>
      <c r="F21" s="22"/>
      <c r="G21" s="216"/>
      <c r="H21" s="216"/>
      <c r="I21" s="122">
        <f t="shared" si="0"/>
        <v>0</v>
      </c>
      <c r="J21" s="22"/>
      <c r="K21" s="22"/>
      <c r="L21" s="27"/>
    </row>
    <row r="22" spans="1:12" s="28" customFormat="1" x14ac:dyDescent="0.25">
      <c r="A22" s="23"/>
      <c r="B22" s="22"/>
      <c r="C22" s="25"/>
      <c r="D22" s="24"/>
      <c r="E22" s="24"/>
      <c r="F22" s="22"/>
      <c r="G22" s="216"/>
      <c r="H22" s="216"/>
      <c r="I22" s="122">
        <f t="shared" si="0"/>
        <v>0</v>
      </c>
      <c r="J22" s="22"/>
      <c r="K22" s="22"/>
      <c r="L22" s="27"/>
    </row>
    <row r="23" spans="1:12" s="28" customFormat="1" ht="15" customHeight="1" x14ac:dyDescent="0.25">
      <c r="A23" s="36"/>
      <c r="B23" s="22"/>
      <c r="C23" s="38"/>
      <c r="D23" s="37"/>
      <c r="E23" s="37"/>
      <c r="F23" s="39"/>
      <c r="G23" s="217"/>
      <c r="H23" s="217"/>
      <c r="I23" s="122">
        <f t="shared" si="0"/>
        <v>0</v>
      </c>
      <c r="J23" s="39"/>
      <c r="K23" s="39"/>
      <c r="L23" s="40"/>
    </row>
    <row r="24" spans="1:12" s="28" customFormat="1" ht="15" customHeight="1" x14ac:dyDescent="0.25">
      <c r="A24" s="31"/>
      <c r="B24" s="121"/>
      <c r="C24" s="33"/>
      <c r="D24" s="32"/>
      <c r="E24" s="32"/>
      <c r="F24" s="34"/>
      <c r="G24" s="34"/>
      <c r="H24" s="34"/>
      <c r="I24" s="173"/>
      <c r="J24" s="34"/>
      <c r="K24" s="34"/>
      <c r="L24" s="35"/>
    </row>
    <row r="25" spans="1:12" x14ac:dyDescent="0.25">
      <c r="G25" s="214">
        <f>SUBTOTAL(9,G8:G24)</f>
        <v>1236280</v>
      </c>
      <c r="H25" s="214">
        <f>SUBTOTAL(9,H8:H24)</f>
        <v>333796</v>
      </c>
      <c r="I25" s="214">
        <f>SUBTOTAL(9,I8:I24)</f>
        <v>1570076</v>
      </c>
    </row>
    <row r="27" spans="1:12" s="28" customFormat="1" x14ac:dyDescent="0.25">
      <c r="A27" s="23"/>
      <c r="B27" s="22"/>
      <c r="C27" s="25"/>
      <c r="D27" s="24"/>
      <c r="E27" s="24"/>
      <c r="F27" s="22" t="s">
        <v>51</v>
      </c>
      <c r="G27" s="22"/>
      <c r="H27" s="22"/>
      <c r="I27" s="26" t="s">
        <v>69</v>
      </c>
      <c r="J27" s="22"/>
      <c r="K27" s="22"/>
      <c r="L27"/>
    </row>
    <row r="28" spans="1:12" x14ac:dyDescent="0.25">
      <c r="F28" s="10">
        <f>Bérköltség!N176+Bérköltség!O176</f>
        <v>56185766</v>
      </c>
      <c r="G28" s="10"/>
      <c r="H28" s="10"/>
      <c r="I28" s="10">
        <f>Bérköltség!N176+Bérköltség!O176+Dologi_felhalm.!I25</f>
        <v>57755842</v>
      </c>
    </row>
  </sheetData>
  <autoFilter ref="A7:N20" xr:uid="{00000000-0001-0000-0200-000000000000}"/>
  <customSheetViews>
    <customSheetView guid="{B3053EE5-F487-4331-B4B6-28A1F2EF1617}" showAutoFilter="1" hiddenRows="1" topLeftCell="A40">
      <selection activeCell="L44" sqref="L44"/>
      <pageMargins left="0.7" right="0.7" top="0.75" bottom="0.75" header="0.3" footer="0.3"/>
      <pageSetup paperSize="9" orientation="portrait" r:id="rId1"/>
      <autoFilter ref="A41:N455" xr:uid="{B10C91D4-77C6-4F03-BA40-228F8D34DCF9}"/>
    </customSheetView>
  </customSheetViews>
  <dataValidations count="4">
    <dataValidation type="list" allowBlank="1" showInputMessage="1" showErrorMessage="1" sqref="K27 K8:K24" xr:uid="{00000000-0002-0000-0200-000000000000}">
      <formula1>$K$1:$K$2</formula1>
    </dataValidation>
    <dataValidation type="list" allowBlank="1" showInputMessage="1" showErrorMessage="1" sqref="J27 J8:J24" xr:uid="{00000000-0002-0000-0200-000002000000}">
      <formula1>$J$1:$J$2</formula1>
    </dataValidation>
    <dataValidation type="list" allowBlank="1" showInputMessage="1" showErrorMessage="1" sqref="B27" xr:uid="{00000000-0002-0000-0200-000004000000}">
      <formula1>$B$1:$B$2</formula1>
    </dataValidation>
    <dataValidation type="list" allowBlank="1" showInputMessage="1" showErrorMessage="1" sqref="B8:B24" xr:uid="{CB805A0D-1CD0-4D9D-AFA1-0F5E72AD823F}">
      <formula1>$B$1:$B$4</formula1>
    </dataValidation>
  </dataValidations>
  <pageMargins left="0.70866141732283472" right="0.70866141732283472" top="0.19685039370078741" bottom="0.19685039370078741" header="0.31496062992125984" footer="0.31496062992125984"/>
  <pageSetup paperSize="9" scale="51" fitToHeight="0" orientation="landscape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Munka5"/>
  <dimension ref="A1:A48"/>
  <sheetViews>
    <sheetView topLeftCell="A16" workbookViewId="0">
      <selection activeCell="A6" sqref="A6:A8"/>
    </sheetView>
  </sheetViews>
  <sheetFormatPr defaultRowHeight="15" x14ac:dyDescent="0.25"/>
  <sheetData>
    <row r="1" spans="1:1" x14ac:dyDescent="0.25">
      <c r="A1" s="92" t="s">
        <v>86</v>
      </c>
    </row>
    <row r="2" spans="1:1" x14ac:dyDescent="0.25">
      <c r="A2" s="93" t="s">
        <v>87</v>
      </c>
    </row>
    <row r="3" spans="1:1" x14ac:dyDescent="0.25">
      <c r="A3" s="92" t="s">
        <v>88</v>
      </c>
    </row>
    <row r="4" spans="1:1" x14ac:dyDescent="0.25">
      <c r="A4" s="93" t="s">
        <v>89</v>
      </c>
    </row>
    <row r="5" spans="1:1" x14ac:dyDescent="0.25">
      <c r="A5" s="93" t="s">
        <v>90</v>
      </c>
    </row>
    <row r="6" spans="1:1" x14ac:dyDescent="0.25">
      <c r="A6" s="93" t="s">
        <v>91</v>
      </c>
    </row>
    <row r="7" spans="1:1" x14ac:dyDescent="0.25">
      <c r="A7" s="93" t="s">
        <v>92</v>
      </c>
    </row>
    <row r="8" spans="1:1" x14ac:dyDescent="0.25">
      <c r="A8" s="93" t="s">
        <v>93</v>
      </c>
    </row>
    <row r="9" spans="1:1" x14ac:dyDescent="0.25">
      <c r="A9" s="93" t="s">
        <v>94</v>
      </c>
    </row>
    <row r="10" spans="1:1" x14ac:dyDescent="0.25">
      <c r="A10" s="93" t="s">
        <v>95</v>
      </c>
    </row>
    <row r="11" spans="1:1" x14ac:dyDescent="0.25">
      <c r="A11" s="93" t="s">
        <v>96</v>
      </c>
    </row>
    <row r="12" spans="1:1" x14ac:dyDescent="0.25">
      <c r="A12" s="93" t="s">
        <v>97</v>
      </c>
    </row>
    <row r="13" spans="1:1" x14ac:dyDescent="0.25">
      <c r="A13" s="93" t="s">
        <v>98</v>
      </c>
    </row>
    <row r="14" spans="1:1" x14ac:dyDescent="0.25">
      <c r="A14" s="93" t="s">
        <v>99</v>
      </c>
    </row>
    <row r="15" spans="1:1" x14ac:dyDescent="0.25">
      <c r="A15" s="93" t="s">
        <v>100</v>
      </c>
    </row>
    <row r="16" spans="1:1" x14ac:dyDescent="0.25">
      <c r="A16" s="93" t="s">
        <v>101</v>
      </c>
    </row>
    <row r="17" spans="1:1" x14ac:dyDescent="0.25">
      <c r="A17" s="93" t="s">
        <v>102</v>
      </c>
    </row>
    <row r="18" spans="1:1" x14ac:dyDescent="0.25">
      <c r="A18" s="93" t="s">
        <v>103</v>
      </c>
    </row>
    <row r="19" spans="1:1" x14ac:dyDescent="0.25">
      <c r="A19" s="93" t="s">
        <v>104</v>
      </c>
    </row>
    <row r="20" spans="1:1" x14ac:dyDescent="0.25">
      <c r="A20" s="93" t="s">
        <v>105</v>
      </c>
    </row>
    <row r="21" spans="1:1" x14ac:dyDescent="0.25">
      <c r="A21" s="93" t="s">
        <v>106</v>
      </c>
    </row>
    <row r="22" spans="1:1" x14ac:dyDescent="0.25">
      <c r="A22" s="93" t="s">
        <v>107</v>
      </c>
    </row>
    <row r="23" spans="1:1" x14ac:dyDescent="0.25">
      <c r="A23" s="93" t="s">
        <v>108</v>
      </c>
    </row>
    <row r="24" spans="1:1" x14ac:dyDescent="0.25">
      <c r="A24" s="93" t="s">
        <v>109</v>
      </c>
    </row>
    <row r="25" spans="1:1" x14ac:dyDescent="0.25">
      <c r="A25" s="93" t="s">
        <v>110</v>
      </c>
    </row>
    <row r="26" spans="1:1" x14ac:dyDescent="0.25">
      <c r="A26" s="93" t="s">
        <v>111</v>
      </c>
    </row>
    <row r="27" spans="1:1" x14ac:dyDescent="0.25">
      <c r="A27" s="93" t="s">
        <v>112</v>
      </c>
    </row>
    <row r="28" spans="1:1" x14ac:dyDescent="0.25">
      <c r="A28" t="s">
        <v>113</v>
      </c>
    </row>
    <row r="29" spans="1:1" x14ac:dyDescent="0.25">
      <c r="A29" t="s">
        <v>114</v>
      </c>
    </row>
    <row r="30" spans="1:1" x14ac:dyDescent="0.25">
      <c r="A30" t="s">
        <v>115</v>
      </c>
    </row>
    <row r="31" spans="1:1" x14ac:dyDescent="0.25">
      <c r="A31" t="s">
        <v>116</v>
      </c>
    </row>
    <row r="32" spans="1:1" x14ac:dyDescent="0.25">
      <c r="A32" t="s">
        <v>117</v>
      </c>
    </row>
    <row r="33" spans="1:1" x14ac:dyDescent="0.25">
      <c r="A33" t="s">
        <v>118</v>
      </c>
    </row>
    <row r="34" spans="1:1" x14ac:dyDescent="0.25">
      <c r="A34" t="s">
        <v>119</v>
      </c>
    </row>
    <row r="35" spans="1:1" x14ac:dyDescent="0.25">
      <c r="A35" t="s">
        <v>120</v>
      </c>
    </row>
    <row r="36" spans="1:1" x14ac:dyDescent="0.25">
      <c r="A36" t="s">
        <v>121</v>
      </c>
    </row>
    <row r="37" spans="1:1" x14ac:dyDescent="0.25">
      <c r="A37" t="s">
        <v>122</v>
      </c>
    </row>
    <row r="38" spans="1:1" x14ac:dyDescent="0.25">
      <c r="A38" t="s">
        <v>123</v>
      </c>
    </row>
    <row r="39" spans="1:1" x14ac:dyDescent="0.25">
      <c r="A39" t="s">
        <v>124</v>
      </c>
    </row>
    <row r="40" spans="1:1" x14ac:dyDescent="0.25">
      <c r="A40" t="s">
        <v>125</v>
      </c>
    </row>
    <row r="41" spans="1:1" x14ac:dyDescent="0.25">
      <c r="A41" t="s">
        <v>126</v>
      </c>
    </row>
    <row r="42" spans="1:1" x14ac:dyDescent="0.25">
      <c r="A42" t="s">
        <v>127</v>
      </c>
    </row>
    <row r="43" spans="1:1" x14ac:dyDescent="0.25">
      <c r="A43" t="s">
        <v>128</v>
      </c>
    </row>
    <row r="44" spans="1:1" x14ac:dyDescent="0.25">
      <c r="A44" t="s">
        <v>129</v>
      </c>
    </row>
    <row r="45" spans="1:1" x14ac:dyDescent="0.25">
      <c r="A45" t="s">
        <v>130</v>
      </c>
    </row>
    <row r="46" spans="1:1" x14ac:dyDescent="0.25">
      <c r="A46" t="s">
        <v>131</v>
      </c>
    </row>
    <row r="47" spans="1:1" x14ac:dyDescent="0.25">
      <c r="A47" t="s">
        <v>132</v>
      </c>
    </row>
    <row r="48" spans="1:1" x14ac:dyDescent="0.25">
      <c r="A48" t="s">
        <v>133</v>
      </c>
    </row>
  </sheetData>
  <customSheetViews>
    <customSheetView guid="{B3053EE5-F487-4331-B4B6-28A1F2EF1617}">
      <selection activeCell="A7" sqref="A7:A13"/>
      <pageMargins left="0.7" right="0.7" top="0.75" bottom="0.75" header="0.3" footer="0.3"/>
    </customSheetView>
  </customSheetViews>
  <phoneticPr fontId="4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Munka6"/>
  <dimension ref="A1:A2"/>
  <sheetViews>
    <sheetView workbookViewId="0">
      <selection sqref="A1:A2"/>
    </sheetView>
  </sheetViews>
  <sheetFormatPr defaultRowHeight="15" x14ac:dyDescent="0.25"/>
  <cols>
    <col min="1" max="2" width="27.42578125" customWidth="1"/>
  </cols>
  <sheetData>
    <row r="1" spans="1:1" s="28" customFormat="1" ht="18.75" customHeight="1" x14ac:dyDescent="0.25">
      <c r="A1" s="28" t="s">
        <v>84</v>
      </c>
    </row>
    <row r="2" spans="1:1" s="28" customFormat="1" ht="18.75" customHeight="1" x14ac:dyDescent="0.25">
      <c r="A2" s="28" t="s">
        <v>85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24A8-201D-4374-8492-00396E1EF7FA}">
  <dimension ref="A1:A6"/>
  <sheetViews>
    <sheetView workbookViewId="0">
      <selection activeCell="A9" sqref="A9"/>
    </sheetView>
  </sheetViews>
  <sheetFormatPr defaultRowHeight="15" x14ac:dyDescent="0.25"/>
  <cols>
    <col min="1" max="1" width="26" customWidth="1"/>
  </cols>
  <sheetData>
    <row r="1" spans="1:1" x14ac:dyDescent="0.25">
      <c r="A1" s="110" t="s">
        <v>56</v>
      </c>
    </row>
    <row r="2" spans="1:1" x14ac:dyDescent="0.25">
      <c r="A2" s="110" t="s">
        <v>75</v>
      </c>
    </row>
    <row r="3" spans="1:1" x14ac:dyDescent="0.25">
      <c r="A3" s="110" t="s">
        <v>55</v>
      </c>
    </row>
    <row r="4" spans="1:1" x14ac:dyDescent="0.25">
      <c r="A4" s="110" t="s">
        <v>76</v>
      </c>
    </row>
    <row r="5" spans="1:1" x14ac:dyDescent="0.25">
      <c r="A5" s="116" t="s">
        <v>54</v>
      </c>
    </row>
    <row r="6" spans="1:1" x14ac:dyDescent="0.25">
      <c r="A6" s="150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229ED-074E-434D-924D-38D9459DBEC3}">
  <dimension ref="A1:E35"/>
  <sheetViews>
    <sheetView topLeftCell="A2" workbookViewId="0">
      <selection activeCell="I29" sqref="I29"/>
    </sheetView>
  </sheetViews>
  <sheetFormatPr defaultRowHeight="15" x14ac:dyDescent="0.25"/>
  <cols>
    <col min="4" max="4" width="19.28515625" bestFit="1" customWidth="1"/>
  </cols>
  <sheetData>
    <row r="1" spans="1:5" x14ac:dyDescent="0.25">
      <c r="A1" t="s">
        <v>194</v>
      </c>
      <c r="D1" t="s">
        <v>193</v>
      </c>
    </row>
    <row r="2" spans="1:5" x14ac:dyDescent="0.25">
      <c r="A2" t="s">
        <v>192</v>
      </c>
      <c r="D2" s="200">
        <v>319993170</v>
      </c>
    </row>
    <row r="3" spans="1:5" x14ac:dyDescent="0.25">
      <c r="A3" t="s">
        <v>187</v>
      </c>
    </row>
    <row r="4" spans="1:5" x14ac:dyDescent="0.25">
      <c r="B4" t="s">
        <v>188</v>
      </c>
      <c r="D4" s="200">
        <v>79999685</v>
      </c>
      <c r="E4" t="s">
        <v>195</v>
      </c>
    </row>
    <row r="5" spans="1:5" x14ac:dyDescent="0.25">
      <c r="B5" t="s">
        <v>189</v>
      </c>
      <c r="D5" s="200">
        <v>79994105</v>
      </c>
      <c r="E5" t="s">
        <v>196</v>
      </c>
    </row>
    <row r="6" spans="1:5" x14ac:dyDescent="0.25">
      <c r="B6" t="s">
        <v>190</v>
      </c>
      <c r="D6" s="200">
        <v>79999990</v>
      </c>
      <c r="E6" t="s">
        <v>197</v>
      </c>
    </row>
    <row r="7" spans="1:5" x14ac:dyDescent="0.25">
      <c r="B7" t="s">
        <v>191</v>
      </c>
      <c r="D7" s="200">
        <v>79999390</v>
      </c>
      <c r="E7" t="s">
        <v>198</v>
      </c>
    </row>
    <row r="8" spans="1:5" x14ac:dyDescent="0.25">
      <c r="A8" t="s">
        <v>199</v>
      </c>
    </row>
    <row r="9" spans="1:5" x14ac:dyDescent="0.25">
      <c r="B9" t="s">
        <v>200</v>
      </c>
    </row>
    <row r="10" spans="1:5" x14ac:dyDescent="0.25">
      <c r="B10" t="s">
        <v>201</v>
      </c>
    </row>
    <row r="11" spans="1:5" x14ac:dyDescent="0.25">
      <c r="B11" t="s">
        <v>202</v>
      </c>
    </row>
    <row r="12" spans="1:5" x14ac:dyDescent="0.25">
      <c r="B12" t="s">
        <v>203</v>
      </c>
    </row>
    <row r="13" spans="1:5" x14ac:dyDescent="0.25">
      <c r="B13" t="s">
        <v>204</v>
      </c>
    </row>
    <row r="15" spans="1:5" x14ac:dyDescent="0.25">
      <c r="A15" t="s">
        <v>205</v>
      </c>
    </row>
    <row r="16" spans="1:5" x14ac:dyDescent="0.25">
      <c r="A16" t="s">
        <v>206</v>
      </c>
    </row>
    <row r="17" spans="1:4" x14ac:dyDescent="0.25">
      <c r="A17" t="s">
        <v>207</v>
      </c>
    </row>
    <row r="18" spans="1:4" x14ac:dyDescent="0.25">
      <c r="A18" t="s">
        <v>208</v>
      </c>
    </row>
    <row r="19" spans="1:4" x14ac:dyDescent="0.25">
      <c r="A19" t="s">
        <v>209</v>
      </c>
    </row>
    <row r="21" spans="1:4" x14ac:dyDescent="0.25">
      <c r="A21" t="s">
        <v>210</v>
      </c>
    </row>
    <row r="22" spans="1:4" x14ac:dyDescent="0.25">
      <c r="A22" t="s">
        <v>211</v>
      </c>
    </row>
    <row r="23" spans="1:4" x14ac:dyDescent="0.25">
      <c r="A23" t="s">
        <v>212</v>
      </c>
    </row>
    <row r="24" spans="1:4" x14ac:dyDescent="0.25">
      <c r="A24" t="s">
        <v>213</v>
      </c>
    </row>
    <row r="25" spans="1:4" x14ac:dyDescent="0.25">
      <c r="A25" t="s">
        <v>215</v>
      </c>
    </row>
    <row r="26" spans="1:4" x14ac:dyDescent="0.25">
      <c r="A26" t="s">
        <v>216</v>
      </c>
    </row>
    <row r="27" spans="1:4" x14ac:dyDescent="0.25">
      <c r="A27" t="s">
        <v>217</v>
      </c>
    </row>
    <row r="28" spans="1:4" x14ac:dyDescent="0.25">
      <c r="B28" t="s">
        <v>218</v>
      </c>
      <c r="D28" t="s">
        <v>219</v>
      </c>
    </row>
    <row r="29" spans="1:4" x14ac:dyDescent="0.25">
      <c r="B29" t="s">
        <v>220</v>
      </c>
      <c r="D29" t="s">
        <v>221</v>
      </c>
    </row>
    <row r="30" spans="1:4" x14ac:dyDescent="0.25">
      <c r="A30" t="s">
        <v>222</v>
      </c>
    </row>
    <row r="31" spans="1:4" x14ac:dyDescent="0.25">
      <c r="A31" t="s">
        <v>223</v>
      </c>
    </row>
    <row r="32" spans="1:4" x14ac:dyDescent="0.25">
      <c r="A32" t="s">
        <v>224</v>
      </c>
    </row>
    <row r="34" spans="1:1" x14ac:dyDescent="0.25">
      <c r="A34" t="s">
        <v>214</v>
      </c>
    </row>
    <row r="35" spans="1:1" x14ac:dyDescent="0.25">
      <c r="A35" t="s">
        <v>225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2A79-6E12-45C2-9DFC-116FF02FA064}">
  <dimension ref="A1:E17"/>
  <sheetViews>
    <sheetView workbookViewId="0">
      <selection activeCell="I25" sqref="I25"/>
    </sheetView>
  </sheetViews>
  <sheetFormatPr defaultRowHeight="15" x14ac:dyDescent="0.25"/>
  <cols>
    <col min="1" max="5" width="17.28515625" customWidth="1"/>
  </cols>
  <sheetData>
    <row r="1" spans="1:5" x14ac:dyDescent="0.25">
      <c r="A1" s="206" t="s">
        <v>233</v>
      </c>
      <c r="B1" s="206" t="s">
        <v>234</v>
      </c>
      <c r="C1" s="206" t="s">
        <v>235</v>
      </c>
      <c r="D1" s="206" t="s">
        <v>15</v>
      </c>
      <c r="E1" s="206" t="s">
        <v>231</v>
      </c>
    </row>
    <row r="2" spans="1:5" x14ac:dyDescent="0.25">
      <c r="A2" s="209" t="s">
        <v>50</v>
      </c>
      <c r="B2" s="210" t="s">
        <v>163</v>
      </c>
      <c r="C2" s="211" t="s">
        <v>52</v>
      </c>
      <c r="D2" s="212">
        <v>599200</v>
      </c>
      <c r="E2" s="212">
        <v>77896</v>
      </c>
    </row>
    <row r="3" spans="1:5" x14ac:dyDescent="0.25">
      <c r="A3" s="209" t="s">
        <v>150</v>
      </c>
      <c r="B3" s="210" t="s">
        <v>165</v>
      </c>
      <c r="C3" s="211" t="s">
        <v>241</v>
      </c>
      <c r="D3" s="212">
        <v>690001</v>
      </c>
      <c r="E3" s="212">
        <v>89700</v>
      </c>
    </row>
    <row r="4" spans="1:5" x14ac:dyDescent="0.25">
      <c r="A4" s="209" t="s">
        <v>242</v>
      </c>
      <c r="B4" s="210" t="s">
        <v>164</v>
      </c>
      <c r="C4" s="211" t="s">
        <v>67</v>
      </c>
      <c r="D4" s="212">
        <v>916000</v>
      </c>
      <c r="E4" s="212">
        <v>119080</v>
      </c>
    </row>
    <row r="5" spans="1:5" x14ac:dyDescent="0.25">
      <c r="A5" s="209" t="s">
        <v>243</v>
      </c>
      <c r="B5" s="210" t="s">
        <v>181</v>
      </c>
      <c r="C5" s="211" t="s">
        <v>180</v>
      </c>
      <c r="D5" s="212">
        <v>995000</v>
      </c>
      <c r="E5" s="212">
        <v>129350</v>
      </c>
    </row>
    <row r="6" spans="1:5" x14ac:dyDescent="0.25">
      <c r="A6" s="209" t="s">
        <v>244</v>
      </c>
      <c r="B6" s="210" t="s">
        <v>186</v>
      </c>
      <c r="C6" s="211" t="s">
        <v>180</v>
      </c>
      <c r="D6" s="212">
        <v>872273</v>
      </c>
      <c r="E6" s="212">
        <v>113395</v>
      </c>
    </row>
    <row r="7" spans="1:5" x14ac:dyDescent="0.25">
      <c r="A7" s="209" t="s">
        <v>182</v>
      </c>
      <c r="B7" s="210" t="s">
        <v>184</v>
      </c>
      <c r="C7" s="211" t="s">
        <v>183</v>
      </c>
      <c r="D7" s="212">
        <v>650000</v>
      </c>
      <c r="E7" s="212">
        <v>84500</v>
      </c>
    </row>
    <row r="8" spans="1:5" x14ac:dyDescent="0.25">
      <c r="A8" s="209" t="s">
        <v>245</v>
      </c>
      <c r="B8" s="210" t="s">
        <v>178</v>
      </c>
      <c r="C8" s="211" t="s">
        <v>167</v>
      </c>
      <c r="D8" s="212">
        <v>980000</v>
      </c>
      <c r="E8" s="212">
        <v>127400</v>
      </c>
    </row>
    <row r="9" spans="1:5" x14ac:dyDescent="0.25">
      <c r="A9" s="209" t="s">
        <v>246</v>
      </c>
      <c r="B9" s="210" t="s">
        <v>170</v>
      </c>
      <c r="C9" s="211" t="s">
        <v>167</v>
      </c>
      <c r="D9" s="212">
        <v>480000</v>
      </c>
      <c r="E9" s="212">
        <v>62400</v>
      </c>
    </row>
    <row r="10" spans="1:5" x14ac:dyDescent="0.25">
      <c r="A10" s="209" t="s">
        <v>247</v>
      </c>
      <c r="B10" s="210" t="s">
        <v>168</v>
      </c>
      <c r="C10" s="211" t="s">
        <v>167</v>
      </c>
      <c r="D10" s="212">
        <v>120000</v>
      </c>
      <c r="E10" s="212">
        <v>15600</v>
      </c>
    </row>
    <row r="11" spans="1:5" x14ac:dyDescent="0.25">
      <c r="A11" s="209" t="s">
        <v>173</v>
      </c>
      <c r="B11" s="210" t="s">
        <v>174</v>
      </c>
      <c r="C11" s="211" t="s">
        <v>67</v>
      </c>
      <c r="D11" s="212">
        <v>440000</v>
      </c>
      <c r="E11" s="212">
        <v>57200</v>
      </c>
    </row>
    <row r="12" spans="1:5" x14ac:dyDescent="0.25">
      <c r="A12" s="209" t="s">
        <v>253</v>
      </c>
      <c r="B12" s="210" t="s">
        <v>238</v>
      </c>
      <c r="C12" s="211" t="s">
        <v>167</v>
      </c>
      <c r="D12" s="212">
        <v>1590000</v>
      </c>
      <c r="E12" s="212">
        <v>206700</v>
      </c>
    </row>
    <row r="13" spans="1:5" x14ac:dyDescent="0.25">
      <c r="A13" s="209" t="s">
        <v>229</v>
      </c>
      <c r="B13" s="210" t="s">
        <v>230</v>
      </c>
      <c r="C13" s="211" t="s">
        <v>67</v>
      </c>
      <c r="D13" s="212">
        <v>120000</v>
      </c>
      <c r="E13" s="212">
        <v>15600</v>
      </c>
    </row>
    <row r="14" spans="1:5" x14ac:dyDescent="0.25">
      <c r="A14" s="209" t="s">
        <v>227</v>
      </c>
      <c r="B14" s="210" t="s">
        <v>228</v>
      </c>
      <c r="C14" s="211" t="s">
        <v>67</v>
      </c>
      <c r="D14" s="212">
        <v>120000</v>
      </c>
      <c r="E14" s="212">
        <v>15600</v>
      </c>
    </row>
    <row r="15" spans="1:5" x14ac:dyDescent="0.25">
      <c r="A15" s="209" t="s">
        <v>254</v>
      </c>
      <c r="B15" s="210" t="s">
        <v>172</v>
      </c>
      <c r="C15" s="211" t="s">
        <v>167</v>
      </c>
      <c r="D15" s="212">
        <v>480000</v>
      </c>
      <c r="E15" s="212">
        <v>62400</v>
      </c>
    </row>
    <row r="16" spans="1:5" x14ac:dyDescent="0.25">
      <c r="A16" s="209" t="s">
        <v>255</v>
      </c>
      <c r="B16" s="210" t="s">
        <v>162</v>
      </c>
      <c r="C16" s="211" t="s">
        <v>63</v>
      </c>
      <c r="D16" s="212">
        <v>240000</v>
      </c>
      <c r="E16" s="212">
        <v>31200</v>
      </c>
    </row>
    <row r="17" spans="1:5" x14ac:dyDescent="0.25">
      <c r="A17" s="209" t="s">
        <v>175</v>
      </c>
      <c r="B17" s="210" t="s">
        <v>176</v>
      </c>
      <c r="C17" s="211" t="s">
        <v>63</v>
      </c>
      <c r="D17" s="212">
        <v>240000</v>
      </c>
      <c r="E17" s="212">
        <v>1040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Költségvetés</vt:lpstr>
      <vt:lpstr>Bérköltség</vt:lpstr>
      <vt:lpstr>Dologi_felhalm.</vt:lpstr>
      <vt:lpstr>Hónapok</vt:lpstr>
      <vt:lpstr>Témaszámok</vt:lpstr>
      <vt:lpstr>Admin</vt:lpstr>
      <vt:lpstr>Információk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Aporfiné Nagy Andrea</dc:creator>
  <cp:lastModifiedBy>Domján Gábor</cp:lastModifiedBy>
  <cp:lastPrinted>2023-04-04T06:09:03Z</cp:lastPrinted>
  <dcterms:created xsi:type="dcterms:W3CDTF">2012-04-12T14:47:49Z</dcterms:created>
  <dcterms:modified xsi:type="dcterms:W3CDTF">2023-05-05T07:29:41Z</dcterms:modified>
</cp:coreProperties>
</file>