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updateLinks="never" codeName="ThisWorkbook" defaultThemeVersion="124226"/>
  <mc:AlternateContent xmlns:mc="http://schemas.openxmlformats.org/markup-compatibility/2006">
    <mc:Choice Requires="x15">
      <x15ac:absPath xmlns:x15ac="http://schemas.microsoft.com/office/spreadsheetml/2010/11/ac" url="C:\Users\felhasználó\Desktop\Teszt ktgkövetők\"/>
    </mc:Choice>
  </mc:AlternateContent>
  <xr:revisionPtr revIDLastSave="0" documentId="13_ncr:1_{5230D8E8-940D-4778-90CF-C4FBD9A750C8}" xr6:coauthVersionLast="47" xr6:coauthVersionMax="47" xr10:uidLastSave="{00000000-0000-0000-0000-000000000000}"/>
  <bookViews>
    <workbookView xWindow="-28920" yWindow="-45" windowWidth="29040" windowHeight="16440" activeTab="1" xr2:uid="{00000000-000D-0000-FFFF-FFFF00000000}"/>
  </bookViews>
  <sheets>
    <sheet name="Terv-tény" sheetId="2" r:id="rId1"/>
    <sheet name="Bérköltség" sheetId="11" r:id="rId2"/>
    <sheet name="Dologi_felhalm." sheetId="13" r:id="rId3"/>
    <sheet name="Hónapok" sheetId="16" state="veryHidden" r:id="rId4"/>
    <sheet name="Jegyzet" sheetId="18" r:id="rId5"/>
    <sheet name="Admin" sheetId="17" r:id="rId6"/>
    <sheet name="Admin - FEOR" sheetId="20" state="hidden" r:id="rId7"/>
    <sheet name="Törzsszám" sheetId="24" r:id="rId8"/>
    <sheet name="Historikus berek_2021-2" sheetId="22" state="veryHidden" r:id="rId9"/>
    <sheet name="Munka1" sheetId="19" r:id="rId10"/>
    <sheet name="Munka2" sheetId="23" state="hidden" r:id="rId11"/>
    <sheet name="FEOR kodok" sheetId="21" r:id="rId12"/>
  </sheets>
  <externalReferences>
    <externalReference r:id="rId13"/>
    <externalReference r:id="rId14"/>
  </externalReferences>
  <definedNames>
    <definedName name="_xlnm._FilterDatabase" localSheetId="1" hidden="1">Bérköltség!$A$8:$BE$551</definedName>
    <definedName name="_xlnm._FilterDatabase" localSheetId="2" hidden="1">Dologi_felhalm.!$A$2:$P$53</definedName>
    <definedName name="_xlnm._FilterDatabase" localSheetId="11" hidden="1">'FEOR kodok'!$A$1:$I$1126</definedName>
    <definedName name="_xlnm._FilterDatabase" localSheetId="8" hidden="1">'Historikus berek_2021-2'!$A$1:$F$903</definedName>
    <definedName name="_xlnm._FilterDatabase" localSheetId="0" hidden="1">'Terv-tény'!$A$3:$A$5</definedName>
    <definedName name="_xlnm._FilterDatabase" localSheetId="7" hidden="1">Törzsszám!$A$1:$C$1</definedName>
    <definedName name="Z_B3053EE5_F487_4331_B4B6_28A1F2EF1617_.wvu.Cols" localSheetId="1" hidden="1">Bérköltség!$AH:$AH,Bérköltség!#REF!,Bérköltség!$AR:$AS,Bérköltség!$AX:$AX,Bérköltség!#REF!</definedName>
    <definedName name="Z_B3053EE5_F487_4331_B4B6_28A1F2EF1617_.wvu.FilterData" localSheetId="1" hidden="1">Bérköltség!$AC$9:$BW$552</definedName>
    <definedName name="Z_B3053EE5_F487_4331_B4B6_28A1F2EF1617_.wvu.FilterData" localSheetId="2" hidden="1">Dologi_felhalm.!$A$2:$P$3</definedName>
    <definedName name="Z_B3053EE5_F487_4331_B4B6_28A1F2EF1617_.wvu.FilterData" localSheetId="0" hidden="1">'Terv-tény'!$B$3:$H$14</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pivotCaches>
    <pivotCache cacheId="0"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185" i="11" l="1"/>
  <c r="O14" i="13" l="1"/>
  <c r="K14" i="13"/>
  <c r="AM85" i="11"/>
  <c r="AM397" i="11"/>
  <c r="AM319" i="11"/>
  <c r="AM298" i="11"/>
  <c r="AM193" i="11"/>
  <c r="AU184" i="11"/>
  <c r="AM179" i="11"/>
  <c r="AM22" i="11"/>
  <c r="AV465" i="11" l="1"/>
  <c r="AU465" i="11"/>
  <c r="AR465" i="11"/>
  <c r="Q465" i="11" s="1"/>
  <c r="AQ465" i="11"/>
  <c r="R465" i="11" s="1"/>
  <c r="AJ465" i="11"/>
  <c r="M465" i="11"/>
  <c r="H465" i="11"/>
  <c r="C465" i="11"/>
  <c r="AV464" i="11"/>
  <c r="AU464" i="11"/>
  <c r="AR464" i="11"/>
  <c r="Q464" i="11" s="1"/>
  <c r="AQ464" i="11"/>
  <c r="R464" i="11" s="1"/>
  <c r="AJ464" i="11"/>
  <c r="M464" i="11"/>
  <c r="H464" i="11"/>
  <c r="C464" i="11"/>
  <c r="AV463" i="11"/>
  <c r="AU463" i="11"/>
  <c r="AR463" i="11"/>
  <c r="AT463" i="11" s="1"/>
  <c r="AQ463" i="11"/>
  <c r="AJ463" i="11"/>
  <c r="M463" i="11"/>
  <c r="H463" i="11"/>
  <c r="C463" i="11"/>
  <c r="AV462" i="11"/>
  <c r="AU462" i="11"/>
  <c r="AR462" i="11"/>
  <c r="Q462" i="11" s="1"/>
  <c r="AQ462" i="11"/>
  <c r="R462" i="11" s="1"/>
  <c r="AJ462" i="11"/>
  <c r="M462" i="11"/>
  <c r="H462" i="11"/>
  <c r="K462" i="11" s="1"/>
  <c r="C462" i="11"/>
  <c r="AV461" i="11"/>
  <c r="AU461" i="11"/>
  <c r="AR461" i="11"/>
  <c r="Q461" i="11" s="1"/>
  <c r="AQ461" i="11"/>
  <c r="R461" i="11" s="1"/>
  <c r="AJ461" i="11"/>
  <c r="M461" i="11"/>
  <c r="H461" i="11"/>
  <c r="C461" i="11"/>
  <c r="T1" i="2"/>
  <c r="AV229" i="11"/>
  <c r="AR229" i="11"/>
  <c r="AT229" i="11" s="1"/>
  <c r="AQ229" i="11"/>
  <c r="R229" i="11" s="1"/>
  <c r="AN229" i="11"/>
  <c r="AJ229" i="11"/>
  <c r="M229" i="11"/>
  <c r="H229" i="11"/>
  <c r="K229" i="11" s="1"/>
  <c r="C229" i="11"/>
  <c r="AV228" i="11"/>
  <c r="AR228" i="11"/>
  <c r="AT228" i="11" s="1"/>
  <c r="AQ228" i="11"/>
  <c r="R228" i="11" s="1"/>
  <c r="AN228" i="11"/>
  <c r="AJ228" i="11"/>
  <c r="M228" i="11"/>
  <c r="H228" i="11"/>
  <c r="C228" i="11"/>
  <c r="AV227" i="11"/>
  <c r="AR227" i="11"/>
  <c r="Q227" i="11" s="1"/>
  <c r="AQ227" i="11"/>
  <c r="R227" i="11" s="1"/>
  <c r="AN227" i="11"/>
  <c r="AJ227" i="11"/>
  <c r="M227" i="11"/>
  <c r="H227" i="11"/>
  <c r="C227" i="11"/>
  <c r="AV432" i="11"/>
  <c r="AR432" i="11"/>
  <c r="AT432" i="11" s="1"/>
  <c r="AQ432" i="11"/>
  <c r="R432" i="11" s="1"/>
  <c r="AN432" i="11"/>
  <c r="AJ432" i="11"/>
  <c r="M432" i="11"/>
  <c r="H432" i="11"/>
  <c r="K432" i="11" s="1"/>
  <c r="C432" i="11"/>
  <c r="AV431" i="11"/>
  <c r="AR431" i="11"/>
  <c r="AT431" i="11" s="1"/>
  <c r="AQ431" i="11"/>
  <c r="R431" i="11" s="1"/>
  <c r="AN431" i="11"/>
  <c r="AJ431" i="11"/>
  <c r="M431" i="11"/>
  <c r="H431" i="11"/>
  <c r="C431" i="11"/>
  <c r="AV430" i="11"/>
  <c r="AR430" i="11"/>
  <c r="AT430" i="11" s="1"/>
  <c r="AQ430" i="11"/>
  <c r="R430" i="11" s="1"/>
  <c r="AN430" i="11"/>
  <c r="AJ430" i="11"/>
  <c r="M430" i="11"/>
  <c r="H430" i="11"/>
  <c r="K430" i="11" s="1"/>
  <c r="C430" i="11"/>
  <c r="AV415" i="11"/>
  <c r="AR415" i="11"/>
  <c r="AT415" i="11" s="1"/>
  <c r="AQ415" i="11"/>
  <c r="R415" i="11" s="1"/>
  <c r="AN415" i="11"/>
  <c r="AJ415" i="11"/>
  <c r="M415" i="11"/>
  <c r="H415" i="11"/>
  <c r="K415" i="11" s="1"/>
  <c r="C415" i="11"/>
  <c r="AV414" i="11"/>
  <c r="AR414" i="11"/>
  <c r="AT414" i="11" s="1"/>
  <c r="AQ414" i="11"/>
  <c r="R414" i="11" s="1"/>
  <c r="AN414" i="11"/>
  <c r="AJ414" i="11"/>
  <c r="M414" i="11"/>
  <c r="H414" i="11"/>
  <c r="C414" i="11"/>
  <c r="AV413" i="11"/>
  <c r="AR413" i="11"/>
  <c r="Q413" i="11" s="1"/>
  <c r="AQ413" i="11"/>
  <c r="R413" i="11" s="1"/>
  <c r="AN413" i="11"/>
  <c r="AJ413" i="11"/>
  <c r="M413" i="11"/>
  <c r="H413" i="11"/>
  <c r="C413" i="11"/>
  <c r="AV400" i="11"/>
  <c r="AR400" i="11"/>
  <c r="AT400" i="11" s="1"/>
  <c r="AQ400" i="11"/>
  <c r="R400" i="11" s="1"/>
  <c r="AN400" i="11"/>
  <c r="AJ400" i="11"/>
  <c r="M400" i="11"/>
  <c r="H400" i="11"/>
  <c r="K400" i="11" s="1"/>
  <c r="C400" i="11"/>
  <c r="AV399" i="11"/>
  <c r="AR399" i="11"/>
  <c r="AT399" i="11" s="1"/>
  <c r="AQ399" i="11"/>
  <c r="R399" i="11" s="1"/>
  <c r="AN399" i="11"/>
  <c r="AJ399" i="11"/>
  <c r="M399" i="11"/>
  <c r="H399" i="11"/>
  <c r="C399" i="11"/>
  <c r="AV398" i="11"/>
  <c r="AR398" i="11"/>
  <c r="AT398" i="11" s="1"/>
  <c r="AQ398" i="11"/>
  <c r="R398" i="11" s="1"/>
  <c r="AN398" i="11"/>
  <c r="AJ398" i="11"/>
  <c r="M398" i="11"/>
  <c r="H398" i="11"/>
  <c r="K398" i="11" s="1"/>
  <c r="C398" i="11"/>
  <c r="AV88" i="11"/>
  <c r="AR88" i="11"/>
  <c r="AT88" i="11" s="1"/>
  <c r="AQ88" i="11"/>
  <c r="R88" i="11" s="1"/>
  <c r="AN88" i="11"/>
  <c r="AJ88" i="11"/>
  <c r="M88" i="11"/>
  <c r="H88" i="11"/>
  <c r="K88" i="11" s="1"/>
  <c r="C88" i="11"/>
  <c r="AV87" i="11"/>
  <c r="AR87" i="11"/>
  <c r="AT87" i="11" s="1"/>
  <c r="AQ87" i="11"/>
  <c r="R87" i="11" s="1"/>
  <c r="AN87" i="11"/>
  <c r="AJ87" i="11"/>
  <c r="M87" i="11"/>
  <c r="H87" i="11"/>
  <c r="C87" i="11"/>
  <c r="AV86" i="11"/>
  <c r="AR86" i="11"/>
  <c r="Q86" i="11" s="1"/>
  <c r="AQ86" i="11"/>
  <c r="R86" i="11" s="1"/>
  <c r="AN86" i="11"/>
  <c r="AJ86" i="11"/>
  <c r="M86" i="11"/>
  <c r="H86" i="11"/>
  <c r="C86" i="11"/>
  <c r="AV266" i="11"/>
  <c r="AR266" i="11"/>
  <c r="AT266" i="11" s="1"/>
  <c r="AQ266" i="11"/>
  <c r="R266" i="11" s="1"/>
  <c r="AN266" i="11"/>
  <c r="AJ266" i="11"/>
  <c r="M266" i="11"/>
  <c r="H266" i="11"/>
  <c r="K266" i="11" s="1"/>
  <c r="C266" i="11"/>
  <c r="AV265" i="11"/>
  <c r="AR265" i="11"/>
  <c r="AT265" i="11" s="1"/>
  <c r="AQ265" i="11"/>
  <c r="R265" i="11" s="1"/>
  <c r="AN265" i="11"/>
  <c r="AJ265" i="11"/>
  <c r="M265" i="11"/>
  <c r="H265" i="11"/>
  <c r="K265" i="11" s="1"/>
  <c r="C265" i="11"/>
  <c r="AV264" i="11"/>
  <c r="AR264" i="11"/>
  <c r="AT264" i="11" s="1"/>
  <c r="AQ264" i="11"/>
  <c r="R264" i="11" s="1"/>
  <c r="AN264" i="11"/>
  <c r="AJ264" i="11"/>
  <c r="M264" i="11"/>
  <c r="H264" i="11"/>
  <c r="K264" i="11" s="1"/>
  <c r="C264" i="11"/>
  <c r="AV196" i="11"/>
  <c r="AR196" i="11"/>
  <c r="AT196" i="11" s="1"/>
  <c r="AQ196" i="11"/>
  <c r="R196" i="11" s="1"/>
  <c r="AN196" i="11"/>
  <c r="AJ196" i="11"/>
  <c r="M196" i="11"/>
  <c r="H196" i="11"/>
  <c r="C196" i="11"/>
  <c r="AV195" i="11"/>
  <c r="AR195" i="11"/>
  <c r="AT195" i="11" s="1"/>
  <c r="AQ195" i="11"/>
  <c r="R195" i="11" s="1"/>
  <c r="AN195" i="11"/>
  <c r="AJ195" i="11"/>
  <c r="M195" i="11"/>
  <c r="H195" i="11"/>
  <c r="K195" i="11" s="1"/>
  <c r="C195" i="11"/>
  <c r="AV194" i="11"/>
  <c r="AR194" i="11"/>
  <c r="AT194" i="11" s="1"/>
  <c r="AQ194" i="11"/>
  <c r="R194" i="11" s="1"/>
  <c r="AN194" i="11"/>
  <c r="AJ194" i="11"/>
  <c r="M194" i="11"/>
  <c r="H194" i="11"/>
  <c r="K194" i="11" s="1"/>
  <c r="C194" i="11"/>
  <c r="AN501" i="11"/>
  <c r="AQ501" i="11"/>
  <c r="AR501" i="11"/>
  <c r="AN502" i="11"/>
  <c r="AQ502" i="11"/>
  <c r="R502" i="11" s="1"/>
  <c r="AR502" i="11"/>
  <c r="AS502" i="11" s="1"/>
  <c r="AJ501" i="11"/>
  <c r="AJ502" i="11"/>
  <c r="C502" i="11"/>
  <c r="H502" i="11"/>
  <c r="M502" i="11"/>
  <c r="AV501" i="11"/>
  <c r="AV502" i="11"/>
  <c r="AV507" i="11"/>
  <c r="AR507" i="11"/>
  <c r="AT507" i="11" s="1"/>
  <c r="AQ507" i="11"/>
  <c r="R507" i="11" s="1"/>
  <c r="AN507" i="11"/>
  <c r="AJ507" i="11"/>
  <c r="M507" i="11"/>
  <c r="H507" i="11"/>
  <c r="K507" i="11" s="1"/>
  <c r="C507" i="11"/>
  <c r="AV506" i="11"/>
  <c r="AR506" i="11"/>
  <c r="AT506" i="11" s="1"/>
  <c r="AQ506" i="11"/>
  <c r="R506" i="11" s="1"/>
  <c r="AN506" i="11"/>
  <c r="AJ506" i="11"/>
  <c r="M506" i="11"/>
  <c r="H506" i="11"/>
  <c r="C506" i="11"/>
  <c r="AV505" i="11"/>
  <c r="AR505" i="11"/>
  <c r="Q505" i="11" s="1"/>
  <c r="AQ505" i="11"/>
  <c r="R505" i="11" s="1"/>
  <c r="AN505" i="11"/>
  <c r="AJ505" i="11"/>
  <c r="M505" i="11"/>
  <c r="H505" i="11"/>
  <c r="C505" i="11"/>
  <c r="AV504" i="11"/>
  <c r="AR504" i="11"/>
  <c r="AT504" i="11" s="1"/>
  <c r="AQ504" i="11"/>
  <c r="AN504" i="11"/>
  <c r="AJ504" i="11"/>
  <c r="M504" i="11"/>
  <c r="H504" i="11"/>
  <c r="K504" i="11" s="1"/>
  <c r="C504" i="11"/>
  <c r="AV503" i="11"/>
  <c r="AR503" i="11"/>
  <c r="AT503" i="11" s="1"/>
  <c r="AQ503" i="11"/>
  <c r="R503" i="11" s="1"/>
  <c r="AN503" i="11"/>
  <c r="AJ503" i="11"/>
  <c r="M503" i="11"/>
  <c r="H503" i="11"/>
  <c r="K503" i="11" s="1"/>
  <c r="C503" i="11"/>
  <c r="AV158" i="11"/>
  <c r="AR158" i="11"/>
  <c r="AS158" i="11" s="1"/>
  <c r="AQ158" i="11"/>
  <c r="AN158" i="11"/>
  <c r="AJ158" i="11"/>
  <c r="M158" i="11"/>
  <c r="H158" i="11"/>
  <c r="C158" i="11"/>
  <c r="AV157" i="11"/>
  <c r="AR157" i="11"/>
  <c r="AT157" i="11" s="1"/>
  <c r="AQ157" i="11"/>
  <c r="R157" i="11" s="1"/>
  <c r="AN157" i="11"/>
  <c r="AJ157" i="11"/>
  <c r="M157" i="11"/>
  <c r="H157" i="11"/>
  <c r="K157" i="11" s="1"/>
  <c r="C157" i="11"/>
  <c r="AV156" i="11"/>
  <c r="AR156" i="11"/>
  <c r="AT156" i="11" s="1"/>
  <c r="AQ156" i="11"/>
  <c r="R156" i="11" s="1"/>
  <c r="AN156" i="11"/>
  <c r="AJ156" i="11"/>
  <c r="M156" i="11"/>
  <c r="H156" i="11"/>
  <c r="K156" i="11" s="1"/>
  <c r="C156" i="11"/>
  <c r="AV155" i="11"/>
  <c r="AR155" i="11"/>
  <c r="AS155" i="11" s="1"/>
  <c r="AQ155" i="11"/>
  <c r="R155" i="11" s="1"/>
  <c r="AN155" i="11"/>
  <c r="AJ155" i="11"/>
  <c r="M155" i="11"/>
  <c r="H155" i="11"/>
  <c r="K155" i="11" s="1"/>
  <c r="C155" i="11"/>
  <c r="AV154" i="11"/>
  <c r="AR154" i="11"/>
  <c r="AT154" i="11" s="1"/>
  <c r="AQ154" i="11"/>
  <c r="R154" i="11" s="1"/>
  <c r="AN154" i="11"/>
  <c r="AJ154" i="11"/>
  <c r="M154" i="11"/>
  <c r="H154" i="11"/>
  <c r="K154" i="11" s="1"/>
  <c r="C154" i="11"/>
  <c r="AV153" i="11"/>
  <c r="AR153" i="11"/>
  <c r="AT153" i="11" s="1"/>
  <c r="AQ153" i="11"/>
  <c r="R153" i="11" s="1"/>
  <c r="AN153" i="11"/>
  <c r="AJ153" i="11"/>
  <c r="M153" i="11"/>
  <c r="H153" i="11"/>
  <c r="K153" i="11" s="1"/>
  <c r="C153" i="11"/>
  <c r="AV28" i="11"/>
  <c r="AR28" i="11"/>
  <c r="AS28" i="11" s="1"/>
  <c r="AQ28" i="11"/>
  <c r="R28" i="11" s="1"/>
  <c r="AN28" i="11"/>
  <c r="AJ28" i="11"/>
  <c r="M28" i="11"/>
  <c r="H28" i="11"/>
  <c r="K28" i="11" s="1"/>
  <c r="C28" i="11"/>
  <c r="AV27" i="11"/>
  <c r="AR27" i="11"/>
  <c r="AT27" i="11" s="1"/>
  <c r="AQ27" i="11"/>
  <c r="R27" i="11" s="1"/>
  <c r="AN27" i="11"/>
  <c r="AJ27" i="11"/>
  <c r="M27" i="11"/>
  <c r="H27" i="11"/>
  <c r="C27" i="11"/>
  <c r="AV26" i="11"/>
  <c r="AR26" i="11"/>
  <c r="Q26" i="11" s="1"/>
  <c r="AQ26" i="11"/>
  <c r="R26" i="11" s="1"/>
  <c r="AN26" i="11"/>
  <c r="AJ26" i="11"/>
  <c r="M26" i="11"/>
  <c r="H26" i="11"/>
  <c r="C26" i="11"/>
  <c r="AV25" i="11"/>
  <c r="AR25" i="11"/>
  <c r="AT25" i="11" s="1"/>
  <c r="AQ25" i="11"/>
  <c r="AN25" i="11"/>
  <c r="AJ25" i="11"/>
  <c r="M25" i="11"/>
  <c r="H25" i="11"/>
  <c r="K25" i="11" s="1"/>
  <c r="C25" i="11"/>
  <c r="AV24" i="11"/>
  <c r="AR24" i="11"/>
  <c r="AT24" i="11" s="1"/>
  <c r="AQ24" i="11"/>
  <c r="R24" i="11" s="1"/>
  <c r="AN24" i="11"/>
  <c r="AJ24" i="11"/>
  <c r="M24" i="11"/>
  <c r="H24" i="11"/>
  <c r="K24" i="11" s="1"/>
  <c r="C24" i="11"/>
  <c r="AV23" i="11"/>
  <c r="AR23" i="11"/>
  <c r="AT23" i="11" s="1"/>
  <c r="AQ23" i="11"/>
  <c r="R23" i="11" s="1"/>
  <c r="AN23" i="11"/>
  <c r="AJ23" i="11"/>
  <c r="M23" i="11"/>
  <c r="H23" i="11"/>
  <c r="K23" i="11" s="1"/>
  <c r="C23" i="11"/>
  <c r="O13" i="13"/>
  <c r="K13" i="13"/>
  <c r="AV525" i="11"/>
  <c r="AR525" i="11"/>
  <c r="AT525" i="11" s="1"/>
  <c r="AQ525" i="11"/>
  <c r="R525" i="11" s="1"/>
  <c r="AN525" i="11"/>
  <c r="AJ525" i="11"/>
  <c r="M525" i="11"/>
  <c r="H525" i="11"/>
  <c r="C525" i="11"/>
  <c r="AV524" i="11"/>
  <c r="AR524" i="11"/>
  <c r="AQ524" i="11"/>
  <c r="R524" i="11" s="1"/>
  <c r="AN524" i="11"/>
  <c r="AJ524" i="11"/>
  <c r="M524" i="11"/>
  <c r="H524" i="11"/>
  <c r="C524" i="11"/>
  <c r="AV523" i="11"/>
  <c r="AR523" i="11"/>
  <c r="AQ523" i="11"/>
  <c r="R523" i="11" s="1"/>
  <c r="AN523" i="11"/>
  <c r="AJ523" i="11"/>
  <c r="M523" i="11"/>
  <c r="H523" i="11"/>
  <c r="C523" i="11"/>
  <c r="AV522" i="11"/>
  <c r="AR522" i="11"/>
  <c r="AS522" i="11" s="1"/>
  <c r="AQ522" i="11"/>
  <c r="R522" i="11" s="1"/>
  <c r="AN522" i="11"/>
  <c r="AJ522" i="11"/>
  <c r="M522" i="11"/>
  <c r="H522" i="11"/>
  <c r="C522" i="11"/>
  <c r="AV247" i="11"/>
  <c r="AR247" i="11"/>
  <c r="AT247" i="11" s="1"/>
  <c r="AQ247" i="11"/>
  <c r="R247" i="11" s="1"/>
  <c r="AN247" i="11"/>
  <c r="AJ247" i="11"/>
  <c r="M247" i="11"/>
  <c r="H247" i="11"/>
  <c r="K247" i="11" s="1"/>
  <c r="C247" i="11"/>
  <c r="AV246" i="11"/>
  <c r="AR246" i="11"/>
  <c r="AT246" i="11" s="1"/>
  <c r="AQ246" i="11"/>
  <c r="R246" i="11" s="1"/>
  <c r="AN246" i="11"/>
  <c r="AJ246" i="11"/>
  <c r="M246" i="11"/>
  <c r="H246" i="11"/>
  <c r="C246" i="11"/>
  <c r="AV245" i="11"/>
  <c r="AR245" i="11"/>
  <c r="Q245" i="11" s="1"/>
  <c r="AQ245" i="11"/>
  <c r="R245" i="11" s="1"/>
  <c r="AN245" i="11"/>
  <c r="AJ245" i="11"/>
  <c r="M245" i="11"/>
  <c r="H245" i="11"/>
  <c r="C245" i="11"/>
  <c r="AV244" i="11"/>
  <c r="AR244" i="11"/>
  <c r="AT244" i="11" s="1"/>
  <c r="AQ244" i="11"/>
  <c r="AN244" i="11"/>
  <c r="AJ244" i="11"/>
  <c r="M244" i="11"/>
  <c r="H244" i="11"/>
  <c r="K244" i="11" s="1"/>
  <c r="C244" i="11"/>
  <c r="AV243" i="11"/>
  <c r="AR243" i="11"/>
  <c r="AT243" i="11" s="1"/>
  <c r="AQ243" i="11"/>
  <c r="R243" i="11" s="1"/>
  <c r="AN243" i="11"/>
  <c r="AJ243" i="11"/>
  <c r="M243" i="11"/>
  <c r="H243" i="11"/>
  <c r="K243" i="11" s="1"/>
  <c r="C243" i="11"/>
  <c r="AV242" i="11"/>
  <c r="AR242" i="11"/>
  <c r="AT242" i="11" s="1"/>
  <c r="AQ242" i="11"/>
  <c r="R242" i="11" s="1"/>
  <c r="AN242" i="11"/>
  <c r="AJ242" i="11"/>
  <c r="M242" i="11"/>
  <c r="H242" i="11"/>
  <c r="K242" i="11" s="1"/>
  <c r="C242" i="11"/>
  <c r="AV138" i="11"/>
  <c r="AU138" i="11"/>
  <c r="AR138" i="11"/>
  <c r="AT138" i="11" s="1"/>
  <c r="AQ138" i="11"/>
  <c r="R138" i="11" s="1"/>
  <c r="AJ138" i="11"/>
  <c r="M138" i="11"/>
  <c r="H138" i="11"/>
  <c r="K138" i="11" s="1"/>
  <c r="C138" i="11"/>
  <c r="AV137" i="11"/>
  <c r="AU137" i="11"/>
  <c r="AR137" i="11"/>
  <c r="AT137" i="11" s="1"/>
  <c r="AQ137" i="11"/>
  <c r="R137" i="11" s="1"/>
  <c r="AJ137" i="11"/>
  <c r="M137" i="11"/>
  <c r="H137" i="11"/>
  <c r="C137" i="11"/>
  <c r="AV136" i="11"/>
  <c r="AU136" i="11"/>
  <c r="AR136" i="11"/>
  <c r="AT136" i="11" s="1"/>
  <c r="AQ136" i="11"/>
  <c r="R136" i="11" s="1"/>
  <c r="AJ136" i="11"/>
  <c r="M136" i="11"/>
  <c r="H136" i="11"/>
  <c r="C136" i="11"/>
  <c r="AV135" i="11"/>
  <c r="AU135" i="11"/>
  <c r="AR135" i="11"/>
  <c r="AQ135" i="11"/>
  <c r="R135" i="11" s="1"/>
  <c r="AJ135" i="11"/>
  <c r="M135" i="11"/>
  <c r="H135" i="11"/>
  <c r="K135" i="11" s="1"/>
  <c r="C135" i="11"/>
  <c r="AV134" i="11"/>
  <c r="AU134" i="11"/>
  <c r="AR134" i="11"/>
  <c r="AT134" i="11" s="1"/>
  <c r="AQ134" i="11"/>
  <c r="R134" i="11" s="1"/>
  <c r="AJ134" i="11"/>
  <c r="M134" i="11"/>
  <c r="H134" i="11"/>
  <c r="K134" i="11" s="1"/>
  <c r="C134" i="11"/>
  <c r="AV133" i="11"/>
  <c r="AU133" i="11"/>
  <c r="AR133" i="11"/>
  <c r="Q133" i="11" s="1"/>
  <c r="AQ133" i="11"/>
  <c r="R133" i="11" s="1"/>
  <c r="AJ133" i="11"/>
  <c r="M133" i="11"/>
  <c r="H133" i="11"/>
  <c r="K133" i="11" s="1"/>
  <c r="C133" i="11"/>
  <c r="AV64" i="11"/>
  <c r="AR64" i="11"/>
  <c r="AS64" i="11" s="1"/>
  <c r="AQ64" i="11"/>
  <c r="R64" i="11" s="1"/>
  <c r="AN64" i="11"/>
  <c r="AJ64" i="11"/>
  <c r="M64" i="11"/>
  <c r="H64" i="11"/>
  <c r="C64" i="11"/>
  <c r="AV63" i="11"/>
  <c r="AR63" i="11"/>
  <c r="Q63" i="11" s="1"/>
  <c r="AQ63" i="11"/>
  <c r="R63" i="11" s="1"/>
  <c r="AN63" i="11"/>
  <c r="AJ63" i="11"/>
  <c r="M63" i="11"/>
  <c r="H63" i="11"/>
  <c r="C63" i="11"/>
  <c r="AV62" i="11"/>
  <c r="AR62" i="11"/>
  <c r="AT62" i="11" s="1"/>
  <c r="AQ62" i="11"/>
  <c r="R62" i="11" s="1"/>
  <c r="AN62" i="11"/>
  <c r="AJ62" i="11"/>
  <c r="M62" i="11"/>
  <c r="H62" i="11"/>
  <c r="C62" i="11"/>
  <c r="AV61" i="11"/>
  <c r="AR61" i="11"/>
  <c r="AT61" i="11" s="1"/>
  <c r="AQ61" i="11"/>
  <c r="R61" i="11" s="1"/>
  <c r="AN61" i="11"/>
  <c r="AJ61" i="11"/>
  <c r="M61" i="11"/>
  <c r="H61" i="11"/>
  <c r="K61" i="11" s="1"/>
  <c r="C61" i="11"/>
  <c r="AV60" i="11"/>
  <c r="AR60" i="11"/>
  <c r="AS60" i="11" s="1"/>
  <c r="AQ60" i="11"/>
  <c r="R60" i="11" s="1"/>
  <c r="AN60" i="11"/>
  <c r="AJ60" i="11"/>
  <c r="M60" i="11"/>
  <c r="H60" i="11"/>
  <c r="C60" i="11"/>
  <c r="AV59" i="11"/>
  <c r="AR59" i="11"/>
  <c r="AT59" i="11" s="1"/>
  <c r="AQ59" i="11"/>
  <c r="AN59" i="11"/>
  <c r="AJ59" i="11"/>
  <c r="M59" i="11"/>
  <c r="H59" i="11"/>
  <c r="K59" i="11" s="1"/>
  <c r="C59" i="11"/>
  <c r="AU460" i="11"/>
  <c r="AU459" i="11"/>
  <c r="AU458" i="11"/>
  <c r="AU434" i="11"/>
  <c r="AU435" i="11"/>
  <c r="AU436" i="11"/>
  <c r="AU437" i="11"/>
  <c r="AU433" i="11"/>
  <c r="AU340" i="11"/>
  <c r="AN280" i="11"/>
  <c r="AM209" i="11"/>
  <c r="AM57" i="11"/>
  <c r="D465" i="11" l="1"/>
  <c r="D464" i="11"/>
  <c r="D462" i="11"/>
  <c r="D463" i="11"/>
  <c r="Q463" i="11"/>
  <c r="E465" i="11"/>
  <c r="K465" i="11"/>
  <c r="AT465" i="11"/>
  <c r="E464" i="11"/>
  <c r="E463" i="11"/>
  <c r="E462" i="11"/>
  <c r="D461" i="11"/>
  <c r="E461" i="11"/>
  <c r="R463" i="11"/>
  <c r="K461" i="11"/>
  <c r="AT462" i="11"/>
  <c r="K464" i="11"/>
  <c r="K463" i="11"/>
  <c r="AT461" i="11"/>
  <c r="AT464" i="11"/>
  <c r="D229" i="11"/>
  <c r="AT502" i="11"/>
  <c r="Q430" i="11"/>
  <c r="AS228" i="11"/>
  <c r="D228" i="11"/>
  <c r="AS227" i="11"/>
  <c r="AT227" i="11"/>
  <c r="E227" i="11"/>
  <c r="K228" i="11"/>
  <c r="K227" i="11"/>
  <c r="E229" i="11"/>
  <c r="Q229" i="11"/>
  <c r="E228" i="11"/>
  <c r="Q228" i="11"/>
  <c r="AS229" i="11"/>
  <c r="D227" i="11"/>
  <c r="AS413" i="11"/>
  <c r="AS431" i="11"/>
  <c r="AS430" i="11"/>
  <c r="D430" i="11"/>
  <c r="E430" i="11"/>
  <c r="D415" i="11"/>
  <c r="D432" i="11"/>
  <c r="D431" i="11"/>
  <c r="K431" i="11"/>
  <c r="E432" i="11"/>
  <c r="Q432" i="11"/>
  <c r="E431" i="11"/>
  <c r="Q431" i="11"/>
  <c r="AS432" i="11"/>
  <c r="D502" i="11"/>
  <c r="AT413" i="11"/>
  <c r="D413" i="11"/>
  <c r="AS414" i="11"/>
  <c r="D398" i="11"/>
  <c r="D414" i="11"/>
  <c r="E413" i="11"/>
  <c r="E415" i="11"/>
  <c r="Q415" i="11"/>
  <c r="K414" i="11"/>
  <c r="K413" i="11"/>
  <c r="E414" i="11"/>
  <c r="Q414" i="11"/>
  <c r="AS415" i="11"/>
  <c r="D400" i="11"/>
  <c r="D399" i="11"/>
  <c r="E400" i="11"/>
  <c r="AS398" i="11"/>
  <c r="E398" i="11"/>
  <c r="Q400" i="11"/>
  <c r="D266" i="11"/>
  <c r="D88" i="11"/>
  <c r="Q398" i="11"/>
  <c r="AS399" i="11"/>
  <c r="AS400" i="11"/>
  <c r="K399" i="11"/>
  <c r="E399" i="11"/>
  <c r="Q399" i="11"/>
  <c r="D507" i="11"/>
  <c r="Q264" i="11"/>
  <c r="AS87" i="11"/>
  <c r="D87" i="11"/>
  <c r="D264" i="11"/>
  <c r="AS86" i="11"/>
  <c r="AT86" i="11"/>
  <c r="E86" i="11"/>
  <c r="K87" i="11"/>
  <c r="K86" i="11"/>
  <c r="E88" i="11"/>
  <c r="Q88" i="11"/>
  <c r="E87" i="11"/>
  <c r="Q87" i="11"/>
  <c r="AS88" i="11"/>
  <c r="D86" i="11"/>
  <c r="D196" i="11"/>
  <c r="AS265" i="11"/>
  <c r="AS264" i="11"/>
  <c r="D265" i="11"/>
  <c r="D194" i="11"/>
  <c r="E264" i="11"/>
  <c r="E266" i="11"/>
  <c r="Q266" i="11"/>
  <c r="E265" i="11"/>
  <c r="Q265" i="11"/>
  <c r="AS266" i="11"/>
  <c r="E196" i="11"/>
  <c r="D195" i="11"/>
  <c r="E195" i="11"/>
  <c r="AS506" i="11"/>
  <c r="Q196" i="11"/>
  <c r="Q195" i="11"/>
  <c r="AS196" i="11"/>
  <c r="K196" i="11"/>
  <c r="AS195" i="11"/>
  <c r="E194" i="11"/>
  <c r="Q194" i="11"/>
  <c r="AS194" i="11"/>
  <c r="D506" i="11"/>
  <c r="AS503" i="11"/>
  <c r="Q502" i="11"/>
  <c r="E502" i="11"/>
  <c r="K502" i="11"/>
  <c r="AS505" i="11"/>
  <c r="AT505" i="11"/>
  <c r="D505" i="11"/>
  <c r="D503" i="11"/>
  <c r="D504" i="11"/>
  <c r="E505" i="11"/>
  <c r="E503" i="11"/>
  <c r="E504" i="11"/>
  <c r="Q154" i="11"/>
  <c r="Q503" i="11"/>
  <c r="Q504" i="11"/>
  <c r="K506" i="11"/>
  <c r="AS504" i="11"/>
  <c r="K505" i="11"/>
  <c r="E507" i="11"/>
  <c r="Q507" i="11"/>
  <c r="R504" i="11"/>
  <c r="E506" i="11"/>
  <c r="Q506" i="11"/>
  <c r="AS507" i="11"/>
  <c r="D28" i="11"/>
  <c r="Q153" i="11"/>
  <c r="D158" i="11"/>
  <c r="Q155" i="11"/>
  <c r="AT158" i="11"/>
  <c r="E158" i="11"/>
  <c r="D154" i="11"/>
  <c r="D153" i="11"/>
  <c r="Q158" i="11"/>
  <c r="E153" i="11"/>
  <c r="AS156" i="11"/>
  <c r="AT155" i="11"/>
  <c r="D157" i="11"/>
  <c r="E157" i="11"/>
  <c r="D156" i="11"/>
  <c r="D155" i="11"/>
  <c r="E156" i="11"/>
  <c r="E155" i="11"/>
  <c r="Q157" i="11"/>
  <c r="E154" i="11"/>
  <c r="Q156" i="11"/>
  <c r="D24" i="11"/>
  <c r="AS153" i="11"/>
  <c r="AS154" i="11"/>
  <c r="R158" i="11"/>
  <c r="AS157" i="11"/>
  <c r="K158" i="11"/>
  <c r="D25" i="11"/>
  <c r="AT26" i="11"/>
  <c r="AS27" i="11"/>
  <c r="D27" i="11"/>
  <c r="D23" i="11"/>
  <c r="D26" i="11"/>
  <c r="D522" i="11"/>
  <c r="D525" i="11"/>
  <c r="AS26" i="11"/>
  <c r="AS23" i="11"/>
  <c r="AS24" i="11"/>
  <c r="E26" i="11"/>
  <c r="E23" i="11"/>
  <c r="E24" i="11"/>
  <c r="E25" i="11"/>
  <c r="Q23" i="11"/>
  <c r="Q24" i="11"/>
  <c r="Q25" i="11"/>
  <c r="AT28" i="11"/>
  <c r="R25" i="11"/>
  <c r="AS25" i="11"/>
  <c r="K27" i="11"/>
  <c r="K26" i="11"/>
  <c r="E28" i="11"/>
  <c r="Q28" i="11"/>
  <c r="E27" i="11"/>
  <c r="Q27" i="11"/>
  <c r="AS135" i="11"/>
  <c r="AS525" i="11"/>
  <c r="AW525" i="11" s="1"/>
  <c r="D138" i="11"/>
  <c r="D524" i="11"/>
  <c r="D523" i="11"/>
  <c r="K523" i="11"/>
  <c r="AS524" i="11"/>
  <c r="AW524" i="11" s="1"/>
  <c r="AW522" i="11"/>
  <c r="E524" i="11"/>
  <c r="Q524" i="11"/>
  <c r="AT524" i="11"/>
  <c r="K525" i="11"/>
  <c r="Q522" i="11"/>
  <c r="AT522" i="11"/>
  <c r="E522" i="11"/>
  <c r="K524" i="11"/>
  <c r="K522" i="11"/>
  <c r="AS523" i="11"/>
  <c r="AW523" i="11" s="1"/>
  <c r="E523" i="11"/>
  <c r="Q523" i="11"/>
  <c r="AT523" i="11"/>
  <c r="E525" i="11"/>
  <c r="Q525" i="11"/>
  <c r="Q244" i="11"/>
  <c r="D62" i="11"/>
  <c r="Q243" i="11"/>
  <c r="AS246" i="11"/>
  <c r="D133" i="11"/>
  <c r="D136" i="11"/>
  <c r="AT245" i="11"/>
  <c r="D247" i="11"/>
  <c r="AS243" i="11"/>
  <c r="AS245" i="11"/>
  <c r="D246" i="11"/>
  <c r="D243" i="11"/>
  <c r="D244" i="11"/>
  <c r="E245" i="11"/>
  <c r="E243" i="11"/>
  <c r="E244" i="11"/>
  <c r="AS242" i="11"/>
  <c r="D242" i="11"/>
  <c r="E242" i="11"/>
  <c r="Q242" i="11"/>
  <c r="K246" i="11"/>
  <c r="R244" i="11"/>
  <c r="AS244" i="11"/>
  <c r="K245" i="11"/>
  <c r="E247" i="11"/>
  <c r="Q247" i="11"/>
  <c r="E246" i="11"/>
  <c r="Q246" i="11"/>
  <c r="AS247" i="11"/>
  <c r="D245" i="11"/>
  <c r="D137" i="11"/>
  <c r="E137" i="11"/>
  <c r="E133" i="11"/>
  <c r="D135" i="11"/>
  <c r="E135" i="11"/>
  <c r="AS137" i="11"/>
  <c r="D134" i="11"/>
  <c r="D59" i="11"/>
  <c r="Q137" i="11"/>
  <c r="E134" i="11"/>
  <c r="AS136" i="11"/>
  <c r="Q134" i="11"/>
  <c r="D61" i="11"/>
  <c r="D64" i="11"/>
  <c r="E136" i="11"/>
  <c r="E138" i="11"/>
  <c r="Q135" i="11"/>
  <c r="Q136" i="11"/>
  <c r="Q138" i="11"/>
  <c r="D63" i="11"/>
  <c r="AS133" i="11"/>
  <c r="D60" i="11"/>
  <c r="AT133" i="11"/>
  <c r="K137" i="11"/>
  <c r="AT135" i="11"/>
  <c r="AS134" i="11"/>
  <c r="K136" i="11"/>
  <c r="AS138" i="11"/>
  <c r="E64" i="11"/>
  <c r="Q64" i="11"/>
  <c r="AT60" i="11"/>
  <c r="AT64" i="11"/>
  <c r="Q59" i="11"/>
  <c r="E59" i="11"/>
  <c r="AS59" i="11"/>
  <c r="AS63" i="11"/>
  <c r="K60" i="11"/>
  <c r="E62" i="11"/>
  <c r="Q62" i="11"/>
  <c r="AT63" i="11"/>
  <c r="K64" i="11"/>
  <c r="R59" i="11"/>
  <c r="AS62" i="11"/>
  <c r="E61" i="11"/>
  <c r="Q61" i="11"/>
  <c r="K63" i="11"/>
  <c r="AS61" i="11"/>
  <c r="E60" i="11"/>
  <c r="Q60" i="11"/>
  <c r="K62" i="11"/>
  <c r="E63" i="11"/>
  <c r="AV184" i="11" a="1"/>
  <c r="AV184" i="11" s="1"/>
  <c r="AV185" i="11" a="1"/>
  <c r="AV185" i="11" s="1"/>
  <c r="AV183" i="11" a="1"/>
  <c r="AV183" i="11" s="1"/>
  <c r="AM89" i="11"/>
  <c r="AV307" i="11"/>
  <c r="AR303" i="11"/>
  <c r="AS303" i="11" s="1"/>
  <c r="AR304" i="11"/>
  <c r="AS304" i="11" s="1"/>
  <c r="AR305" i="11"/>
  <c r="AS305" i="11" s="1"/>
  <c r="AR306" i="11"/>
  <c r="AT306" i="11" s="1"/>
  <c r="AR307" i="11"/>
  <c r="AS307" i="11" s="1"/>
  <c r="AR302" i="11"/>
  <c r="AT302" i="11" s="1"/>
  <c r="AQ303" i="11"/>
  <c r="R303" i="11" s="1"/>
  <c r="AQ304" i="11"/>
  <c r="R304" i="11" s="1"/>
  <c r="AQ305" i="11"/>
  <c r="R305" i="11" s="1"/>
  <c r="AQ306" i="11"/>
  <c r="R306" i="11" s="1"/>
  <c r="AQ307" i="11"/>
  <c r="R307" i="11" s="1"/>
  <c r="AQ302" i="11"/>
  <c r="R302" i="11" s="1"/>
  <c r="AN303" i="11"/>
  <c r="AN304" i="11"/>
  <c r="AN305" i="11"/>
  <c r="AN306" i="11"/>
  <c r="AN307" i="11"/>
  <c r="AN302" i="11"/>
  <c r="C302" i="11"/>
  <c r="H302" i="11"/>
  <c r="M302" i="11"/>
  <c r="C303" i="11"/>
  <c r="H303" i="11"/>
  <c r="M303" i="11"/>
  <c r="C304" i="11"/>
  <c r="H304" i="11"/>
  <c r="K304" i="11" s="1"/>
  <c r="M304" i="11"/>
  <c r="C305" i="11"/>
  <c r="H305" i="11"/>
  <c r="K305" i="11" s="1"/>
  <c r="M305" i="11"/>
  <c r="C306" i="11"/>
  <c r="H306" i="11"/>
  <c r="K306" i="11" s="1"/>
  <c r="M306" i="11"/>
  <c r="C307" i="11"/>
  <c r="H307" i="11"/>
  <c r="M307" i="11"/>
  <c r="AV302" i="11"/>
  <c r="AV303" i="11"/>
  <c r="AV304" i="11"/>
  <c r="AV305" i="11"/>
  <c r="AV306" i="11"/>
  <c r="AJ302" i="11"/>
  <c r="AJ303" i="11"/>
  <c r="AJ304" i="11"/>
  <c r="AJ305" i="11"/>
  <c r="AJ306" i="11"/>
  <c r="AJ307" i="11"/>
  <c r="F465" i="11" l="1"/>
  <c r="G465" i="11" s="1"/>
  <c r="F464" i="11"/>
  <c r="G464" i="11" s="1"/>
  <c r="F463" i="11"/>
  <c r="G463" i="11" s="1"/>
  <c r="F462" i="11"/>
  <c r="G462" i="11" s="1"/>
  <c r="F461" i="11"/>
  <c r="G461" i="11" s="1"/>
  <c r="F502" i="11"/>
  <c r="G502" i="11" s="1"/>
  <c r="F227" i="11"/>
  <c r="G227" i="11" s="1"/>
  <c r="F415" i="11"/>
  <c r="G415" i="11" s="1"/>
  <c r="F229" i="11"/>
  <c r="G229" i="11" s="1"/>
  <c r="F228" i="11"/>
  <c r="F430" i="11"/>
  <c r="G430" i="11" s="1"/>
  <c r="F432" i="11"/>
  <c r="F431" i="11"/>
  <c r="F413" i="11"/>
  <c r="G413" i="11" s="1"/>
  <c r="F398" i="11"/>
  <c r="G398" i="11" s="1"/>
  <c r="F414" i="11"/>
  <c r="F266" i="11"/>
  <c r="G266" i="11" s="1"/>
  <c r="F400" i="11"/>
  <c r="G400" i="11" s="1"/>
  <c r="F399" i="11"/>
  <c r="G399" i="11" s="1"/>
  <c r="F196" i="11"/>
  <c r="G196" i="11" s="1"/>
  <c r="F264" i="11"/>
  <c r="G264" i="11" s="1"/>
  <c r="F86" i="11"/>
  <c r="G86" i="11" s="1"/>
  <c r="F88" i="11"/>
  <c r="F87" i="11"/>
  <c r="F265" i="11"/>
  <c r="F195" i="11"/>
  <c r="G195" i="11" s="1"/>
  <c r="F156" i="11"/>
  <c r="G156" i="11" s="1"/>
  <c r="F194" i="11"/>
  <c r="F505" i="11"/>
  <c r="G505" i="11" s="1"/>
  <c r="F503" i="11"/>
  <c r="G503" i="11" s="1"/>
  <c r="F504" i="11"/>
  <c r="G504" i="11" s="1"/>
  <c r="F506" i="11"/>
  <c r="F507" i="11"/>
  <c r="G507" i="11" s="1"/>
  <c r="F158" i="11"/>
  <c r="G158" i="11" s="1"/>
  <c r="F157" i="11"/>
  <c r="G157" i="11" s="1"/>
  <c r="F155" i="11"/>
  <c r="G155" i="11" s="1"/>
  <c r="F153" i="11"/>
  <c r="G153" i="11" s="1"/>
  <c r="F154" i="11"/>
  <c r="G154" i="11" s="1"/>
  <c r="F24" i="11"/>
  <c r="G24" i="11" s="1"/>
  <c r="F25" i="11"/>
  <c r="G25" i="11" s="1"/>
  <c r="F26" i="11"/>
  <c r="G26" i="11" s="1"/>
  <c r="F23" i="11"/>
  <c r="G23" i="11" s="1"/>
  <c r="F27" i="11"/>
  <c r="F28" i="11"/>
  <c r="G28" i="11" s="1"/>
  <c r="F244" i="11"/>
  <c r="G244" i="11" s="1"/>
  <c r="F138" i="11"/>
  <c r="G138" i="11" s="1"/>
  <c r="F525" i="11"/>
  <c r="G525" i="11" s="1"/>
  <c r="F522" i="11"/>
  <c r="G522" i="11" s="1"/>
  <c r="F523" i="11"/>
  <c r="G523" i="11" s="1"/>
  <c r="F524" i="11"/>
  <c r="F243" i="11"/>
  <c r="G243" i="11" s="1"/>
  <c r="F245" i="11"/>
  <c r="G245" i="11" s="1"/>
  <c r="F136" i="11"/>
  <c r="G136" i="11" s="1"/>
  <c r="F133" i="11"/>
  <c r="G133" i="11" s="1"/>
  <c r="F242" i="11"/>
  <c r="G242" i="11" s="1"/>
  <c r="F247" i="11"/>
  <c r="F246" i="11"/>
  <c r="F134" i="11"/>
  <c r="G134" i="11" s="1"/>
  <c r="F64" i="11"/>
  <c r="G64" i="11" s="1"/>
  <c r="F135" i="11"/>
  <c r="G135" i="11" s="1"/>
  <c r="F137" i="11"/>
  <c r="G137" i="11" s="1"/>
  <c r="F59" i="11"/>
  <c r="G59" i="11" s="1"/>
  <c r="F60" i="11"/>
  <c r="F62" i="11"/>
  <c r="G62" i="11" s="1"/>
  <c r="F63" i="11"/>
  <c r="F61" i="11"/>
  <c r="G61" i="11" s="1"/>
  <c r="D303" i="11"/>
  <c r="Q303" i="11"/>
  <c r="D304" i="11"/>
  <c r="D305" i="11"/>
  <c r="Q307" i="11"/>
  <c r="Q305" i="11"/>
  <c r="AT305" i="11"/>
  <c r="D306" i="11"/>
  <c r="D307" i="11"/>
  <c r="Q304" i="11"/>
  <c r="E305" i="11"/>
  <c r="E303" i="11"/>
  <c r="E307" i="11"/>
  <c r="E304" i="11"/>
  <c r="AS306" i="11"/>
  <c r="Q306" i="11"/>
  <c r="AT304" i="11"/>
  <c r="E306" i="11"/>
  <c r="AT307" i="11"/>
  <c r="AT303" i="11"/>
  <c r="Q302" i="11"/>
  <c r="E302" i="11"/>
  <c r="AS302" i="11"/>
  <c r="D302" i="11"/>
  <c r="K302" i="11"/>
  <c r="K303" i="11"/>
  <c r="K307" i="11"/>
  <c r="AU486" i="11"/>
  <c r="AU487" i="11"/>
  <c r="AU488" i="11"/>
  <c r="AU489" i="11"/>
  <c r="AU490" i="11"/>
  <c r="AU491" i="11"/>
  <c r="AQ466" i="11"/>
  <c r="AU352" i="11"/>
  <c r="AU353" i="11"/>
  <c r="AU354" i="11"/>
  <c r="AU355" i="11"/>
  <c r="AU356" i="11"/>
  <c r="AM351" i="11"/>
  <c r="AU351" i="11" s="1"/>
  <c r="AU537" i="11"/>
  <c r="AU538" i="11"/>
  <c r="AU539" i="11"/>
  <c r="AU540" i="11"/>
  <c r="AU541" i="11"/>
  <c r="AU542" i="11"/>
  <c r="AM395" i="11"/>
  <c r="AQ317" i="11"/>
  <c r="AU317" i="11"/>
  <c r="AU318" i="11"/>
  <c r="AU319" i="11"/>
  <c r="AU320" i="11"/>
  <c r="AU321" i="11"/>
  <c r="AU322" i="11"/>
  <c r="AU316" i="11"/>
  <c r="AM68" i="11"/>
  <c r="AU130" i="11"/>
  <c r="AU131" i="11"/>
  <c r="AU132" i="11"/>
  <c r="O12" i="13"/>
  <c r="K12" i="13"/>
  <c r="AV22" i="11"/>
  <c r="AR22" i="11"/>
  <c r="AT22" i="11" s="1"/>
  <c r="AQ22" i="11"/>
  <c r="R22" i="11" s="1"/>
  <c r="AN22" i="11"/>
  <c r="AJ22" i="11"/>
  <c r="M22" i="11"/>
  <c r="H22" i="11"/>
  <c r="C22" i="11"/>
  <c r="AV21" i="11"/>
  <c r="AR21" i="11"/>
  <c r="AT21" i="11" s="1"/>
  <c r="AQ21" i="11"/>
  <c r="R21" i="11" s="1"/>
  <c r="AN21" i="11"/>
  <c r="AJ21" i="11"/>
  <c r="M21" i="11"/>
  <c r="H21" i="11"/>
  <c r="C21" i="11"/>
  <c r="G228" i="11" l="1"/>
  <c r="G431" i="11"/>
  <c r="G432" i="11"/>
  <c r="G414" i="11"/>
  <c r="G87" i="11"/>
  <c r="G88" i="11"/>
  <c r="G265" i="11"/>
  <c r="G194" i="11"/>
  <c r="G506" i="11"/>
  <c r="G27" i="11"/>
  <c r="G524" i="11"/>
  <c r="G246" i="11"/>
  <c r="G247" i="11"/>
  <c r="G63" i="11"/>
  <c r="G60" i="11"/>
  <c r="F303" i="11"/>
  <c r="G303" i="11" s="1"/>
  <c r="D21" i="11"/>
  <c r="F304" i="11"/>
  <c r="G304" i="11" s="1"/>
  <c r="F305" i="11"/>
  <c r="G305" i="11" s="1"/>
  <c r="D22" i="11"/>
  <c r="F306" i="11"/>
  <c r="G306" i="11" s="1"/>
  <c r="F307" i="11"/>
  <c r="G307" i="11" s="1"/>
  <c r="F302" i="11"/>
  <c r="G302" i="11" s="1"/>
  <c r="AS21" i="11"/>
  <c r="K21" i="11"/>
  <c r="K22" i="11"/>
  <c r="E22" i="11"/>
  <c r="Q22" i="11"/>
  <c r="E21" i="11"/>
  <c r="Q21" i="11"/>
  <c r="AS22" i="11"/>
  <c r="AV120" i="11"/>
  <c r="AR120" i="11"/>
  <c r="AT120" i="11" s="1"/>
  <c r="AQ120" i="11"/>
  <c r="R120" i="11" s="1"/>
  <c r="AN120" i="11"/>
  <c r="AJ120" i="11"/>
  <c r="M120" i="11"/>
  <c r="H120" i="11"/>
  <c r="K120" i="11" s="1"/>
  <c r="C120" i="11"/>
  <c r="AV119" i="11"/>
  <c r="AR119" i="11"/>
  <c r="AT119" i="11" s="1"/>
  <c r="AQ119" i="11"/>
  <c r="R119" i="11" s="1"/>
  <c r="AN119" i="11"/>
  <c r="AJ119" i="11"/>
  <c r="M119" i="11"/>
  <c r="H119" i="11"/>
  <c r="K119" i="11" s="1"/>
  <c r="C119" i="11"/>
  <c r="AV118" i="11"/>
  <c r="AR118" i="11"/>
  <c r="AS118" i="11" s="1"/>
  <c r="AQ118" i="11"/>
  <c r="R118" i="11" s="1"/>
  <c r="AN118" i="11"/>
  <c r="AJ118" i="11"/>
  <c r="M118" i="11"/>
  <c r="H118" i="11"/>
  <c r="C118" i="11"/>
  <c r="AV117" i="11"/>
  <c r="AR117" i="11"/>
  <c r="AS117" i="11" s="1"/>
  <c r="AQ117" i="11"/>
  <c r="AN117" i="11"/>
  <c r="AJ117" i="11"/>
  <c r="M117" i="11"/>
  <c r="H117" i="11"/>
  <c r="K117" i="11" s="1"/>
  <c r="C117" i="11"/>
  <c r="AV116" i="11"/>
  <c r="AR116" i="11"/>
  <c r="AT116" i="11" s="1"/>
  <c r="AQ116" i="11"/>
  <c r="R116" i="11" s="1"/>
  <c r="AN116" i="11"/>
  <c r="AJ116" i="11"/>
  <c r="M116" i="11"/>
  <c r="H116" i="11"/>
  <c r="K116" i="11" s="1"/>
  <c r="C116" i="11"/>
  <c r="AV103" i="11"/>
  <c r="AR103" i="11"/>
  <c r="AT103" i="11" s="1"/>
  <c r="AQ103" i="11"/>
  <c r="R103" i="11" s="1"/>
  <c r="AN103" i="11"/>
  <c r="AJ103" i="11"/>
  <c r="M103" i="11"/>
  <c r="H103" i="11"/>
  <c r="K103" i="11" s="1"/>
  <c r="C103" i="11"/>
  <c r="AV102" i="11"/>
  <c r="AR102" i="11"/>
  <c r="AT102" i="11" s="1"/>
  <c r="AQ102" i="11"/>
  <c r="R102" i="11" s="1"/>
  <c r="AN102" i="11"/>
  <c r="AJ102" i="11"/>
  <c r="M102" i="11"/>
  <c r="H102" i="11"/>
  <c r="C102" i="11"/>
  <c r="AV101" i="11"/>
  <c r="AR101" i="11"/>
  <c r="Q101" i="11" s="1"/>
  <c r="AQ101" i="11"/>
  <c r="R101" i="11" s="1"/>
  <c r="AN101" i="11"/>
  <c r="AJ101" i="11"/>
  <c r="M101" i="11"/>
  <c r="H101" i="11"/>
  <c r="C101" i="11"/>
  <c r="AV100" i="11"/>
  <c r="AR100" i="11"/>
  <c r="AS100" i="11" s="1"/>
  <c r="AQ100" i="11"/>
  <c r="AN100" i="11"/>
  <c r="AJ100" i="11"/>
  <c r="M100" i="11"/>
  <c r="H100" i="11"/>
  <c r="C100" i="11"/>
  <c r="AV99" i="11"/>
  <c r="AR99" i="11"/>
  <c r="AT99" i="11" s="1"/>
  <c r="AQ99" i="11"/>
  <c r="R99" i="11" s="1"/>
  <c r="AN99" i="11"/>
  <c r="AJ99" i="11"/>
  <c r="M99" i="11"/>
  <c r="H99" i="11"/>
  <c r="K99" i="11" s="1"/>
  <c r="C99" i="11"/>
  <c r="AV457" i="11"/>
  <c r="AR457" i="11"/>
  <c r="AT457" i="11" s="1"/>
  <c r="AQ457" i="11"/>
  <c r="R457" i="11" s="1"/>
  <c r="AN457" i="11"/>
  <c r="AJ457" i="11"/>
  <c r="M457" i="11"/>
  <c r="H457" i="11"/>
  <c r="K457" i="11" s="1"/>
  <c r="C457" i="11"/>
  <c r="AV456" i="11"/>
  <c r="AR456" i="11"/>
  <c r="AT456" i="11" s="1"/>
  <c r="AQ456" i="11"/>
  <c r="R456" i="11" s="1"/>
  <c r="AN456" i="11"/>
  <c r="AJ456" i="11"/>
  <c r="M456" i="11"/>
  <c r="H456" i="11"/>
  <c r="K456" i="11" s="1"/>
  <c r="C456" i="11"/>
  <c r="AV455" i="11"/>
  <c r="AR455" i="11"/>
  <c r="AT455" i="11" s="1"/>
  <c r="AQ455" i="11"/>
  <c r="R455" i="11" s="1"/>
  <c r="AN455" i="11"/>
  <c r="AJ455" i="11"/>
  <c r="M455" i="11"/>
  <c r="H455" i="11"/>
  <c r="K455" i="11" s="1"/>
  <c r="C455" i="11"/>
  <c r="AV454" i="11"/>
  <c r="AR454" i="11"/>
  <c r="AT454" i="11" s="1"/>
  <c r="AQ454" i="11"/>
  <c r="AN454" i="11"/>
  <c r="AJ454" i="11"/>
  <c r="M454" i="11"/>
  <c r="H454" i="11"/>
  <c r="C454" i="11"/>
  <c r="AV453" i="11"/>
  <c r="AR453" i="11"/>
  <c r="AT453" i="11" s="1"/>
  <c r="AQ453" i="11"/>
  <c r="R453" i="11" s="1"/>
  <c r="AN453" i="11"/>
  <c r="AJ453" i="11"/>
  <c r="M453" i="11"/>
  <c r="H453" i="11"/>
  <c r="K453" i="11" s="1"/>
  <c r="C453" i="11"/>
  <c r="O11" i="13"/>
  <c r="K11" i="13"/>
  <c r="AV521" i="11"/>
  <c r="AR521" i="11"/>
  <c r="AQ521" i="11"/>
  <c r="R521" i="11" s="1"/>
  <c r="AN521" i="11"/>
  <c r="AJ521" i="11"/>
  <c r="M521" i="11"/>
  <c r="H521" i="11"/>
  <c r="C521" i="11"/>
  <c r="AV520" i="11"/>
  <c r="AR520" i="11"/>
  <c r="AQ520" i="11"/>
  <c r="R520" i="11" s="1"/>
  <c r="AN520" i="11"/>
  <c r="AJ520" i="11"/>
  <c r="M520" i="11"/>
  <c r="H520" i="11"/>
  <c r="C520" i="11"/>
  <c r="C159" i="11"/>
  <c r="H159" i="11"/>
  <c r="K159" i="11" s="1"/>
  <c r="M159" i="11"/>
  <c r="C160" i="11"/>
  <c r="H160" i="11"/>
  <c r="K160" i="11" s="1"/>
  <c r="M160" i="11"/>
  <c r="C161" i="11"/>
  <c r="H161" i="11"/>
  <c r="K161" i="11" s="1"/>
  <c r="M161" i="11"/>
  <c r="C162" i="11"/>
  <c r="H162" i="11"/>
  <c r="K162" i="11" s="1"/>
  <c r="M162" i="11"/>
  <c r="C163" i="11"/>
  <c r="H163" i="11"/>
  <c r="K163" i="11" s="1"/>
  <c r="M163" i="11"/>
  <c r="AQ160" i="11"/>
  <c r="AR160" i="11"/>
  <c r="AT160" i="11" s="1"/>
  <c r="AQ161" i="11"/>
  <c r="R161" i="11" s="1"/>
  <c r="AR161" i="11"/>
  <c r="AT161" i="11" s="1"/>
  <c r="AQ162" i="11"/>
  <c r="R162" i="11" s="1"/>
  <c r="AR162" i="11"/>
  <c r="AT162" i="11" s="1"/>
  <c r="AQ163" i="11"/>
  <c r="R163" i="11" s="1"/>
  <c r="AR163" i="11"/>
  <c r="AT163" i="11" s="1"/>
  <c r="AV159" i="11"/>
  <c r="AV160" i="11"/>
  <c r="AV161" i="11"/>
  <c r="AV162" i="11"/>
  <c r="AV163" i="11"/>
  <c r="AQ159" i="11"/>
  <c r="AR159" i="11"/>
  <c r="E159" i="11" s="1"/>
  <c r="AN159" i="11"/>
  <c r="AN160" i="11"/>
  <c r="AN161" i="11"/>
  <c r="AN162" i="11"/>
  <c r="AN163" i="11"/>
  <c r="AJ159" i="11"/>
  <c r="AJ160" i="11"/>
  <c r="AJ161" i="11"/>
  <c r="AJ162" i="11"/>
  <c r="AJ163" i="11"/>
  <c r="AV45" i="11"/>
  <c r="AR45" i="11"/>
  <c r="AS45" i="11" s="1"/>
  <c r="AQ45" i="11"/>
  <c r="R45" i="11" s="1"/>
  <c r="AN45" i="11"/>
  <c r="AJ45" i="11"/>
  <c r="M45" i="11"/>
  <c r="H45" i="11"/>
  <c r="K45" i="11" s="1"/>
  <c r="C45" i="11"/>
  <c r="AV44" i="11"/>
  <c r="AR44" i="11"/>
  <c r="AT44" i="11" s="1"/>
  <c r="AQ44" i="11"/>
  <c r="R44" i="11" s="1"/>
  <c r="AN44" i="11"/>
  <c r="AJ44" i="11"/>
  <c r="M44" i="11"/>
  <c r="H44" i="11"/>
  <c r="K44" i="11" s="1"/>
  <c r="C44" i="11"/>
  <c r="AV43" i="11"/>
  <c r="AR43" i="11"/>
  <c r="AT43" i="11" s="1"/>
  <c r="AQ43" i="11"/>
  <c r="R43" i="11" s="1"/>
  <c r="AN43" i="11"/>
  <c r="AJ43" i="11"/>
  <c r="M43" i="11"/>
  <c r="H43" i="11"/>
  <c r="K43" i="11" s="1"/>
  <c r="C43" i="11"/>
  <c r="AV42" i="11"/>
  <c r="AR42" i="11"/>
  <c r="AT42" i="11" s="1"/>
  <c r="AQ42" i="11"/>
  <c r="AN42" i="11"/>
  <c r="AJ42" i="11"/>
  <c r="M42" i="11"/>
  <c r="H42" i="11"/>
  <c r="K42" i="11" s="1"/>
  <c r="C42" i="11"/>
  <c r="AV41" i="11"/>
  <c r="AR41" i="11"/>
  <c r="AT41" i="11" s="1"/>
  <c r="AQ41" i="11"/>
  <c r="R41" i="11" s="1"/>
  <c r="AN41" i="11"/>
  <c r="AJ41" i="11"/>
  <c r="M41" i="11"/>
  <c r="H41" i="11"/>
  <c r="K41" i="11" s="1"/>
  <c r="C41" i="11"/>
  <c r="AV491" i="11"/>
  <c r="AR491" i="11"/>
  <c r="Q491" i="11" s="1"/>
  <c r="AQ491" i="11"/>
  <c r="R491" i="11" s="1"/>
  <c r="AJ491" i="11"/>
  <c r="M491" i="11"/>
  <c r="H491" i="11"/>
  <c r="C491" i="11"/>
  <c r="AV490" i="11"/>
  <c r="AR490" i="11"/>
  <c r="AT490" i="11" s="1"/>
  <c r="AQ490" i="11"/>
  <c r="AJ490" i="11"/>
  <c r="M490" i="11"/>
  <c r="H490" i="11"/>
  <c r="C490" i="11"/>
  <c r="AV489" i="11"/>
  <c r="AR489" i="11"/>
  <c r="AT489" i="11" s="1"/>
  <c r="AQ489" i="11"/>
  <c r="R489" i="11" s="1"/>
  <c r="AJ489" i="11"/>
  <c r="M489" i="11"/>
  <c r="H489" i="11"/>
  <c r="K489" i="11" s="1"/>
  <c r="C489" i="11"/>
  <c r="AV488" i="11"/>
  <c r="AR488" i="11"/>
  <c r="AT488" i="11" s="1"/>
  <c r="AQ488" i="11"/>
  <c r="R488" i="11" s="1"/>
  <c r="AJ488" i="11"/>
  <c r="M488" i="11"/>
  <c r="H488" i="11"/>
  <c r="K488" i="11" s="1"/>
  <c r="C488" i="11"/>
  <c r="AV487" i="11"/>
  <c r="AR487" i="11"/>
  <c r="E487" i="11" s="1"/>
  <c r="AQ487" i="11"/>
  <c r="R487" i="11" s="1"/>
  <c r="AJ487" i="11"/>
  <c r="M487" i="11"/>
  <c r="H487" i="11"/>
  <c r="K487" i="11" s="1"/>
  <c r="C487" i="11"/>
  <c r="AU129" i="11"/>
  <c r="AU350" i="11"/>
  <c r="AU485" i="11"/>
  <c r="AU536" i="11"/>
  <c r="Q120" i="11" l="1"/>
  <c r="D118" i="11"/>
  <c r="D120" i="11"/>
  <c r="AT118" i="11"/>
  <c r="F22" i="11"/>
  <c r="F21" i="11"/>
  <c r="D119" i="11"/>
  <c r="E118" i="11"/>
  <c r="Q118" i="11"/>
  <c r="AS116" i="11"/>
  <c r="AS119" i="11"/>
  <c r="E116" i="11"/>
  <c r="E117" i="11"/>
  <c r="Q116" i="11"/>
  <c r="Q117" i="11"/>
  <c r="E120" i="11"/>
  <c r="D116" i="11"/>
  <c r="D117" i="11"/>
  <c r="AT117" i="11"/>
  <c r="K118" i="11"/>
  <c r="E119" i="11"/>
  <c r="Q119" i="11"/>
  <c r="AS120" i="11"/>
  <c r="R117" i="11"/>
  <c r="D457" i="11"/>
  <c r="AS102" i="11"/>
  <c r="D455" i="11"/>
  <c r="D99" i="11"/>
  <c r="D454" i="11"/>
  <c r="AS101" i="11"/>
  <c r="AT101" i="11"/>
  <c r="D103" i="11"/>
  <c r="D102" i="11"/>
  <c r="E101" i="11"/>
  <c r="D100" i="11"/>
  <c r="E100" i="11"/>
  <c r="Q100" i="11"/>
  <c r="AS99" i="11"/>
  <c r="E99" i="11"/>
  <c r="Q99" i="11"/>
  <c r="K102" i="11"/>
  <c r="AT100" i="11"/>
  <c r="K101" i="11"/>
  <c r="E103" i="11"/>
  <c r="Q103" i="11"/>
  <c r="K100" i="11"/>
  <c r="E102" i="11"/>
  <c r="Q102" i="11"/>
  <c r="AS103" i="11"/>
  <c r="R100" i="11"/>
  <c r="D101" i="11"/>
  <c r="AS453" i="11"/>
  <c r="AS456" i="11"/>
  <c r="D456" i="11"/>
  <c r="D521" i="11"/>
  <c r="AS454" i="11"/>
  <c r="AS455" i="11"/>
  <c r="E457" i="11"/>
  <c r="D453" i="11"/>
  <c r="E455" i="11"/>
  <c r="E453" i="11"/>
  <c r="E454" i="11"/>
  <c r="Q454" i="11"/>
  <c r="Q455" i="11"/>
  <c r="Q453" i="11"/>
  <c r="R454" i="11"/>
  <c r="Q457" i="11"/>
  <c r="K454" i="11"/>
  <c r="E456" i="11"/>
  <c r="Q456" i="11"/>
  <c r="AS457" i="11"/>
  <c r="D520" i="11"/>
  <c r="K521" i="11"/>
  <c r="AS521" i="11"/>
  <c r="E521" i="11"/>
  <c r="Q521" i="11"/>
  <c r="AT521" i="11"/>
  <c r="K520" i="11"/>
  <c r="AS520" i="11"/>
  <c r="AW520" i="11" s="1"/>
  <c r="E520" i="11"/>
  <c r="Q520" i="11"/>
  <c r="AT520" i="11"/>
  <c r="D162" i="11"/>
  <c r="Q163" i="11"/>
  <c r="D161" i="11"/>
  <c r="AS162" i="11"/>
  <c r="E163" i="11"/>
  <c r="D163" i="11"/>
  <c r="D160" i="11"/>
  <c r="D159" i="11"/>
  <c r="F159" i="11" s="1"/>
  <c r="G159" i="11" s="1"/>
  <c r="Q162" i="11"/>
  <c r="E162" i="11"/>
  <c r="Q161" i="11"/>
  <c r="E161" i="11"/>
  <c r="R160" i="11"/>
  <c r="Q160" i="11"/>
  <c r="E160" i="11"/>
  <c r="R159" i="11"/>
  <c r="Q159" i="11"/>
  <c r="AS163" i="11"/>
  <c r="AS161" i="11"/>
  <c r="AS160" i="11"/>
  <c r="D42" i="11"/>
  <c r="AS159" i="11"/>
  <c r="E42" i="11"/>
  <c r="D45" i="11"/>
  <c r="AT159" i="11"/>
  <c r="E45" i="11"/>
  <c r="D41" i="11"/>
  <c r="E41" i="11"/>
  <c r="AS43" i="11"/>
  <c r="AS42" i="11"/>
  <c r="D44" i="11"/>
  <c r="D487" i="11"/>
  <c r="F487" i="11" s="1"/>
  <c r="D490" i="11"/>
  <c r="AS41" i="11"/>
  <c r="E43" i="11"/>
  <c r="Q45" i="11"/>
  <c r="Q41" i="11"/>
  <c r="Q42" i="11"/>
  <c r="Q43" i="11"/>
  <c r="AS44" i="11"/>
  <c r="AT45" i="11"/>
  <c r="R42" i="11"/>
  <c r="E44" i="11"/>
  <c r="Q44" i="11"/>
  <c r="D43" i="11"/>
  <c r="Q488" i="11"/>
  <c r="Q489" i="11"/>
  <c r="Q487" i="11"/>
  <c r="AS491" i="11"/>
  <c r="AT491" i="11"/>
  <c r="E491" i="11"/>
  <c r="D488" i="11"/>
  <c r="D489" i="11"/>
  <c r="E490" i="11"/>
  <c r="AS487" i="11"/>
  <c r="AS489" i="11"/>
  <c r="AT487" i="11"/>
  <c r="AS488" i="11"/>
  <c r="E488" i="11"/>
  <c r="E489" i="11"/>
  <c r="Q490" i="11"/>
  <c r="AS490" i="11"/>
  <c r="K491" i="11"/>
  <c r="K490" i="11"/>
  <c r="R490" i="11"/>
  <c r="D491" i="11"/>
  <c r="AV356" i="11"/>
  <c r="AR356" i="11"/>
  <c r="AT356" i="11" s="1"/>
  <c r="AQ356" i="11"/>
  <c r="R356" i="11" s="1"/>
  <c r="AJ356" i="11"/>
  <c r="M356" i="11"/>
  <c r="H356" i="11"/>
  <c r="K356" i="11" s="1"/>
  <c r="C356" i="11"/>
  <c r="AV355" i="11"/>
  <c r="AR355" i="11"/>
  <c r="AT355" i="11" s="1"/>
  <c r="AQ355" i="11"/>
  <c r="R355" i="11" s="1"/>
  <c r="AJ355" i="11"/>
  <c r="M355" i="11"/>
  <c r="H355" i="11"/>
  <c r="C355" i="11"/>
  <c r="AV354" i="11"/>
  <c r="AR354" i="11"/>
  <c r="AT354" i="11" s="1"/>
  <c r="AQ354" i="11"/>
  <c r="R354" i="11" s="1"/>
  <c r="AJ354" i="11"/>
  <c r="M354" i="11"/>
  <c r="H354" i="11"/>
  <c r="C354" i="11"/>
  <c r="AV353" i="11"/>
  <c r="AR353" i="11"/>
  <c r="AT353" i="11" s="1"/>
  <c r="AQ353" i="11"/>
  <c r="R353" i="11" s="1"/>
  <c r="AJ353" i="11"/>
  <c r="M353" i="11"/>
  <c r="H353" i="11"/>
  <c r="C353" i="11"/>
  <c r="AV352" i="11"/>
  <c r="AR352" i="11"/>
  <c r="AS352" i="11" s="1"/>
  <c r="AQ352" i="11"/>
  <c r="AJ352" i="11"/>
  <c r="M352" i="11"/>
  <c r="H352" i="11"/>
  <c r="C352" i="11"/>
  <c r="C433" i="11"/>
  <c r="H433" i="11"/>
  <c r="M433" i="11"/>
  <c r="C434" i="11"/>
  <c r="H434" i="11"/>
  <c r="M434" i="11"/>
  <c r="C435" i="11"/>
  <c r="H435" i="11"/>
  <c r="K435" i="11" s="1"/>
  <c r="M435" i="11"/>
  <c r="C436" i="11"/>
  <c r="H436" i="11"/>
  <c r="K436" i="11" s="1"/>
  <c r="M436" i="11"/>
  <c r="C437" i="11"/>
  <c r="H437" i="11"/>
  <c r="K437" i="11" s="1"/>
  <c r="M437" i="11"/>
  <c r="AV433" i="11"/>
  <c r="AV434" i="11"/>
  <c r="AV435" i="11"/>
  <c r="AV436" i="11"/>
  <c r="AV437" i="11"/>
  <c r="AQ434" i="11"/>
  <c r="R434" i="11" s="1"/>
  <c r="AR434" i="11"/>
  <c r="AQ435" i="11"/>
  <c r="R435" i="11" s="1"/>
  <c r="AR435" i="11"/>
  <c r="E435" i="11" s="1"/>
  <c r="AQ436" i="11"/>
  <c r="R436" i="11" s="1"/>
  <c r="AR436" i="11"/>
  <c r="AQ437" i="11"/>
  <c r="R437" i="11" s="1"/>
  <c r="AR437" i="11"/>
  <c r="AQ433" i="11"/>
  <c r="R433" i="11" s="1"/>
  <c r="AR433" i="11"/>
  <c r="AJ433" i="11"/>
  <c r="AJ434" i="11"/>
  <c r="AJ435" i="11"/>
  <c r="AJ436" i="11"/>
  <c r="AJ437" i="11"/>
  <c r="AV459" i="11"/>
  <c r="AV460" i="11"/>
  <c r="AV458" i="11"/>
  <c r="C458" i="11"/>
  <c r="H458" i="11"/>
  <c r="M458" i="11"/>
  <c r="C459" i="11"/>
  <c r="H459" i="11"/>
  <c r="K459" i="11" s="1"/>
  <c r="M459" i="11"/>
  <c r="C460" i="11"/>
  <c r="H460" i="11"/>
  <c r="K460" i="11" s="1"/>
  <c r="M460" i="11"/>
  <c r="AR459" i="11"/>
  <c r="AR460" i="11"/>
  <c r="AT460" i="11" s="1"/>
  <c r="AR458" i="11"/>
  <c r="E458" i="11" s="1"/>
  <c r="AJ460" i="11"/>
  <c r="AJ459" i="11"/>
  <c r="AJ458" i="11"/>
  <c r="AQ459" i="11"/>
  <c r="R459" i="11" s="1"/>
  <c r="AQ460" i="11"/>
  <c r="R460" i="11" s="1"/>
  <c r="AQ458" i="11"/>
  <c r="R458" i="11" s="1"/>
  <c r="AV85" i="11"/>
  <c r="AR85" i="11"/>
  <c r="AS85" i="11" s="1"/>
  <c r="AQ85" i="11"/>
  <c r="R85" i="11" s="1"/>
  <c r="AN85" i="11"/>
  <c r="AJ85" i="11"/>
  <c r="M85" i="11"/>
  <c r="H85" i="11"/>
  <c r="C85" i="11"/>
  <c r="AV84" i="11"/>
  <c r="AR84" i="11"/>
  <c r="AT84" i="11" s="1"/>
  <c r="AQ84" i="11"/>
  <c r="R84" i="11" s="1"/>
  <c r="AN84" i="11"/>
  <c r="AJ84" i="11"/>
  <c r="M84" i="11"/>
  <c r="H84" i="11"/>
  <c r="C84" i="11"/>
  <c r="E433" i="11" l="1"/>
  <c r="AT433" i="11"/>
  <c r="F118" i="11"/>
  <c r="G118" i="11" s="1"/>
  <c r="F457" i="11"/>
  <c r="G457" i="11" s="1"/>
  <c r="F120" i="11"/>
  <c r="G120" i="11" s="1"/>
  <c r="G21" i="11"/>
  <c r="G22" i="11"/>
  <c r="F116" i="11"/>
  <c r="G116" i="11" s="1"/>
  <c r="F117" i="11"/>
  <c r="G117" i="11" s="1"/>
  <c r="F119" i="11"/>
  <c r="F453" i="11"/>
  <c r="G453" i="11" s="1"/>
  <c r="F455" i="11"/>
  <c r="G455" i="11" s="1"/>
  <c r="F454" i="11"/>
  <c r="G454" i="11" s="1"/>
  <c r="F99" i="11"/>
  <c r="G99" i="11" s="1"/>
  <c r="F100" i="11"/>
  <c r="G100" i="11" s="1"/>
  <c r="F101" i="11"/>
  <c r="G101" i="11" s="1"/>
  <c r="F102" i="11"/>
  <c r="F103" i="11"/>
  <c r="G103" i="11" s="1"/>
  <c r="F456" i="11"/>
  <c r="F521" i="11"/>
  <c r="F520" i="11"/>
  <c r="F163" i="11"/>
  <c r="G163" i="11" s="1"/>
  <c r="F160" i="11"/>
  <c r="G160" i="11" s="1"/>
  <c r="F161" i="11"/>
  <c r="G161" i="11" s="1"/>
  <c r="F162" i="11"/>
  <c r="F45" i="11"/>
  <c r="G45" i="11" s="1"/>
  <c r="F42" i="11"/>
  <c r="G42" i="11" s="1"/>
  <c r="F41" i="11"/>
  <c r="G41" i="11" s="1"/>
  <c r="F43" i="11"/>
  <c r="G43" i="11" s="1"/>
  <c r="F490" i="11"/>
  <c r="G490" i="11" s="1"/>
  <c r="F44" i="11"/>
  <c r="G44" i="11" s="1"/>
  <c r="F489" i="11"/>
  <c r="G489" i="11" s="1"/>
  <c r="F488" i="11"/>
  <c r="G488" i="11" s="1"/>
  <c r="F491" i="11"/>
  <c r="G491" i="11" s="1"/>
  <c r="G487" i="11"/>
  <c r="D356" i="11"/>
  <c r="D352" i="11"/>
  <c r="D355" i="11"/>
  <c r="Q352" i="11"/>
  <c r="E356" i="11"/>
  <c r="Q356" i="11"/>
  <c r="AS356" i="11"/>
  <c r="AS353" i="11"/>
  <c r="AS354" i="11"/>
  <c r="D354" i="11"/>
  <c r="D437" i="11"/>
  <c r="E353" i="11"/>
  <c r="E352" i="11"/>
  <c r="Q353" i="11"/>
  <c r="K354" i="11"/>
  <c r="AT352" i="11"/>
  <c r="K355" i="11"/>
  <c r="R352" i="11"/>
  <c r="K353" i="11"/>
  <c r="E355" i="11"/>
  <c r="Q355" i="11"/>
  <c r="K352" i="11"/>
  <c r="E354" i="11"/>
  <c r="Q354" i="11"/>
  <c r="AS355" i="11"/>
  <c r="D353" i="11"/>
  <c r="D436" i="11"/>
  <c r="D435" i="11"/>
  <c r="F435" i="11" s="1"/>
  <c r="Q434" i="11"/>
  <c r="D434" i="11"/>
  <c r="Q436" i="11"/>
  <c r="AT435" i="11"/>
  <c r="E436" i="11"/>
  <c r="E434" i="11"/>
  <c r="Q437" i="11"/>
  <c r="Q435" i="11"/>
  <c r="Q433" i="11"/>
  <c r="E437" i="11"/>
  <c r="D433" i="11"/>
  <c r="K433" i="11"/>
  <c r="K434" i="11"/>
  <c r="AT437" i="11"/>
  <c r="AT436" i="11"/>
  <c r="AT434" i="11"/>
  <c r="D460" i="11"/>
  <c r="D459" i="11"/>
  <c r="D85" i="11"/>
  <c r="D458" i="11"/>
  <c r="E460" i="11"/>
  <c r="Q459" i="11"/>
  <c r="E459" i="11"/>
  <c r="Q460" i="11"/>
  <c r="Q458" i="11"/>
  <c r="K458" i="11"/>
  <c r="AT459" i="11"/>
  <c r="AT458" i="11"/>
  <c r="D84" i="11"/>
  <c r="E85" i="11"/>
  <c r="AT85" i="11"/>
  <c r="AS84" i="11"/>
  <c r="K85" i="11"/>
  <c r="K84" i="11"/>
  <c r="Q85" i="11"/>
  <c r="E84" i="11"/>
  <c r="Q84" i="11"/>
  <c r="F433" i="11" l="1"/>
  <c r="G433" i="11" s="1"/>
  <c r="G119" i="11"/>
  <c r="G102" i="11"/>
  <c r="G456" i="11"/>
  <c r="G521" i="11"/>
  <c r="G520" i="11"/>
  <c r="G162" i="11"/>
  <c r="F353" i="11"/>
  <c r="G353" i="11" s="1"/>
  <c r="F352" i="11"/>
  <c r="G352" i="11" s="1"/>
  <c r="F356" i="11"/>
  <c r="G356" i="11" s="1"/>
  <c r="F437" i="11"/>
  <c r="G437" i="11" s="1"/>
  <c r="F354" i="11"/>
  <c r="F355" i="11"/>
  <c r="F436" i="11"/>
  <c r="G436" i="11" s="1"/>
  <c r="F434" i="11"/>
  <c r="G434" i="11" s="1"/>
  <c r="G435" i="11"/>
  <c r="F85" i="11"/>
  <c r="G85" i="11" s="1"/>
  <c r="F84" i="11"/>
  <c r="G355" i="11" l="1"/>
  <c r="G354" i="11"/>
  <c r="G84" i="11"/>
  <c r="AQ185" i="11" l="1"/>
  <c r="AR185" i="11"/>
  <c r="AT185" i="11" s="1"/>
  <c r="AQ184" i="11"/>
  <c r="AR184" i="11"/>
  <c r="AT184" i="11" s="1"/>
  <c r="AQ183" i="11"/>
  <c r="AR183" i="11"/>
  <c r="AT183" i="11" s="1"/>
  <c r="AN183" i="11"/>
  <c r="AJ183" i="11"/>
  <c r="AJ184" i="11"/>
  <c r="AJ185" i="11"/>
  <c r="AS183" i="11" l="1"/>
  <c r="C183" i="11" l="1"/>
  <c r="D183" i="11" s="1"/>
  <c r="E183" i="11"/>
  <c r="H183" i="11"/>
  <c r="K183" i="11" s="1"/>
  <c r="I183" i="11"/>
  <c r="J183" i="11" s="1"/>
  <c r="M183" i="11"/>
  <c r="Q183" i="11"/>
  <c r="R183" i="11"/>
  <c r="C184" i="11"/>
  <c r="D184" i="11" s="1"/>
  <c r="E184" i="11"/>
  <c r="H184" i="11"/>
  <c r="K184" i="11" s="1"/>
  <c r="I184" i="11"/>
  <c r="J184" i="11" s="1"/>
  <c r="M184" i="11"/>
  <c r="Q184" i="11"/>
  <c r="R184" i="11"/>
  <c r="C185" i="11"/>
  <c r="D185" i="11" s="1"/>
  <c r="E185" i="11"/>
  <c r="H185" i="11"/>
  <c r="K185" i="11" s="1"/>
  <c r="I185" i="11"/>
  <c r="J185" i="11" s="1"/>
  <c r="M185" i="11"/>
  <c r="Q185" i="11"/>
  <c r="R185" i="11"/>
  <c r="AV429" i="11"/>
  <c r="AR429" i="11"/>
  <c r="AT429" i="11" s="1"/>
  <c r="AQ429" i="11"/>
  <c r="R429" i="11" s="1"/>
  <c r="AN429" i="11"/>
  <c r="AJ429" i="11"/>
  <c r="M429" i="11"/>
  <c r="H429" i="11"/>
  <c r="K429" i="11" s="1"/>
  <c r="C429" i="11"/>
  <c r="AV428" i="11"/>
  <c r="AR428" i="11"/>
  <c r="AT428" i="11" s="1"/>
  <c r="AQ428" i="11"/>
  <c r="R428" i="11" s="1"/>
  <c r="AN428" i="11"/>
  <c r="AJ428" i="11"/>
  <c r="M428" i="11"/>
  <c r="H428" i="11"/>
  <c r="K428" i="11" s="1"/>
  <c r="C428" i="11"/>
  <c r="AV427" i="11"/>
  <c r="AR427" i="11"/>
  <c r="AT427" i="11" s="1"/>
  <c r="AQ427" i="11"/>
  <c r="R427" i="11" s="1"/>
  <c r="AN427" i="11"/>
  <c r="AJ427" i="11"/>
  <c r="M427" i="11"/>
  <c r="H427" i="11"/>
  <c r="K427" i="11" s="1"/>
  <c r="C427" i="11"/>
  <c r="AV397" i="11"/>
  <c r="AR397" i="11"/>
  <c r="AT397" i="11" s="1"/>
  <c r="AQ397" i="11"/>
  <c r="R397" i="11" s="1"/>
  <c r="AN397" i="11"/>
  <c r="AJ397" i="11"/>
  <c r="M397" i="11"/>
  <c r="H397" i="11"/>
  <c r="K397" i="11" s="1"/>
  <c r="C397" i="11"/>
  <c r="AV396" i="11"/>
  <c r="AR396" i="11"/>
  <c r="AT396" i="11" s="1"/>
  <c r="AQ396" i="11"/>
  <c r="R396" i="11" s="1"/>
  <c r="AN396" i="11"/>
  <c r="AJ396" i="11"/>
  <c r="M396" i="11"/>
  <c r="H396" i="11"/>
  <c r="K396" i="11" s="1"/>
  <c r="C396" i="11"/>
  <c r="AV395" i="11"/>
  <c r="AR395" i="11"/>
  <c r="Q395" i="11" s="1"/>
  <c r="AQ395" i="11"/>
  <c r="R395" i="11" s="1"/>
  <c r="AN395" i="11"/>
  <c r="AJ395" i="11"/>
  <c r="M395" i="11"/>
  <c r="H395" i="11"/>
  <c r="K395" i="11" s="1"/>
  <c r="C395" i="11"/>
  <c r="AV182" i="11"/>
  <c r="AR182" i="11"/>
  <c r="AT182" i="11" s="1"/>
  <c r="AQ182" i="11"/>
  <c r="R182" i="11" s="1"/>
  <c r="AN182" i="11"/>
  <c r="AJ182" i="11"/>
  <c r="M182" i="11"/>
  <c r="H182" i="11"/>
  <c r="K182" i="11" s="1"/>
  <c r="C182" i="11"/>
  <c r="AV181" i="11"/>
  <c r="AR181" i="11"/>
  <c r="AT181" i="11" s="1"/>
  <c r="AQ181" i="11"/>
  <c r="R181" i="11" s="1"/>
  <c r="AN181" i="11"/>
  <c r="AJ181" i="11"/>
  <c r="M181" i="11"/>
  <c r="H181" i="11"/>
  <c r="C181" i="11"/>
  <c r="AV180" i="11"/>
  <c r="AR180" i="11"/>
  <c r="AS180" i="11" s="1"/>
  <c r="AQ180" i="11"/>
  <c r="R180" i="11" s="1"/>
  <c r="AN180" i="11"/>
  <c r="AJ180" i="11"/>
  <c r="M180" i="11"/>
  <c r="H180" i="11"/>
  <c r="C180" i="11"/>
  <c r="AV179" i="11"/>
  <c r="AR179" i="11"/>
  <c r="AT179" i="11" s="1"/>
  <c r="AQ179" i="11"/>
  <c r="AN179" i="11"/>
  <c r="AJ179" i="11"/>
  <c r="M179" i="11"/>
  <c r="H179" i="11"/>
  <c r="K179" i="11" s="1"/>
  <c r="C179" i="11"/>
  <c r="AV178" i="11"/>
  <c r="AR178" i="11"/>
  <c r="AT178" i="11" s="1"/>
  <c r="AQ178" i="11"/>
  <c r="R178" i="11" s="1"/>
  <c r="AN178" i="11"/>
  <c r="AJ178" i="11"/>
  <c r="M178" i="11"/>
  <c r="H178" i="11"/>
  <c r="K178" i="11" s="1"/>
  <c r="C178" i="11"/>
  <c r="AV177" i="11"/>
  <c r="AR177" i="11"/>
  <c r="AT177" i="11" s="1"/>
  <c r="AQ177" i="11"/>
  <c r="R177" i="11" s="1"/>
  <c r="AN177" i="11"/>
  <c r="AJ177" i="11"/>
  <c r="M177" i="11"/>
  <c r="H177" i="11"/>
  <c r="K177" i="11" s="1"/>
  <c r="C177" i="11"/>
  <c r="C279" i="11"/>
  <c r="H279" i="11"/>
  <c r="K279" i="11" s="1"/>
  <c r="M279" i="11"/>
  <c r="C280" i="11"/>
  <c r="H280" i="11"/>
  <c r="K280" i="11" s="1"/>
  <c r="M280" i="11"/>
  <c r="C281" i="11"/>
  <c r="H281" i="11"/>
  <c r="K281" i="11" s="1"/>
  <c r="M281" i="11"/>
  <c r="C282" i="11"/>
  <c r="H282" i="11"/>
  <c r="K282" i="11" s="1"/>
  <c r="M282" i="11"/>
  <c r="C283" i="11"/>
  <c r="H283" i="11"/>
  <c r="K283" i="11" s="1"/>
  <c r="M283" i="11"/>
  <c r="C284" i="11"/>
  <c r="H284" i="11"/>
  <c r="K284" i="11" s="1"/>
  <c r="M284" i="11"/>
  <c r="AV284" i="11"/>
  <c r="AR284" i="11"/>
  <c r="AT284" i="11" s="1"/>
  <c r="AQ284" i="11"/>
  <c r="R284" i="11" s="1"/>
  <c r="AN284" i="11"/>
  <c r="AJ284" i="11"/>
  <c r="AV283" i="11"/>
  <c r="AR283" i="11"/>
  <c r="AT283" i="11" s="1"/>
  <c r="AQ283" i="11"/>
  <c r="R283" i="11" s="1"/>
  <c r="AN283" i="11"/>
  <c r="AJ283" i="11"/>
  <c r="AV282" i="11"/>
  <c r="AR282" i="11"/>
  <c r="AT282" i="11" s="1"/>
  <c r="AQ282" i="11"/>
  <c r="R282" i="11" s="1"/>
  <c r="AN282" i="11"/>
  <c r="AJ282" i="11"/>
  <c r="AV281" i="11"/>
  <c r="AR281" i="11"/>
  <c r="AT281" i="11" s="1"/>
  <c r="AQ281" i="11"/>
  <c r="R281" i="11" s="1"/>
  <c r="AN281" i="11"/>
  <c r="AJ281" i="11"/>
  <c r="AV280" i="11"/>
  <c r="AR280" i="11"/>
  <c r="AT280" i="11" s="1"/>
  <c r="AQ280" i="11"/>
  <c r="R280" i="11" s="1"/>
  <c r="AJ280" i="11"/>
  <c r="AV279" i="11"/>
  <c r="AR279" i="11"/>
  <c r="AS279" i="11" s="1"/>
  <c r="AQ279" i="11"/>
  <c r="R279" i="11" s="1"/>
  <c r="AN279" i="11"/>
  <c r="AJ279" i="11"/>
  <c r="C208" i="11"/>
  <c r="H208" i="11"/>
  <c r="K208" i="11" s="1"/>
  <c r="M208" i="11"/>
  <c r="C209" i="11"/>
  <c r="H209" i="11"/>
  <c r="K209" i="11" s="1"/>
  <c r="M209" i="11"/>
  <c r="C210" i="11"/>
  <c r="H210" i="11"/>
  <c r="K210" i="11" s="1"/>
  <c r="M210" i="11"/>
  <c r="C211" i="11"/>
  <c r="H211" i="11"/>
  <c r="K211" i="11" s="1"/>
  <c r="M211" i="11"/>
  <c r="C212" i="11"/>
  <c r="H212" i="11"/>
  <c r="K212" i="11" s="1"/>
  <c r="M212" i="11"/>
  <c r="C213" i="11"/>
  <c r="H213" i="11"/>
  <c r="K213" i="11" s="1"/>
  <c r="M213" i="11"/>
  <c r="AV213" i="11"/>
  <c r="AR213" i="11"/>
  <c r="E213" i="11" s="1"/>
  <c r="AQ213" i="11"/>
  <c r="R213" i="11" s="1"/>
  <c r="AN213" i="11"/>
  <c r="AJ213" i="11"/>
  <c r="AV212" i="11"/>
  <c r="AR212" i="11"/>
  <c r="AT212" i="11" s="1"/>
  <c r="AQ212" i="11"/>
  <c r="R212" i="11" s="1"/>
  <c r="AN212" i="11"/>
  <c r="AJ212" i="11"/>
  <c r="AV211" i="11"/>
  <c r="AR211" i="11"/>
  <c r="E211" i="11" s="1"/>
  <c r="AQ211" i="11"/>
  <c r="R211" i="11" s="1"/>
  <c r="AN211" i="11"/>
  <c r="AJ211" i="11"/>
  <c r="AV210" i="11"/>
  <c r="AR210" i="11"/>
  <c r="E210" i="11" s="1"/>
  <c r="AQ210" i="11"/>
  <c r="R210" i="11" s="1"/>
  <c r="AN210" i="11"/>
  <c r="AJ210" i="11"/>
  <c r="AV209" i="11"/>
  <c r="AR209" i="11"/>
  <c r="AT209" i="11" s="1"/>
  <c r="AQ209" i="11"/>
  <c r="R209" i="11" s="1"/>
  <c r="AN209" i="11"/>
  <c r="AJ209" i="11"/>
  <c r="AV208" i="11"/>
  <c r="AR208" i="11"/>
  <c r="E208" i="11" s="1"/>
  <c r="AQ208" i="11"/>
  <c r="R208" i="11" s="1"/>
  <c r="AN208" i="11"/>
  <c r="AJ208" i="11"/>
  <c r="C378" i="11"/>
  <c r="H378" i="11"/>
  <c r="K378" i="11" s="1"/>
  <c r="M378" i="11"/>
  <c r="C379" i="11"/>
  <c r="H379" i="11"/>
  <c r="K379" i="11" s="1"/>
  <c r="M379" i="11"/>
  <c r="C380" i="11"/>
  <c r="H380" i="11"/>
  <c r="K380" i="11" s="1"/>
  <c r="M380" i="11"/>
  <c r="C381" i="11"/>
  <c r="H381" i="11"/>
  <c r="K381" i="11" s="1"/>
  <c r="M381" i="11"/>
  <c r="C382" i="11"/>
  <c r="H382" i="11"/>
  <c r="K382" i="11" s="1"/>
  <c r="M382" i="11"/>
  <c r="C383" i="11"/>
  <c r="H383" i="11"/>
  <c r="K383" i="11" s="1"/>
  <c r="M383" i="11"/>
  <c r="AV383" i="11"/>
  <c r="AR383" i="11"/>
  <c r="AT383" i="11" s="1"/>
  <c r="AQ383" i="11"/>
  <c r="R383" i="11" s="1"/>
  <c r="AN383" i="11"/>
  <c r="AJ383" i="11"/>
  <c r="AV382" i="11"/>
  <c r="AR382" i="11"/>
  <c r="AT382" i="11" s="1"/>
  <c r="AQ382" i="11"/>
  <c r="R382" i="11" s="1"/>
  <c r="AN382" i="11"/>
  <c r="AJ382" i="11"/>
  <c r="AV381" i="11"/>
  <c r="AR381" i="11"/>
  <c r="AT381" i="11" s="1"/>
  <c r="AQ381" i="11"/>
  <c r="R381" i="11" s="1"/>
  <c r="AN381" i="11"/>
  <c r="AJ381" i="11"/>
  <c r="AV380" i="11"/>
  <c r="AR380" i="11"/>
  <c r="AS380" i="11" s="1"/>
  <c r="AQ380" i="11"/>
  <c r="R380" i="11" s="1"/>
  <c r="AN380" i="11"/>
  <c r="AJ380" i="11"/>
  <c r="AV379" i="11"/>
  <c r="AR379" i="11"/>
  <c r="AT379" i="11" s="1"/>
  <c r="AQ379" i="11"/>
  <c r="R379" i="11" s="1"/>
  <c r="AN379" i="11"/>
  <c r="AJ379" i="11"/>
  <c r="AV378" i="11"/>
  <c r="AR378" i="11"/>
  <c r="AS378" i="11" s="1"/>
  <c r="AQ378" i="11"/>
  <c r="R378" i="11" s="1"/>
  <c r="AN378" i="11"/>
  <c r="AJ378" i="11"/>
  <c r="C334" i="11"/>
  <c r="H334" i="11"/>
  <c r="K334" i="11" s="1"/>
  <c r="M334" i="11"/>
  <c r="C335" i="11"/>
  <c r="H335" i="11"/>
  <c r="K335" i="11" s="1"/>
  <c r="M335" i="11"/>
  <c r="C336" i="11"/>
  <c r="H336" i="11"/>
  <c r="K336" i="11" s="1"/>
  <c r="M336" i="11"/>
  <c r="C337" i="11"/>
  <c r="H337" i="11"/>
  <c r="K337" i="11" s="1"/>
  <c r="M337" i="11"/>
  <c r="C338" i="11"/>
  <c r="H338" i="11"/>
  <c r="K338" i="11" s="1"/>
  <c r="M338" i="11"/>
  <c r="C339" i="11"/>
  <c r="H339" i="11"/>
  <c r="K339" i="11" s="1"/>
  <c r="M339" i="11"/>
  <c r="AV339" i="11"/>
  <c r="AR339" i="11"/>
  <c r="E339" i="11" s="1"/>
  <c r="AQ339" i="11"/>
  <c r="R339" i="11" s="1"/>
  <c r="AN339" i="11"/>
  <c r="AJ339" i="11"/>
  <c r="AV338" i="11"/>
  <c r="AR338" i="11"/>
  <c r="E338" i="11" s="1"/>
  <c r="AQ338" i="11"/>
  <c r="R338" i="11" s="1"/>
  <c r="AN338" i="11"/>
  <c r="AJ338" i="11"/>
  <c r="AV337" i="11"/>
  <c r="AR337" i="11"/>
  <c r="AT337" i="11" s="1"/>
  <c r="AQ337" i="11"/>
  <c r="R337" i="11" s="1"/>
  <c r="AN337" i="11"/>
  <c r="AJ337" i="11"/>
  <c r="AV336" i="11"/>
  <c r="AR336" i="11"/>
  <c r="E336" i="11" s="1"/>
  <c r="AQ336" i="11"/>
  <c r="AN336" i="11"/>
  <c r="AJ336" i="11"/>
  <c r="AV335" i="11"/>
  <c r="AR335" i="11"/>
  <c r="E335" i="11" s="1"/>
  <c r="AQ335" i="11"/>
  <c r="R335" i="11" s="1"/>
  <c r="AN335" i="11"/>
  <c r="AJ335" i="11"/>
  <c r="AV334" i="11"/>
  <c r="AR334" i="11"/>
  <c r="AT334" i="11" s="1"/>
  <c r="AQ334" i="11"/>
  <c r="R334" i="11" s="1"/>
  <c r="AN334" i="11"/>
  <c r="AJ334" i="11"/>
  <c r="C296" i="11"/>
  <c r="H296" i="11"/>
  <c r="K296" i="11" s="1"/>
  <c r="M296" i="11"/>
  <c r="C297" i="11"/>
  <c r="H297" i="11"/>
  <c r="K297" i="11" s="1"/>
  <c r="M297" i="11"/>
  <c r="C298" i="11"/>
  <c r="H298" i="11"/>
  <c r="K298" i="11" s="1"/>
  <c r="M298" i="11"/>
  <c r="C299" i="11"/>
  <c r="H299" i="11"/>
  <c r="K299" i="11" s="1"/>
  <c r="M299" i="11"/>
  <c r="C300" i="11"/>
  <c r="H300" i="11"/>
  <c r="K300" i="11" s="1"/>
  <c r="M300" i="11"/>
  <c r="C301" i="11"/>
  <c r="H301" i="11"/>
  <c r="K301" i="11" s="1"/>
  <c r="M301" i="11"/>
  <c r="AV301" i="11"/>
  <c r="AR301" i="11"/>
  <c r="E301" i="11" s="1"/>
  <c r="AQ301" i="11"/>
  <c r="R301" i="11" s="1"/>
  <c r="AN301" i="11"/>
  <c r="AJ301" i="11"/>
  <c r="AV300" i="11"/>
  <c r="AR300" i="11"/>
  <c r="E300" i="11" s="1"/>
  <c r="AQ300" i="11"/>
  <c r="R300" i="11" s="1"/>
  <c r="AN300" i="11"/>
  <c r="AJ300" i="11"/>
  <c r="AV299" i="11"/>
  <c r="AR299" i="11"/>
  <c r="Q299" i="11" s="1"/>
  <c r="AQ299" i="11"/>
  <c r="R299" i="11" s="1"/>
  <c r="AN299" i="11"/>
  <c r="AJ299" i="11"/>
  <c r="AV298" i="11"/>
  <c r="AR298" i="11"/>
  <c r="AT298" i="11" s="1"/>
  <c r="AQ298" i="11"/>
  <c r="AN298" i="11"/>
  <c r="AJ298" i="11"/>
  <c r="AV297" i="11"/>
  <c r="AR297" i="11"/>
  <c r="AT297" i="11" s="1"/>
  <c r="AQ297" i="11"/>
  <c r="R297" i="11" s="1"/>
  <c r="AN297" i="11"/>
  <c r="AJ297" i="11"/>
  <c r="AV296" i="11"/>
  <c r="AR296" i="11"/>
  <c r="E296" i="11" s="1"/>
  <c r="AQ296" i="11"/>
  <c r="R296" i="11" s="1"/>
  <c r="AN296" i="11"/>
  <c r="AJ296" i="11"/>
  <c r="K10" i="13"/>
  <c r="AU535" i="11"/>
  <c r="AU484" i="11"/>
  <c r="AR349" i="11"/>
  <c r="AU349" i="11"/>
  <c r="AU315" i="11"/>
  <c r="AU128" i="11"/>
  <c r="AU127" i="11"/>
  <c r="C317" i="11"/>
  <c r="H317" i="11"/>
  <c r="M317" i="11"/>
  <c r="C318" i="11"/>
  <c r="H318" i="11"/>
  <c r="K318" i="11" s="1"/>
  <c r="M318" i="11"/>
  <c r="C319" i="11"/>
  <c r="H319" i="11"/>
  <c r="K319" i="11" s="1"/>
  <c r="M319" i="11"/>
  <c r="C320" i="11"/>
  <c r="H320" i="11"/>
  <c r="K320" i="11" s="1"/>
  <c r="M320" i="11"/>
  <c r="C321" i="11"/>
  <c r="H321" i="11"/>
  <c r="K321" i="11" s="1"/>
  <c r="M321" i="11"/>
  <c r="C322" i="11"/>
  <c r="H322" i="11"/>
  <c r="K322" i="11" s="1"/>
  <c r="M322" i="11"/>
  <c r="AV322" i="11"/>
  <c r="AR322" i="11"/>
  <c r="AT322" i="11" s="1"/>
  <c r="AQ322" i="11"/>
  <c r="R322" i="11" s="1"/>
  <c r="AJ322" i="11"/>
  <c r="AV321" i="11"/>
  <c r="AR321" i="11"/>
  <c r="AT321" i="11" s="1"/>
  <c r="AQ321" i="11"/>
  <c r="R321" i="11" s="1"/>
  <c r="AJ321" i="11"/>
  <c r="AV320" i="11"/>
  <c r="AR320" i="11"/>
  <c r="AT320" i="11" s="1"/>
  <c r="AQ320" i="11"/>
  <c r="R320" i="11" s="1"/>
  <c r="AJ320" i="11"/>
  <c r="AV319" i="11"/>
  <c r="AR319" i="11"/>
  <c r="AT319" i="11" s="1"/>
  <c r="AQ319" i="11"/>
  <c r="R319" i="11" s="1"/>
  <c r="AJ319" i="11"/>
  <c r="AV318" i="11"/>
  <c r="AR318" i="11"/>
  <c r="AT318" i="11" s="1"/>
  <c r="AQ318" i="11"/>
  <c r="R318" i="11" s="1"/>
  <c r="AJ318" i="11"/>
  <c r="AV317" i="11"/>
  <c r="AR317" i="11"/>
  <c r="AS317" i="11" s="1"/>
  <c r="R317" i="11"/>
  <c r="AJ317" i="11"/>
  <c r="C68" i="11"/>
  <c r="H68" i="11"/>
  <c r="K68" i="11" s="1"/>
  <c r="M68" i="11"/>
  <c r="C69" i="11"/>
  <c r="H69" i="11"/>
  <c r="K69" i="11" s="1"/>
  <c r="M69" i="11"/>
  <c r="C70" i="11"/>
  <c r="H70" i="11"/>
  <c r="K70" i="11" s="1"/>
  <c r="M70" i="11"/>
  <c r="C71" i="11"/>
  <c r="H71" i="11"/>
  <c r="K71" i="11" s="1"/>
  <c r="M71" i="11"/>
  <c r="C72" i="11"/>
  <c r="H72" i="11"/>
  <c r="K72" i="11" s="1"/>
  <c r="M72" i="11"/>
  <c r="C73" i="11"/>
  <c r="H73" i="11"/>
  <c r="K73" i="11" s="1"/>
  <c r="M73" i="11"/>
  <c r="AV73" i="11"/>
  <c r="AR73" i="11"/>
  <c r="AT73" i="11" s="1"/>
  <c r="AQ73" i="11"/>
  <c r="R73" i="11" s="1"/>
  <c r="AN73" i="11"/>
  <c r="AJ73" i="11"/>
  <c r="AV72" i="11"/>
  <c r="AR72" i="11"/>
  <c r="AT72" i="11" s="1"/>
  <c r="AQ72" i="11"/>
  <c r="R72" i="11" s="1"/>
  <c r="AN72" i="11"/>
  <c r="AJ72" i="11"/>
  <c r="AV71" i="11"/>
  <c r="AR71" i="11"/>
  <c r="AT71" i="11" s="1"/>
  <c r="AQ71" i="11"/>
  <c r="R71" i="11" s="1"/>
  <c r="AN71" i="11"/>
  <c r="AJ71" i="11"/>
  <c r="AV70" i="11"/>
  <c r="AR70" i="11"/>
  <c r="AT70" i="11" s="1"/>
  <c r="AQ70" i="11"/>
  <c r="R70" i="11" s="1"/>
  <c r="AN70" i="11"/>
  <c r="AJ70" i="11"/>
  <c r="AV69" i="11"/>
  <c r="AR69" i="11"/>
  <c r="AT69" i="11" s="1"/>
  <c r="AQ69" i="11"/>
  <c r="R69" i="11" s="1"/>
  <c r="AN69" i="11"/>
  <c r="AJ69" i="11"/>
  <c r="AV68" i="11"/>
  <c r="AR68" i="11"/>
  <c r="AS68" i="11" s="1"/>
  <c r="AQ68" i="11"/>
  <c r="R68" i="11" s="1"/>
  <c r="AN68" i="11"/>
  <c r="AJ68" i="11"/>
  <c r="C466" i="11"/>
  <c r="H466" i="11"/>
  <c r="K466" i="11" s="1"/>
  <c r="M466" i="11"/>
  <c r="C467" i="11"/>
  <c r="H467" i="11"/>
  <c r="K467" i="11" s="1"/>
  <c r="M467" i="11"/>
  <c r="C468" i="11"/>
  <c r="H468" i="11"/>
  <c r="K468" i="11" s="1"/>
  <c r="M468" i="11"/>
  <c r="C469" i="11"/>
  <c r="H469" i="11"/>
  <c r="K469" i="11" s="1"/>
  <c r="M469" i="11"/>
  <c r="C470" i="11"/>
  <c r="H470" i="11"/>
  <c r="K470" i="11" s="1"/>
  <c r="M470" i="11"/>
  <c r="C471" i="11"/>
  <c r="H471" i="11"/>
  <c r="K471" i="11" s="1"/>
  <c r="M471" i="11"/>
  <c r="C472" i="11"/>
  <c r="H472" i="11"/>
  <c r="K472" i="11" s="1"/>
  <c r="M472" i="11"/>
  <c r="C473" i="11"/>
  <c r="H473" i="11"/>
  <c r="K473" i="11" s="1"/>
  <c r="M473" i="11"/>
  <c r="C474" i="11"/>
  <c r="H474" i="11"/>
  <c r="K474" i="11" s="1"/>
  <c r="M474" i="11"/>
  <c r="AV474" i="11"/>
  <c r="AR474" i="11"/>
  <c r="AT474" i="11" s="1"/>
  <c r="AQ474" i="11"/>
  <c r="R474" i="11" s="1"/>
  <c r="AN474" i="11"/>
  <c r="AJ474" i="11"/>
  <c r="AV473" i="11"/>
  <c r="AR473" i="11"/>
  <c r="AT473" i="11" s="1"/>
  <c r="AQ473" i="11"/>
  <c r="R473" i="11" s="1"/>
  <c r="AN473" i="11"/>
  <c r="AJ473" i="11"/>
  <c r="AV472" i="11"/>
  <c r="AR472" i="11"/>
  <c r="AT472" i="11" s="1"/>
  <c r="AQ472" i="11"/>
  <c r="R472" i="11" s="1"/>
  <c r="AN472" i="11"/>
  <c r="AJ472" i="11"/>
  <c r="AV471" i="11"/>
  <c r="AR471" i="11"/>
  <c r="AS471" i="11" s="1"/>
  <c r="AQ471" i="11"/>
  <c r="R471" i="11" s="1"/>
  <c r="AN471" i="11"/>
  <c r="AJ471" i="11"/>
  <c r="AV470" i="11"/>
  <c r="AR470" i="11"/>
  <c r="AT470" i="11" s="1"/>
  <c r="AQ470" i="11"/>
  <c r="R470" i="11" s="1"/>
  <c r="AN470" i="11"/>
  <c r="AJ470" i="11"/>
  <c r="AV469" i="11"/>
  <c r="AR469" i="11"/>
  <c r="AS469" i="11" s="1"/>
  <c r="AQ469" i="11"/>
  <c r="R469" i="11" s="1"/>
  <c r="AN469" i="11"/>
  <c r="AJ469" i="11"/>
  <c r="AV468" i="11"/>
  <c r="AR468" i="11"/>
  <c r="AT468" i="11" s="1"/>
  <c r="AQ468" i="11"/>
  <c r="R468" i="11" s="1"/>
  <c r="AN468" i="11"/>
  <c r="AJ468" i="11"/>
  <c r="AV467" i="11"/>
  <c r="AR467" i="11"/>
  <c r="AS467" i="11" s="1"/>
  <c r="AQ467" i="11"/>
  <c r="R467" i="11" s="1"/>
  <c r="AN467" i="11"/>
  <c r="AJ467" i="11"/>
  <c r="R466" i="11"/>
  <c r="AR466" i="11"/>
  <c r="AS466" i="11" s="1"/>
  <c r="AJ466" i="11"/>
  <c r="AN466" i="11"/>
  <c r="AV466" i="11"/>
  <c r="AQ537" i="11"/>
  <c r="R537" i="11" s="1"/>
  <c r="AR537" i="11"/>
  <c r="Q537" i="11" s="1"/>
  <c r="AQ538" i="11"/>
  <c r="R538" i="11" s="1"/>
  <c r="AR538" i="11"/>
  <c r="AS538" i="11" s="1"/>
  <c r="AQ539" i="11"/>
  <c r="R539" i="11" s="1"/>
  <c r="AR539" i="11"/>
  <c r="Q539" i="11" s="1"/>
  <c r="AQ540" i="11"/>
  <c r="R540" i="11" s="1"/>
  <c r="AR540" i="11"/>
  <c r="AS540" i="11" s="1"/>
  <c r="AQ541" i="11"/>
  <c r="R541" i="11" s="1"/>
  <c r="AR541" i="11"/>
  <c r="Q541" i="11" s="1"/>
  <c r="AQ542" i="11"/>
  <c r="R542" i="11" s="1"/>
  <c r="AR542" i="11"/>
  <c r="AS542" i="11" s="1"/>
  <c r="AV537" i="11"/>
  <c r="AV538" i="11"/>
  <c r="AV539" i="11"/>
  <c r="AV540" i="11"/>
  <c r="AV541" i="11"/>
  <c r="AV542" i="11"/>
  <c r="AJ538" i="11"/>
  <c r="AJ539" i="11"/>
  <c r="AJ540" i="11"/>
  <c r="AJ541" i="11"/>
  <c r="AJ542" i="11"/>
  <c r="AJ537" i="11"/>
  <c r="C537" i="11"/>
  <c r="H537" i="11"/>
  <c r="M537" i="11"/>
  <c r="C538" i="11"/>
  <c r="H538" i="11"/>
  <c r="K538" i="11" s="1"/>
  <c r="M538" i="11"/>
  <c r="C539" i="11"/>
  <c r="H539" i="11"/>
  <c r="K539" i="11" s="1"/>
  <c r="M539" i="11"/>
  <c r="C540" i="11"/>
  <c r="H540" i="11"/>
  <c r="K540" i="11" s="1"/>
  <c r="M540" i="11"/>
  <c r="C541" i="11"/>
  <c r="H541" i="11"/>
  <c r="K541" i="11" s="1"/>
  <c r="M541" i="11"/>
  <c r="C542" i="11"/>
  <c r="H542" i="11"/>
  <c r="K542" i="11" s="1"/>
  <c r="M542" i="11"/>
  <c r="AQ20" i="11"/>
  <c r="O9" i="13"/>
  <c r="AU483" i="11"/>
  <c r="AU534" i="11"/>
  <c r="AN348" i="11"/>
  <c r="AU348" i="11" s="1"/>
  <c r="AU314" i="11"/>
  <c r="AU126" i="11"/>
  <c r="F184" i="11" l="1"/>
  <c r="O184" i="11"/>
  <c r="P184" i="11" s="1"/>
  <c r="F183" i="11"/>
  <c r="F185" i="11"/>
  <c r="O183" i="11"/>
  <c r="P183" i="11" s="1"/>
  <c r="L183" i="11"/>
  <c r="N183" i="11" s="1"/>
  <c r="O185" i="11"/>
  <c r="P185" i="11" s="1"/>
  <c r="L185" i="11"/>
  <c r="N185" i="11" s="1"/>
  <c r="L184" i="11"/>
  <c r="N184" i="11" s="1"/>
  <c r="AS428" i="11"/>
  <c r="D429" i="11"/>
  <c r="D428" i="11"/>
  <c r="D427" i="11"/>
  <c r="AS427" i="11"/>
  <c r="E427" i="11"/>
  <c r="Q427" i="11"/>
  <c r="E429" i="11"/>
  <c r="Q429" i="11"/>
  <c r="E428" i="11"/>
  <c r="Q428" i="11"/>
  <c r="AS429" i="11"/>
  <c r="D182" i="11"/>
  <c r="AS395" i="11"/>
  <c r="Q213" i="11"/>
  <c r="D284" i="11"/>
  <c r="E395" i="11"/>
  <c r="D397" i="11"/>
  <c r="D396" i="11"/>
  <c r="D395" i="11"/>
  <c r="AS396" i="11"/>
  <c r="E397" i="11"/>
  <c r="AT395" i="11"/>
  <c r="D181" i="11"/>
  <c r="Q397" i="11"/>
  <c r="E396" i="11"/>
  <c r="Q396" i="11"/>
  <c r="AS397" i="11"/>
  <c r="D180" i="11"/>
  <c r="D177" i="11"/>
  <c r="AS181" i="11"/>
  <c r="AT180" i="11"/>
  <c r="D178" i="11"/>
  <c r="E182" i="11"/>
  <c r="D179" i="11"/>
  <c r="E180" i="11"/>
  <c r="E178" i="11"/>
  <c r="E179" i="11"/>
  <c r="AS178" i="11"/>
  <c r="Q182" i="11"/>
  <c r="Q180" i="11"/>
  <c r="Q178" i="11"/>
  <c r="Q179" i="11"/>
  <c r="AS177" i="11"/>
  <c r="E177" i="11"/>
  <c r="Q177" i="11"/>
  <c r="R179" i="11"/>
  <c r="AS179" i="11"/>
  <c r="K181" i="11"/>
  <c r="K180" i="11"/>
  <c r="E181" i="11"/>
  <c r="Q181" i="11"/>
  <c r="AS182" i="11"/>
  <c r="Q284" i="11"/>
  <c r="E283" i="11"/>
  <c r="E281" i="11"/>
  <c r="Q283" i="11"/>
  <c r="Q280" i="11"/>
  <c r="D298" i="11"/>
  <c r="D212" i="11"/>
  <c r="E284" i="11"/>
  <c r="E282" i="11"/>
  <c r="E280" i="11"/>
  <c r="D282" i="11"/>
  <c r="D280" i="11"/>
  <c r="Q281" i="11"/>
  <c r="Q279" i="11"/>
  <c r="D283" i="11"/>
  <c r="D213" i="11"/>
  <c r="F213" i="11" s="1"/>
  <c r="D281" i="11"/>
  <c r="E279" i="11"/>
  <c r="Q282" i="11"/>
  <c r="D279" i="11"/>
  <c r="AT279" i="11"/>
  <c r="AS283" i="11"/>
  <c r="AS281" i="11"/>
  <c r="AS280" i="11"/>
  <c r="AS282" i="11"/>
  <c r="AS284" i="11"/>
  <c r="D209" i="11"/>
  <c r="Q211" i="11"/>
  <c r="D208" i="11"/>
  <c r="F208" i="11" s="1"/>
  <c r="G208" i="11" s="1"/>
  <c r="D336" i="11"/>
  <c r="F336" i="11" s="1"/>
  <c r="G336" i="11" s="1"/>
  <c r="Q209" i="11"/>
  <c r="Q212" i="11"/>
  <c r="E209" i="11"/>
  <c r="D211" i="11"/>
  <c r="F211" i="11" s="1"/>
  <c r="G211" i="11" s="1"/>
  <c r="Q210" i="11"/>
  <c r="Q208" i="11"/>
  <c r="E212" i="11"/>
  <c r="D383" i="11"/>
  <c r="AS209" i="11"/>
  <c r="D210" i="11"/>
  <c r="F210" i="11" s="1"/>
  <c r="G210" i="11" s="1"/>
  <c r="AS212" i="11"/>
  <c r="AS210" i="11"/>
  <c r="AS208" i="11"/>
  <c r="AS211" i="11"/>
  <c r="AT208" i="11"/>
  <c r="AT211" i="11"/>
  <c r="AS213" i="11"/>
  <c r="AT210" i="11"/>
  <c r="AT213" i="11"/>
  <c r="D381" i="11"/>
  <c r="E383" i="11"/>
  <c r="E380" i="11"/>
  <c r="Q382" i="11"/>
  <c r="Q379" i="11"/>
  <c r="E382" i="11"/>
  <c r="Q381" i="11"/>
  <c r="Q383" i="11"/>
  <c r="E381" i="11"/>
  <c r="E379" i="11"/>
  <c r="D379" i="11"/>
  <c r="Q380" i="11"/>
  <c r="Q378" i="11"/>
  <c r="D382" i="11"/>
  <c r="D380" i="11"/>
  <c r="E378" i="11"/>
  <c r="D378" i="11"/>
  <c r="AT378" i="11"/>
  <c r="AS382" i="11"/>
  <c r="AT380" i="11"/>
  <c r="AS379" i="11"/>
  <c r="AS381" i="11"/>
  <c r="AS383" i="11"/>
  <c r="D338" i="11"/>
  <c r="F338" i="11" s="1"/>
  <c r="G338" i="11" s="1"/>
  <c r="E337" i="11"/>
  <c r="Q339" i="11"/>
  <c r="D339" i="11"/>
  <c r="F339" i="11" s="1"/>
  <c r="G339" i="11" s="1"/>
  <c r="Q335" i="11"/>
  <c r="Q337" i="11"/>
  <c r="D337" i="11"/>
  <c r="Q338" i="11"/>
  <c r="R336" i="11"/>
  <c r="D335" i="11"/>
  <c r="F335" i="11" s="1"/>
  <c r="G335" i="11" s="1"/>
  <c r="Q336" i="11"/>
  <c r="Q334" i="11"/>
  <c r="E334" i="11"/>
  <c r="D334" i="11"/>
  <c r="AS336" i="11"/>
  <c r="AS338" i="11"/>
  <c r="AS335" i="11"/>
  <c r="AS337" i="11"/>
  <c r="AS334" i="11"/>
  <c r="AT335" i="11"/>
  <c r="AT338" i="11"/>
  <c r="AS339" i="11"/>
  <c r="AT336" i="11"/>
  <c r="AT339" i="11"/>
  <c r="D300" i="11"/>
  <c r="F300" i="11" s="1"/>
  <c r="G300" i="11" s="1"/>
  <c r="D299" i="11"/>
  <c r="Q300" i="11"/>
  <c r="Q297" i="11"/>
  <c r="D297" i="11"/>
  <c r="E299" i="11"/>
  <c r="R298" i="11"/>
  <c r="Q298" i="11"/>
  <c r="E297" i="11"/>
  <c r="Q301" i="11"/>
  <c r="AS297" i="11"/>
  <c r="Q296" i="11"/>
  <c r="E298" i="11"/>
  <c r="D301" i="11"/>
  <c r="F301" i="11" s="1"/>
  <c r="D296" i="11"/>
  <c r="F296" i="11" s="1"/>
  <c r="G296" i="11" s="1"/>
  <c r="AS300" i="11"/>
  <c r="AS298" i="11"/>
  <c r="AT300" i="11"/>
  <c r="AS296" i="11"/>
  <c r="AS299" i="11"/>
  <c r="AT296" i="11"/>
  <c r="AT299" i="11"/>
  <c r="AS301" i="11"/>
  <c r="AT301" i="11"/>
  <c r="D322" i="11"/>
  <c r="Q320" i="11"/>
  <c r="D541" i="11"/>
  <c r="E319" i="11"/>
  <c r="D319" i="11"/>
  <c r="E538" i="11"/>
  <c r="D321" i="11"/>
  <c r="D72" i="11"/>
  <c r="Q318" i="11"/>
  <c r="E322" i="11"/>
  <c r="E320" i="11"/>
  <c r="D320" i="11"/>
  <c r="E318" i="11"/>
  <c r="Q321" i="11"/>
  <c r="D318" i="11"/>
  <c r="Q540" i="11"/>
  <c r="AT317" i="11"/>
  <c r="Q319" i="11"/>
  <c r="Q317" i="11"/>
  <c r="E321" i="11"/>
  <c r="Q322" i="11"/>
  <c r="E317" i="11"/>
  <c r="D317" i="11"/>
  <c r="K317" i="11"/>
  <c r="AS321" i="11"/>
  <c r="AS319" i="11"/>
  <c r="AS318" i="11"/>
  <c r="AS320" i="11"/>
  <c r="AS322" i="11"/>
  <c r="Q71" i="11"/>
  <c r="D70" i="11"/>
  <c r="E73" i="11"/>
  <c r="D73" i="11"/>
  <c r="Q69" i="11"/>
  <c r="E71" i="11"/>
  <c r="D71" i="11"/>
  <c r="AT68" i="11"/>
  <c r="Q72" i="11"/>
  <c r="E69" i="11"/>
  <c r="Q70" i="11"/>
  <c r="D69" i="11"/>
  <c r="E72" i="11"/>
  <c r="Q68" i="11"/>
  <c r="Q73" i="11"/>
  <c r="E70" i="11"/>
  <c r="E68" i="11"/>
  <c r="D68" i="11"/>
  <c r="AS72" i="11"/>
  <c r="AS70" i="11"/>
  <c r="AS69" i="11"/>
  <c r="AS71" i="11"/>
  <c r="AS73" i="11"/>
  <c r="Q472" i="11"/>
  <c r="Q469" i="11"/>
  <c r="D466" i="11"/>
  <c r="D468" i="11"/>
  <c r="E473" i="11"/>
  <c r="E466" i="11"/>
  <c r="AT467" i="11"/>
  <c r="D473" i="11"/>
  <c r="Q467" i="11"/>
  <c r="Q474" i="11"/>
  <c r="E471" i="11"/>
  <c r="D471" i="11"/>
  <c r="E469" i="11"/>
  <c r="E467" i="11"/>
  <c r="E474" i="11"/>
  <c r="Q470" i="11"/>
  <c r="D469" i="11"/>
  <c r="D467" i="11"/>
  <c r="D474" i="11"/>
  <c r="E472" i="11"/>
  <c r="Q468" i="11"/>
  <c r="Q466" i="11"/>
  <c r="Q473" i="11"/>
  <c r="D472" i="11"/>
  <c r="E470" i="11"/>
  <c r="Q471" i="11"/>
  <c r="D470" i="11"/>
  <c r="E468" i="11"/>
  <c r="AS473" i="11"/>
  <c r="AT471" i="11"/>
  <c r="AS468" i="11"/>
  <c r="AS470" i="11"/>
  <c r="AT469" i="11"/>
  <c r="AS472" i="11"/>
  <c r="AS474" i="11"/>
  <c r="AT466" i="11"/>
  <c r="E540" i="11"/>
  <c r="AT540" i="11"/>
  <c r="AT538" i="11"/>
  <c r="D539" i="11"/>
  <c r="Q538" i="11"/>
  <c r="AT539" i="11"/>
  <c r="E539" i="11"/>
  <c r="Q542" i="11"/>
  <c r="E541" i="11"/>
  <c r="E542" i="11"/>
  <c r="AT542" i="11"/>
  <c r="AS539" i="11"/>
  <c r="AS541" i="11"/>
  <c r="AT541" i="11"/>
  <c r="D540" i="11"/>
  <c r="AT537" i="11"/>
  <c r="AS537" i="11"/>
  <c r="E537" i="11"/>
  <c r="D542" i="11"/>
  <c r="D538" i="11"/>
  <c r="D537" i="11"/>
  <c r="K537" i="11"/>
  <c r="M366" i="11"/>
  <c r="AR9" i="11"/>
  <c r="AR55" i="11"/>
  <c r="E55" i="11" s="1"/>
  <c r="AR56" i="11"/>
  <c r="AT56" i="11" s="1"/>
  <c r="AR57" i="11"/>
  <c r="E57" i="11" s="1"/>
  <c r="AR58" i="11"/>
  <c r="E58" i="11" s="1"/>
  <c r="AN55" i="11"/>
  <c r="AN56" i="11"/>
  <c r="AN57" i="11"/>
  <c r="AN58" i="11"/>
  <c r="AN54" i="11"/>
  <c r="AR54" i="11"/>
  <c r="AS54" i="11" s="1"/>
  <c r="AJ54" i="11"/>
  <c r="AJ55" i="11"/>
  <c r="AJ56" i="11"/>
  <c r="AJ57" i="11"/>
  <c r="AJ58" i="11"/>
  <c r="C54" i="11"/>
  <c r="H54" i="11"/>
  <c r="K54" i="11" s="1"/>
  <c r="M54" i="11"/>
  <c r="C55" i="11"/>
  <c r="H55" i="11"/>
  <c r="K55" i="11" s="1"/>
  <c r="M55" i="11"/>
  <c r="C56" i="11"/>
  <c r="H56" i="11"/>
  <c r="K56" i="11" s="1"/>
  <c r="M56" i="11"/>
  <c r="C57" i="11"/>
  <c r="H57" i="11"/>
  <c r="K57" i="11" s="1"/>
  <c r="M57" i="11"/>
  <c r="C58" i="11"/>
  <c r="H58" i="11"/>
  <c r="K58" i="11" s="1"/>
  <c r="M58" i="11"/>
  <c r="AQ54" i="11"/>
  <c r="R54" i="11" s="1"/>
  <c r="AQ55" i="11"/>
  <c r="R55" i="11" s="1"/>
  <c r="AQ56" i="11"/>
  <c r="R56" i="11" s="1"/>
  <c r="AQ57" i="11"/>
  <c r="R57" i="11" s="1"/>
  <c r="AQ58" i="11"/>
  <c r="R58" i="11" s="1"/>
  <c r="AV54" i="11"/>
  <c r="AV55" i="11"/>
  <c r="AV56" i="11"/>
  <c r="AV57" i="11"/>
  <c r="AV58" i="11"/>
  <c r="O8" i="13"/>
  <c r="C19" i="11"/>
  <c r="H19" i="11"/>
  <c r="K19" i="11" s="1"/>
  <c r="M19" i="11"/>
  <c r="C20" i="11"/>
  <c r="H20" i="11"/>
  <c r="K20" i="11" s="1"/>
  <c r="M20" i="11"/>
  <c r="AV20" i="11"/>
  <c r="AR20" i="11"/>
  <c r="E20" i="11" s="1"/>
  <c r="R20" i="11"/>
  <c r="AN20" i="11"/>
  <c r="AJ20" i="11"/>
  <c r="AV19" i="11"/>
  <c r="AR19" i="11"/>
  <c r="Q19" i="11" s="1"/>
  <c r="AQ19" i="11"/>
  <c r="R19" i="11" s="1"/>
  <c r="AN19" i="11"/>
  <c r="AJ19" i="11"/>
  <c r="C189" i="11"/>
  <c r="H189" i="11"/>
  <c r="K189" i="11" s="1"/>
  <c r="M189" i="11"/>
  <c r="C190" i="11"/>
  <c r="H190" i="11"/>
  <c r="K190" i="11" s="1"/>
  <c r="M190" i="11"/>
  <c r="C191" i="11"/>
  <c r="H191" i="11"/>
  <c r="K191" i="11" s="1"/>
  <c r="M191" i="11"/>
  <c r="C192" i="11"/>
  <c r="H192" i="11"/>
  <c r="K192" i="11" s="1"/>
  <c r="M192" i="11"/>
  <c r="C193" i="11"/>
  <c r="H193" i="11"/>
  <c r="K193" i="11" s="1"/>
  <c r="M193" i="11"/>
  <c r="AV193" i="11"/>
  <c r="AR193" i="11"/>
  <c r="AT193" i="11" s="1"/>
  <c r="AQ193" i="11"/>
  <c r="R193" i="11" s="1"/>
  <c r="AN193" i="11"/>
  <c r="AJ193" i="11"/>
  <c r="AV192" i="11"/>
  <c r="AR192" i="11"/>
  <c r="AT192" i="11" s="1"/>
  <c r="AQ192" i="11"/>
  <c r="R192" i="11" s="1"/>
  <c r="AN192" i="11"/>
  <c r="AJ192" i="11"/>
  <c r="AV191" i="11"/>
  <c r="AR191" i="11"/>
  <c r="AT191" i="11" s="1"/>
  <c r="AQ191" i="11"/>
  <c r="R191" i="11" s="1"/>
  <c r="AN191" i="11"/>
  <c r="AJ191" i="11"/>
  <c r="AV190" i="11"/>
  <c r="AR190" i="11"/>
  <c r="AT190" i="11" s="1"/>
  <c r="AQ190" i="11"/>
  <c r="R190" i="11" s="1"/>
  <c r="AN190" i="11"/>
  <c r="AJ190" i="11"/>
  <c r="AV189" i="11"/>
  <c r="AR189" i="11"/>
  <c r="AT189" i="11" s="1"/>
  <c r="AQ189" i="11"/>
  <c r="R189" i="11" s="1"/>
  <c r="AN189" i="11"/>
  <c r="AJ189" i="11"/>
  <c r="F468" i="11" l="1"/>
  <c r="G468" i="11" s="1"/>
  <c r="F380" i="11"/>
  <c r="G380" i="11" s="1"/>
  <c r="G184" i="11"/>
  <c r="S184" i="11"/>
  <c r="T184" i="11" s="1"/>
  <c r="U184" i="11" s="1"/>
  <c r="V184" i="11" s="1"/>
  <c r="G185" i="11"/>
  <c r="G183" i="11"/>
  <c r="S183" i="11"/>
  <c r="S185" i="11"/>
  <c r="F427" i="11"/>
  <c r="G427" i="11" s="1"/>
  <c r="F284" i="11"/>
  <c r="G284" i="11" s="1"/>
  <c r="F395" i="11"/>
  <c r="G395" i="11" s="1"/>
  <c r="F429" i="11"/>
  <c r="F428" i="11"/>
  <c r="F182" i="11"/>
  <c r="G182" i="11" s="1"/>
  <c r="F397" i="11"/>
  <c r="G397" i="11" s="1"/>
  <c r="F396" i="11"/>
  <c r="F178" i="11"/>
  <c r="G178" i="11" s="1"/>
  <c r="F180" i="11"/>
  <c r="G180" i="11" s="1"/>
  <c r="F177" i="11"/>
  <c r="G177" i="11" s="1"/>
  <c r="F179" i="11"/>
  <c r="G179" i="11" s="1"/>
  <c r="F181" i="11"/>
  <c r="F283" i="11"/>
  <c r="G283" i="11" s="1"/>
  <c r="F282" i="11"/>
  <c r="G282" i="11" s="1"/>
  <c r="F281" i="11"/>
  <c r="G281" i="11" s="1"/>
  <c r="F279" i="11"/>
  <c r="G279" i="11" s="1"/>
  <c r="F212" i="11"/>
  <c r="G212" i="11" s="1"/>
  <c r="F280" i="11"/>
  <c r="G280" i="11" s="1"/>
  <c r="F209" i="11"/>
  <c r="G209" i="11" s="1"/>
  <c r="G213" i="11"/>
  <c r="F379" i="11"/>
  <c r="G379" i="11" s="1"/>
  <c r="F381" i="11"/>
  <c r="G381" i="11" s="1"/>
  <c r="F382" i="11"/>
  <c r="G382" i="11" s="1"/>
  <c r="F383" i="11"/>
  <c r="G383" i="11" s="1"/>
  <c r="F378" i="11"/>
  <c r="G378" i="11" s="1"/>
  <c r="F337" i="11"/>
  <c r="G337" i="11" s="1"/>
  <c r="F334" i="11"/>
  <c r="G334" i="11" s="1"/>
  <c r="F299" i="11"/>
  <c r="G299" i="11" s="1"/>
  <c r="F298" i="11"/>
  <c r="G298" i="11" s="1"/>
  <c r="F297" i="11"/>
  <c r="G297" i="11" s="1"/>
  <c r="G301" i="11"/>
  <c r="F322" i="11"/>
  <c r="G322" i="11" s="1"/>
  <c r="F541" i="11"/>
  <c r="G541" i="11" s="1"/>
  <c r="F538" i="11"/>
  <c r="G538" i="11" s="1"/>
  <c r="F320" i="11"/>
  <c r="G320" i="11" s="1"/>
  <c r="F321" i="11"/>
  <c r="G321" i="11" s="1"/>
  <c r="F72" i="11"/>
  <c r="G72" i="11" s="1"/>
  <c r="F318" i="11"/>
  <c r="G318" i="11" s="1"/>
  <c r="F319" i="11"/>
  <c r="G319" i="11" s="1"/>
  <c r="F317" i="11"/>
  <c r="G317" i="11" s="1"/>
  <c r="F73" i="11"/>
  <c r="G73" i="11" s="1"/>
  <c r="F69" i="11"/>
  <c r="G69" i="11" s="1"/>
  <c r="F68" i="11"/>
  <c r="G68" i="11" s="1"/>
  <c r="F71" i="11"/>
  <c r="G71" i="11" s="1"/>
  <c r="F469" i="11"/>
  <c r="G469" i="11" s="1"/>
  <c r="F473" i="11"/>
  <c r="G473" i="11" s="1"/>
  <c r="F70" i="11"/>
  <c r="G70" i="11" s="1"/>
  <c r="F466" i="11"/>
  <c r="G466" i="11" s="1"/>
  <c r="F540" i="11"/>
  <c r="G540" i="11" s="1"/>
  <c r="F472" i="11"/>
  <c r="G472" i="11" s="1"/>
  <c r="F467" i="11"/>
  <c r="G467" i="11" s="1"/>
  <c r="F474" i="11"/>
  <c r="G474" i="11" s="1"/>
  <c r="F470" i="11"/>
  <c r="G470" i="11" s="1"/>
  <c r="F471" i="11"/>
  <c r="G471" i="11" s="1"/>
  <c r="F542" i="11"/>
  <c r="G542" i="11" s="1"/>
  <c r="F539" i="11"/>
  <c r="G539" i="11" s="1"/>
  <c r="F537" i="11"/>
  <c r="G537" i="11" s="1"/>
  <c r="AS57" i="11"/>
  <c r="AS58" i="11"/>
  <c r="AT58" i="11"/>
  <c r="Q58" i="11"/>
  <c r="Q56" i="11"/>
  <c r="E56" i="11"/>
  <c r="AS56" i="11"/>
  <c r="Q55" i="11"/>
  <c r="AS55" i="11"/>
  <c r="AT57" i="11"/>
  <c r="Q57" i="11"/>
  <c r="AT55" i="11"/>
  <c r="AT54" i="11"/>
  <c r="Q54" i="11"/>
  <c r="E54" i="11"/>
  <c r="D55" i="11"/>
  <c r="F55" i="11" s="1"/>
  <c r="G55" i="11" s="1"/>
  <c r="D58" i="11"/>
  <c r="F58" i="11" s="1"/>
  <c r="G58" i="11" s="1"/>
  <c r="D54" i="11"/>
  <c r="D57" i="11"/>
  <c r="F57" i="11" s="1"/>
  <c r="G57" i="11" s="1"/>
  <c r="D56" i="11"/>
  <c r="D20" i="11"/>
  <c r="F20" i="11" s="1"/>
  <c r="G20" i="11" s="1"/>
  <c r="D19" i="11"/>
  <c r="Q20" i="11"/>
  <c r="E19" i="11"/>
  <c r="AS20" i="11"/>
  <c r="AT20" i="11"/>
  <c r="AS19" i="11"/>
  <c r="AT19" i="11"/>
  <c r="D193" i="11"/>
  <c r="E192" i="11"/>
  <c r="D192" i="11"/>
  <c r="D191" i="11"/>
  <c r="D190" i="11"/>
  <c r="D189" i="11"/>
  <c r="Q190" i="11"/>
  <c r="Q193" i="11"/>
  <c r="E190" i="11"/>
  <c r="E193" i="11"/>
  <c r="Q191" i="11"/>
  <c r="Q189" i="11"/>
  <c r="Q192" i="11"/>
  <c r="E191" i="11"/>
  <c r="E189" i="11"/>
  <c r="AS193" i="11"/>
  <c r="AS192" i="11"/>
  <c r="AS191" i="11"/>
  <c r="AS190" i="11"/>
  <c r="AS189" i="11"/>
  <c r="C277" i="11"/>
  <c r="H277" i="11"/>
  <c r="M277" i="11"/>
  <c r="C278" i="11"/>
  <c r="H278" i="11"/>
  <c r="K278" i="11" s="1"/>
  <c r="M278" i="11"/>
  <c r="AV278" i="11"/>
  <c r="AR278" i="11"/>
  <c r="AS278" i="11" s="1"/>
  <c r="AQ278" i="11"/>
  <c r="R278" i="11" s="1"/>
  <c r="AN278" i="11"/>
  <c r="AJ278" i="11"/>
  <c r="AV277" i="11"/>
  <c r="AR277" i="11"/>
  <c r="E277" i="11" s="1"/>
  <c r="AQ277" i="11"/>
  <c r="R277" i="11" s="1"/>
  <c r="AN277" i="11"/>
  <c r="AJ277" i="11"/>
  <c r="B184" i="11" l="1"/>
  <c r="A184" i="11" s="1"/>
  <c r="T183" i="11"/>
  <c r="U183" i="11" s="1"/>
  <c r="T185" i="11"/>
  <c r="U185" i="11" s="1"/>
  <c r="G428" i="11"/>
  <c r="G429" i="11"/>
  <c r="G396" i="11"/>
  <c r="G181" i="11"/>
  <c r="F56" i="11"/>
  <c r="G56" i="11" s="1"/>
  <c r="F54" i="11"/>
  <c r="G54" i="11" s="1"/>
  <c r="F19" i="11"/>
  <c r="G19" i="11" s="1"/>
  <c r="F193" i="11"/>
  <c r="G193" i="11" s="1"/>
  <c r="D277" i="11"/>
  <c r="F277" i="11" s="1"/>
  <c r="G277" i="11" s="1"/>
  <c r="D278" i="11"/>
  <c r="F192" i="11"/>
  <c r="G192" i="11" s="1"/>
  <c r="F189" i="11"/>
  <c r="G189" i="11" s="1"/>
  <c r="F190" i="11"/>
  <c r="G190" i="11" s="1"/>
  <c r="F191" i="11"/>
  <c r="G191" i="11" s="1"/>
  <c r="Q278" i="11"/>
  <c r="E278" i="11"/>
  <c r="Q277" i="11"/>
  <c r="K277" i="11"/>
  <c r="AT278" i="11"/>
  <c r="AS277" i="11"/>
  <c r="AT277" i="11"/>
  <c r="AU533" i="11"/>
  <c r="AU482" i="11"/>
  <c r="AM362" i="11"/>
  <c r="AU347" i="11"/>
  <c r="AU313" i="11"/>
  <c r="V185" i="11" l="1"/>
  <c r="B185" i="11"/>
  <c r="A185" i="11" s="1"/>
  <c r="V183" i="11"/>
  <c r="B183" i="11"/>
  <c r="A183" i="11" s="1"/>
  <c r="W184" i="11"/>
  <c r="X184" i="11"/>
  <c r="Y184" i="11"/>
  <c r="Z184" i="11" s="1"/>
  <c r="F278" i="11"/>
  <c r="G278" i="11" s="1"/>
  <c r="BA553" i="11"/>
  <c r="BB553" i="11"/>
  <c r="BD508" i="11"/>
  <c r="BD509" i="11"/>
  <c r="BD510" i="11"/>
  <c r="BD511" i="11"/>
  <c r="BD512" i="11"/>
  <c r="BD513" i="11"/>
  <c r="BD514" i="11"/>
  <c r="BC508" i="11"/>
  <c r="BC509" i="11"/>
  <c r="BC510" i="11"/>
  <c r="BC511" i="11"/>
  <c r="BC512" i="11"/>
  <c r="BC513" i="11"/>
  <c r="BC514" i="11"/>
  <c r="X185" i="11" l="1"/>
  <c r="Y185" i="11"/>
  <c r="Z185" i="11" s="1"/>
  <c r="W185" i="11"/>
  <c r="Y183" i="11"/>
  <c r="Z183" i="11" s="1"/>
  <c r="W183" i="11"/>
  <c r="X183" i="11"/>
  <c r="BA555" i="11"/>
  <c r="AN476" i="11"/>
  <c r="B30" i="18" l="1"/>
  <c r="B31" i="18" s="1"/>
  <c r="B25" i="18"/>
  <c r="B24" i="18"/>
  <c r="B23" i="18"/>
  <c r="B22" i="18"/>
  <c r="B21" i="18"/>
  <c r="B20" i="18"/>
  <c r="AV249" i="11" l="1"/>
  <c r="C249" i="11"/>
  <c r="E249" i="11"/>
  <c r="H249" i="11"/>
  <c r="M249" i="11"/>
  <c r="AS249" i="11"/>
  <c r="AQ249" i="11"/>
  <c r="R249" i="11" s="1"/>
  <c r="AN249" i="11"/>
  <c r="AJ249" i="11"/>
  <c r="AV10" i="11"/>
  <c r="AV11" i="11"/>
  <c r="AV12" i="11"/>
  <c r="AV13" i="11"/>
  <c r="AV14" i="11"/>
  <c r="AV15" i="11"/>
  <c r="AV16" i="11"/>
  <c r="AV17" i="11"/>
  <c r="AV18" i="11"/>
  <c r="AV29" i="11"/>
  <c r="AV30" i="11"/>
  <c r="AV31" i="11"/>
  <c r="AV32" i="11"/>
  <c r="AV33" i="11"/>
  <c r="AV34" i="11"/>
  <c r="AV35" i="11"/>
  <c r="AV36" i="11"/>
  <c r="AV37" i="11"/>
  <c r="AV38" i="11"/>
  <c r="AV39" i="11"/>
  <c r="AV40" i="11"/>
  <c r="AV46" i="11"/>
  <c r="AV47" i="11"/>
  <c r="AV48" i="11"/>
  <c r="AV49" i="11"/>
  <c r="AV50" i="11"/>
  <c r="AV51" i="11"/>
  <c r="AV52" i="11"/>
  <c r="AV53" i="11"/>
  <c r="AV65" i="11"/>
  <c r="AV66" i="11"/>
  <c r="AV67" i="11"/>
  <c r="AV74" i="11"/>
  <c r="AV75" i="11"/>
  <c r="AV76" i="11"/>
  <c r="AV77" i="11"/>
  <c r="AV78" i="11"/>
  <c r="AV79" i="11"/>
  <c r="AV80" i="11"/>
  <c r="AV81" i="11"/>
  <c r="AV82" i="11"/>
  <c r="AV83" i="11"/>
  <c r="AV89" i="11"/>
  <c r="AV90" i="11"/>
  <c r="AV91" i="11"/>
  <c r="AV92" i="11"/>
  <c r="AV93" i="11"/>
  <c r="AV94" i="11"/>
  <c r="AV95" i="11"/>
  <c r="AV96" i="11"/>
  <c r="AV97" i="11"/>
  <c r="AV98" i="11"/>
  <c r="AV104" i="11"/>
  <c r="AV105" i="11"/>
  <c r="AV106" i="11"/>
  <c r="AV107" i="11"/>
  <c r="AV108" i="11"/>
  <c r="AV109" i="11"/>
  <c r="AV110" i="11"/>
  <c r="AV111" i="11"/>
  <c r="AV112" i="11"/>
  <c r="AV113" i="11"/>
  <c r="AV114" i="11"/>
  <c r="AV115" i="11"/>
  <c r="AV121" i="11"/>
  <c r="AV122" i="11"/>
  <c r="AV123" i="11"/>
  <c r="AV124" i="11"/>
  <c r="AV125" i="11"/>
  <c r="AV126" i="11"/>
  <c r="AV127" i="11"/>
  <c r="AV128" i="11"/>
  <c r="AV129" i="11"/>
  <c r="AV130" i="11"/>
  <c r="AV131" i="11"/>
  <c r="AV132" i="11"/>
  <c r="AV139" i="11"/>
  <c r="AV140" i="11"/>
  <c r="AV141" i="11"/>
  <c r="AV142" i="11"/>
  <c r="AV143" i="11"/>
  <c r="AV144" i="11"/>
  <c r="AV145" i="11"/>
  <c r="AV146" i="11"/>
  <c r="AV147" i="11"/>
  <c r="AV148" i="11"/>
  <c r="AV149" i="11"/>
  <c r="AV150" i="11"/>
  <c r="AV151" i="11"/>
  <c r="AV152" i="11"/>
  <c r="AV164" i="11"/>
  <c r="AV165" i="11"/>
  <c r="AV166" i="11"/>
  <c r="AV167" i="11"/>
  <c r="AV168" i="11"/>
  <c r="AV169" i="11"/>
  <c r="AV170" i="11"/>
  <c r="AV171" i="11"/>
  <c r="AV172" i="11"/>
  <c r="AV173" i="11"/>
  <c r="AV174" i="11"/>
  <c r="AV175" i="11"/>
  <c r="AV176" i="11"/>
  <c r="AV186" i="11"/>
  <c r="AV187" i="11"/>
  <c r="AV188" i="11"/>
  <c r="AV197" i="11"/>
  <c r="AV198" i="11"/>
  <c r="AV199" i="11"/>
  <c r="AV200" i="11"/>
  <c r="AV201" i="11"/>
  <c r="AV202" i="11"/>
  <c r="AV203" i="11"/>
  <c r="AV204" i="11"/>
  <c r="AV205" i="11"/>
  <c r="AV206" i="11"/>
  <c r="AV207" i="11"/>
  <c r="AV214" i="11"/>
  <c r="AV215" i="11"/>
  <c r="AV216" i="11"/>
  <c r="AV217" i="11"/>
  <c r="AV218" i="11"/>
  <c r="AV219" i="11"/>
  <c r="AV220" i="11"/>
  <c r="AV221" i="11"/>
  <c r="AV222" i="11"/>
  <c r="AV223" i="11"/>
  <c r="AV224" i="11"/>
  <c r="AV225" i="11"/>
  <c r="AV226" i="11"/>
  <c r="AV230" i="11"/>
  <c r="AV231" i="11"/>
  <c r="AV232" i="11"/>
  <c r="AV233" i="11"/>
  <c r="AV234" i="11"/>
  <c r="AV235" i="11"/>
  <c r="AV236" i="11"/>
  <c r="AV237" i="11"/>
  <c r="AV238" i="11"/>
  <c r="AV239" i="11"/>
  <c r="AV240" i="11"/>
  <c r="AV241" i="11"/>
  <c r="AV248" i="11"/>
  <c r="AV250" i="11"/>
  <c r="AV251" i="11"/>
  <c r="AV252" i="11"/>
  <c r="AV253" i="11"/>
  <c r="AV254" i="11"/>
  <c r="AV255" i="11"/>
  <c r="AV256" i="11"/>
  <c r="AV257" i="11"/>
  <c r="AV258" i="11"/>
  <c r="AV259" i="11"/>
  <c r="AV260" i="11"/>
  <c r="AV261" i="11"/>
  <c r="AV262" i="11"/>
  <c r="AV263" i="11"/>
  <c r="AV267" i="11"/>
  <c r="AV268" i="11"/>
  <c r="AV269" i="11"/>
  <c r="AV270" i="11"/>
  <c r="AV271" i="11"/>
  <c r="AV272" i="11"/>
  <c r="AV273" i="11"/>
  <c r="AV274" i="11"/>
  <c r="AV275" i="11"/>
  <c r="AV276" i="11"/>
  <c r="AV285" i="11"/>
  <c r="AV286" i="11"/>
  <c r="AV287" i="11"/>
  <c r="AV288" i="11"/>
  <c r="AV289" i="11"/>
  <c r="AV290" i="11"/>
  <c r="AV291" i="11"/>
  <c r="AV292" i="11"/>
  <c r="AV293" i="11"/>
  <c r="AV294" i="11"/>
  <c r="AV295" i="11"/>
  <c r="AV308" i="11"/>
  <c r="AV309" i="11"/>
  <c r="AV310" i="11"/>
  <c r="AV311" i="11"/>
  <c r="AV312" i="11"/>
  <c r="AV313" i="11"/>
  <c r="AV314" i="11"/>
  <c r="AV315" i="11"/>
  <c r="AV316" i="11"/>
  <c r="AV323" i="11"/>
  <c r="AV324" i="11"/>
  <c r="AV325" i="11"/>
  <c r="AV326" i="11"/>
  <c r="AV327" i="11"/>
  <c r="AV328" i="11"/>
  <c r="AV329" i="11"/>
  <c r="AV330" i="11"/>
  <c r="AV331" i="11"/>
  <c r="AV332" i="11"/>
  <c r="AV333" i="11"/>
  <c r="AV340" i="11"/>
  <c r="AV341" i="11"/>
  <c r="AV342" i="11"/>
  <c r="AV343" i="11"/>
  <c r="AV344" i="11"/>
  <c r="AV345" i="11"/>
  <c r="AV346" i="11"/>
  <c r="AV347" i="11"/>
  <c r="AV348" i="11"/>
  <c r="AV349" i="11"/>
  <c r="AV350" i="11"/>
  <c r="AV351" i="11"/>
  <c r="AV357" i="11"/>
  <c r="AV358" i="11"/>
  <c r="AV359" i="11"/>
  <c r="AV360" i="11"/>
  <c r="AV361" i="11"/>
  <c r="AV362" i="11"/>
  <c r="AV363" i="11"/>
  <c r="AV364" i="11"/>
  <c r="AV365" i="11"/>
  <c r="AV366" i="11"/>
  <c r="AV367" i="11"/>
  <c r="AV368" i="11"/>
  <c r="AV369" i="11"/>
  <c r="AV370" i="11"/>
  <c r="AV371" i="11"/>
  <c r="AV372" i="11"/>
  <c r="AV373" i="11"/>
  <c r="AV374" i="11"/>
  <c r="AV375" i="11"/>
  <c r="AV376" i="11"/>
  <c r="AV377" i="11"/>
  <c r="AV384" i="11"/>
  <c r="AV385" i="11"/>
  <c r="AV386" i="11"/>
  <c r="AV387" i="11"/>
  <c r="AV388" i="11"/>
  <c r="AV389" i="11"/>
  <c r="AV390" i="11"/>
  <c r="AV391" i="11"/>
  <c r="AV392" i="11"/>
  <c r="AV393" i="11"/>
  <c r="AV394" i="11"/>
  <c r="AV401" i="11"/>
  <c r="AV402" i="11"/>
  <c r="AV403" i="11"/>
  <c r="AV404" i="11"/>
  <c r="AV405" i="11"/>
  <c r="AV406" i="11"/>
  <c r="AV407" i="11"/>
  <c r="AV408" i="11"/>
  <c r="AV409" i="11"/>
  <c r="AV410" i="11"/>
  <c r="AV411" i="11"/>
  <c r="AV412" i="11"/>
  <c r="AV416" i="11"/>
  <c r="AV417" i="11"/>
  <c r="AV418" i="11"/>
  <c r="AV419" i="11"/>
  <c r="AV420" i="11"/>
  <c r="AV421" i="11"/>
  <c r="AV422" i="11"/>
  <c r="AV423" i="11"/>
  <c r="AV424" i="11"/>
  <c r="AV425" i="11"/>
  <c r="AV426" i="11"/>
  <c r="AV438" i="11"/>
  <c r="AV439" i="11"/>
  <c r="AV440" i="11"/>
  <c r="AV441" i="11"/>
  <c r="AV442" i="11"/>
  <c r="AV443" i="11"/>
  <c r="AV444" i="11"/>
  <c r="AV445" i="11"/>
  <c r="AV446" i="11"/>
  <c r="AV447" i="11"/>
  <c r="AV448" i="11"/>
  <c r="AV449" i="11"/>
  <c r="AV450" i="11"/>
  <c r="AV451" i="11"/>
  <c r="AV452" i="11"/>
  <c r="AV475" i="11"/>
  <c r="AV476" i="11"/>
  <c r="AV477" i="11"/>
  <c r="AV478" i="11"/>
  <c r="AV479" i="11"/>
  <c r="AV480" i="11"/>
  <c r="AV481" i="11"/>
  <c r="AV482" i="11"/>
  <c r="AV483" i="11"/>
  <c r="AV484" i="11"/>
  <c r="AV485" i="11"/>
  <c r="AV486" i="11"/>
  <c r="AV492" i="11"/>
  <c r="AV493" i="11"/>
  <c r="AV494" i="11"/>
  <c r="AV495" i="11"/>
  <c r="AV496" i="11"/>
  <c r="AV497" i="11"/>
  <c r="AV498" i="11"/>
  <c r="AV499" i="11"/>
  <c r="AV500" i="11"/>
  <c r="AV508" i="11"/>
  <c r="AV509" i="11"/>
  <c r="AV510" i="11"/>
  <c r="AV511" i="11"/>
  <c r="AV512" i="11"/>
  <c r="AV513" i="11"/>
  <c r="AV514" i="11"/>
  <c r="AV515" i="11"/>
  <c r="AV516" i="11"/>
  <c r="AV517" i="11"/>
  <c r="AV518" i="11"/>
  <c r="AV519" i="11"/>
  <c r="AV526" i="11"/>
  <c r="AV527" i="11"/>
  <c r="AV528" i="11"/>
  <c r="AV529" i="11"/>
  <c r="AV530" i="11"/>
  <c r="AV531" i="11"/>
  <c r="AV532" i="11"/>
  <c r="AV533" i="11"/>
  <c r="AV534" i="11"/>
  <c r="AV535" i="11"/>
  <c r="AV536" i="11"/>
  <c r="AV543" i="11"/>
  <c r="AV544" i="11"/>
  <c r="AV545" i="11"/>
  <c r="AV546" i="11"/>
  <c r="AV547" i="11"/>
  <c r="AV548" i="11"/>
  <c r="AV549" i="11"/>
  <c r="AV550" i="11"/>
  <c r="AV551" i="11"/>
  <c r="AV9" i="11"/>
  <c r="D249" i="11" l="1"/>
  <c r="F249" i="11" s="1"/>
  <c r="G249" i="11" s="1"/>
  <c r="Q249" i="11"/>
  <c r="K249" i="11"/>
  <c r="AT249" i="11"/>
  <c r="C113" i="11"/>
  <c r="H113" i="11"/>
  <c r="K113" i="11" s="1"/>
  <c r="M113" i="11"/>
  <c r="C114" i="11"/>
  <c r="H114" i="11"/>
  <c r="K114" i="11" s="1"/>
  <c r="M114" i="11"/>
  <c r="C115" i="11"/>
  <c r="H115" i="11"/>
  <c r="K115" i="11" s="1"/>
  <c r="M115" i="11"/>
  <c r="AR115" i="11"/>
  <c r="AT115" i="11" s="1"/>
  <c r="AQ115" i="11"/>
  <c r="R115" i="11" s="1"/>
  <c r="AN115" i="11"/>
  <c r="AJ115" i="11"/>
  <c r="AR114" i="11"/>
  <c r="AT114" i="11" s="1"/>
  <c r="AQ114" i="11"/>
  <c r="R114" i="11" s="1"/>
  <c r="AN114" i="11"/>
  <c r="AJ114" i="11"/>
  <c r="AR113" i="11"/>
  <c r="AT113" i="11" s="1"/>
  <c r="AQ113" i="11"/>
  <c r="R113" i="11" s="1"/>
  <c r="AN113" i="11"/>
  <c r="AJ113" i="11"/>
  <c r="C10" i="11"/>
  <c r="H10" i="11"/>
  <c r="K10" i="11" s="1"/>
  <c r="M10" i="11"/>
  <c r="C11" i="11"/>
  <c r="H11" i="11"/>
  <c r="K11" i="11" s="1"/>
  <c r="M11" i="11"/>
  <c r="C12" i="11"/>
  <c r="H12" i="11"/>
  <c r="K12" i="11" s="1"/>
  <c r="M12" i="11"/>
  <c r="C13" i="11"/>
  <c r="H13" i="11"/>
  <c r="K13" i="11" s="1"/>
  <c r="M13" i="11"/>
  <c r="C14" i="11"/>
  <c r="H14" i="11"/>
  <c r="K14" i="11" s="1"/>
  <c r="M14" i="11"/>
  <c r="C15" i="11"/>
  <c r="H15" i="11"/>
  <c r="K15" i="11" s="1"/>
  <c r="M15" i="11"/>
  <c r="C16" i="11"/>
  <c r="H16" i="11"/>
  <c r="K16" i="11" s="1"/>
  <c r="M16" i="11"/>
  <c r="C17" i="11"/>
  <c r="H17" i="11"/>
  <c r="M17" i="11"/>
  <c r="C18" i="11"/>
  <c r="H18" i="11"/>
  <c r="M18" i="11"/>
  <c r="C29" i="11"/>
  <c r="H29" i="11"/>
  <c r="M29" i="11"/>
  <c r="C30" i="11"/>
  <c r="H30" i="11"/>
  <c r="M30" i="11"/>
  <c r="C31" i="11"/>
  <c r="H31" i="11"/>
  <c r="M31" i="11"/>
  <c r="C32" i="11"/>
  <c r="H32" i="11"/>
  <c r="M32" i="11"/>
  <c r="C33" i="11"/>
  <c r="H33" i="11"/>
  <c r="M33" i="11"/>
  <c r="C34" i="11"/>
  <c r="H34" i="11"/>
  <c r="M34" i="11"/>
  <c r="C35" i="11"/>
  <c r="H35" i="11"/>
  <c r="M35" i="11"/>
  <c r="C36" i="11"/>
  <c r="H36" i="11"/>
  <c r="M36" i="11"/>
  <c r="C37" i="11"/>
  <c r="H37" i="11"/>
  <c r="M37" i="11"/>
  <c r="C38" i="11"/>
  <c r="H38" i="11"/>
  <c r="M38" i="11"/>
  <c r="C39" i="11"/>
  <c r="H39" i="11"/>
  <c r="M39" i="11"/>
  <c r="C40" i="11"/>
  <c r="H40" i="11"/>
  <c r="M40" i="11"/>
  <c r="C46" i="11"/>
  <c r="H46" i="11"/>
  <c r="M46" i="11"/>
  <c r="C47" i="11"/>
  <c r="H47" i="11"/>
  <c r="M47" i="11"/>
  <c r="C48" i="11"/>
  <c r="H48" i="11"/>
  <c r="M48" i="11"/>
  <c r="C49" i="11"/>
  <c r="H49" i="11"/>
  <c r="M49" i="11"/>
  <c r="C50" i="11"/>
  <c r="H50" i="11"/>
  <c r="M50" i="11"/>
  <c r="C51" i="11"/>
  <c r="H51" i="11"/>
  <c r="M51" i="11"/>
  <c r="C52" i="11"/>
  <c r="H52" i="11"/>
  <c r="M52" i="11"/>
  <c r="C53" i="11"/>
  <c r="H53" i="11"/>
  <c r="M53" i="11"/>
  <c r="C65" i="11"/>
  <c r="H65" i="11"/>
  <c r="M65" i="11"/>
  <c r="C66" i="11"/>
  <c r="H66" i="11"/>
  <c r="M66" i="11"/>
  <c r="C67" i="11"/>
  <c r="H67" i="11"/>
  <c r="M67" i="11"/>
  <c r="C74" i="11"/>
  <c r="H74" i="11"/>
  <c r="M74" i="11"/>
  <c r="C75" i="11"/>
  <c r="H75" i="11"/>
  <c r="M75" i="11"/>
  <c r="C76" i="11"/>
  <c r="H76" i="11"/>
  <c r="M76" i="11"/>
  <c r="C77" i="11"/>
  <c r="H77" i="11"/>
  <c r="M77" i="11"/>
  <c r="C78" i="11"/>
  <c r="H78" i="11"/>
  <c r="M78" i="11"/>
  <c r="C79" i="11"/>
  <c r="H79" i="11"/>
  <c r="M79" i="11"/>
  <c r="C80" i="11"/>
  <c r="H80" i="11"/>
  <c r="M80" i="11"/>
  <c r="C81" i="11"/>
  <c r="H81" i="11"/>
  <c r="M81" i="11"/>
  <c r="C82" i="11"/>
  <c r="H82" i="11"/>
  <c r="M82" i="11"/>
  <c r="C83" i="11"/>
  <c r="H83" i="11"/>
  <c r="M83" i="11"/>
  <c r="C89" i="11"/>
  <c r="H89" i="11"/>
  <c r="M89" i="11"/>
  <c r="C90" i="11"/>
  <c r="H90" i="11"/>
  <c r="K90" i="11" s="1"/>
  <c r="M90" i="11"/>
  <c r="C91" i="11"/>
  <c r="H91" i="11"/>
  <c r="M91" i="11"/>
  <c r="C92" i="11"/>
  <c r="H92" i="11"/>
  <c r="K92" i="11" s="1"/>
  <c r="M92" i="11"/>
  <c r="C93" i="11"/>
  <c r="H93" i="11"/>
  <c r="M93" i="11"/>
  <c r="C94" i="11"/>
  <c r="H94" i="11"/>
  <c r="K94" i="11" s="1"/>
  <c r="M94" i="11"/>
  <c r="C95" i="11"/>
  <c r="H95" i="11"/>
  <c r="M95" i="11"/>
  <c r="C96" i="11"/>
  <c r="H96" i="11"/>
  <c r="K96" i="11" s="1"/>
  <c r="M96" i="11"/>
  <c r="C97" i="11"/>
  <c r="H97" i="11"/>
  <c r="M97" i="11"/>
  <c r="C98" i="11"/>
  <c r="H98" i="11"/>
  <c r="K98" i="11" s="1"/>
  <c r="M98" i="11"/>
  <c r="C104" i="11"/>
  <c r="H104" i="11"/>
  <c r="C105" i="11"/>
  <c r="H105" i="11"/>
  <c r="K105" i="11" s="1"/>
  <c r="M105" i="11"/>
  <c r="C106" i="11"/>
  <c r="H106" i="11"/>
  <c r="M106" i="11"/>
  <c r="C107" i="11"/>
  <c r="H107" i="11"/>
  <c r="K107" i="11" s="1"/>
  <c r="M107" i="11"/>
  <c r="C108" i="11"/>
  <c r="H108" i="11"/>
  <c r="M108" i="11"/>
  <c r="C109" i="11"/>
  <c r="H109" i="11"/>
  <c r="K109" i="11" s="1"/>
  <c r="M109" i="11"/>
  <c r="C110" i="11"/>
  <c r="H110" i="11"/>
  <c r="M110" i="11"/>
  <c r="C111" i="11"/>
  <c r="H111" i="11"/>
  <c r="K111" i="11" s="1"/>
  <c r="M111" i="11"/>
  <c r="C112" i="11"/>
  <c r="H112" i="11"/>
  <c r="M112" i="11"/>
  <c r="C122" i="11"/>
  <c r="H122" i="11"/>
  <c r="K122" i="11" s="1"/>
  <c r="M122" i="11"/>
  <c r="C123" i="11"/>
  <c r="H123" i="11"/>
  <c r="M123" i="11"/>
  <c r="C124" i="11"/>
  <c r="H124" i="11"/>
  <c r="K124" i="11" s="1"/>
  <c r="M124" i="11"/>
  <c r="C125" i="11"/>
  <c r="H125" i="11"/>
  <c r="M125" i="11"/>
  <c r="C126" i="11"/>
  <c r="H126" i="11"/>
  <c r="M126" i="11"/>
  <c r="C127" i="11"/>
  <c r="H127" i="11"/>
  <c r="M127" i="11"/>
  <c r="C128" i="11"/>
  <c r="H128" i="11"/>
  <c r="M128" i="11"/>
  <c r="C129" i="11"/>
  <c r="H129" i="11"/>
  <c r="M129" i="11"/>
  <c r="C130" i="11"/>
  <c r="H130" i="11"/>
  <c r="M130" i="11"/>
  <c r="C131" i="11"/>
  <c r="H131" i="11"/>
  <c r="M131" i="11"/>
  <c r="C132" i="11"/>
  <c r="H132" i="11"/>
  <c r="M132" i="11"/>
  <c r="C121" i="11"/>
  <c r="H121" i="11"/>
  <c r="M121" i="11"/>
  <c r="C139" i="11"/>
  <c r="H139" i="11"/>
  <c r="M139" i="11"/>
  <c r="C140" i="11"/>
  <c r="H140" i="11"/>
  <c r="M140" i="11"/>
  <c r="C141" i="11"/>
  <c r="H141" i="11"/>
  <c r="M141" i="11"/>
  <c r="C142" i="11"/>
  <c r="H142" i="11"/>
  <c r="M142" i="11"/>
  <c r="C143" i="11"/>
  <c r="H143" i="11"/>
  <c r="M143" i="11"/>
  <c r="C144" i="11"/>
  <c r="H144" i="11"/>
  <c r="M144" i="11"/>
  <c r="C145" i="11"/>
  <c r="H145" i="11"/>
  <c r="M145" i="11"/>
  <c r="C146" i="11"/>
  <c r="H146" i="11"/>
  <c r="M146" i="11"/>
  <c r="C147" i="11"/>
  <c r="H147" i="11"/>
  <c r="M147" i="11"/>
  <c r="C148" i="11"/>
  <c r="H148" i="11"/>
  <c r="M148" i="11"/>
  <c r="C149" i="11"/>
  <c r="H149" i="11"/>
  <c r="M149" i="11"/>
  <c r="C150" i="11"/>
  <c r="H150" i="11"/>
  <c r="M150" i="11"/>
  <c r="C151" i="11"/>
  <c r="H151" i="11"/>
  <c r="M151" i="11"/>
  <c r="C152" i="11"/>
  <c r="H152" i="11"/>
  <c r="M152" i="11"/>
  <c r="C164" i="11"/>
  <c r="H164" i="11"/>
  <c r="M164" i="11"/>
  <c r="C165" i="11"/>
  <c r="H165" i="11"/>
  <c r="M165" i="11"/>
  <c r="C166" i="11"/>
  <c r="H166" i="11"/>
  <c r="M166" i="11"/>
  <c r="C167" i="11"/>
  <c r="H167" i="11"/>
  <c r="M167" i="11"/>
  <c r="C168" i="11"/>
  <c r="H168" i="11"/>
  <c r="M168" i="11"/>
  <c r="C169" i="11"/>
  <c r="H169" i="11"/>
  <c r="M169" i="11"/>
  <c r="C170" i="11"/>
  <c r="H170" i="11"/>
  <c r="M170" i="11"/>
  <c r="C171" i="11"/>
  <c r="H171" i="11"/>
  <c r="M171" i="11"/>
  <c r="C172" i="11"/>
  <c r="H172" i="11"/>
  <c r="M172" i="11"/>
  <c r="C173" i="11"/>
  <c r="H173" i="11"/>
  <c r="K173" i="11" s="1"/>
  <c r="M173" i="11"/>
  <c r="C174" i="11"/>
  <c r="H174" i="11"/>
  <c r="K174" i="11" s="1"/>
  <c r="M174" i="11"/>
  <c r="C175" i="11"/>
  <c r="H175" i="11"/>
  <c r="K175" i="11" s="1"/>
  <c r="M175" i="11"/>
  <c r="C176" i="11"/>
  <c r="H176" i="11"/>
  <c r="M176" i="11"/>
  <c r="C186" i="11"/>
  <c r="H186" i="11"/>
  <c r="K186" i="11" s="1"/>
  <c r="M186" i="11"/>
  <c r="C187" i="11"/>
  <c r="H187" i="11"/>
  <c r="K187" i="11" s="1"/>
  <c r="M187" i="11"/>
  <c r="C188" i="11"/>
  <c r="H188" i="11"/>
  <c r="M188" i="11"/>
  <c r="C197" i="11"/>
  <c r="H197" i="11"/>
  <c r="K197" i="11" s="1"/>
  <c r="M197" i="11"/>
  <c r="C198" i="11"/>
  <c r="H198" i="11"/>
  <c r="K198" i="11" s="1"/>
  <c r="M198" i="11"/>
  <c r="C199" i="11"/>
  <c r="H199" i="11"/>
  <c r="M199" i="11"/>
  <c r="C200" i="11"/>
  <c r="H200" i="11"/>
  <c r="K200" i="11" s="1"/>
  <c r="M200" i="11"/>
  <c r="C201" i="11"/>
  <c r="H201" i="11"/>
  <c r="M201" i="11"/>
  <c r="C202" i="11"/>
  <c r="H202" i="11"/>
  <c r="K202" i="11" s="1"/>
  <c r="M202" i="11"/>
  <c r="C203" i="11"/>
  <c r="H203" i="11"/>
  <c r="K203" i="11" s="1"/>
  <c r="M203" i="11"/>
  <c r="C204" i="11"/>
  <c r="H204" i="11"/>
  <c r="K204" i="11" s="1"/>
  <c r="M204" i="11"/>
  <c r="C205" i="11"/>
  <c r="H205" i="11"/>
  <c r="K205" i="11" s="1"/>
  <c r="M205" i="11"/>
  <c r="C206" i="11"/>
  <c r="H206" i="11"/>
  <c r="K206" i="11" s="1"/>
  <c r="M206" i="11"/>
  <c r="C207" i="11"/>
  <c r="H207" i="11"/>
  <c r="M207" i="11"/>
  <c r="C214" i="11"/>
  <c r="H214" i="11"/>
  <c r="K214" i="11" s="1"/>
  <c r="M214" i="11"/>
  <c r="C215" i="11"/>
  <c r="H215" i="11"/>
  <c r="K215" i="11" s="1"/>
  <c r="M215" i="11"/>
  <c r="C216" i="11"/>
  <c r="H216" i="11"/>
  <c r="K216" i="11" s="1"/>
  <c r="M216" i="11"/>
  <c r="C217" i="11"/>
  <c r="H217" i="11"/>
  <c r="M217" i="11"/>
  <c r="C218" i="11"/>
  <c r="H218" i="11"/>
  <c r="K218" i="11" s="1"/>
  <c r="M218" i="11"/>
  <c r="C219" i="11"/>
  <c r="H219" i="11"/>
  <c r="M219" i="11"/>
  <c r="C220" i="11"/>
  <c r="H220" i="11"/>
  <c r="K220" i="11" s="1"/>
  <c r="M220" i="11"/>
  <c r="C221" i="11"/>
  <c r="H221" i="11"/>
  <c r="K221" i="11" s="1"/>
  <c r="M221" i="11"/>
  <c r="C222" i="11"/>
  <c r="H222" i="11"/>
  <c r="K222" i="11" s="1"/>
  <c r="M222" i="11"/>
  <c r="C223" i="11"/>
  <c r="H223" i="11"/>
  <c r="K223" i="11" s="1"/>
  <c r="M223" i="11"/>
  <c r="C224" i="11"/>
  <c r="H224" i="11"/>
  <c r="K224" i="11" s="1"/>
  <c r="M224" i="11"/>
  <c r="C225" i="11"/>
  <c r="H225" i="11"/>
  <c r="M225" i="11"/>
  <c r="C226" i="11"/>
  <c r="H226" i="11"/>
  <c r="K226" i="11" s="1"/>
  <c r="M226" i="11"/>
  <c r="C230" i="11"/>
  <c r="H230" i="11"/>
  <c r="K230" i="11" s="1"/>
  <c r="M230" i="11"/>
  <c r="C231" i="11"/>
  <c r="H231" i="11"/>
  <c r="K231" i="11" s="1"/>
  <c r="M231" i="11"/>
  <c r="C232" i="11"/>
  <c r="H232" i="11"/>
  <c r="M232" i="11"/>
  <c r="C233" i="11"/>
  <c r="H233" i="11"/>
  <c r="K233" i="11" s="1"/>
  <c r="M233" i="11"/>
  <c r="C234" i="11"/>
  <c r="H234" i="11"/>
  <c r="K234" i="11" s="1"/>
  <c r="M234" i="11"/>
  <c r="C235" i="11"/>
  <c r="H235" i="11"/>
  <c r="K235" i="11" s="1"/>
  <c r="M235" i="11"/>
  <c r="C236" i="11"/>
  <c r="H236" i="11"/>
  <c r="K236" i="11" s="1"/>
  <c r="M236" i="11"/>
  <c r="C237" i="11"/>
  <c r="H237" i="11"/>
  <c r="K237" i="11" s="1"/>
  <c r="M237" i="11"/>
  <c r="C238" i="11"/>
  <c r="H238" i="11"/>
  <c r="K238" i="11" s="1"/>
  <c r="M238" i="11"/>
  <c r="C239" i="11"/>
  <c r="H239" i="11"/>
  <c r="K239" i="11" s="1"/>
  <c r="M239" i="11"/>
  <c r="C240" i="11"/>
  <c r="H240" i="11"/>
  <c r="K240" i="11" s="1"/>
  <c r="M240" i="11"/>
  <c r="C241" i="11"/>
  <c r="H241" i="11"/>
  <c r="M241" i="11"/>
  <c r="C248" i="11"/>
  <c r="H248" i="11"/>
  <c r="K248" i="11" s="1"/>
  <c r="M248" i="11"/>
  <c r="C250" i="11"/>
  <c r="H250" i="11"/>
  <c r="K250" i="11" s="1"/>
  <c r="M250" i="11"/>
  <c r="C251" i="11"/>
  <c r="H251" i="11"/>
  <c r="K251" i="11" s="1"/>
  <c r="M251" i="11"/>
  <c r="C252" i="11"/>
  <c r="H252" i="11"/>
  <c r="M252" i="11"/>
  <c r="C253" i="11"/>
  <c r="H253" i="11"/>
  <c r="K253" i="11" s="1"/>
  <c r="M253" i="11"/>
  <c r="C254" i="11"/>
  <c r="H254" i="11"/>
  <c r="K254" i="11" s="1"/>
  <c r="M254" i="11"/>
  <c r="C255" i="11"/>
  <c r="H255" i="11"/>
  <c r="K255" i="11" s="1"/>
  <c r="M255" i="11"/>
  <c r="C256" i="11"/>
  <c r="H256" i="11"/>
  <c r="K256" i="11" s="1"/>
  <c r="M256" i="11"/>
  <c r="C257" i="11"/>
  <c r="H257" i="11"/>
  <c r="K257" i="11" s="1"/>
  <c r="M257" i="11"/>
  <c r="C258" i="11"/>
  <c r="H258" i="11"/>
  <c r="K258" i="11" s="1"/>
  <c r="M258" i="11"/>
  <c r="C259" i="11"/>
  <c r="H259" i="11"/>
  <c r="M259" i="11"/>
  <c r="C260" i="11"/>
  <c r="H260" i="11"/>
  <c r="K260" i="11" s="1"/>
  <c r="M260" i="11"/>
  <c r="C261" i="11"/>
  <c r="H261" i="11"/>
  <c r="M261" i="11"/>
  <c r="C262" i="11"/>
  <c r="H262" i="11"/>
  <c r="M262" i="11"/>
  <c r="C263" i="11"/>
  <c r="H263" i="11"/>
  <c r="K263" i="11" s="1"/>
  <c r="M263" i="11"/>
  <c r="C267" i="11"/>
  <c r="H267" i="11"/>
  <c r="M267" i="11"/>
  <c r="C268" i="11"/>
  <c r="H268" i="11"/>
  <c r="K268" i="11" s="1"/>
  <c r="M268" i="11"/>
  <c r="C269" i="11"/>
  <c r="H269" i="11"/>
  <c r="K269" i="11" s="1"/>
  <c r="M269" i="11"/>
  <c r="C270" i="11"/>
  <c r="H270" i="11"/>
  <c r="M270" i="11"/>
  <c r="C271" i="11"/>
  <c r="H271" i="11"/>
  <c r="K271" i="11" s="1"/>
  <c r="M271" i="11"/>
  <c r="C272" i="11"/>
  <c r="H272" i="11"/>
  <c r="K272" i="11" s="1"/>
  <c r="M272" i="11"/>
  <c r="C273" i="11"/>
  <c r="H273" i="11"/>
  <c r="M273" i="11"/>
  <c r="C274" i="11"/>
  <c r="H274" i="11"/>
  <c r="K274" i="11" s="1"/>
  <c r="M274" i="11"/>
  <c r="C275" i="11"/>
  <c r="H275" i="11"/>
  <c r="K275" i="11" s="1"/>
  <c r="M275" i="11"/>
  <c r="C276" i="11"/>
  <c r="H276" i="11"/>
  <c r="K276" i="11" s="1"/>
  <c r="M276" i="11"/>
  <c r="C285" i="11"/>
  <c r="H285" i="11"/>
  <c r="K285" i="11" s="1"/>
  <c r="M285" i="11"/>
  <c r="C286" i="11"/>
  <c r="H286" i="11"/>
  <c r="K286" i="11" s="1"/>
  <c r="M286" i="11"/>
  <c r="C287" i="11"/>
  <c r="H287" i="11"/>
  <c r="K287" i="11" s="1"/>
  <c r="M287" i="11"/>
  <c r="C288" i="11"/>
  <c r="H288" i="11"/>
  <c r="K288" i="11" s="1"/>
  <c r="M288" i="11"/>
  <c r="C289" i="11"/>
  <c r="H289" i="11"/>
  <c r="K289" i="11" s="1"/>
  <c r="M289" i="11"/>
  <c r="C290" i="11"/>
  <c r="H290" i="11"/>
  <c r="K290" i="11" s="1"/>
  <c r="M290" i="11"/>
  <c r="C291" i="11"/>
  <c r="H291" i="11"/>
  <c r="K291" i="11" s="1"/>
  <c r="M291" i="11"/>
  <c r="C292" i="11"/>
  <c r="H292" i="11"/>
  <c r="K292" i="11" s="1"/>
  <c r="M292" i="11"/>
  <c r="C293" i="11"/>
  <c r="H293" i="11"/>
  <c r="K293" i="11" s="1"/>
  <c r="M293" i="11"/>
  <c r="C294" i="11"/>
  <c r="H294" i="11"/>
  <c r="K294" i="11" s="1"/>
  <c r="M294" i="11"/>
  <c r="C295" i="11"/>
  <c r="H295" i="11"/>
  <c r="K295" i="11" s="1"/>
  <c r="M295" i="11"/>
  <c r="C308" i="11"/>
  <c r="H308" i="11"/>
  <c r="M308" i="11"/>
  <c r="C309" i="11"/>
  <c r="H309" i="11"/>
  <c r="K309" i="11" s="1"/>
  <c r="M309" i="11"/>
  <c r="C310" i="11"/>
  <c r="H310" i="11"/>
  <c r="K310" i="11" s="1"/>
  <c r="M310" i="11"/>
  <c r="C311" i="11"/>
  <c r="H311" i="11"/>
  <c r="K311" i="11" s="1"/>
  <c r="M311" i="11"/>
  <c r="C312" i="11"/>
  <c r="H312" i="11"/>
  <c r="K312" i="11" s="1"/>
  <c r="M312" i="11"/>
  <c r="C313" i="11"/>
  <c r="H313" i="11"/>
  <c r="K313" i="11" s="1"/>
  <c r="M313" i="11"/>
  <c r="C314" i="11"/>
  <c r="H314" i="11"/>
  <c r="K314" i="11" s="1"/>
  <c r="M314" i="11"/>
  <c r="C315" i="11"/>
  <c r="H315" i="11"/>
  <c r="K315" i="11" s="1"/>
  <c r="M315" i="11"/>
  <c r="C316" i="11"/>
  <c r="H316" i="11"/>
  <c r="K316" i="11" s="1"/>
  <c r="M316" i="11"/>
  <c r="C323" i="11"/>
  <c r="H323" i="11"/>
  <c r="K323" i="11" s="1"/>
  <c r="M323" i="11"/>
  <c r="C324" i="11"/>
  <c r="H324" i="11"/>
  <c r="M324" i="11"/>
  <c r="C325" i="11"/>
  <c r="H325" i="11"/>
  <c r="K325" i="11" s="1"/>
  <c r="M325" i="11"/>
  <c r="C326" i="11"/>
  <c r="H326" i="11"/>
  <c r="K326" i="11" s="1"/>
  <c r="M326" i="11"/>
  <c r="C327" i="11"/>
  <c r="H327" i="11"/>
  <c r="K327" i="11" s="1"/>
  <c r="M327" i="11"/>
  <c r="C328" i="11"/>
  <c r="H328" i="11"/>
  <c r="K328" i="11" s="1"/>
  <c r="M328" i="11"/>
  <c r="C329" i="11"/>
  <c r="H329" i="11"/>
  <c r="M329" i="11"/>
  <c r="C330" i="11"/>
  <c r="H330" i="11"/>
  <c r="K330" i="11" s="1"/>
  <c r="M330" i="11"/>
  <c r="C331" i="11"/>
  <c r="H331" i="11"/>
  <c r="K331" i="11" s="1"/>
  <c r="M331" i="11"/>
  <c r="C332" i="11"/>
  <c r="H332" i="11"/>
  <c r="K332" i="11" s="1"/>
  <c r="M332" i="11"/>
  <c r="C333" i="11"/>
  <c r="H333" i="11"/>
  <c r="K333" i="11" s="1"/>
  <c r="M333" i="11"/>
  <c r="C340" i="11"/>
  <c r="H340" i="11"/>
  <c r="M340" i="11"/>
  <c r="C341" i="11"/>
  <c r="H341" i="11"/>
  <c r="M341" i="11"/>
  <c r="C342" i="11"/>
  <c r="H342" i="11"/>
  <c r="K342" i="11" s="1"/>
  <c r="M342" i="11"/>
  <c r="C343" i="11"/>
  <c r="H343" i="11"/>
  <c r="K343" i="11" s="1"/>
  <c r="M343" i="11"/>
  <c r="C344" i="11"/>
  <c r="H344" i="11"/>
  <c r="K344" i="11" s="1"/>
  <c r="M344" i="11"/>
  <c r="C345" i="11"/>
  <c r="H345" i="11"/>
  <c r="K345" i="11" s="1"/>
  <c r="M345" i="11"/>
  <c r="C346" i="11"/>
  <c r="H346" i="11"/>
  <c r="M346" i="11"/>
  <c r="C347" i="11"/>
  <c r="H347" i="11"/>
  <c r="K347" i="11" s="1"/>
  <c r="M347" i="11"/>
  <c r="C348" i="11"/>
  <c r="H348" i="11"/>
  <c r="K348" i="11" s="1"/>
  <c r="M348" i="11"/>
  <c r="C349" i="11"/>
  <c r="H349" i="11"/>
  <c r="K349" i="11" s="1"/>
  <c r="M349" i="11"/>
  <c r="C350" i="11"/>
  <c r="H350" i="11"/>
  <c r="K350" i="11" s="1"/>
  <c r="M350" i="11"/>
  <c r="C351" i="11"/>
  <c r="H351" i="11"/>
  <c r="K351" i="11" s="1"/>
  <c r="M351" i="11"/>
  <c r="C357" i="11"/>
  <c r="H357" i="11"/>
  <c r="M357" i="11"/>
  <c r="C358" i="11"/>
  <c r="H358" i="11"/>
  <c r="K358" i="11" s="1"/>
  <c r="M358" i="11"/>
  <c r="C359" i="11"/>
  <c r="H359" i="11"/>
  <c r="M359" i="11"/>
  <c r="C360" i="11"/>
  <c r="H360" i="11"/>
  <c r="M360" i="11"/>
  <c r="C361" i="11"/>
  <c r="H361" i="11"/>
  <c r="K361" i="11" s="1"/>
  <c r="M361" i="11"/>
  <c r="C362" i="11"/>
  <c r="H362" i="11"/>
  <c r="K362" i="11" s="1"/>
  <c r="M362" i="11"/>
  <c r="C363" i="11"/>
  <c r="H363" i="11"/>
  <c r="K363" i="11" s="1"/>
  <c r="M363" i="11"/>
  <c r="C364" i="11"/>
  <c r="H364" i="11"/>
  <c r="K364" i="11" s="1"/>
  <c r="M364" i="11"/>
  <c r="C365" i="11"/>
  <c r="H365" i="11"/>
  <c r="K365" i="11" s="1"/>
  <c r="M365" i="11"/>
  <c r="C366" i="11"/>
  <c r="H366" i="11"/>
  <c r="K366" i="11" s="1"/>
  <c r="C367" i="11"/>
  <c r="H367" i="11"/>
  <c r="K367" i="11" s="1"/>
  <c r="M367" i="11"/>
  <c r="C368" i="11"/>
  <c r="H368" i="11"/>
  <c r="K368" i="11" s="1"/>
  <c r="M368" i="11"/>
  <c r="C369" i="11"/>
  <c r="H369" i="11"/>
  <c r="K369" i="11" s="1"/>
  <c r="M369" i="11"/>
  <c r="C370" i="11"/>
  <c r="H370" i="11"/>
  <c r="K370" i="11" s="1"/>
  <c r="M370" i="11"/>
  <c r="C371" i="11"/>
  <c r="H371" i="11"/>
  <c r="M371" i="11"/>
  <c r="C372" i="11"/>
  <c r="H372" i="11"/>
  <c r="K372" i="11" s="1"/>
  <c r="M372" i="11"/>
  <c r="C373" i="11"/>
  <c r="H373" i="11"/>
  <c r="K373" i="11" s="1"/>
  <c r="M373" i="11"/>
  <c r="C374" i="11"/>
  <c r="H374" i="11"/>
  <c r="K374" i="11" s="1"/>
  <c r="M374" i="11"/>
  <c r="C375" i="11"/>
  <c r="H375" i="11"/>
  <c r="M375" i="11"/>
  <c r="C376" i="11"/>
  <c r="H376" i="11"/>
  <c r="K376" i="11" s="1"/>
  <c r="M376" i="11"/>
  <c r="C377" i="11"/>
  <c r="H377" i="11"/>
  <c r="M377" i="11"/>
  <c r="C384" i="11"/>
  <c r="H384" i="11"/>
  <c r="M384" i="11"/>
  <c r="C385" i="11"/>
  <c r="H385" i="11"/>
  <c r="M385" i="11"/>
  <c r="C386" i="11"/>
  <c r="H386" i="11"/>
  <c r="M386" i="11"/>
  <c r="C387" i="11"/>
  <c r="H387" i="11"/>
  <c r="M387" i="11"/>
  <c r="C388" i="11"/>
  <c r="H388" i="11"/>
  <c r="M388" i="11"/>
  <c r="C389" i="11"/>
  <c r="H389" i="11"/>
  <c r="M389" i="11"/>
  <c r="C390" i="11"/>
  <c r="H390" i="11"/>
  <c r="M390" i="11"/>
  <c r="C391" i="11"/>
  <c r="H391" i="11"/>
  <c r="K391" i="11" s="1"/>
  <c r="M391" i="11"/>
  <c r="C392" i="11"/>
  <c r="H392" i="11"/>
  <c r="K392" i="11" s="1"/>
  <c r="M392" i="11"/>
  <c r="C393" i="11"/>
  <c r="H393" i="11"/>
  <c r="K393" i="11" s="1"/>
  <c r="M393" i="11"/>
  <c r="C394" i="11"/>
  <c r="H394" i="11"/>
  <c r="K394" i="11" s="1"/>
  <c r="M394" i="11"/>
  <c r="C401" i="11"/>
  <c r="H401" i="11"/>
  <c r="K401" i="11" s="1"/>
  <c r="M401" i="11"/>
  <c r="C402" i="11"/>
  <c r="H402" i="11"/>
  <c r="K402" i="11" s="1"/>
  <c r="M402" i="11"/>
  <c r="C403" i="11"/>
  <c r="H403" i="11"/>
  <c r="M403" i="11"/>
  <c r="C404" i="11"/>
  <c r="H404" i="11"/>
  <c r="K404" i="11" s="1"/>
  <c r="M404" i="11"/>
  <c r="C405" i="11"/>
  <c r="H405" i="11"/>
  <c r="K405" i="11" s="1"/>
  <c r="M405" i="11"/>
  <c r="C406" i="11"/>
  <c r="H406" i="11"/>
  <c r="K406" i="11" s="1"/>
  <c r="M406" i="11"/>
  <c r="C407" i="11"/>
  <c r="H407" i="11"/>
  <c r="K407" i="11" s="1"/>
  <c r="M407" i="11"/>
  <c r="C408" i="11"/>
  <c r="H408" i="11"/>
  <c r="M408" i="11"/>
  <c r="C409" i="11"/>
  <c r="H409" i="11"/>
  <c r="K409" i="11" s="1"/>
  <c r="M409" i="11"/>
  <c r="C410" i="11"/>
  <c r="H410" i="11"/>
  <c r="K410" i="11" s="1"/>
  <c r="M410" i="11"/>
  <c r="C411" i="11"/>
  <c r="H411" i="11"/>
  <c r="K411" i="11" s="1"/>
  <c r="M411" i="11"/>
  <c r="C412" i="11"/>
  <c r="H412" i="11"/>
  <c r="K412" i="11" s="1"/>
  <c r="M412" i="11"/>
  <c r="C416" i="11"/>
  <c r="H416" i="11"/>
  <c r="K416" i="11" s="1"/>
  <c r="M416" i="11"/>
  <c r="C417" i="11"/>
  <c r="H417" i="11"/>
  <c r="K417" i="11" s="1"/>
  <c r="M417" i="11"/>
  <c r="C418" i="11"/>
  <c r="H418" i="11"/>
  <c r="K418" i="11" s="1"/>
  <c r="M418" i="11"/>
  <c r="C419" i="11"/>
  <c r="H419" i="11"/>
  <c r="M419" i="11"/>
  <c r="C420" i="11"/>
  <c r="H420" i="11"/>
  <c r="K420" i="11" s="1"/>
  <c r="M420" i="11"/>
  <c r="C421" i="11"/>
  <c r="H421" i="11"/>
  <c r="K421" i="11" s="1"/>
  <c r="M421" i="11"/>
  <c r="C422" i="11"/>
  <c r="H422" i="11"/>
  <c r="K422" i="11" s="1"/>
  <c r="M422" i="11"/>
  <c r="C423" i="11"/>
  <c r="H423" i="11"/>
  <c r="K423" i="11" s="1"/>
  <c r="M423" i="11"/>
  <c r="C424" i="11"/>
  <c r="H424" i="11"/>
  <c r="K424" i="11" s="1"/>
  <c r="M424" i="11"/>
  <c r="C425" i="11"/>
  <c r="H425" i="11"/>
  <c r="K425" i="11" s="1"/>
  <c r="M425" i="11"/>
  <c r="C426" i="11"/>
  <c r="H426" i="11"/>
  <c r="K426" i="11" s="1"/>
  <c r="M426" i="11"/>
  <c r="C438" i="11"/>
  <c r="H438" i="11"/>
  <c r="K438" i="11" s="1"/>
  <c r="M438" i="11"/>
  <c r="C439" i="11"/>
  <c r="H439" i="11"/>
  <c r="K439" i="11" s="1"/>
  <c r="M439" i="11"/>
  <c r="C440" i="11"/>
  <c r="H440" i="11"/>
  <c r="K440" i="11" s="1"/>
  <c r="M440" i="11"/>
  <c r="C441" i="11"/>
  <c r="H441" i="11"/>
  <c r="K441" i="11" s="1"/>
  <c r="M441" i="11"/>
  <c r="C442" i="11"/>
  <c r="H442" i="11"/>
  <c r="K442" i="11" s="1"/>
  <c r="M442" i="11"/>
  <c r="C443" i="11"/>
  <c r="H443" i="11"/>
  <c r="K443" i="11" s="1"/>
  <c r="M443" i="11"/>
  <c r="C444" i="11"/>
  <c r="H444" i="11"/>
  <c r="K444" i="11" s="1"/>
  <c r="M444" i="11"/>
  <c r="C445" i="11"/>
  <c r="H445" i="11"/>
  <c r="K445" i="11" s="1"/>
  <c r="M445" i="11"/>
  <c r="C446" i="11"/>
  <c r="H446" i="11"/>
  <c r="M446" i="11"/>
  <c r="C447" i="11"/>
  <c r="H447" i="11"/>
  <c r="M447" i="11"/>
  <c r="C448" i="11"/>
  <c r="H448" i="11"/>
  <c r="K448" i="11" s="1"/>
  <c r="M448" i="11"/>
  <c r="C449" i="11"/>
  <c r="H449" i="11"/>
  <c r="K449" i="11" s="1"/>
  <c r="M449" i="11"/>
  <c r="C450" i="11"/>
  <c r="H450" i="11"/>
  <c r="K450" i="11" s="1"/>
  <c r="M450" i="11"/>
  <c r="C451" i="11"/>
  <c r="H451" i="11"/>
  <c r="K451" i="11" s="1"/>
  <c r="M451" i="11"/>
  <c r="C452" i="11"/>
  <c r="H452" i="11"/>
  <c r="K452" i="11" s="1"/>
  <c r="M452" i="11"/>
  <c r="C476" i="11"/>
  <c r="H476" i="11"/>
  <c r="M476" i="11"/>
  <c r="C477" i="11"/>
  <c r="H477" i="11"/>
  <c r="M477" i="11"/>
  <c r="C478" i="11"/>
  <c r="H478" i="11"/>
  <c r="M478" i="11"/>
  <c r="C479" i="11"/>
  <c r="H479" i="11"/>
  <c r="M479" i="11"/>
  <c r="C480" i="11"/>
  <c r="H480" i="11"/>
  <c r="K480" i="11" s="1"/>
  <c r="M480" i="11"/>
  <c r="C481" i="11"/>
  <c r="H481" i="11"/>
  <c r="K481" i="11" s="1"/>
  <c r="M481" i="11"/>
  <c r="C482" i="11"/>
  <c r="H482" i="11"/>
  <c r="M482" i="11"/>
  <c r="C483" i="11"/>
  <c r="H483" i="11"/>
  <c r="K483" i="11" s="1"/>
  <c r="M483" i="11"/>
  <c r="C484" i="11"/>
  <c r="H484" i="11"/>
  <c r="M484" i="11"/>
  <c r="C485" i="11"/>
  <c r="H485" i="11"/>
  <c r="M485" i="11"/>
  <c r="C486" i="11"/>
  <c r="H486" i="11"/>
  <c r="K486" i="11" s="1"/>
  <c r="M486" i="11"/>
  <c r="C475" i="11"/>
  <c r="H475" i="11"/>
  <c r="M475" i="11"/>
  <c r="C492" i="11"/>
  <c r="H492" i="11"/>
  <c r="M492" i="11"/>
  <c r="C493" i="11"/>
  <c r="H493" i="11"/>
  <c r="K493" i="11" s="1"/>
  <c r="M493" i="11"/>
  <c r="C494" i="11"/>
  <c r="H494" i="11"/>
  <c r="M494" i="11"/>
  <c r="C495" i="11"/>
  <c r="H495" i="11"/>
  <c r="K495" i="11" s="1"/>
  <c r="M495" i="11"/>
  <c r="C496" i="11"/>
  <c r="H496" i="11"/>
  <c r="K496" i="11" s="1"/>
  <c r="M496" i="11"/>
  <c r="C497" i="11"/>
  <c r="H497" i="11"/>
  <c r="K497" i="11" s="1"/>
  <c r="M497" i="11"/>
  <c r="C498" i="11"/>
  <c r="H498" i="11"/>
  <c r="M498" i="11"/>
  <c r="C499" i="11"/>
  <c r="H499" i="11"/>
  <c r="K499" i="11" s="1"/>
  <c r="M499" i="11"/>
  <c r="C500" i="11"/>
  <c r="H500" i="11"/>
  <c r="K500" i="11" s="1"/>
  <c r="M500" i="11"/>
  <c r="C501" i="11"/>
  <c r="H501" i="11"/>
  <c r="K501" i="11" s="1"/>
  <c r="M501" i="11"/>
  <c r="C508" i="11"/>
  <c r="H508" i="11"/>
  <c r="M508" i="11"/>
  <c r="C509" i="11"/>
  <c r="H509" i="11"/>
  <c r="K509" i="11" s="1"/>
  <c r="M509" i="11"/>
  <c r="C510" i="11"/>
  <c r="H510" i="11"/>
  <c r="M510" i="11"/>
  <c r="C511" i="11"/>
  <c r="H511" i="11"/>
  <c r="K511" i="11" s="1"/>
  <c r="M511" i="11"/>
  <c r="C512" i="11"/>
  <c r="H512" i="11"/>
  <c r="M512" i="11"/>
  <c r="C513" i="11"/>
  <c r="H513" i="11"/>
  <c r="K513" i="11" s="1"/>
  <c r="M513" i="11"/>
  <c r="C514" i="11"/>
  <c r="H514" i="11"/>
  <c r="M514" i="11"/>
  <c r="C515" i="11"/>
  <c r="H515" i="11"/>
  <c r="K515" i="11" s="1"/>
  <c r="M515" i="11"/>
  <c r="C516" i="11"/>
  <c r="H516" i="11"/>
  <c r="M516" i="11"/>
  <c r="C517" i="11"/>
  <c r="H517" i="11"/>
  <c r="K517" i="11" s="1"/>
  <c r="M517" i="11"/>
  <c r="C518" i="11"/>
  <c r="H518" i="11"/>
  <c r="M518" i="11"/>
  <c r="C519" i="11"/>
  <c r="H519" i="11"/>
  <c r="K519" i="11" s="1"/>
  <c r="M519" i="11"/>
  <c r="C527" i="11"/>
  <c r="H527" i="11"/>
  <c r="M527" i="11"/>
  <c r="C528" i="11"/>
  <c r="H528" i="11"/>
  <c r="K528" i="11" s="1"/>
  <c r="M528" i="11"/>
  <c r="C529" i="11"/>
  <c r="H529" i="11"/>
  <c r="M529" i="11"/>
  <c r="C530" i="11"/>
  <c r="H530" i="11"/>
  <c r="K530" i="11" s="1"/>
  <c r="M530" i="11"/>
  <c r="C531" i="11"/>
  <c r="H531" i="11"/>
  <c r="M531" i="11"/>
  <c r="C532" i="11"/>
  <c r="H532" i="11"/>
  <c r="K532" i="11" s="1"/>
  <c r="M532" i="11"/>
  <c r="C526" i="11"/>
  <c r="H526" i="11"/>
  <c r="K526" i="11" s="1"/>
  <c r="M526" i="11"/>
  <c r="C533" i="11"/>
  <c r="H533" i="11"/>
  <c r="K533" i="11" s="1"/>
  <c r="M533" i="11"/>
  <c r="C534" i="11"/>
  <c r="H534" i="11"/>
  <c r="K534" i="11" s="1"/>
  <c r="M534" i="11"/>
  <c r="C535" i="11"/>
  <c r="H535" i="11"/>
  <c r="K535" i="11" s="1"/>
  <c r="M535" i="11"/>
  <c r="C536" i="11"/>
  <c r="H536" i="11"/>
  <c r="K536" i="11" s="1"/>
  <c r="M536" i="11"/>
  <c r="C543" i="11"/>
  <c r="H543" i="11"/>
  <c r="I543" i="11"/>
  <c r="J543" i="11" s="1"/>
  <c r="M543" i="11"/>
  <c r="C544" i="11"/>
  <c r="H544" i="11"/>
  <c r="K544" i="11" s="1"/>
  <c r="I544" i="11"/>
  <c r="J544" i="11" s="1"/>
  <c r="M544" i="11"/>
  <c r="C545" i="11"/>
  <c r="H545" i="11"/>
  <c r="K545" i="11" s="1"/>
  <c r="I545" i="11"/>
  <c r="J545" i="11" s="1"/>
  <c r="M545" i="11"/>
  <c r="C546" i="11"/>
  <c r="H546" i="11"/>
  <c r="K546" i="11" s="1"/>
  <c r="I546" i="11"/>
  <c r="J546" i="11" s="1"/>
  <c r="M546" i="11"/>
  <c r="C547" i="11"/>
  <c r="H547" i="11"/>
  <c r="I547" i="11"/>
  <c r="J547" i="11" s="1"/>
  <c r="M547" i="11"/>
  <c r="C548" i="11"/>
  <c r="H548" i="11"/>
  <c r="I548" i="11"/>
  <c r="J548" i="11" s="1"/>
  <c r="M548" i="11"/>
  <c r="C549" i="11"/>
  <c r="H549" i="11"/>
  <c r="K549" i="11" s="1"/>
  <c r="I549" i="11"/>
  <c r="J549" i="11" s="1"/>
  <c r="M549" i="11"/>
  <c r="C550" i="11"/>
  <c r="H550" i="11"/>
  <c r="I550" i="11"/>
  <c r="J550" i="11" s="1"/>
  <c r="M550" i="11"/>
  <c r="C551" i="11"/>
  <c r="H551" i="11"/>
  <c r="K551" i="11" s="1"/>
  <c r="I551" i="11"/>
  <c r="J551" i="11" s="1"/>
  <c r="M551" i="11"/>
  <c r="AU312" i="11"/>
  <c r="AU311" i="11"/>
  <c r="AU310" i="11"/>
  <c r="AU309" i="11"/>
  <c r="AU123" i="11"/>
  <c r="AU124" i="11"/>
  <c r="AU125" i="11"/>
  <c r="AU122" i="11"/>
  <c r="AR340" i="11"/>
  <c r="D115" i="11" l="1"/>
  <c r="D113" i="11"/>
  <c r="Q114" i="11"/>
  <c r="E114" i="11"/>
  <c r="D114" i="11"/>
  <c r="Q115" i="11"/>
  <c r="Q113" i="11"/>
  <c r="E115" i="11"/>
  <c r="E113" i="11"/>
  <c r="AS114" i="11"/>
  <c r="AS113" i="11"/>
  <c r="AS115" i="11"/>
  <c r="O551" i="11"/>
  <c r="O550" i="11"/>
  <c r="K550" i="11"/>
  <c r="L547" i="11"/>
  <c r="N547" i="11" s="1"/>
  <c r="E340" i="11"/>
  <c r="Q340" i="11"/>
  <c r="K479" i="11"/>
  <c r="K419" i="11"/>
  <c r="L543" i="11"/>
  <c r="N543" i="11" s="1"/>
  <c r="K492" i="11"/>
  <c r="K475" i="11"/>
  <c r="O545" i="11"/>
  <c r="K514" i="11"/>
  <c r="K498" i="11"/>
  <c r="K476" i="11"/>
  <c r="K408" i="11"/>
  <c r="K508" i="11"/>
  <c r="L544" i="11"/>
  <c r="N544" i="11" s="1"/>
  <c r="K529" i="11"/>
  <c r="K518" i="11"/>
  <c r="K494" i="11"/>
  <c r="L548" i="11"/>
  <c r="N548" i="11" s="1"/>
  <c r="O546" i="11"/>
  <c r="K512" i="11"/>
  <c r="L551" i="11"/>
  <c r="N551" i="11" s="1"/>
  <c r="O549" i="11"/>
  <c r="K548" i="11"/>
  <c r="K477" i="11"/>
  <c r="K446" i="11"/>
  <c r="L549" i="11"/>
  <c r="N549" i="11" s="1"/>
  <c r="O547" i="11"/>
  <c r="O543" i="11"/>
  <c r="K531" i="11"/>
  <c r="K482" i="11"/>
  <c r="L545" i="11"/>
  <c r="N545" i="11" s="1"/>
  <c r="K510" i="11"/>
  <c r="K516" i="11"/>
  <c r="K447" i="11"/>
  <c r="L550" i="11"/>
  <c r="N550" i="11" s="1"/>
  <c r="O548" i="11"/>
  <c r="K547" i="11"/>
  <c r="L546" i="11"/>
  <c r="N546" i="11" s="1"/>
  <c r="O544" i="11"/>
  <c r="K543" i="11"/>
  <c r="K527" i="11"/>
  <c r="K485" i="11"/>
  <c r="K375" i="11"/>
  <c r="K346" i="11"/>
  <c r="K360" i="11"/>
  <c r="K403" i="11"/>
  <c r="K385" i="11"/>
  <c r="K484" i="11"/>
  <c r="K388" i="11"/>
  <c r="K478" i="11"/>
  <c r="K371" i="11"/>
  <c r="K359" i="11"/>
  <c r="K357" i="11"/>
  <c r="K225" i="11"/>
  <c r="K390" i="11"/>
  <c r="K387" i="11"/>
  <c r="K384" i="11"/>
  <c r="K340" i="11"/>
  <c r="K329" i="11"/>
  <c r="K273" i="11"/>
  <c r="K341" i="11"/>
  <c r="K389" i="11"/>
  <c r="K386" i="11"/>
  <c r="K377" i="11"/>
  <c r="K324" i="11"/>
  <c r="K308" i="11"/>
  <c r="K262" i="11"/>
  <c r="K259" i="11"/>
  <c r="K217" i="11"/>
  <c r="K170" i="11"/>
  <c r="K261" i="11"/>
  <c r="K270" i="11"/>
  <c r="K267" i="11"/>
  <c r="K252" i="11"/>
  <c r="K241" i="11"/>
  <c r="K232" i="11"/>
  <c r="K219" i="11"/>
  <c r="K201" i="11"/>
  <c r="K168" i="11"/>
  <c r="K207" i="11"/>
  <c r="K199" i="11"/>
  <c r="K188" i="11"/>
  <c r="K176" i="11"/>
  <c r="K149" i="11"/>
  <c r="K167" i="11"/>
  <c r="K93" i="11"/>
  <c r="K126" i="11"/>
  <c r="K166" i="11"/>
  <c r="K172" i="11"/>
  <c r="K165" i="11"/>
  <c r="K164" i="11"/>
  <c r="K139" i="11"/>
  <c r="K152" i="11"/>
  <c r="K140" i="11"/>
  <c r="K151" i="11"/>
  <c r="K150" i="11"/>
  <c r="K143" i="11"/>
  <c r="K142" i="11"/>
  <c r="K148" i="11"/>
  <c r="K146" i="11"/>
  <c r="K145" i="11"/>
  <c r="K131" i="11"/>
  <c r="K147" i="11"/>
  <c r="K144" i="11"/>
  <c r="K141" i="11"/>
  <c r="K121" i="11"/>
  <c r="K130" i="11"/>
  <c r="K106" i="11"/>
  <c r="K97" i="11"/>
  <c r="K171" i="11"/>
  <c r="K169" i="11"/>
  <c r="K129" i="11"/>
  <c r="K132" i="11"/>
  <c r="K112" i="11"/>
  <c r="K91" i="11"/>
  <c r="K128" i="11"/>
  <c r="K108" i="11"/>
  <c r="K95" i="11"/>
  <c r="K127" i="11"/>
  <c r="K104" i="11"/>
  <c r="K125" i="11"/>
  <c r="K123" i="11"/>
  <c r="K110" i="11"/>
  <c r="K82" i="11"/>
  <c r="K78" i="11"/>
  <c r="K74" i="11"/>
  <c r="K53" i="11"/>
  <c r="K49" i="11"/>
  <c r="K40" i="11"/>
  <c r="K36" i="11"/>
  <c r="K32" i="11"/>
  <c r="K29" i="11"/>
  <c r="K83" i="11"/>
  <c r="K79" i="11"/>
  <c r="K75" i="11"/>
  <c r="K65" i="11"/>
  <c r="K50" i="11"/>
  <c r="K46" i="11"/>
  <c r="K37" i="11"/>
  <c r="K33" i="11"/>
  <c r="K30" i="11"/>
  <c r="K17" i="11"/>
  <c r="K89" i="11"/>
  <c r="K80" i="11"/>
  <c r="K76" i="11"/>
  <c r="K66" i="11"/>
  <c r="K51" i="11"/>
  <c r="K47" i="11"/>
  <c r="K38" i="11"/>
  <c r="K34" i="11"/>
  <c r="K31" i="11"/>
  <c r="K18" i="11"/>
  <c r="K81" i="11"/>
  <c r="K77" i="11"/>
  <c r="K67" i="11"/>
  <c r="K52" i="11"/>
  <c r="K48" i="11"/>
  <c r="K39" i="11"/>
  <c r="K35" i="11"/>
  <c r="AU341" i="11"/>
  <c r="AU342" i="11"/>
  <c r="AU343" i="11"/>
  <c r="AU344" i="11"/>
  <c r="AU345" i="11"/>
  <c r="AU346" i="11"/>
  <c r="AU532" i="11"/>
  <c r="AU531" i="11"/>
  <c r="AU530" i="11"/>
  <c r="AU529" i="11"/>
  <c r="AU528" i="11"/>
  <c r="AU527" i="11"/>
  <c r="AU477" i="11"/>
  <c r="AU478" i="11"/>
  <c r="AU479" i="11"/>
  <c r="AU480" i="11"/>
  <c r="AU481" i="11"/>
  <c r="AU476" i="11"/>
  <c r="AN121" i="11"/>
  <c r="AM104" i="11"/>
  <c r="AM6" i="11" s="1"/>
  <c r="F113" i="11" l="1"/>
  <c r="G113" i="11" s="1"/>
  <c r="F115" i="11"/>
  <c r="G115" i="11" s="1"/>
  <c r="F114" i="11"/>
  <c r="G114" i="11" s="1"/>
  <c r="M104" i="11"/>
  <c r="AR263" i="11"/>
  <c r="AQ263" i="11"/>
  <c r="AN263" i="11"/>
  <c r="AJ263" i="11"/>
  <c r="AR262" i="11"/>
  <c r="AQ262" i="11"/>
  <c r="AN262" i="11"/>
  <c r="AJ262" i="11"/>
  <c r="AR261" i="11"/>
  <c r="AQ261" i="11"/>
  <c r="AN261" i="11"/>
  <c r="AJ261" i="11"/>
  <c r="AR260" i="11"/>
  <c r="AQ260" i="11"/>
  <c r="AN260" i="11"/>
  <c r="AJ260" i="11"/>
  <c r="AR259" i="11"/>
  <c r="AQ259" i="11"/>
  <c r="AN259" i="11"/>
  <c r="AJ259" i="11"/>
  <c r="AR258" i="11"/>
  <c r="AQ258" i="11"/>
  <c r="AN258" i="11"/>
  <c r="AJ258" i="11"/>
  <c r="AQ10" i="11"/>
  <c r="AQ11" i="11"/>
  <c r="AQ12" i="11"/>
  <c r="AQ13" i="11"/>
  <c r="AQ14" i="11"/>
  <c r="AQ15" i="11"/>
  <c r="AQ16" i="11"/>
  <c r="AQ17" i="11"/>
  <c r="AQ18" i="11"/>
  <c r="AQ29" i="11"/>
  <c r="AQ30" i="11"/>
  <c r="AQ31" i="11"/>
  <c r="AQ32" i="11"/>
  <c r="AQ33" i="11"/>
  <c r="AQ34" i="11"/>
  <c r="AQ35" i="11"/>
  <c r="AQ36" i="11"/>
  <c r="AQ37" i="11"/>
  <c r="AQ38" i="11"/>
  <c r="AQ39" i="11"/>
  <c r="AQ40" i="11"/>
  <c r="AQ46" i="11"/>
  <c r="AQ47" i="11"/>
  <c r="AQ48" i="11"/>
  <c r="AQ49" i="11"/>
  <c r="AQ50" i="11"/>
  <c r="AQ51" i="11"/>
  <c r="AQ52" i="11"/>
  <c r="AQ53" i="11"/>
  <c r="AQ340" i="11"/>
  <c r="AQ341" i="11"/>
  <c r="AQ342" i="11"/>
  <c r="AQ343" i="11"/>
  <c r="AQ344" i="11"/>
  <c r="AQ345" i="11"/>
  <c r="AQ346" i="11"/>
  <c r="AQ347" i="11"/>
  <c r="AQ348" i="11"/>
  <c r="AQ349" i="11"/>
  <c r="AQ350" i="11"/>
  <c r="AQ351" i="11"/>
  <c r="AQ104" i="11"/>
  <c r="AQ105" i="11"/>
  <c r="AQ106" i="11"/>
  <c r="AQ107" i="11"/>
  <c r="AQ108" i="11"/>
  <c r="AQ109" i="11"/>
  <c r="AQ110" i="11"/>
  <c r="AQ111" i="11"/>
  <c r="AQ112" i="11"/>
  <c r="AQ121" i="11"/>
  <c r="AQ122" i="11"/>
  <c r="AQ123" i="11"/>
  <c r="AQ124" i="11"/>
  <c r="AQ125" i="11"/>
  <c r="AQ126" i="11"/>
  <c r="AQ127" i="11"/>
  <c r="AQ128" i="11"/>
  <c r="AQ129" i="11"/>
  <c r="AQ130" i="11"/>
  <c r="AQ131" i="11"/>
  <c r="AQ132" i="11"/>
  <c r="AQ139" i="11"/>
  <c r="AQ140" i="11"/>
  <c r="AQ141" i="11"/>
  <c r="AQ142" i="11"/>
  <c r="AQ143" i="11"/>
  <c r="AQ144" i="11"/>
  <c r="AQ145" i="11"/>
  <c r="AQ146" i="11"/>
  <c r="AQ147" i="11"/>
  <c r="AQ148" i="11"/>
  <c r="AQ149" i="11"/>
  <c r="AQ150" i="11"/>
  <c r="AQ151" i="11"/>
  <c r="AQ152" i="11"/>
  <c r="AQ164" i="11"/>
  <c r="AQ165" i="11"/>
  <c r="AQ166" i="11"/>
  <c r="AQ167" i="11"/>
  <c r="AQ168" i="11"/>
  <c r="AQ169" i="11"/>
  <c r="AQ170" i="11"/>
  <c r="AQ171" i="11"/>
  <c r="AQ172" i="11"/>
  <c r="AQ173" i="11"/>
  <c r="AQ174" i="11"/>
  <c r="AQ175" i="11"/>
  <c r="AQ176" i="11"/>
  <c r="AQ186" i="11"/>
  <c r="AQ187" i="11"/>
  <c r="AQ188" i="11"/>
  <c r="AQ65" i="11"/>
  <c r="AQ66" i="11"/>
  <c r="AQ67" i="11"/>
  <c r="AQ197" i="11"/>
  <c r="AQ198" i="11"/>
  <c r="AQ199" i="11"/>
  <c r="AQ200" i="11"/>
  <c r="AQ201" i="11"/>
  <c r="AQ202" i="11"/>
  <c r="AQ203" i="11"/>
  <c r="AQ204" i="11"/>
  <c r="AQ205" i="11"/>
  <c r="AQ206" i="11"/>
  <c r="AQ207" i="11"/>
  <c r="AQ248" i="11"/>
  <c r="AQ250" i="11"/>
  <c r="AQ251" i="11"/>
  <c r="AQ252" i="11"/>
  <c r="AQ253" i="11"/>
  <c r="AQ254" i="11"/>
  <c r="AQ255" i="11"/>
  <c r="AQ256" i="11"/>
  <c r="AQ257" i="11"/>
  <c r="AQ214" i="11"/>
  <c r="AQ215" i="11"/>
  <c r="AQ216" i="11"/>
  <c r="AQ217" i="11"/>
  <c r="AQ218" i="11"/>
  <c r="AQ219" i="11"/>
  <c r="AQ220" i="11"/>
  <c r="AQ221" i="11"/>
  <c r="AQ222" i="11"/>
  <c r="AQ223" i="11"/>
  <c r="AQ224" i="11"/>
  <c r="AQ225" i="11"/>
  <c r="AQ226" i="11"/>
  <c r="AQ230" i="11"/>
  <c r="AQ231" i="11"/>
  <c r="AQ232" i="11"/>
  <c r="AQ233" i="11"/>
  <c r="AQ234" i="11"/>
  <c r="AQ235" i="11"/>
  <c r="AQ236" i="11"/>
  <c r="AQ237" i="11"/>
  <c r="AQ238" i="11"/>
  <c r="AQ239" i="11"/>
  <c r="AQ240" i="11"/>
  <c r="AQ241" i="11"/>
  <c r="AQ267" i="11"/>
  <c r="AQ268" i="11"/>
  <c r="AQ269" i="11"/>
  <c r="AQ270" i="11"/>
  <c r="AQ271" i="11"/>
  <c r="AQ272" i="11"/>
  <c r="AQ273" i="11"/>
  <c r="AQ274" i="11"/>
  <c r="AQ275" i="11"/>
  <c r="AQ276" i="11"/>
  <c r="AQ285" i="11"/>
  <c r="AQ286" i="11"/>
  <c r="AQ287" i="11"/>
  <c r="AQ288" i="11"/>
  <c r="AQ289" i="11"/>
  <c r="AQ290" i="11"/>
  <c r="AQ291" i="11"/>
  <c r="AQ292" i="11"/>
  <c r="AQ293" i="11"/>
  <c r="AQ294" i="11"/>
  <c r="AQ295" i="11"/>
  <c r="AQ74" i="11"/>
  <c r="AQ75" i="11"/>
  <c r="AQ76" i="11"/>
  <c r="AQ77" i="11"/>
  <c r="AQ78" i="11"/>
  <c r="AQ79" i="11"/>
  <c r="AQ80" i="11"/>
  <c r="AQ81" i="11"/>
  <c r="AQ82" i="11"/>
  <c r="AQ83" i="11"/>
  <c r="AQ308" i="11"/>
  <c r="AQ309" i="11"/>
  <c r="AQ310" i="11"/>
  <c r="AQ311" i="11"/>
  <c r="AQ312" i="11"/>
  <c r="AQ313" i="11"/>
  <c r="AQ314" i="11"/>
  <c r="AQ315" i="11"/>
  <c r="AQ316" i="11"/>
  <c r="AQ323" i="11"/>
  <c r="AQ324" i="11"/>
  <c r="AQ325" i="11"/>
  <c r="AQ326" i="11"/>
  <c r="AQ327" i="11"/>
  <c r="AQ328" i="11"/>
  <c r="AQ329" i="11"/>
  <c r="AQ330" i="11"/>
  <c r="AQ331" i="11"/>
  <c r="AQ332" i="11"/>
  <c r="AQ333" i="11"/>
  <c r="AQ357" i="11"/>
  <c r="AQ358" i="11"/>
  <c r="AQ359" i="11"/>
  <c r="AQ360" i="11"/>
  <c r="AQ361" i="11"/>
  <c r="AQ362" i="11"/>
  <c r="AQ363" i="11"/>
  <c r="AQ364" i="11"/>
  <c r="AQ365" i="11"/>
  <c r="AQ366" i="11"/>
  <c r="R366" i="11" s="1"/>
  <c r="AQ367" i="11"/>
  <c r="AQ368" i="11"/>
  <c r="AQ369" i="11"/>
  <c r="AQ370" i="11"/>
  <c r="AQ371" i="11"/>
  <c r="AQ372" i="11"/>
  <c r="AQ373" i="11"/>
  <c r="AQ374" i="11"/>
  <c r="AQ375" i="11"/>
  <c r="AQ376" i="11"/>
  <c r="AQ377" i="11"/>
  <c r="AQ384" i="11"/>
  <c r="AQ385" i="11"/>
  <c r="AQ386" i="11"/>
  <c r="AQ387" i="11"/>
  <c r="AQ388" i="11"/>
  <c r="AQ389" i="11"/>
  <c r="AQ390" i="11"/>
  <c r="AQ391" i="11"/>
  <c r="AQ392" i="11"/>
  <c r="AQ393" i="11"/>
  <c r="AQ394" i="11"/>
  <c r="AQ401" i="11"/>
  <c r="AQ402" i="11"/>
  <c r="AQ403" i="11"/>
  <c r="AQ404" i="11"/>
  <c r="AQ405" i="11"/>
  <c r="AQ406" i="11"/>
  <c r="AQ407" i="11"/>
  <c r="AQ408" i="11"/>
  <c r="AQ409" i="11"/>
  <c r="AQ410" i="11"/>
  <c r="AQ411" i="11"/>
  <c r="AQ412" i="11"/>
  <c r="AQ416" i="11"/>
  <c r="AQ417" i="11"/>
  <c r="AQ418" i="11"/>
  <c r="AQ419" i="11"/>
  <c r="AQ420" i="11"/>
  <c r="AQ421" i="11"/>
  <c r="AQ422" i="11"/>
  <c r="AQ423" i="11"/>
  <c r="AQ424" i="11"/>
  <c r="AQ425" i="11"/>
  <c r="AQ426" i="11"/>
  <c r="AQ438" i="11"/>
  <c r="AQ439" i="11"/>
  <c r="AQ440" i="11"/>
  <c r="AQ441" i="11"/>
  <c r="AQ442" i="11"/>
  <c r="AQ443" i="11"/>
  <c r="AQ444" i="11"/>
  <c r="AQ445" i="11"/>
  <c r="AQ446" i="11"/>
  <c r="AQ447" i="11"/>
  <c r="AQ448" i="11"/>
  <c r="AQ449" i="11"/>
  <c r="AQ450" i="11"/>
  <c r="AQ451" i="11"/>
  <c r="AQ452" i="11"/>
  <c r="AQ89" i="11"/>
  <c r="AQ90" i="11"/>
  <c r="AQ91" i="11"/>
  <c r="AQ92" i="11"/>
  <c r="AQ93" i="11"/>
  <c r="AQ94" i="11"/>
  <c r="AQ95" i="11"/>
  <c r="AQ96" i="11"/>
  <c r="AQ97" i="11"/>
  <c r="AQ98" i="11"/>
  <c r="AQ475" i="11"/>
  <c r="AQ476" i="11"/>
  <c r="AQ477" i="11"/>
  <c r="AQ478" i="11"/>
  <c r="AQ479" i="11"/>
  <c r="AQ480" i="11"/>
  <c r="AQ481" i="11"/>
  <c r="AQ482" i="11"/>
  <c r="AQ483" i="11"/>
  <c r="AQ484" i="11"/>
  <c r="AQ485" i="11"/>
  <c r="AQ486" i="11"/>
  <c r="AQ492" i="11"/>
  <c r="AQ493" i="11"/>
  <c r="AQ494" i="11"/>
  <c r="AQ495" i="11"/>
  <c r="AQ496" i="11"/>
  <c r="AQ497" i="11"/>
  <c r="AQ498" i="11"/>
  <c r="AQ499" i="11"/>
  <c r="AQ500" i="11"/>
  <c r="AQ508" i="11"/>
  <c r="AQ509" i="11"/>
  <c r="AQ510" i="11"/>
  <c r="AQ511" i="11"/>
  <c r="AQ512" i="11"/>
  <c r="AQ513" i="11"/>
  <c r="AQ514" i="11"/>
  <c r="AQ515" i="11"/>
  <c r="AQ516" i="11"/>
  <c r="AQ517" i="11"/>
  <c r="AQ518" i="11"/>
  <c r="AQ519" i="11"/>
  <c r="AQ526" i="11"/>
  <c r="AQ527" i="11"/>
  <c r="AQ528" i="11"/>
  <c r="AQ529" i="11"/>
  <c r="AQ530" i="11"/>
  <c r="AQ531" i="11"/>
  <c r="AQ532" i="11"/>
  <c r="AQ533" i="11"/>
  <c r="AQ534" i="11"/>
  <c r="AQ535" i="11"/>
  <c r="AQ536" i="11"/>
  <c r="AQ543" i="11"/>
  <c r="AQ544" i="11"/>
  <c r="P544" i="11" s="1"/>
  <c r="W544" i="11" s="1"/>
  <c r="AQ545" i="11"/>
  <c r="AQ546" i="11"/>
  <c r="AQ547" i="11"/>
  <c r="P547" i="11" s="1"/>
  <c r="AQ548" i="11"/>
  <c r="AQ549" i="11"/>
  <c r="P549" i="11" s="1"/>
  <c r="W549" i="11" s="1"/>
  <c r="AQ550" i="11"/>
  <c r="AQ551" i="11"/>
  <c r="AR10" i="11"/>
  <c r="AR11" i="11"/>
  <c r="AR12" i="11"/>
  <c r="AR13" i="11"/>
  <c r="AR14" i="11"/>
  <c r="AR15" i="11"/>
  <c r="AR16" i="11"/>
  <c r="AR17" i="11"/>
  <c r="AR18" i="11"/>
  <c r="AR29" i="11"/>
  <c r="AR30" i="11"/>
  <c r="AR31" i="11"/>
  <c r="AR32" i="11"/>
  <c r="AR33" i="11"/>
  <c r="AR34" i="11"/>
  <c r="AR35" i="11"/>
  <c r="AR36" i="11"/>
  <c r="AR37" i="11"/>
  <c r="AR38" i="11"/>
  <c r="AR39" i="11"/>
  <c r="AR40" i="11"/>
  <c r="AR46" i="11"/>
  <c r="AR47" i="11"/>
  <c r="AR48" i="11"/>
  <c r="AR49" i="11"/>
  <c r="AR50" i="11"/>
  <c r="AR51" i="11"/>
  <c r="AR52" i="11"/>
  <c r="AR53" i="11"/>
  <c r="AR341" i="11"/>
  <c r="AR342" i="11"/>
  <c r="AR343" i="11"/>
  <c r="AR344" i="11"/>
  <c r="AR345" i="11"/>
  <c r="AR346" i="11"/>
  <c r="AR347" i="11"/>
  <c r="AR348" i="11"/>
  <c r="AS349" i="11"/>
  <c r="AR350" i="11"/>
  <c r="AR351" i="11"/>
  <c r="AR104" i="11"/>
  <c r="AR105" i="11"/>
  <c r="AR106" i="11"/>
  <c r="AR107" i="11"/>
  <c r="AR108" i="11"/>
  <c r="AR109" i="11"/>
  <c r="AR110" i="11"/>
  <c r="AR111" i="11"/>
  <c r="AR112" i="11"/>
  <c r="AR121" i="11"/>
  <c r="AR122" i="11"/>
  <c r="AR123" i="11"/>
  <c r="AR124" i="11"/>
  <c r="AR125" i="11"/>
  <c r="AR126" i="11"/>
  <c r="AS126" i="11" s="1"/>
  <c r="AR127" i="11"/>
  <c r="AR128" i="11"/>
  <c r="AR129" i="11"/>
  <c r="AS129" i="11" s="1"/>
  <c r="AR130" i="11"/>
  <c r="AS130" i="11" s="1"/>
  <c r="AR131" i="11"/>
  <c r="AS131" i="11" s="1"/>
  <c r="AR132" i="11"/>
  <c r="AS132" i="11" s="1"/>
  <c r="AR139" i="11"/>
  <c r="AR140" i="11"/>
  <c r="AR141" i="11"/>
  <c r="AR142" i="11"/>
  <c r="AR143" i="11"/>
  <c r="AR144" i="11"/>
  <c r="AR145" i="11"/>
  <c r="AR146" i="11"/>
  <c r="AR147" i="11"/>
  <c r="AR148" i="11"/>
  <c r="AR149" i="11"/>
  <c r="AR150" i="11"/>
  <c r="AR151" i="11"/>
  <c r="AR152" i="11"/>
  <c r="AR164" i="11"/>
  <c r="AR165" i="11"/>
  <c r="AR166" i="11"/>
  <c r="AR167" i="11"/>
  <c r="AR168" i="11"/>
  <c r="AR169" i="11"/>
  <c r="AR170" i="11"/>
  <c r="AR171" i="11"/>
  <c r="AR172" i="11"/>
  <c r="AR173" i="11"/>
  <c r="AR174" i="11"/>
  <c r="AR175" i="11"/>
  <c r="AR176" i="11"/>
  <c r="AR186" i="11"/>
  <c r="AR187" i="11"/>
  <c r="AR188" i="11"/>
  <c r="AR65" i="11"/>
  <c r="AR66" i="11"/>
  <c r="AR67" i="11"/>
  <c r="AR197" i="11"/>
  <c r="AR198" i="11"/>
  <c r="AR199" i="11"/>
  <c r="AR200" i="11"/>
  <c r="AR201" i="11"/>
  <c r="AR202" i="11"/>
  <c r="AR203" i="11"/>
  <c r="AR204" i="11"/>
  <c r="AR205" i="11"/>
  <c r="AR206" i="11"/>
  <c r="AR207" i="11"/>
  <c r="AR250" i="11"/>
  <c r="AR251" i="11"/>
  <c r="AR252" i="11"/>
  <c r="AR253" i="11"/>
  <c r="AR254" i="11"/>
  <c r="AR255" i="11"/>
  <c r="AR256" i="11"/>
  <c r="AR257" i="11"/>
  <c r="AR214" i="11"/>
  <c r="AR215" i="11"/>
  <c r="AR216" i="11"/>
  <c r="AR217" i="11"/>
  <c r="AR218" i="11"/>
  <c r="AR219" i="11"/>
  <c r="AR220" i="11"/>
  <c r="AR221" i="11"/>
  <c r="AR222" i="11"/>
  <c r="AR223" i="11"/>
  <c r="AR224" i="11"/>
  <c r="AR225" i="11"/>
  <c r="AR226" i="11"/>
  <c r="AR230" i="11"/>
  <c r="AR231" i="11"/>
  <c r="AR232" i="11"/>
  <c r="AR233" i="11"/>
  <c r="AR234" i="11"/>
  <c r="AR235" i="11"/>
  <c r="AR236" i="11"/>
  <c r="AR237" i="11"/>
  <c r="AR238" i="11"/>
  <c r="AR239" i="11"/>
  <c r="AR240" i="11"/>
  <c r="AR241" i="11"/>
  <c r="AR267" i="11"/>
  <c r="AR268" i="11"/>
  <c r="AR269" i="11"/>
  <c r="AR270" i="11"/>
  <c r="AR271" i="11"/>
  <c r="AR272" i="11"/>
  <c r="AR273" i="11"/>
  <c r="AR274" i="11"/>
  <c r="AR275" i="11"/>
  <c r="AR276" i="11"/>
  <c r="AR285" i="11"/>
  <c r="AR286" i="11"/>
  <c r="AR287" i="11"/>
  <c r="AR288" i="11"/>
  <c r="AR289" i="11"/>
  <c r="AR290" i="11"/>
  <c r="AR291" i="11"/>
  <c r="AR292" i="11"/>
  <c r="AR293" i="11"/>
  <c r="AR294" i="11"/>
  <c r="AR295" i="11"/>
  <c r="AR74" i="11"/>
  <c r="AR75" i="11"/>
  <c r="AR76" i="11"/>
  <c r="AR77" i="11"/>
  <c r="AR78" i="11"/>
  <c r="AR79" i="11"/>
  <c r="AR80" i="11"/>
  <c r="AR81" i="11"/>
  <c r="AR82" i="11"/>
  <c r="AR83" i="11"/>
  <c r="AR308" i="11"/>
  <c r="AR309" i="11"/>
  <c r="AR310" i="11"/>
  <c r="AR311" i="11"/>
  <c r="AR312" i="11"/>
  <c r="AR313" i="11"/>
  <c r="AR314" i="11"/>
  <c r="AR315" i="11"/>
  <c r="AS315" i="11" s="1"/>
  <c r="AR316" i="11"/>
  <c r="AR323" i="11"/>
  <c r="AR324" i="11"/>
  <c r="AR325" i="11"/>
  <c r="AR326" i="11"/>
  <c r="AR327" i="11"/>
  <c r="AR328" i="11"/>
  <c r="AR329" i="11"/>
  <c r="AR330" i="11"/>
  <c r="AR331" i="11"/>
  <c r="AR332" i="11"/>
  <c r="AR333" i="11"/>
  <c r="AR357" i="11"/>
  <c r="AR358" i="11"/>
  <c r="AR359" i="11"/>
  <c r="AR360" i="11"/>
  <c r="AR361" i="11"/>
  <c r="AR362" i="11"/>
  <c r="AR363" i="11"/>
  <c r="AR364" i="11"/>
  <c r="AR365" i="11"/>
  <c r="AR366" i="11"/>
  <c r="Q366" i="11" s="1"/>
  <c r="AR367" i="11"/>
  <c r="AR368" i="11"/>
  <c r="AR369" i="11"/>
  <c r="AR370" i="11"/>
  <c r="AR371" i="11"/>
  <c r="AR372" i="11"/>
  <c r="AR373" i="11"/>
  <c r="AR374" i="11"/>
  <c r="AR375" i="11"/>
  <c r="AR376" i="11"/>
  <c r="AR377" i="11"/>
  <c r="AR384" i="11"/>
  <c r="AR385" i="11"/>
  <c r="AR386" i="11"/>
  <c r="AR387" i="11"/>
  <c r="AR388" i="11"/>
  <c r="AR389" i="11"/>
  <c r="AR390" i="11"/>
  <c r="AR391" i="11"/>
  <c r="AR392" i="11"/>
  <c r="AR393" i="11"/>
  <c r="AR394" i="11"/>
  <c r="AR401" i="11"/>
  <c r="AR402" i="11"/>
  <c r="AR403" i="11"/>
  <c r="AR404" i="11"/>
  <c r="AR405" i="11"/>
  <c r="AR406" i="11"/>
  <c r="AR407" i="11"/>
  <c r="AR408" i="11"/>
  <c r="AR409" i="11"/>
  <c r="AR410" i="11"/>
  <c r="AR411" i="11"/>
  <c r="AR412" i="11"/>
  <c r="AR416" i="11"/>
  <c r="AR417" i="11"/>
  <c r="AR418" i="11"/>
  <c r="AR419" i="11"/>
  <c r="AR420" i="11"/>
  <c r="AR421" i="11"/>
  <c r="AR422" i="11"/>
  <c r="AR423" i="11"/>
  <c r="AR424" i="11"/>
  <c r="AR425" i="11"/>
  <c r="AR426" i="11"/>
  <c r="AR438" i="11"/>
  <c r="AR439" i="11"/>
  <c r="AR440" i="11"/>
  <c r="AR441" i="11"/>
  <c r="AR442" i="11"/>
  <c r="AR443" i="11"/>
  <c r="AR444" i="11"/>
  <c r="AR445" i="11"/>
  <c r="AR446" i="11"/>
  <c r="AR447" i="11"/>
  <c r="AR448" i="11"/>
  <c r="AR449" i="11"/>
  <c r="AR450" i="11"/>
  <c r="AR451" i="11"/>
  <c r="AR452" i="11"/>
  <c r="AR89" i="11"/>
  <c r="AR90" i="11"/>
  <c r="AR91" i="11"/>
  <c r="AR92" i="11"/>
  <c r="AR93" i="11"/>
  <c r="AR94" i="11"/>
  <c r="AR95" i="11"/>
  <c r="AR96" i="11"/>
  <c r="AR97" i="11"/>
  <c r="AR98" i="11"/>
  <c r="AR475" i="11"/>
  <c r="AR476" i="11"/>
  <c r="AR477" i="11"/>
  <c r="AR478" i="11"/>
  <c r="AR479" i="11"/>
  <c r="AR480" i="11"/>
  <c r="AR481" i="11"/>
  <c r="AR482" i="11"/>
  <c r="AR483" i="11"/>
  <c r="AR484" i="11"/>
  <c r="AR485" i="11"/>
  <c r="AR486" i="11"/>
  <c r="AR492" i="11"/>
  <c r="AR493" i="11"/>
  <c r="AR494" i="11"/>
  <c r="AR495" i="11"/>
  <c r="AR496" i="11"/>
  <c r="AR497" i="11"/>
  <c r="AR498" i="11"/>
  <c r="AR499" i="11"/>
  <c r="AR500" i="11"/>
  <c r="AR508" i="11"/>
  <c r="AR509" i="11"/>
  <c r="AR510" i="11"/>
  <c r="AR511" i="11"/>
  <c r="AR512" i="11"/>
  <c r="AR513" i="11"/>
  <c r="AR514" i="11"/>
  <c r="AR515" i="11"/>
  <c r="AR516" i="11"/>
  <c r="AR517" i="11"/>
  <c r="AR518" i="11"/>
  <c r="AR519" i="11"/>
  <c r="AR526" i="11"/>
  <c r="AR527" i="11"/>
  <c r="AR528" i="11"/>
  <c r="AR529" i="11"/>
  <c r="AR530" i="11"/>
  <c r="AR531" i="11"/>
  <c r="AR532" i="11"/>
  <c r="AR533" i="11"/>
  <c r="AR534" i="11"/>
  <c r="AR535" i="11"/>
  <c r="AR536" i="11"/>
  <c r="AR543" i="11"/>
  <c r="AR544" i="11"/>
  <c r="AR545" i="11"/>
  <c r="AR546" i="11"/>
  <c r="AR547" i="11"/>
  <c r="AR548" i="11"/>
  <c r="AR549" i="11"/>
  <c r="AR550" i="11"/>
  <c r="AR551" i="11"/>
  <c r="AN10" i="11"/>
  <c r="AN11" i="11"/>
  <c r="AN12" i="11"/>
  <c r="AN13" i="11"/>
  <c r="AN14" i="11"/>
  <c r="AN15" i="11"/>
  <c r="AN16" i="11"/>
  <c r="AN17" i="11"/>
  <c r="AN18" i="11"/>
  <c r="AN29" i="11"/>
  <c r="AN30" i="11"/>
  <c r="AN31" i="11"/>
  <c r="AN32" i="11"/>
  <c r="AN33" i="11"/>
  <c r="AN34" i="11"/>
  <c r="AN35" i="11"/>
  <c r="AN36" i="11"/>
  <c r="AN37" i="11"/>
  <c r="AN38" i="11"/>
  <c r="AN39" i="11"/>
  <c r="AN40" i="11"/>
  <c r="AN46" i="11"/>
  <c r="AN47" i="11"/>
  <c r="AN48" i="11"/>
  <c r="AN49" i="11"/>
  <c r="AN50" i="11"/>
  <c r="AN51" i="11"/>
  <c r="AN52" i="11"/>
  <c r="AN53" i="11"/>
  <c r="AN104" i="11"/>
  <c r="AN105" i="11"/>
  <c r="AN106" i="11"/>
  <c r="AN107" i="11"/>
  <c r="AN108" i="11"/>
  <c r="AN109" i="11"/>
  <c r="AN110" i="11"/>
  <c r="AN111" i="11"/>
  <c r="AN112" i="11"/>
  <c r="AN139" i="11"/>
  <c r="AN140" i="11"/>
  <c r="AN141" i="11"/>
  <c r="AN142" i="11"/>
  <c r="AN143" i="11"/>
  <c r="AN144" i="11"/>
  <c r="AN145" i="11"/>
  <c r="AN146" i="11"/>
  <c r="AN147" i="11"/>
  <c r="AN148" i="11"/>
  <c r="AN149" i="11"/>
  <c r="AN150" i="11"/>
  <c r="AN151" i="11"/>
  <c r="AN152" i="11"/>
  <c r="AN164" i="11"/>
  <c r="AN165" i="11"/>
  <c r="AN166" i="11"/>
  <c r="AN167" i="11"/>
  <c r="AN168" i="11"/>
  <c r="AN169" i="11"/>
  <c r="AN170" i="11"/>
  <c r="AN171" i="11"/>
  <c r="AN172" i="11"/>
  <c r="AN173" i="11"/>
  <c r="AN174" i="11"/>
  <c r="AN175" i="11"/>
  <c r="AN176" i="11"/>
  <c r="AN186" i="11"/>
  <c r="AN187" i="11"/>
  <c r="AN188" i="11"/>
  <c r="AN65" i="11"/>
  <c r="AN66" i="11"/>
  <c r="AN67" i="11"/>
  <c r="AN197" i="11"/>
  <c r="AN198" i="11"/>
  <c r="AN199" i="11"/>
  <c r="AN200" i="11"/>
  <c r="AN201" i="11"/>
  <c r="AN202" i="11"/>
  <c r="AN203" i="11"/>
  <c r="AN204" i="11"/>
  <c r="AN205" i="11"/>
  <c r="AN206" i="11"/>
  <c r="AN207" i="11"/>
  <c r="AN248" i="11"/>
  <c r="AN250" i="11"/>
  <c r="AN251" i="11"/>
  <c r="AN252" i="11"/>
  <c r="AN253" i="11"/>
  <c r="AN254" i="11"/>
  <c r="AN255" i="11"/>
  <c r="AN256" i="11"/>
  <c r="AN257" i="11"/>
  <c r="AN214" i="11"/>
  <c r="AN215" i="11"/>
  <c r="AN216" i="11"/>
  <c r="AN217" i="11"/>
  <c r="AN218" i="11"/>
  <c r="AN219" i="11"/>
  <c r="AN220" i="11"/>
  <c r="AN221" i="11"/>
  <c r="AN222" i="11"/>
  <c r="AN223" i="11"/>
  <c r="AN224" i="11"/>
  <c r="AN225" i="11"/>
  <c r="AN226" i="11"/>
  <c r="AN230" i="11"/>
  <c r="AN231" i="11"/>
  <c r="AN232" i="11"/>
  <c r="AN233" i="11"/>
  <c r="AN234" i="11"/>
  <c r="AN235" i="11"/>
  <c r="AN236" i="11"/>
  <c r="AN237" i="11"/>
  <c r="AN238" i="11"/>
  <c r="AN239" i="11"/>
  <c r="AN240" i="11"/>
  <c r="AN241" i="11"/>
  <c r="AN267" i="11"/>
  <c r="AN268" i="11"/>
  <c r="AN269" i="11"/>
  <c r="AN270" i="11"/>
  <c r="AN271" i="11"/>
  <c r="AN272" i="11"/>
  <c r="AN273" i="11"/>
  <c r="AN274" i="11"/>
  <c r="AN275" i="11"/>
  <c r="AN276" i="11"/>
  <c r="AN285" i="11"/>
  <c r="AN286" i="11"/>
  <c r="AN287" i="11"/>
  <c r="AN288" i="11"/>
  <c r="AN289" i="11"/>
  <c r="AN290" i="11"/>
  <c r="AN291" i="11"/>
  <c r="AN292" i="11"/>
  <c r="AN293" i="11"/>
  <c r="AN294" i="11"/>
  <c r="AN295" i="11"/>
  <c r="AN74" i="11"/>
  <c r="AN75" i="11"/>
  <c r="AN76" i="11"/>
  <c r="AN77" i="11"/>
  <c r="AN78" i="11"/>
  <c r="AN79" i="11"/>
  <c r="AN80" i="11"/>
  <c r="AN81" i="11"/>
  <c r="AN82" i="11"/>
  <c r="AN83" i="11"/>
  <c r="AN308" i="11"/>
  <c r="AN323" i="11"/>
  <c r="AN324" i="11"/>
  <c r="AN325" i="11"/>
  <c r="AN326" i="11"/>
  <c r="AN327" i="11"/>
  <c r="AN328" i="11"/>
  <c r="AN329" i="11"/>
  <c r="AN330" i="11"/>
  <c r="AN331" i="11"/>
  <c r="AN332" i="11"/>
  <c r="AN333" i="11"/>
  <c r="AN357" i="11"/>
  <c r="AN358" i="11"/>
  <c r="AN359" i="11"/>
  <c r="AN360" i="11"/>
  <c r="AN361" i="11"/>
  <c r="AN362" i="11"/>
  <c r="AN363" i="11"/>
  <c r="AN364" i="11"/>
  <c r="AN365" i="11"/>
  <c r="AN366" i="11"/>
  <c r="AN367" i="11"/>
  <c r="AN368" i="11"/>
  <c r="AN369" i="11"/>
  <c r="AN370" i="11"/>
  <c r="AN371" i="11"/>
  <c r="AN372" i="11"/>
  <c r="AN373" i="11"/>
  <c r="AN374" i="11"/>
  <c r="AN375" i="11"/>
  <c r="AN376" i="11"/>
  <c r="AN377" i="11"/>
  <c r="AN384" i="11"/>
  <c r="AN385" i="11"/>
  <c r="AN386" i="11"/>
  <c r="AN387" i="11"/>
  <c r="AN388" i="11"/>
  <c r="AN389" i="11"/>
  <c r="AN390" i="11"/>
  <c r="AN391" i="11"/>
  <c r="AN392" i="11"/>
  <c r="AN393" i="11"/>
  <c r="AN394" i="11"/>
  <c r="AN401" i="11"/>
  <c r="AN402" i="11"/>
  <c r="AN403" i="11"/>
  <c r="AN404" i="11"/>
  <c r="AN405" i="11"/>
  <c r="AN406" i="11"/>
  <c r="AN407" i="11"/>
  <c r="AN408" i="11"/>
  <c r="AN409" i="11"/>
  <c r="AN410" i="11"/>
  <c r="AN411" i="11"/>
  <c r="AN412" i="11"/>
  <c r="AN416" i="11"/>
  <c r="AN417" i="11"/>
  <c r="AN418" i="11"/>
  <c r="AN419" i="11"/>
  <c r="AN420" i="11"/>
  <c r="AN421" i="11"/>
  <c r="AN422" i="11"/>
  <c r="AN423" i="11"/>
  <c r="AN424" i="11"/>
  <c r="AN425" i="11"/>
  <c r="AN426" i="11"/>
  <c r="AN438" i="11"/>
  <c r="AN439" i="11"/>
  <c r="AN440" i="11"/>
  <c r="AN441" i="11"/>
  <c r="AN442" i="11"/>
  <c r="AN443" i="11"/>
  <c r="AN444" i="11"/>
  <c r="AN445" i="11"/>
  <c r="AN446" i="11"/>
  <c r="AN447" i="11"/>
  <c r="AN448" i="11"/>
  <c r="AN449" i="11"/>
  <c r="AN450" i="11"/>
  <c r="AN451" i="11"/>
  <c r="AN452" i="11"/>
  <c r="AN89" i="11"/>
  <c r="AN90" i="11"/>
  <c r="AN91" i="11"/>
  <c r="AN92" i="11"/>
  <c r="AN93" i="11"/>
  <c r="AN94" i="11"/>
  <c r="AN95" i="11"/>
  <c r="AN96" i="11"/>
  <c r="AN97" i="11"/>
  <c r="AN98" i="11"/>
  <c r="AN475" i="11"/>
  <c r="AN492" i="11"/>
  <c r="AN493" i="11"/>
  <c r="AN494" i="11"/>
  <c r="AN495" i="11"/>
  <c r="AN496" i="11"/>
  <c r="AN497" i="11"/>
  <c r="AN498" i="11"/>
  <c r="AN499" i="11"/>
  <c r="AN500" i="11"/>
  <c r="AN508" i="11"/>
  <c r="AN509" i="11"/>
  <c r="AN510" i="11"/>
  <c r="AN511" i="11"/>
  <c r="AN512" i="11"/>
  <c r="AN513" i="11"/>
  <c r="AN514" i="11"/>
  <c r="AN515" i="11"/>
  <c r="AN516" i="11"/>
  <c r="AN517" i="11"/>
  <c r="AN518" i="11"/>
  <c r="AN519" i="11"/>
  <c r="AN526" i="11"/>
  <c r="AN543" i="11"/>
  <c r="AN544" i="11"/>
  <c r="AN545" i="11"/>
  <c r="AN546" i="11"/>
  <c r="AN547" i="11"/>
  <c r="AN548" i="11"/>
  <c r="AN549" i="11"/>
  <c r="AN550" i="11"/>
  <c r="AN551" i="11"/>
  <c r="AJ10" i="11"/>
  <c r="AJ11" i="11"/>
  <c r="AJ12" i="11"/>
  <c r="AJ13" i="11"/>
  <c r="AJ14" i="11"/>
  <c r="AJ15" i="11"/>
  <c r="AJ16" i="11"/>
  <c r="AJ17" i="11"/>
  <c r="AJ18" i="11"/>
  <c r="AJ29" i="11"/>
  <c r="AJ30" i="11"/>
  <c r="AJ31" i="11"/>
  <c r="AJ32" i="11"/>
  <c r="AJ33" i="11"/>
  <c r="AJ34" i="11"/>
  <c r="AJ35" i="11"/>
  <c r="AJ36" i="11"/>
  <c r="AJ37" i="11"/>
  <c r="AJ38" i="11"/>
  <c r="AJ39" i="11"/>
  <c r="AJ40" i="11"/>
  <c r="AJ46" i="11"/>
  <c r="AJ47" i="11"/>
  <c r="AJ48" i="11"/>
  <c r="AJ49" i="11"/>
  <c r="AJ50" i="11"/>
  <c r="AJ51" i="11"/>
  <c r="AJ52" i="11"/>
  <c r="AJ53" i="11"/>
  <c r="AJ340" i="11"/>
  <c r="AJ341" i="11"/>
  <c r="AJ342" i="11"/>
  <c r="AJ343" i="11"/>
  <c r="AJ344" i="11"/>
  <c r="AJ345" i="11"/>
  <c r="AJ346" i="11"/>
  <c r="AJ347" i="11"/>
  <c r="AJ348" i="11"/>
  <c r="AJ349" i="11"/>
  <c r="AJ350" i="11"/>
  <c r="AJ351" i="11"/>
  <c r="AJ104" i="11"/>
  <c r="AJ105" i="11"/>
  <c r="AJ106" i="11"/>
  <c r="AJ107" i="11"/>
  <c r="AJ108" i="11"/>
  <c r="AJ109" i="11"/>
  <c r="AJ110" i="11"/>
  <c r="AJ111" i="11"/>
  <c r="AJ112" i="11"/>
  <c r="AJ121" i="11"/>
  <c r="AJ122" i="11"/>
  <c r="AJ123" i="11"/>
  <c r="AJ124" i="11"/>
  <c r="AJ125" i="11"/>
  <c r="AJ126" i="11"/>
  <c r="AJ127" i="11"/>
  <c r="AJ128" i="11"/>
  <c r="AJ129" i="11"/>
  <c r="AJ130" i="11"/>
  <c r="AJ131" i="11"/>
  <c r="AJ132" i="11"/>
  <c r="AJ139" i="11"/>
  <c r="AJ140" i="11"/>
  <c r="AJ141" i="11"/>
  <c r="AJ142" i="11"/>
  <c r="AJ143" i="11"/>
  <c r="AJ144" i="11"/>
  <c r="AJ145" i="11"/>
  <c r="AJ146" i="11"/>
  <c r="AJ147" i="11"/>
  <c r="AJ148" i="11"/>
  <c r="AJ149" i="11"/>
  <c r="AJ150" i="11"/>
  <c r="AJ151" i="11"/>
  <c r="AJ152" i="11"/>
  <c r="AJ164" i="11"/>
  <c r="AJ165" i="11"/>
  <c r="AJ166" i="11"/>
  <c r="AJ167" i="11"/>
  <c r="AJ168" i="11"/>
  <c r="AJ169" i="11"/>
  <c r="AJ170" i="11"/>
  <c r="AJ171" i="11"/>
  <c r="AJ172" i="11"/>
  <c r="AJ173" i="11"/>
  <c r="AJ174" i="11"/>
  <c r="AJ175" i="11"/>
  <c r="AJ176" i="11"/>
  <c r="AJ186" i="11"/>
  <c r="AJ187" i="11"/>
  <c r="AJ188" i="11"/>
  <c r="AJ65" i="11"/>
  <c r="AJ66" i="11"/>
  <c r="AJ67" i="11"/>
  <c r="AJ197" i="11"/>
  <c r="AJ198" i="11"/>
  <c r="AJ199" i="11"/>
  <c r="AJ200" i="11"/>
  <c r="AJ201" i="11"/>
  <c r="AJ202" i="11"/>
  <c r="AJ203" i="11"/>
  <c r="AJ204" i="11"/>
  <c r="AJ205" i="11"/>
  <c r="AJ206" i="11"/>
  <c r="AJ207" i="11"/>
  <c r="AJ248" i="11"/>
  <c r="AJ250" i="11"/>
  <c r="AJ251" i="11"/>
  <c r="AJ252" i="11"/>
  <c r="AJ253" i="11"/>
  <c r="AJ254" i="11"/>
  <c r="AJ255" i="11"/>
  <c r="AJ256" i="11"/>
  <c r="AJ257" i="11"/>
  <c r="AJ214" i="11"/>
  <c r="AJ215" i="11"/>
  <c r="AJ216" i="11"/>
  <c r="AJ217" i="11"/>
  <c r="AJ218" i="11"/>
  <c r="AJ219" i="11"/>
  <c r="AJ220" i="11"/>
  <c r="AJ221" i="11"/>
  <c r="AJ222" i="11"/>
  <c r="AJ223" i="11"/>
  <c r="AJ224" i="11"/>
  <c r="AJ225" i="11"/>
  <c r="AJ226" i="11"/>
  <c r="AJ230" i="11"/>
  <c r="AJ231" i="11"/>
  <c r="AJ232" i="11"/>
  <c r="AJ233" i="11"/>
  <c r="AJ234" i="11"/>
  <c r="AJ235" i="11"/>
  <c r="AJ236" i="11"/>
  <c r="AJ237" i="11"/>
  <c r="AJ238" i="11"/>
  <c r="AJ239" i="11"/>
  <c r="AJ240" i="11"/>
  <c r="AJ241" i="11"/>
  <c r="AJ267" i="11"/>
  <c r="AJ268" i="11"/>
  <c r="AJ269" i="11"/>
  <c r="AJ270" i="11"/>
  <c r="AJ271" i="11"/>
  <c r="AJ272" i="11"/>
  <c r="AJ273" i="11"/>
  <c r="AJ274" i="11"/>
  <c r="AJ275" i="11"/>
  <c r="AJ276" i="11"/>
  <c r="AJ285" i="11"/>
  <c r="AJ286" i="11"/>
  <c r="AJ287" i="11"/>
  <c r="AJ288" i="11"/>
  <c r="AJ289" i="11"/>
  <c r="AJ290" i="11"/>
  <c r="AJ291" i="11"/>
  <c r="AJ292" i="11"/>
  <c r="AJ293" i="11"/>
  <c r="AJ294" i="11"/>
  <c r="AJ295" i="11"/>
  <c r="AJ74" i="11"/>
  <c r="AJ75" i="11"/>
  <c r="AJ76" i="11"/>
  <c r="AJ77" i="11"/>
  <c r="AJ78" i="11"/>
  <c r="AJ79" i="11"/>
  <c r="AJ80" i="11"/>
  <c r="AJ81" i="11"/>
  <c r="AJ82" i="11"/>
  <c r="AJ83" i="11"/>
  <c r="AJ308" i="11"/>
  <c r="AJ309" i="11"/>
  <c r="AJ310" i="11"/>
  <c r="AJ311" i="11"/>
  <c r="AJ312" i="11"/>
  <c r="AJ313" i="11"/>
  <c r="AJ314" i="11"/>
  <c r="AJ315" i="11"/>
  <c r="AJ316" i="11"/>
  <c r="AJ323" i="11"/>
  <c r="AJ324" i="11"/>
  <c r="AJ325" i="11"/>
  <c r="AJ326" i="11"/>
  <c r="AJ327" i="11"/>
  <c r="AJ328" i="11"/>
  <c r="AJ329" i="11"/>
  <c r="AJ330" i="11"/>
  <c r="AJ331" i="11"/>
  <c r="AJ332" i="11"/>
  <c r="AJ333" i="11"/>
  <c r="AJ357" i="11"/>
  <c r="AJ358" i="11"/>
  <c r="AJ359" i="11"/>
  <c r="AJ360" i="11"/>
  <c r="AJ361" i="11"/>
  <c r="AJ362" i="11"/>
  <c r="AJ363" i="11"/>
  <c r="AJ364" i="11"/>
  <c r="AJ365" i="11"/>
  <c r="AJ366" i="11"/>
  <c r="AJ367" i="11"/>
  <c r="AJ368" i="11"/>
  <c r="AJ369" i="11"/>
  <c r="AJ370" i="11"/>
  <c r="AJ371" i="11"/>
  <c r="AJ372" i="11"/>
  <c r="AJ373" i="11"/>
  <c r="AJ374" i="11"/>
  <c r="AJ375" i="11"/>
  <c r="AJ376" i="11"/>
  <c r="AJ377" i="11"/>
  <c r="AJ384" i="11"/>
  <c r="AJ385" i="11"/>
  <c r="AJ386" i="11"/>
  <c r="AJ387" i="11"/>
  <c r="AJ388" i="11"/>
  <c r="AJ389" i="11"/>
  <c r="AJ390" i="11"/>
  <c r="AJ391" i="11"/>
  <c r="AJ392" i="11"/>
  <c r="AJ393" i="11"/>
  <c r="AJ394" i="11"/>
  <c r="AJ401" i="11"/>
  <c r="AJ402" i="11"/>
  <c r="AJ403" i="11"/>
  <c r="AJ404" i="11"/>
  <c r="AJ405" i="11"/>
  <c r="AJ406" i="11"/>
  <c r="AJ407" i="11"/>
  <c r="AJ408" i="11"/>
  <c r="AJ409" i="11"/>
  <c r="AJ410" i="11"/>
  <c r="AJ411" i="11"/>
  <c r="AJ412" i="11"/>
  <c r="AJ416" i="11"/>
  <c r="AJ417" i="11"/>
  <c r="AJ418" i="11"/>
  <c r="AJ419" i="11"/>
  <c r="AJ420" i="11"/>
  <c r="AJ421" i="11"/>
  <c r="AJ422" i="11"/>
  <c r="AJ423" i="11"/>
  <c r="AJ424" i="11"/>
  <c r="AJ425" i="11"/>
  <c r="AJ426" i="11"/>
  <c r="AJ438" i="11"/>
  <c r="AJ439" i="11"/>
  <c r="AJ440" i="11"/>
  <c r="AJ441" i="11"/>
  <c r="AJ442" i="11"/>
  <c r="AJ443" i="11"/>
  <c r="AJ444" i="11"/>
  <c r="AJ445" i="11"/>
  <c r="AJ446" i="11"/>
  <c r="AJ447" i="11"/>
  <c r="AJ448" i="11"/>
  <c r="AJ449" i="11"/>
  <c r="AJ450" i="11"/>
  <c r="AJ451" i="11"/>
  <c r="AJ452" i="11"/>
  <c r="AJ90" i="11"/>
  <c r="AJ91" i="11"/>
  <c r="AJ92" i="11"/>
  <c r="AJ93" i="11"/>
  <c r="AJ94" i="11"/>
  <c r="AJ95" i="11"/>
  <c r="AJ96" i="11"/>
  <c r="AJ97" i="11"/>
  <c r="AJ98" i="11"/>
  <c r="AJ475" i="11"/>
  <c r="AJ476" i="11"/>
  <c r="AJ477" i="11"/>
  <c r="AJ478" i="11"/>
  <c r="AJ479" i="11"/>
  <c r="AJ480" i="11"/>
  <c r="AJ481" i="11"/>
  <c r="AJ482" i="11"/>
  <c r="AJ483" i="11"/>
  <c r="AJ484" i="11"/>
  <c r="AJ485" i="11"/>
  <c r="AJ486" i="11"/>
  <c r="AJ492" i="11"/>
  <c r="AJ493" i="11"/>
  <c r="AJ494" i="11"/>
  <c r="AJ495" i="11"/>
  <c r="AJ496" i="11"/>
  <c r="AJ497" i="11"/>
  <c r="AJ498" i="11"/>
  <c r="AJ499" i="11"/>
  <c r="AJ500" i="11"/>
  <c r="AJ508" i="11"/>
  <c r="AJ509" i="11"/>
  <c r="AJ510" i="11"/>
  <c r="AJ511" i="11"/>
  <c r="AJ512" i="11"/>
  <c r="AJ513" i="11"/>
  <c r="AJ514" i="11"/>
  <c r="AJ515" i="11"/>
  <c r="AJ516" i="11"/>
  <c r="AJ517" i="11"/>
  <c r="AJ518" i="11"/>
  <c r="AJ519" i="11"/>
  <c r="AJ526" i="11"/>
  <c r="AJ527" i="11"/>
  <c r="AJ528" i="11"/>
  <c r="AJ529" i="11"/>
  <c r="AJ530" i="11"/>
  <c r="AJ531" i="11"/>
  <c r="AJ532" i="11"/>
  <c r="AJ533" i="11"/>
  <c r="AJ534" i="11"/>
  <c r="AJ535" i="11"/>
  <c r="AJ536" i="11"/>
  <c r="AS501" i="11" l="1"/>
  <c r="AT501" i="11"/>
  <c r="S547" i="11"/>
  <c r="T547" i="11" s="1"/>
  <c r="U547" i="11" s="1"/>
  <c r="W547" i="11"/>
  <c r="E545" i="11"/>
  <c r="Q545" i="11"/>
  <c r="Q528" i="11"/>
  <c r="E528" i="11"/>
  <c r="AS510" i="11"/>
  <c r="E510" i="11"/>
  <c r="Q510" i="11"/>
  <c r="Q492" i="11"/>
  <c r="E492" i="11"/>
  <c r="AS475" i="11"/>
  <c r="Q475" i="11"/>
  <c r="E475" i="11"/>
  <c r="Q451" i="11"/>
  <c r="E451" i="11"/>
  <c r="Q439" i="11"/>
  <c r="E439" i="11"/>
  <c r="AS416" i="11"/>
  <c r="E416" i="11"/>
  <c r="Q416" i="11"/>
  <c r="Q401" i="11"/>
  <c r="E401" i="11"/>
  <c r="AS377" i="11"/>
  <c r="Q377" i="11"/>
  <c r="E377" i="11"/>
  <c r="Q365" i="11"/>
  <c r="E365" i="11"/>
  <c r="Q330" i="11"/>
  <c r="E330" i="11"/>
  <c r="AS312" i="11"/>
  <c r="Q312" i="11"/>
  <c r="E312" i="11"/>
  <c r="E76" i="11"/>
  <c r="Q76" i="11"/>
  <c r="Q286" i="11"/>
  <c r="E286" i="11"/>
  <c r="E241" i="11"/>
  <c r="Q241" i="11"/>
  <c r="E226" i="11"/>
  <c r="Q226" i="11"/>
  <c r="E214" i="11"/>
  <c r="Q214" i="11"/>
  <c r="E205" i="11"/>
  <c r="Q205" i="11"/>
  <c r="Q188" i="11"/>
  <c r="E188" i="11"/>
  <c r="Q167" i="11"/>
  <c r="E167" i="11"/>
  <c r="Q144" i="11"/>
  <c r="E144" i="11"/>
  <c r="Q126" i="11"/>
  <c r="E126" i="11"/>
  <c r="AT106" i="11"/>
  <c r="Q106" i="11"/>
  <c r="E106" i="11"/>
  <c r="AS342" i="11"/>
  <c r="Q342" i="11"/>
  <c r="E342" i="11"/>
  <c r="E38" i="11"/>
  <c r="Q38" i="11"/>
  <c r="AT16" i="11"/>
  <c r="E16" i="11"/>
  <c r="Q16" i="11"/>
  <c r="R546" i="11"/>
  <c r="D546" i="11"/>
  <c r="R529" i="11"/>
  <c r="D529" i="11"/>
  <c r="R511" i="11"/>
  <c r="D511" i="11"/>
  <c r="R493" i="11"/>
  <c r="D493" i="11"/>
  <c r="R476" i="11"/>
  <c r="D476" i="11"/>
  <c r="R452" i="11"/>
  <c r="D452" i="11"/>
  <c r="R440" i="11"/>
  <c r="D440" i="11"/>
  <c r="R417" i="11"/>
  <c r="D417" i="11"/>
  <c r="D402" i="11"/>
  <c r="R402" i="11"/>
  <c r="R384" i="11"/>
  <c r="D384" i="11"/>
  <c r="D366" i="11"/>
  <c r="R331" i="11"/>
  <c r="D331" i="11"/>
  <c r="R313" i="11"/>
  <c r="D313" i="11"/>
  <c r="R77" i="11"/>
  <c r="D77" i="11"/>
  <c r="R287" i="11"/>
  <c r="D287" i="11"/>
  <c r="R267" i="11"/>
  <c r="D267" i="11"/>
  <c r="R230" i="11"/>
  <c r="D230" i="11"/>
  <c r="R215" i="11"/>
  <c r="D215" i="11"/>
  <c r="R206" i="11"/>
  <c r="D206" i="11"/>
  <c r="R65" i="11"/>
  <c r="D65" i="11"/>
  <c r="R168" i="11"/>
  <c r="D168" i="11"/>
  <c r="R145" i="11"/>
  <c r="D145" i="11"/>
  <c r="R127" i="11"/>
  <c r="D127" i="11"/>
  <c r="R107" i="11"/>
  <c r="D107" i="11"/>
  <c r="R343" i="11"/>
  <c r="D343" i="11"/>
  <c r="R40" i="11"/>
  <c r="D40" i="11"/>
  <c r="R18" i="11"/>
  <c r="D18" i="11"/>
  <c r="AT258" i="11"/>
  <c r="Q258" i="11"/>
  <c r="E258" i="11"/>
  <c r="AT261" i="11"/>
  <c r="Q261" i="11"/>
  <c r="E261" i="11"/>
  <c r="E544" i="11"/>
  <c r="Q544" i="11"/>
  <c r="AS527" i="11"/>
  <c r="E527" i="11"/>
  <c r="Q527" i="11"/>
  <c r="E509" i="11"/>
  <c r="Q509" i="11"/>
  <c r="E486" i="11"/>
  <c r="Q486" i="11"/>
  <c r="E98" i="11"/>
  <c r="Q98" i="11"/>
  <c r="E450" i="11"/>
  <c r="Q450" i="11"/>
  <c r="AS438" i="11"/>
  <c r="E438" i="11"/>
  <c r="Q438" i="11"/>
  <c r="E412" i="11"/>
  <c r="Q412" i="11"/>
  <c r="Q394" i="11"/>
  <c r="E394" i="11"/>
  <c r="E376" i="11"/>
  <c r="Q376" i="11"/>
  <c r="AS364" i="11"/>
  <c r="E364" i="11"/>
  <c r="Q364" i="11"/>
  <c r="E329" i="11"/>
  <c r="Q329" i="11"/>
  <c r="Q311" i="11"/>
  <c r="E311" i="11"/>
  <c r="E75" i="11"/>
  <c r="Q75" i="11"/>
  <c r="Q285" i="11"/>
  <c r="E285" i="11"/>
  <c r="Q240" i="11"/>
  <c r="E240" i="11"/>
  <c r="Q225" i="11"/>
  <c r="E225" i="11"/>
  <c r="E257" i="11"/>
  <c r="Q257" i="11"/>
  <c r="AT204" i="11"/>
  <c r="E204" i="11"/>
  <c r="Q204" i="11"/>
  <c r="E187" i="11"/>
  <c r="Q187" i="11"/>
  <c r="E166" i="11"/>
  <c r="Q166" i="11"/>
  <c r="E143" i="11"/>
  <c r="Q143" i="11"/>
  <c r="AS125" i="11"/>
  <c r="E125" i="11"/>
  <c r="Q125" i="11"/>
  <c r="Q105" i="11"/>
  <c r="E105" i="11"/>
  <c r="AS341" i="11"/>
  <c r="E341" i="11"/>
  <c r="Q341" i="11"/>
  <c r="E37" i="11"/>
  <c r="Q37" i="11"/>
  <c r="AS15" i="11"/>
  <c r="E15" i="11"/>
  <c r="Q15" i="11"/>
  <c r="R545" i="11"/>
  <c r="D545" i="11"/>
  <c r="R528" i="11"/>
  <c r="D528" i="11"/>
  <c r="R510" i="11"/>
  <c r="D510" i="11"/>
  <c r="R492" i="11"/>
  <c r="D492" i="11"/>
  <c r="R475" i="11"/>
  <c r="D475" i="11"/>
  <c r="R451" i="11"/>
  <c r="D451" i="11"/>
  <c r="R439" i="11"/>
  <c r="D439" i="11"/>
  <c r="R416" i="11"/>
  <c r="D416" i="11"/>
  <c r="R401" i="11"/>
  <c r="D401" i="11"/>
  <c r="R377" i="11"/>
  <c r="D377" i="11"/>
  <c r="R365" i="11"/>
  <c r="D365" i="11"/>
  <c r="D330" i="11"/>
  <c r="R330" i="11"/>
  <c r="R312" i="11"/>
  <c r="D312" i="11"/>
  <c r="R76" i="11"/>
  <c r="D76" i="11"/>
  <c r="R286" i="11"/>
  <c r="D286" i="11"/>
  <c r="R241" i="11"/>
  <c r="D241" i="11"/>
  <c r="R226" i="11"/>
  <c r="D226" i="11"/>
  <c r="R214" i="11"/>
  <c r="D214" i="11"/>
  <c r="D205" i="11"/>
  <c r="R205" i="11"/>
  <c r="R188" i="11"/>
  <c r="D188" i="11"/>
  <c r="R167" i="11"/>
  <c r="D167" i="11"/>
  <c r="R144" i="11"/>
  <c r="D144" i="11"/>
  <c r="R126" i="11"/>
  <c r="D126" i="11"/>
  <c r="R106" i="11"/>
  <c r="D106" i="11"/>
  <c r="R342" i="11"/>
  <c r="D342" i="11"/>
  <c r="R39" i="11"/>
  <c r="D39" i="11"/>
  <c r="R17" i="11"/>
  <c r="D17" i="11"/>
  <c r="E508" i="11"/>
  <c r="Q508" i="11"/>
  <c r="AS256" i="11"/>
  <c r="E256" i="11"/>
  <c r="Q256" i="11"/>
  <c r="R412" i="11"/>
  <c r="D412" i="11"/>
  <c r="E448" i="11"/>
  <c r="Q448" i="11"/>
  <c r="E351" i="11"/>
  <c r="Q351" i="11"/>
  <c r="R203" i="11"/>
  <c r="D203" i="11"/>
  <c r="AT536" i="11"/>
  <c r="E536" i="11"/>
  <c r="Q536" i="11"/>
  <c r="AT518" i="11"/>
  <c r="E518" i="11"/>
  <c r="Q518" i="11"/>
  <c r="AS500" i="11"/>
  <c r="E500" i="11"/>
  <c r="Q500" i="11"/>
  <c r="Q483" i="11"/>
  <c r="E483" i="11"/>
  <c r="Q95" i="11"/>
  <c r="E95" i="11"/>
  <c r="Q447" i="11"/>
  <c r="E447" i="11"/>
  <c r="E424" i="11"/>
  <c r="Q424" i="11"/>
  <c r="Q409" i="11"/>
  <c r="E409" i="11"/>
  <c r="E391" i="11"/>
  <c r="Q391" i="11"/>
  <c r="E373" i="11"/>
  <c r="Q373" i="11"/>
  <c r="Q361" i="11"/>
  <c r="E361" i="11"/>
  <c r="E326" i="11"/>
  <c r="Q326" i="11"/>
  <c r="AT308" i="11"/>
  <c r="E308" i="11"/>
  <c r="Q308" i="11"/>
  <c r="E294" i="11"/>
  <c r="Q294" i="11"/>
  <c r="AS274" i="11"/>
  <c r="E274" i="11"/>
  <c r="Q274" i="11"/>
  <c r="AS237" i="11"/>
  <c r="E237" i="11"/>
  <c r="Q237" i="11"/>
  <c r="AT222" i="11"/>
  <c r="Q222" i="11"/>
  <c r="E222" i="11"/>
  <c r="AS254" i="11"/>
  <c r="E254" i="11"/>
  <c r="Q254" i="11"/>
  <c r="AT201" i="11"/>
  <c r="Q201" i="11"/>
  <c r="E201" i="11"/>
  <c r="AS175" i="11"/>
  <c r="E175" i="11"/>
  <c r="Q175" i="11"/>
  <c r="Q152" i="11"/>
  <c r="E152" i="11"/>
  <c r="AT140" i="11"/>
  <c r="Q140" i="11"/>
  <c r="E140" i="11"/>
  <c r="E122" i="11"/>
  <c r="Q122" i="11"/>
  <c r="AT350" i="11"/>
  <c r="E350" i="11"/>
  <c r="Q350" i="11"/>
  <c r="AS51" i="11"/>
  <c r="E51" i="11"/>
  <c r="Q51" i="11"/>
  <c r="AT34" i="11"/>
  <c r="E34" i="11"/>
  <c r="Q34" i="11"/>
  <c r="AS12" i="11"/>
  <c r="E12" i="11"/>
  <c r="Q12" i="11"/>
  <c r="R519" i="11"/>
  <c r="D519" i="11"/>
  <c r="R501" i="11"/>
  <c r="D501" i="11"/>
  <c r="R484" i="11"/>
  <c r="D484" i="11"/>
  <c r="R96" i="11"/>
  <c r="D96" i="11"/>
  <c r="R448" i="11"/>
  <c r="D448" i="11"/>
  <c r="R425" i="11"/>
  <c r="D425" i="11"/>
  <c r="R410" i="11"/>
  <c r="D410" i="11"/>
  <c r="D392" i="11"/>
  <c r="R392" i="11"/>
  <c r="R374" i="11"/>
  <c r="D374" i="11"/>
  <c r="R362" i="11"/>
  <c r="D362" i="11"/>
  <c r="R327" i="11"/>
  <c r="D327" i="11"/>
  <c r="R309" i="11"/>
  <c r="D309" i="11"/>
  <c r="R295" i="11"/>
  <c r="D295" i="11"/>
  <c r="R275" i="11"/>
  <c r="D275" i="11"/>
  <c r="R238" i="11"/>
  <c r="D238" i="11"/>
  <c r="R223" i="11"/>
  <c r="D223" i="11"/>
  <c r="R255" i="11"/>
  <c r="D255" i="11"/>
  <c r="R202" i="11"/>
  <c r="D202" i="11"/>
  <c r="R176" i="11"/>
  <c r="D176" i="11"/>
  <c r="R164" i="11"/>
  <c r="D164" i="11"/>
  <c r="R141" i="11"/>
  <c r="D141" i="11"/>
  <c r="R123" i="11"/>
  <c r="D123" i="11"/>
  <c r="R351" i="11"/>
  <c r="D351" i="11"/>
  <c r="R53" i="11"/>
  <c r="D53" i="11"/>
  <c r="R36" i="11"/>
  <c r="D36" i="11"/>
  <c r="R14" i="11"/>
  <c r="D14" i="11"/>
  <c r="E259" i="11"/>
  <c r="Q259" i="11"/>
  <c r="AT262" i="11"/>
  <c r="E262" i="11"/>
  <c r="Q262" i="11"/>
  <c r="S544" i="11"/>
  <c r="T544" i="11" s="1"/>
  <c r="P545" i="11"/>
  <c r="W545" i="11" s="1"/>
  <c r="Q393" i="11"/>
  <c r="E393" i="11"/>
  <c r="AS203" i="11"/>
  <c r="Q203" i="11"/>
  <c r="E203" i="11"/>
  <c r="R527" i="11"/>
  <c r="D527" i="11"/>
  <c r="R240" i="11"/>
  <c r="D240" i="11"/>
  <c r="AS295" i="11"/>
  <c r="Q295" i="11"/>
  <c r="E295" i="11"/>
  <c r="R543" i="11"/>
  <c r="D543" i="11"/>
  <c r="R224" i="11"/>
  <c r="D224" i="11"/>
  <c r="E535" i="11"/>
  <c r="Q535" i="11"/>
  <c r="Q517" i="11"/>
  <c r="E517" i="11"/>
  <c r="E499" i="11"/>
  <c r="Q499" i="11"/>
  <c r="E482" i="11"/>
  <c r="Q482" i="11"/>
  <c r="E94" i="11"/>
  <c r="Q94" i="11"/>
  <c r="E446" i="11"/>
  <c r="Q446" i="11"/>
  <c r="AS423" i="11"/>
  <c r="Q423" i="11"/>
  <c r="E423" i="11"/>
  <c r="Q408" i="11"/>
  <c r="E408" i="11"/>
  <c r="Q390" i="11"/>
  <c r="E390" i="11"/>
  <c r="E372" i="11"/>
  <c r="Q372" i="11"/>
  <c r="AS360" i="11"/>
  <c r="E360" i="11"/>
  <c r="Q360" i="11"/>
  <c r="E325" i="11"/>
  <c r="Q325" i="11"/>
  <c r="AS83" i="11"/>
  <c r="E83" i="11"/>
  <c r="Q83" i="11"/>
  <c r="Q293" i="11"/>
  <c r="E293" i="11"/>
  <c r="AS273" i="11"/>
  <c r="Q273" i="11"/>
  <c r="E273" i="11"/>
  <c r="AS236" i="11"/>
  <c r="Q236" i="11"/>
  <c r="E236" i="11"/>
  <c r="AS221" i="11"/>
  <c r="E221" i="11"/>
  <c r="Q221" i="11"/>
  <c r="E253" i="11"/>
  <c r="Q253" i="11"/>
  <c r="AS200" i="11"/>
  <c r="E200" i="11"/>
  <c r="Q200" i="11"/>
  <c r="AT174" i="11"/>
  <c r="E174" i="11"/>
  <c r="Q174" i="11"/>
  <c r="AT151" i="11"/>
  <c r="E151" i="11"/>
  <c r="Q151" i="11"/>
  <c r="AS139" i="11"/>
  <c r="E139" i="11"/>
  <c r="Q139" i="11"/>
  <c r="Q121" i="11"/>
  <c r="E121" i="11"/>
  <c r="AT349" i="11"/>
  <c r="E349" i="11"/>
  <c r="Q349" i="11"/>
  <c r="AT50" i="11"/>
  <c r="E50" i="11"/>
  <c r="Q50" i="11"/>
  <c r="E33" i="11"/>
  <c r="Q33" i="11"/>
  <c r="E11" i="11"/>
  <c r="Q11" i="11"/>
  <c r="R536" i="11"/>
  <c r="D536" i="11"/>
  <c r="R518" i="11"/>
  <c r="D518" i="11"/>
  <c r="R500" i="11"/>
  <c r="D500" i="11"/>
  <c r="R483" i="11"/>
  <c r="D483" i="11"/>
  <c r="R95" i="11"/>
  <c r="D95" i="11"/>
  <c r="R447" i="11"/>
  <c r="D447" i="11"/>
  <c r="R424" i="11"/>
  <c r="D424" i="11"/>
  <c r="R409" i="11"/>
  <c r="D409" i="11"/>
  <c r="D391" i="11"/>
  <c r="R391" i="11"/>
  <c r="R373" i="11"/>
  <c r="D373" i="11"/>
  <c r="R361" i="11"/>
  <c r="D361" i="11"/>
  <c r="R326" i="11"/>
  <c r="D326" i="11"/>
  <c r="R308" i="11"/>
  <c r="D308" i="11"/>
  <c r="R294" i="11"/>
  <c r="D294" i="11"/>
  <c r="R274" i="11"/>
  <c r="D274" i="11"/>
  <c r="R237" i="11"/>
  <c r="D237" i="11"/>
  <c r="R222" i="11"/>
  <c r="D222" i="11"/>
  <c r="R254" i="11"/>
  <c r="D254" i="11"/>
  <c r="R201" i="11"/>
  <c r="D201" i="11"/>
  <c r="D175" i="11"/>
  <c r="R175" i="11"/>
  <c r="R152" i="11"/>
  <c r="D152" i="11"/>
  <c r="R140" i="11"/>
  <c r="D140" i="11"/>
  <c r="R122" i="11"/>
  <c r="D122" i="11"/>
  <c r="R350" i="11"/>
  <c r="D350" i="11"/>
  <c r="R52" i="11"/>
  <c r="D52" i="11"/>
  <c r="R35" i="11"/>
  <c r="D35" i="11"/>
  <c r="R13" i="11"/>
  <c r="D13" i="11"/>
  <c r="E449" i="11"/>
  <c r="Q449" i="11"/>
  <c r="E328" i="11"/>
  <c r="Q328" i="11"/>
  <c r="Q224" i="11"/>
  <c r="E224" i="11"/>
  <c r="AS124" i="11"/>
  <c r="Q124" i="11"/>
  <c r="E124" i="11"/>
  <c r="R486" i="11"/>
  <c r="D486" i="11"/>
  <c r="R364" i="11"/>
  <c r="D364" i="11"/>
  <c r="R225" i="11"/>
  <c r="D225" i="11"/>
  <c r="R125" i="11"/>
  <c r="D125" i="11"/>
  <c r="AS519" i="11"/>
  <c r="E519" i="11"/>
  <c r="Q519" i="11"/>
  <c r="AS410" i="11"/>
  <c r="Q410" i="11"/>
  <c r="E410" i="11"/>
  <c r="AS309" i="11"/>
  <c r="Q309" i="11"/>
  <c r="E309" i="11"/>
  <c r="E176" i="11"/>
  <c r="Q176" i="11"/>
  <c r="AT52" i="11"/>
  <c r="E52" i="11"/>
  <c r="Q52" i="11"/>
  <c r="D485" i="11"/>
  <c r="R485" i="11"/>
  <c r="R426" i="11"/>
  <c r="D426" i="11"/>
  <c r="R310" i="11"/>
  <c r="D310" i="11"/>
  <c r="R256" i="11"/>
  <c r="D256" i="11"/>
  <c r="R124" i="11"/>
  <c r="D124" i="11"/>
  <c r="R262" i="11"/>
  <c r="D262" i="11"/>
  <c r="AS551" i="11"/>
  <c r="Q551" i="11"/>
  <c r="E551" i="11"/>
  <c r="Q534" i="11"/>
  <c r="E534" i="11"/>
  <c r="Q516" i="11"/>
  <c r="E516" i="11"/>
  <c r="E498" i="11"/>
  <c r="Q498" i="11"/>
  <c r="Q481" i="11"/>
  <c r="E481" i="11"/>
  <c r="AS93" i="11"/>
  <c r="E93" i="11"/>
  <c r="Q93" i="11"/>
  <c r="E445" i="11"/>
  <c r="Q445" i="11"/>
  <c r="E422" i="11"/>
  <c r="Q422" i="11"/>
  <c r="E407" i="11"/>
  <c r="Q407" i="11"/>
  <c r="E389" i="11"/>
  <c r="Q389" i="11"/>
  <c r="Q371" i="11"/>
  <c r="E371" i="11"/>
  <c r="Q359" i="11"/>
  <c r="E359" i="11"/>
  <c r="E324" i="11"/>
  <c r="Q324" i="11"/>
  <c r="AS82" i="11"/>
  <c r="E82" i="11"/>
  <c r="Q82" i="11"/>
  <c r="AS292" i="11"/>
  <c r="Q292" i="11"/>
  <c r="E292" i="11"/>
  <c r="AT272" i="11"/>
  <c r="Q272" i="11"/>
  <c r="E272" i="11"/>
  <c r="AS235" i="11"/>
  <c r="E235" i="11"/>
  <c r="Q235" i="11"/>
  <c r="AS220" i="11"/>
  <c r="E220" i="11"/>
  <c r="Q220" i="11"/>
  <c r="AS252" i="11"/>
  <c r="E252" i="11"/>
  <c r="Q252" i="11"/>
  <c r="AT199" i="11"/>
  <c r="E199" i="11"/>
  <c r="Q199" i="11"/>
  <c r="AS173" i="11"/>
  <c r="Q173" i="11"/>
  <c r="E173" i="11"/>
  <c r="AT150" i="11"/>
  <c r="Q150" i="11"/>
  <c r="E150" i="11"/>
  <c r="E132" i="11"/>
  <c r="Q132" i="11"/>
  <c r="AT112" i="11"/>
  <c r="E112" i="11"/>
  <c r="Q112" i="11"/>
  <c r="AT348" i="11"/>
  <c r="E348" i="11"/>
  <c r="Q348" i="11"/>
  <c r="E49" i="11"/>
  <c r="Q49" i="11"/>
  <c r="AS32" i="11"/>
  <c r="E32" i="11"/>
  <c r="Q32" i="11"/>
  <c r="AS10" i="11"/>
  <c r="E10" i="11"/>
  <c r="Q10" i="11"/>
  <c r="R535" i="11"/>
  <c r="D535" i="11"/>
  <c r="R517" i="11"/>
  <c r="D517" i="11"/>
  <c r="R499" i="11"/>
  <c r="D499" i="11"/>
  <c r="D482" i="11"/>
  <c r="R482" i="11"/>
  <c r="R94" i="11"/>
  <c r="D94" i="11"/>
  <c r="R446" i="11"/>
  <c r="D446" i="11"/>
  <c r="R423" i="11"/>
  <c r="D423" i="11"/>
  <c r="R408" i="11"/>
  <c r="D408" i="11"/>
  <c r="R390" i="11"/>
  <c r="D390" i="11"/>
  <c r="R372" i="11"/>
  <c r="D372" i="11"/>
  <c r="D360" i="11"/>
  <c r="R360" i="11"/>
  <c r="R325" i="11"/>
  <c r="D325" i="11"/>
  <c r="R83" i="11"/>
  <c r="D83" i="11"/>
  <c r="R293" i="11"/>
  <c r="D293" i="11"/>
  <c r="R273" i="11"/>
  <c r="D273" i="11"/>
  <c r="R236" i="11"/>
  <c r="D236" i="11"/>
  <c r="R221" i="11"/>
  <c r="D221" i="11"/>
  <c r="R253" i="11"/>
  <c r="D253" i="11"/>
  <c r="R200" i="11"/>
  <c r="D200" i="11"/>
  <c r="R174" i="11"/>
  <c r="D174" i="11"/>
  <c r="R151" i="11"/>
  <c r="D151" i="11"/>
  <c r="R139" i="11"/>
  <c r="D139" i="11"/>
  <c r="R121" i="11"/>
  <c r="D121" i="11"/>
  <c r="R349" i="11"/>
  <c r="D349" i="11"/>
  <c r="R51" i="11"/>
  <c r="D51" i="11"/>
  <c r="R34" i="11"/>
  <c r="D34" i="11"/>
  <c r="R12" i="11"/>
  <c r="D12" i="11"/>
  <c r="E411" i="11"/>
  <c r="Q411" i="11"/>
  <c r="D544" i="11"/>
  <c r="R544" i="11"/>
  <c r="AT238" i="11"/>
  <c r="E238" i="11"/>
  <c r="Q238" i="11"/>
  <c r="R393" i="11"/>
  <c r="D393" i="11"/>
  <c r="E550" i="11"/>
  <c r="Q550" i="11"/>
  <c r="AT533" i="11"/>
  <c r="Q533" i="11"/>
  <c r="E533" i="11"/>
  <c r="E515" i="11"/>
  <c r="Q515" i="11"/>
  <c r="E497" i="11"/>
  <c r="Q497" i="11"/>
  <c r="E480" i="11"/>
  <c r="Q480" i="11"/>
  <c r="Q92" i="11"/>
  <c r="E92" i="11"/>
  <c r="Q444" i="11"/>
  <c r="E444" i="11"/>
  <c r="E421" i="11"/>
  <c r="Q421" i="11"/>
  <c r="Q406" i="11"/>
  <c r="E406" i="11"/>
  <c r="Q388" i="11"/>
  <c r="E388" i="11"/>
  <c r="E370" i="11"/>
  <c r="Q370" i="11"/>
  <c r="Q358" i="11"/>
  <c r="E358" i="11"/>
  <c r="E323" i="11"/>
  <c r="Q323" i="11"/>
  <c r="E81" i="11"/>
  <c r="Q81" i="11"/>
  <c r="Q291" i="11"/>
  <c r="E291" i="11"/>
  <c r="Q271" i="11"/>
  <c r="E271" i="11"/>
  <c r="Q234" i="11"/>
  <c r="E234" i="11"/>
  <c r="Q219" i="11"/>
  <c r="E219" i="11"/>
  <c r="E251" i="11"/>
  <c r="Q251" i="11"/>
  <c r="Q198" i="11"/>
  <c r="E198" i="11"/>
  <c r="Q172" i="11"/>
  <c r="E172" i="11"/>
  <c r="E149" i="11"/>
  <c r="Q149" i="11"/>
  <c r="Q131" i="11"/>
  <c r="E131" i="11"/>
  <c r="E111" i="11"/>
  <c r="Q111" i="11"/>
  <c r="E347" i="11"/>
  <c r="Q347" i="11"/>
  <c r="AT48" i="11"/>
  <c r="E48" i="11"/>
  <c r="Q48" i="11"/>
  <c r="AS31" i="11"/>
  <c r="E31" i="11"/>
  <c r="Q31" i="11"/>
  <c r="R551" i="11"/>
  <c r="D551" i="11"/>
  <c r="P551" i="11"/>
  <c r="W551" i="11" s="1"/>
  <c r="R534" i="11"/>
  <c r="D534" i="11"/>
  <c r="R516" i="11"/>
  <c r="D516" i="11"/>
  <c r="R498" i="11"/>
  <c r="D498" i="11"/>
  <c r="R481" i="11"/>
  <c r="D481" i="11"/>
  <c r="R93" i="11"/>
  <c r="D93" i="11"/>
  <c r="R445" i="11"/>
  <c r="D445" i="11"/>
  <c r="R422" i="11"/>
  <c r="D422" i="11"/>
  <c r="D407" i="11"/>
  <c r="R407" i="11"/>
  <c r="D389" i="11"/>
  <c r="R389" i="11"/>
  <c r="R371" i="11"/>
  <c r="D371" i="11"/>
  <c r="R359" i="11"/>
  <c r="D359" i="11"/>
  <c r="R324" i="11"/>
  <c r="D324" i="11"/>
  <c r="R82" i="11"/>
  <c r="D82" i="11"/>
  <c r="R292" i="11"/>
  <c r="D292" i="11"/>
  <c r="R272" i="11"/>
  <c r="D272" i="11"/>
  <c r="R235" i="11"/>
  <c r="D235" i="11"/>
  <c r="R220" i="11"/>
  <c r="D220" i="11"/>
  <c r="R252" i="11"/>
  <c r="D252" i="11"/>
  <c r="R199" i="11"/>
  <c r="D199" i="11"/>
  <c r="R173" i="11"/>
  <c r="D173" i="11"/>
  <c r="R150" i="11"/>
  <c r="D150" i="11"/>
  <c r="R132" i="11"/>
  <c r="D132" i="11"/>
  <c r="R112" i="11"/>
  <c r="D112" i="11"/>
  <c r="R348" i="11"/>
  <c r="D348" i="11"/>
  <c r="R50" i="11"/>
  <c r="D50" i="11"/>
  <c r="R33" i="11"/>
  <c r="D33" i="11"/>
  <c r="R11" i="11"/>
  <c r="D11" i="11"/>
  <c r="R260" i="11"/>
  <c r="D260" i="11"/>
  <c r="R263" i="11"/>
  <c r="D263" i="11"/>
  <c r="AT526" i="11"/>
  <c r="E526" i="11"/>
  <c r="Q526" i="11"/>
  <c r="Q375" i="11"/>
  <c r="E375" i="11"/>
  <c r="E276" i="11"/>
  <c r="Q276" i="11"/>
  <c r="AT142" i="11"/>
  <c r="Q142" i="11"/>
  <c r="E142" i="11"/>
  <c r="AT36" i="11"/>
  <c r="E36" i="11"/>
  <c r="Q36" i="11"/>
  <c r="R98" i="11"/>
  <c r="D98" i="11"/>
  <c r="R376" i="11"/>
  <c r="D376" i="11"/>
  <c r="R75" i="11"/>
  <c r="D75" i="11"/>
  <c r="R204" i="11"/>
  <c r="D204" i="11"/>
  <c r="R105" i="11"/>
  <c r="D105" i="11"/>
  <c r="R16" i="11"/>
  <c r="D16" i="11"/>
  <c r="Q501" i="11"/>
  <c r="E501" i="11"/>
  <c r="Q392" i="11"/>
  <c r="E392" i="11"/>
  <c r="E275" i="11"/>
  <c r="Q275" i="11"/>
  <c r="E164" i="11"/>
  <c r="Q164" i="11"/>
  <c r="AS35" i="11"/>
  <c r="E35" i="11"/>
  <c r="Q35" i="11"/>
  <c r="R97" i="11"/>
  <c r="D97" i="11"/>
  <c r="R328" i="11"/>
  <c r="D328" i="11"/>
  <c r="R165" i="11"/>
  <c r="D165" i="11"/>
  <c r="Q549" i="11"/>
  <c r="E549" i="11"/>
  <c r="AT532" i="11"/>
  <c r="Q532" i="11"/>
  <c r="E532" i="11"/>
  <c r="AT514" i="11"/>
  <c r="E514" i="11"/>
  <c r="Q514" i="11"/>
  <c r="Q496" i="11"/>
  <c r="E496" i="11"/>
  <c r="E479" i="11"/>
  <c r="Q479" i="11"/>
  <c r="E91" i="11"/>
  <c r="Q91" i="11"/>
  <c r="AT443" i="11"/>
  <c r="Q443" i="11"/>
  <c r="E443" i="11"/>
  <c r="Q420" i="11"/>
  <c r="E420" i="11"/>
  <c r="AT405" i="11"/>
  <c r="E405" i="11"/>
  <c r="Q405" i="11"/>
  <c r="E387" i="11"/>
  <c r="Q387" i="11"/>
  <c r="Q369" i="11"/>
  <c r="E369" i="11"/>
  <c r="AT357" i="11"/>
  <c r="E357" i="11"/>
  <c r="Q357" i="11"/>
  <c r="AT316" i="11"/>
  <c r="E316" i="11"/>
  <c r="Q316" i="11"/>
  <c r="AT80" i="11"/>
  <c r="E80" i="11"/>
  <c r="Q80" i="11"/>
  <c r="E290" i="11"/>
  <c r="Q290" i="11"/>
  <c r="AT270" i="11"/>
  <c r="E270" i="11"/>
  <c r="Q270" i="11"/>
  <c r="AS233" i="11"/>
  <c r="E233" i="11"/>
  <c r="Q233" i="11"/>
  <c r="E218" i="11"/>
  <c r="Q218" i="11"/>
  <c r="E250" i="11"/>
  <c r="Q250" i="11"/>
  <c r="E197" i="11"/>
  <c r="Q197" i="11"/>
  <c r="Q171" i="11"/>
  <c r="E171" i="11"/>
  <c r="Q148" i="11"/>
  <c r="E148" i="11"/>
  <c r="E130" i="11"/>
  <c r="Q130" i="11"/>
  <c r="Q110" i="11"/>
  <c r="E110" i="11"/>
  <c r="Q346" i="11"/>
  <c r="E346" i="11"/>
  <c r="E47" i="11"/>
  <c r="Q47" i="11"/>
  <c r="E30" i="11"/>
  <c r="Q30" i="11"/>
  <c r="R550" i="11"/>
  <c r="D550" i="11"/>
  <c r="P550" i="11"/>
  <c r="W550" i="11" s="1"/>
  <c r="R533" i="11"/>
  <c r="D533" i="11"/>
  <c r="R515" i="11"/>
  <c r="D515" i="11"/>
  <c r="R497" i="11"/>
  <c r="D497" i="11"/>
  <c r="R480" i="11"/>
  <c r="D480" i="11"/>
  <c r="R92" i="11"/>
  <c r="D92" i="11"/>
  <c r="R444" i="11"/>
  <c r="D444" i="11"/>
  <c r="R421" i="11"/>
  <c r="D421" i="11"/>
  <c r="D406" i="11"/>
  <c r="R406" i="11"/>
  <c r="R388" i="11"/>
  <c r="D388" i="11"/>
  <c r="R370" i="11"/>
  <c r="D370" i="11"/>
  <c r="D358" i="11"/>
  <c r="R358" i="11"/>
  <c r="R323" i="11"/>
  <c r="D323" i="11"/>
  <c r="R81" i="11"/>
  <c r="D81" i="11"/>
  <c r="R291" i="11"/>
  <c r="D291" i="11"/>
  <c r="R271" i="11"/>
  <c r="D271" i="11"/>
  <c r="R234" i="11"/>
  <c r="D234" i="11"/>
  <c r="R219" i="11"/>
  <c r="D219" i="11"/>
  <c r="D251" i="11"/>
  <c r="R251" i="11"/>
  <c r="R198" i="11"/>
  <c r="D198" i="11"/>
  <c r="R172" i="11"/>
  <c r="D172" i="11"/>
  <c r="R149" i="11"/>
  <c r="D149" i="11"/>
  <c r="R131" i="11"/>
  <c r="D131" i="11"/>
  <c r="R111" i="11"/>
  <c r="D111" i="11"/>
  <c r="D347" i="11"/>
  <c r="R347" i="11"/>
  <c r="R49" i="11"/>
  <c r="D49" i="11"/>
  <c r="R32" i="11"/>
  <c r="D32" i="11"/>
  <c r="R10" i="11"/>
  <c r="D10" i="11"/>
  <c r="AT260" i="11"/>
  <c r="Q260" i="11"/>
  <c r="E260" i="11"/>
  <c r="AT263" i="11"/>
  <c r="E263" i="11"/>
  <c r="Q263" i="11"/>
  <c r="S549" i="11"/>
  <c r="T549" i="11" s="1"/>
  <c r="U549" i="11" s="1"/>
  <c r="E485" i="11"/>
  <c r="Q485" i="11"/>
  <c r="E310" i="11"/>
  <c r="Q310" i="11"/>
  <c r="AT186" i="11"/>
  <c r="E186" i="11"/>
  <c r="Q186" i="11"/>
  <c r="AS53" i="11"/>
  <c r="E53" i="11"/>
  <c r="Q53" i="11"/>
  <c r="R450" i="11"/>
  <c r="D450" i="11"/>
  <c r="R311" i="11"/>
  <c r="D311" i="11"/>
  <c r="R166" i="11"/>
  <c r="D166" i="11"/>
  <c r="E484" i="11"/>
  <c r="Q484" i="11"/>
  <c r="E362" i="11"/>
  <c r="Q362" i="11"/>
  <c r="AS202" i="11"/>
  <c r="Q202" i="11"/>
  <c r="E202" i="11"/>
  <c r="AT13" i="11"/>
  <c r="E13" i="11"/>
  <c r="Q13" i="11"/>
  <c r="R411" i="11"/>
  <c r="D411" i="11"/>
  <c r="R276" i="11"/>
  <c r="D276" i="11"/>
  <c r="R142" i="11"/>
  <c r="D142" i="11"/>
  <c r="R15" i="11"/>
  <c r="D15" i="11"/>
  <c r="AS548" i="11"/>
  <c r="E548" i="11"/>
  <c r="Q548" i="11"/>
  <c r="E531" i="11"/>
  <c r="Q531" i="11"/>
  <c r="E513" i="11"/>
  <c r="Q513" i="11"/>
  <c r="Q495" i="11"/>
  <c r="E495" i="11"/>
  <c r="AS478" i="11"/>
  <c r="E478" i="11"/>
  <c r="Q478" i="11"/>
  <c r="E90" i="11"/>
  <c r="Q90" i="11"/>
  <c r="AS442" i="11"/>
  <c r="Q442" i="11"/>
  <c r="E442" i="11"/>
  <c r="Q419" i="11"/>
  <c r="E419" i="11"/>
  <c r="E404" i="11"/>
  <c r="Q404" i="11"/>
  <c r="E386" i="11"/>
  <c r="Q386" i="11"/>
  <c r="Q368" i="11"/>
  <c r="E368" i="11"/>
  <c r="E333" i="11"/>
  <c r="Q333" i="11"/>
  <c r="Q315" i="11"/>
  <c r="E315" i="11"/>
  <c r="E79" i="11"/>
  <c r="Q79" i="11"/>
  <c r="Q289" i="11"/>
  <c r="E289" i="11"/>
  <c r="E269" i="11"/>
  <c r="Q269" i="11"/>
  <c r="Q232" i="11"/>
  <c r="E232" i="11"/>
  <c r="E217" i="11"/>
  <c r="Q217" i="11"/>
  <c r="E248" i="11"/>
  <c r="Q248" i="11"/>
  <c r="E67" i="11"/>
  <c r="Q67" i="11"/>
  <c r="E170" i="11"/>
  <c r="Q170" i="11"/>
  <c r="E147" i="11"/>
  <c r="Q147" i="11"/>
  <c r="E129" i="11"/>
  <c r="Q129" i="11"/>
  <c r="E109" i="11"/>
  <c r="Q109" i="11"/>
  <c r="AS345" i="11"/>
  <c r="Q345" i="11"/>
  <c r="E345" i="11"/>
  <c r="AS46" i="11"/>
  <c r="E46" i="11"/>
  <c r="Q46" i="11"/>
  <c r="E29" i="11"/>
  <c r="Q29" i="11"/>
  <c r="R549" i="11"/>
  <c r="D549" i="11"/>
  <c r="R532" i="11"/>
  <c r="D532" i="11"/>
  <c r="R514" i="11"/>
  <c r="D514" i="11"/>
  <c r="R496" i="11"/>
  <c r="D496" i="11"/>
  <c r="R479" i="11"/>
  <c r="D479" i="11"/>
  <c r="R91" i="11"/>
  <c r="D91" i="11"/>
  <c r="D443" i="11"/>
  <c r="R443" i="11"/>
  <c r="R420" i="11"/>
  <c r="D420" i="11"/>
  <c r="R405" i="11"/>
  <c r="D405" i="11"/>
  <c r="R387" i="11"/>
  <c r="D387" i="11"/>
  <c r="R369" i="11"/>
  <c r="D369" i="11"/>
  <c r="R357" i="11"/>
  <c r="D357" i="11"/>
  <c r="R316" i="11"/>
  <c r="D316" i="11"/>
  <c r="R80" i="11"/>
  <c r="D80" i="11"/>
  <c r="R290" i="11"/>
  <c r="D290" i="11"/>
  <c r="R270" i="11"/>
  <c r="D270" i="11"/>
  <c r="R233" i="11"/>
  <c r="D233" i="11"/>
  <c r="D218" i="11"/>
  <c r="R218" i="11"/>
  <c r="R250" i="11"/>
  <c r="D250" i="11"/>
  <c r="R197" i="11"/>
  <c r="D197" i="11"/>
  <c r="R171" i="11"/>
  <c r="D171" i="11"/>
  <c r="R148" i="11"/>
  <c r="D148" i="11"/>
  <c r="R130" i="11"/>
  <c r="D130" i="11"/>
  <c r="R110" i="11"/>
  <c r="D110" i="11"/>
  <c r="R346" i="11"/>
  <c r="D346" i="11"/>
  <c r="R48" i="11"/>
  <c r="D48" i="11"/>
  <c r="R31" i="11"/>
  <c r="D31" i="11"/>
  <c r="P543" i="11"/>
  <c r="W543" i="11" s="1"/>
  <c r="Q543" i="11"/>
  <c r="E543" i="11"/>
  <c r="Q426" i="11"/>
  <c r="E426" i="11"/>
  <c r="AS74" i="11"/>
  <c r="E74" i="11"/>
  <c r="Q74" i="11"/>
  <c r="AT165" i="11"/>
  <c r="Q165" i="11"/>
  <c r="E165" i="11"/>
  <c r="E14" i="11"/>
  <c r="Q14" i="11"/>
  <c r="R438" i="11"/>
  <c r="D438" i="11"/>
  <c r="R329" i="11"/>
  <c r="D329" i="11"/>
  <c r="R257" i="11"/>
  <c r="D257" i="11"/>
  <c r="R143" i="11"/>
  <c r="D143" i="11"/>
  <c r="R38" i="11"/>
  <c r="D38" i="11"/>
  <c r="E96" i="11"/>
  <c r="Q96" i="11"/>
  <c r="Q374" i="11"/>
  <c r="E374" i="11"/>
  <c r="AT223" i="11"/>
  <c r="E223" i="11"/>
  <c r="Q223" i="11"/>
  <c r="AS123" i="11"/>
  <c r="E123" i="11"/>
  <c r="Q123" i="11"/>
  <c r="R508" i="11"/>
  <c r="D508" i="11"/>
  <c r="D375" i="11"/>
  <c r="R375" i="11"/>
  <c r="R239" i="11"/>
  <c r="D239" i="11"/>
  <c r="R340" i="11"/>
  <c r="D340" i="11"/>
  <c r="F340" i="11" s="1"/>
  <c r="G340" i="11" s="1"/>
  <c r="E547" i="11"/>
  <c r="Q547" i="11"/>
  <c r="AS530" i="11"/>
  <c r="Q530" i="11"/>
  <c r="E530" i="11"/>
  <c r="AS512" i="11"/>
  <c r="E512" i="11"/>
  <c r="Q512" i="11"/>
  <c r="Q494" i="11"/>
  <c r="E494" i="11"/>
  <c r="E477" i="11"/>
  <c r="Q477" i="11"/>
  <c r="E89" i="11"/>
  <c r="Q89" i="11"/>
  <c r="E441" i="11"/>
  <c r="Q441" i="11"/>
  <c r="Q418" i="11"/>
  <c r="E418" i="11"/>
  <c r="AS403" i="11"/>
  <c r="Q403" i="11"/>
  <c r="E403" i="11"/>
  <c r="AS385" i="11"/>
  <c r="E385" i="11"/>
  <c r="Q385" i="11"/>
  <c r="Q367" i="11"/>
  <c r="E367" i="11"/>
  <c r="AS332" i="11"/>
  <c r="Q332" i="11"/>
  <c r="E332" i="11"/>
  <c r="AS314" i="11"/>
  <c r="E314" i="11"/>
  <c r="Q314" i="11"/>
  <c r="E78" i="11"/>
  <c r="Q78" i="11"/>
  <c r="E288" i="11"/>
  <c r="Q288" i="11"/>
  <c r="E268" i="11"/>
  <c r="Q268" i="11"/>
  <c r="E231" i="11"/>
  <c r="Q231" i="11"/>
  <c r="Q216" i="11"/>
  <c r="E216" i="11"/>
  <c r="E207" i="11"/>
  <c r="Q207" i="11"/>
  <c r="E66" i="11"/>
  <c r="Q66" i="11"/>
  <c r="E169" i="11"/>
  <c r="Q169" i="11"/>
  <c r="Q146" i="11"/>
  <c r="E146" i="11"/>
  <c r="E128" i="11"/>
  <c r="Q128" i="11"/>
  <c r="AT108" i="11"/>
  <c r="Q108" i="11"/>
  <c r="E108" i="11"/>
  <c r="AS344" i="11"/>
  <c r="E344" i="11"/>
  <c r="Q344" i="11"/>
  <c r="E40" i="11"/>
  <c r="Q40" i="11"/>
  <c r="E18" i="11"/>
  <c r="Q18" i="11"/>
  <c r="D548" i="11"/>
  <c r="R548" i="11"/>
  <c r="R531" i="11"/>
  <c r="D531" i="11"/>
  <c r="R513" i="11"/>
  <c r="D513" i="11"/>
  <c r="R495" i="11"/>
  <c r="D495" i="11"/>
  <c r="R478" i="11"/>
  <c r="D478" i="11"/>
  <c r="R90" i="11"/>
  <c r="D90" i="11"/>
  <c r="R442" i="11"/>
  <c r="D442" i="11"/>
  <c r="D419" i="11"/>
  <c r="R419" i="11"/>
  <c r="R404" i="11"/>
  <c r="D404" i="11"/>
  <c r="R386" i="11"/>
  <c r="D386" i="11"/>
  <c r="R368" i="11"/>
  <c r="D368" i="11"/>
  <c r="R333" i="11"/>
  <c r="D333" i="11"/>
  <c r="R315" i="11"/>
  <c r="D315" i="11"/>
  <c r="R79" i="11"/>
  <c r="D79" i="11"/>
  <c r="R289" i="11"/>
  <c r="D289" i="11"/>
  <c r="R269" i="11"/>
  <c r="D269" i="11"/>
  <c r="R232" i="11"/>
  <c r="D232" i="11"/>
  <c r="R217" i="11"/>
  <c r="D217" i="11"/>
  <c r="R248" i="11"/>
  <c r="D248" i="11"/>
  <c r="R67" i="11"/>
  <c r="D67" i="11"/>
  <c r="R170" i="11"/>
  <c r="D170" i="11"/>
  <c r="R147" i="11"/>
  <c r="D147" i="11"/>
  <c r="R129" i="11"/>
  <c r="D129" i="11"/>
  <c r="R109" i="11"/>
  <c r="D109" i="11"/>
  <c r="R345" i="11"/>
  <c r="D345" i="11"/>
  <c r="R47" i="11"/>
  <c r="D47" i="11"/>
  <c r="R30" i="11"/>
  <c r="D30" i="11"/>
  <c r="P548" i="11"/>
  <c r="Q97" i="11"/>
  <c r="E97" i="11"/>
  <c r="Q363" i="11"/>
  <c r="E363" i="11"/>
  <c r="AS239" i="11"/>
  <c r="E239" i="11"/>
  <c r="Q239" i="11"/>
  <c r="AS104" i="11"/>
  <c r="E104" i="11"/>
  <c r="Q104" i="11"/>
  <c r="R509" i="11"/>
  <c r="D509" i="11"/>
  <c r="R394" i="11"/>
  <c r="D394" i="11"/>
  <c r="D285" i="11"/>
  <c r="R285" i="11"/>
  <c r="D187" i="11"/>
  <c r="R187" i="11"/>
  <c r="R341" i="11"/>
  <c r="D341" i="11"/>
  <c r="AS425" i="11"/>
  <c r="E425" i="11"/>
  <c r="Q425" i="11"/>
  <c r="AS327" i="11"/>
  <c r="E327" i="11"/>
  <c r="Q327" i="11"/>
  <c r="AT255" i="11"/>
  <c r="Q255" i="11"/>
  <c r="E255" i="11"/>
  <c r="AS141" i="11"/>
  <c r="E141" i="11"/>
  <c r="Q141" i="11"/>
  <c r="R526" i="11"/>
  <c r="D526" i="11"/>
  <c r="R449" i="11"/>
  <c r="D449" i="11"/>
  <c r="R363" i="11"/>
  <c r="D363" i="11"/>
  <c r="R74" i="11"/>
  <c r="D74" i="11"/>
  <c r="R186" i="11"/>
  <c r="D186" i="11"/>
  <c r="R104" i="11"/>
  <c r="D104" i="11"/>
  <c r="R37" i="11"/>
  <c r="D37" i="11"/>
  <c r="R259" i="11"/>
  <c r="D259" i="11"/>
  <c r="Q546" i="11"/>
  <c r="E546" i="11"/>
  <c r="AT529" i="11"/>
  <c r="E529" i="11"/>
  <c r="Q529" i="11"/>
  <c r="Q511" i="11"/>
  <c r="E511" i="11"/>
  <c r="AS493" i="11"/>
  <c r="Q493" i="11"/>
  <c r="E493" i="11"/>
  <c r="AS476" i="11"/>
  <c r="E476" i="11"/>
  <c r="Q476" i="11"/>
  <c r="Q452" i="11"/>
  <c r="E452" i="11"/>
  <c r="Q440" i="11"/>
  <c r="E440" i="11"/>
  <c r="AS417" i="11"/>
  <c r="Q417" i="11"/>
  <c r="E417" i="11"/>
  <c r="AS402" i="11"/>
  <c r="Q402" i="11"/>
  <c r="E402" i="11"/>
  <c r="E384" i="11"/>
  <c r="Q384" i="11"/>
  <c r="E366" i="11"/>
  <c r="AS331" i="11"/>
  <c r="Q331" i="11"/>
  <c r="E331" i="11"/>
  <c r="AT313" i="11"/>
  <c r="Q313" i="11"/>
  <c r="E313" i="11"/>
  <c r="AT77" i="11"/>
  <c r="E77" i="11"/>
  <c r="Q77" i="11"/>
  <c r="E287" i="11"/>
  <c r="Q287" i="11"/>
  <c r="AT267" i="11"/>
  <c r="E267" i="11"/>
  <c r="Q267" i="11"/>
  <c r="Q230" i="11"/>
  <c r="E230" i="11"/>
  <c r="AT215" i="11"/>
  <c r="E215" i="11"/>
  <c r="Q215" i="11"/>
  <c r="Q206" i="11"/>
  <c r="E206" i="11"/>
  <c r="AT65" i="11"/>
  <c r="E65" i="11"/>
  <c r="Q65" i="11"/>
  <c r="AT168" i="11"/>
  <c r="E168" i="11"/>
  <c r="Q168" i="11"/>
  <c r="AT145" i="11"/>
  <c r="E145" i="11"/>
  <c r="Q145" i="11"/>
  <c r="Q127" i="11"/>
  <c r="E127" i="11"/>
  <c r="AS107" i="11"/>
  <c r="E107" i="11"/>
  <c r="Q107" i="11"/>
  <c r="AS343" i="11"/>
  <c r="Q343" i="11"/>
  <c r="E343" i="11"/>
  <c r="E39" i="11"/>
  <c r="Q39" i="11"/>
  <c r="AT17" i="11"/>
  <c r="E17" i="11"/>
  <c r="Q17" i="11"/>
  <c r="R547" i="11"/>
  <c r="D547" i="11"/>
  <c r="R530" i="11"/>
  <c r="D530" i="11"/>
  <c r="R512" i="11"/>
  <c r="D512" i="11"/>
  <c r="R494" i="11"/>
  <c r="D494" i="11"/>
  <c r="R477" i="11"/>
  <c r="D477" i="11"/>
  <c r="R89" i="11"/>
  <c r="D89" i="11"/>
  <c r="D441" i="11"/>
  <c r="R441" i="11"/>
  <c r="D418" i="11"/>
  <c r="R418" i="11"/>
  <c r="R403" i="11"/>
  <c r="D403" i="11"/>
  <c r="R385" i="11"/>
  <c r="D385" i="11"/>
  <c r="R367" i="11"/>
  <c r="D367" i="11"/>
  <c r="R332" i="11"/>
  <c r="D332" i="11"/>
  <c r="R314" i="11"/>
  <c r="D314" i="11"/>
  <c r="R78" i="11"/>
  <c r="D78" i="11"/>
  <c r="R288" i="11"/>
  <c r="D288" i="11"/>
  <c r="R268" i="11"/>
  <c r="D268" i="11"/>
  <c r="R231" i="11"/>
  <c r="D231" i="11"/>
  <c r="R216" i="11"/>
  <c r="D216" i="11"/>
  <c r="R207" i="11"/>
  <c r="D207" i="11"/>
  <c r="R66" i="11"/>
  <c r="D66" i="11"/>
  <c r="R169" i="11"/>
  <c r="D169" i="11"/>
  <c r="R146" i="11"/>
  <c r="D146" i="11"/>
  <c r="R128" i="11"/>
  <c r="D128" i="11"/>
  <c r="R108" i="11"/>
  <c r="D108" i="11"/>
  <c r="R344" i="11"/>
  <c r="D344" i="11"/>
  <c r="R46" i="11"/>
  <c r="D46" i="11"/>
  <c r="R29" i="11"/>
  <c r="D29" i="11"/>
  <c r="R258" i="11"/>
  <c r="D258" i="11"/>
  <c r="R261" i="11"/>
  <c r="D261" i="11"/>
  <c r="P546" i="11"/>
  <c r="W546" i="11" s="1"/>
  <c r="AT311" i="11"/>
  <c r="AS311" i="11"/>
  <c r="AS310" i="11"/>
  <c r="AS122" i="11"/>
  <c r="AT340" i="11"/>
  <c r="AS340" i="11"/>
  <c r="AS346" i="11"/>
  <c r="AS479" i="11"/>
  <c r="AS477" i="11"/>
  <c r="AS480" i="11"/>
  <c r="AT481" i="11"/>
  <c r="AS481" i="11"/>
  <c r="AT127" i="11"/>
  <c r="AT121" i="11"/>
  <c r="AS121" i="11"/>
  <c r="AS259" i="11"/>
  <c r="AS263" i="11"/>
  <c r="AS260" i="11"/>
  <c r="AT259" i="11"/>
  <c r="AS258" i="11"/>
  <c r="AS261" i="11"/>
  <c r="AS262" i="11"/>
  <c r="AS14" i="11"/>
  <c r="AS13" i="11"/>
  <c r="AS77" i="11"/>
  <c r="AS267" i="11"/>
  <c r="AT325" i="11"/>
  <c r="AT221" i="11"/>
  <c r="AT200" i="11"/>
  <c r="AT343" i="11"/>
  <c r="AS511" i="11"/>
  <c r="AT83" i="11"/>
  <c r="AT500" i="11"/>
  <c r="AS499" i="11"/>
  <c r="AT446" i="11"/>
  <c r="AS408" i="11"/>
  <c r="AT175" i="11"/>
  <c r="AS222" i="11"/>
  <c r="AT132" i="11"/>
  <c r="AS174" i="11"/>
  <c r="AS108" i="11"/>
  <c r="AT46" i="11"/>
  <c r="AS216" i="11"/>
  <c r="AS536" i="11"/>
  <c r="AT216" i="11"/>
  <c r="AS441" i="11"/>
  <c r="AT441" i="11"/>
  <c r="AT424" i="11"/>
  <c r="AT423" i="11"/>
  <c r="AT51" i="11"/>
  <c r="AS411" i="11"/>
  <c r="AS186" i="11"/>
  <c r="AT375" i="11"/>
  <c r="AS393" i="11"/>
  <c r="AT372" i="11"/>
  <c r="AS328" i="11"/>
  <c r="AS165" i="11"/>
  <c r="AT517" i="11"/>
  <c r="AT371" i="11"/>
  <c r="AS543" i="11"/>
  <c r="AS325" i="11"/>
  <c r="AT511" i="11"/>
  <c r="AT139" i="11"/>
  <c r="AS535" i="11"/>
  <c r="AS106" i="11"/>
  <c r="AS16" i="11"/>
  <c r="AT508" i="11"/>
  <c r="AT499" i="11"/>
  <c r="AT236" i="11"/>
  <c r="AT124" i="11"/>
  <c r="AS482" i="11"/>
  <c r="AS34" i="11"/>
  <c r="AT363" i="11"/>
  <c r="AS308" i="11"/>
  <c r="AS152" i="11"/>
  <c r="AS350" i="11"/>
  <c r="AS164" i="11"/>
  <c r="AT411" i="11"/>
  <c r="AT294" i="11"/>
  <c r="AT123" i="11"/>
  <c r="AS95" i="11"/>
  <c r="AT482" i="11"/>
  <c r="AT408" i="11"/>
  <c r="AT330" i="11"/>
  <c r="AT273" i="11"/>
  <c r="AT253" i="11"/>
  <c r="AT152" i="11"/>
  <c r="AT35" i="11"/>
  <c r="AS517" i="11"/>
  <c r="AS446" i="11"/>
  <c r="AS372" i="11"/>
  <c r="AS294" i="11"/>
  <c r="AS253" i="11"/>
  <c r="AS140" i="11"/>
  <c r="AS52" i="11"/>
  <c r="AS96" i="11"/>
  <c r="AT410" i="11"/>
  <c r="AT361" i="11"/>
  <c r="AT256" i="11"/>
  <c r="AT122" i="11"/>
  <c r="AS526" i="11"/>
  <c r="AS375" i="11"/>
  <c r="AT483" i="11"/>
  <c r="AT274" i="11"/>
  <c r="AS391" i="11"/>
  <c r="AT485" i="11"/>
  <c r="AT293" i="11"/>
  <c r="AT37" i="11"/>
  <c r="AS94" i="11"/>
  <c r="AS151" i="11"/>
  <c r="AT409" i="11"/>
  <c r="AT360" i="11"/>
  <c r="AT254" i="11"/>
  <c r="AT164" i="11"/>
  <c r="AS518" i="11"/>
  <c r="AS447" i="11"/>
  <c r="AS373" i="11"/>
  <c r="AS142" i="11"/>
  <c r="AT95" i="11"/>
  <c r="AT391" i="11"/>
  <c r="AT327" i="11"/>
  <c r="AT202" i="11"/>
  <c r="AS508" i="11"/>
  <c r="AS424" i="11"/>
  <c r="AS361" i="11"/>
  <c r="AS201" i="11"/>
  <c r="AS50" i="11"/>
  <c r="AT535" i="11"/>
  <c r="AT97" i="11"/>
  <c r="AT393" i="11"/>
  <c r="AT328" i="11"/>
  <c r="AT203" i="11"/>
  <c r="AS363" i="11"/>
  <c r="AS293" i="11"/>
  <c r="AT94" i="11"/>
  <c r="AT390" i="11"/>
  <c r="AT326" i="11"/>
  <c r="AT239" i="11"/>
  <c r="AT141" i="11"/>
  <c r="AT15" i="11"/>
  <c r="AS330" i="11"/>
  <c r="AT295" i="11"/>
  <c r="AT447" i="11"/>
  <c r="AT237" i="11"/>
  <c r="AT14" i="11"/>
  <c r="AT374" i="11"/>
  <c r="AT53" i="11"/>
  <c r="AS483" i="11"/>
  <c r="AS326" i="11"/>
  <c r="AS238" i="11"/>
  <c r="AT373" i="11"/>
  <c r="AT176" i="11"/>
  <c r="AS545" i="11"/>
  <c r="AS409" i="11"/>
  <c r="AT527" i="11"/>
  <c r="AS17" i="11"/>
  <c r="AS272" i="11"/>
  <c r="AT551" i="11"/>
  <c r="AT173" i="11"/>
  <c r="AS371" i="11"/>
  <c r="AS112" i="11"/>
  <c r="AT93" i="11"/>
  <c r="AT252" i="11"/>
  <c r="AT407" i="11"/>
  <c r="AT82" i="11"/>
  <c r="AT359" i="11"/>
  <c r="AS516" i="11"/>
  <c r="AS359" i="11"/>
  <c r="AS80" i="11"/>
  <c r="AS150" i="11"/>
  <c r="AS33" i="11"/>
  <c r="AT534" i="11"/>
  <c r="AT498" i="11"/>
  <c r="AT445" i="11"/>
  <c r="AT235" i="11"/>
  <c r="AT12" i="11"/>
  <c r="AS407" i="11"/>
  <c r="AT440" i="11"/>
  <c r="AT389" i="11"/>
  <c r="AS199" i="11"/>
  <c r="AT292" i="11"/>
  <c r="AS445" i="11"/>
  <c r="AS389" i="11"/>
  <c r="AT220" i="11"/>
  <c r="AS498" i="11"/>
  <c r="AT476" i="11"/>
  <c r="AT422" i="11"/>
  <c r="AT324" i="11"/>
  <c r="AS440" i="11"/>
  <c r="AS374" i="11"/>
  <c r="AS324" i="11"/>
  <c r="AT516" i="11"/>
  <c r="AT33" i="11"/>
  <c r="AS534" i="11"/>
  <c r="AS215" i="11"/>
  <c r="AS549" i="11"/>
  <c r="AS91" i="11"/>
  <c r="AS420" i="11"/>
  <c r="AS369" i="11"/>
  <c r="AS531" i="11"/>
  <c r="AS419" i="11"/>
  <c r="AS333" i="11"/>
  <c r="AS269" i="11"/>
  <c r="AS248" i="11"/>
  <c r="AS147" i="11"/>
  <c r="AT96" i="11"/>
  <c r="AT74" i="11"/>
  <c r="AS97" i="11"/>
  <c r="AS547" i="11"/>
  <c r="AS418" i="11"/>
  <c r="AS367" i="11"/>
  <c r="AS421" i="11"/>
  <c r="AS81" i="11"/>
  <c r="AS251" i="11"/>
  <c r="AS49" i="11"/>
  <c r="AT426" i="11"/>
  <c r="AT402" i="11"/>
  <c r="AT366" i="11"/>
  <c r="AS426" i="11"/>
  <c r="AS366" i="11"/>
  <c r="AS65" i="11"/>
  <c r="AS145" i="11"/>
  <c r="AS528" i="11"/>
  <c r="AS492" i="11"/>
  <c r="AS439" i="11"/>
  <c r="AS401" i="11"/>
  <c r="AS365" i="11"/>
  <c r="AS76" i="11"/>
  <c r="AS286" i="11"/>
  <c r="AS241" i="11"/>
  <c r="AS226" i="11"/>
  <c r="AS214" i="11"/>
  <c r="AS205" i="11"/>
  <c r="AS188" i="11"/>
  <c r="AS167" i="11"/>
  <c r="AS144" i="11"/>
  <c r="AS39" i="11"/>
  <c r="AS18" i="11"/>
  <c r="AT291" i="11"/>
  <c r="AT149" i="11"/>
  <c r="AS109" i="11"/>
  <c r="AT425" i="11"/>
  <c r="AS313" i="11"/>
  <c r="AS255" i="11"/>
  <c r="AS544" i="11"/>
  <c r="AS394" i="11"/>
  <c r="AS376" i="11"/>
  <c r="AS329" i="11"/>
  <c r="AS75" i="11"/>
  <c r="AS285" i="11"/>
  <c r="AS240" i="11"/>
  <c r="AS225" i="11"/>
  <c r="AS257" i="11"/>
  <c r="AS187" i="11"/>
  <c r="AS166" i="11"/>
  <c r="AS143" i="11"/>
  <c r="AS105" i="11"/>
  <c r="AS38" i="11"/>
  <c r="AS550" i="11"/>
  <c r="AT406" i="11"/>
  <c r="AT347" i="11"/>
  <c r="AS90" i="11"/>
  <c r="AS368" i="11"/>
  <c r="AS79" i="11"/>
  <c r="AS217" i="11"/>
  <c r="AS546" i="11"/>
  <c r="AT519" i="11"/>
  <c r="AT493" i="11"/>
  <c r="AT92" i="11"/>
  <c r="AT392" i="11"/>
  <c r="AT362" i="11"/>
  <c r="AT107" i="11"/>
  <c r="AS496" i="11"/>
  <c r="AS392" i="11"/>
  <c r="AS362" i="11"/>
  <c r="AS176" i="11"/>
  <c r="AS497" i="11"/>
  <c r="AS370" i="11"/>
  <c r="AS271" i="11"/>
  <c r="AS172" i="11"/>
  <c r="AT32" i="11"/>
  <c r="AS40" i="11"/>
  <c r="AS515" i="11"/>
  <c r="AS388" i="11"/>
  <c r="AS198" i="11"/>
  <c r="AS404" i="11"/>
  <c r="AS232" i="11"/>
  <c r="AS170" i="11"/>
  <c r="AS30" i="11"/>
  <c r="AT546" i="11"/>
  <c r="AT484" i="11"/>
  <c r="AT452" i="11"/>
  <c r="AT310" i="11"/>
  <c r="AT276" i="11"/>
  <c r="AT104" i="11"/>
  <c r="AS485" i="11"/>
  <c r="AS449" i="11"/>
  <c r="AS422" i="11"/>
  <c r="AS390" i="11"/>
  <c r="AS276" i="11"/>
  <c r="AS230" i="11"/>
  <c r="AS351" i="11"/>
  <c r="AS37" i="11"/>
  <c r="AT480" i="11"/>
  <c r="AS323" i="11"/>
  <c r="AT219" i="11"/>
  <c r="AT131" i="11"/>
  <c r="AS11" i="11"/>
  <c r="AS387" i="11"/>
  <c r="AS452" i="11"/>
  <c r="AT545" i="11"/>
  <c r="AT449" i="11"/>
  <c r="AT417" i="11"/>
  <c r="AT309" i="11"/>
  <c r="AT275" i="11"/>
  <c r="AT230" i="11"/>
  <c r="AT351" i="11"/>
  <c r="AS484" i="11"/>
  <c r="AS448" i="11"/>
  <c r="AS275" i="11"/>
  <c r="AS224" i="11"/>
  <c r="AS206" i="11"/>
  <c r="AS36" i="11"/>
  <c r="AS444" i="11"/>
  <c r="AT358" i="11"/>
  <c r="AS234" i="11"/>
  <c r="AS111" i="11"/>
  <c r="AS514" i="11"/>
  <c r="AT271" i="11"/>
  <c r="AS443" i="11"/>
  <c r="AS386" i="11"/>
  <c r="AS289" i="11"/>
  <c r="AS67" i="11"/>
  <c r="AS47" i="11"/>
  <c r="AT91" i="11"/>
  <c r="AT287" i="11"/>
  <c r="AT49" i="11"/>
  <c r="AS287" i="11"/>
  <c r="AT543" i="11"/>
  <c r="AT515" i="11"/>
  <c r="AT448" i="11"/>
  <c r="AT412" i="11"/>
  <c r="AT384" i="11"/>
  <c r="AT331" i="11"/>
  <c r="AT224" i="11"/>
  <c r="AT206" i="11"/>
  <c r="AT40" i="11"/>
  <c r="AS412" i="11"/>
  <c r="AS384" i="11"/>
  <c r="AS223" i="11"/>
  <c r="AS204" i="11"/>
  <c r="AS168" i="11"/>
  <c r="AS316" i="11"/>
  <c r="AS290" i="11"/>
  <c r="AS270" i="11"/>
  <c r="AT233" i="11"/>
  <c r="AS218" i="11"/>
  <c r="AT250" i="11"/>
  <c r="AS197" i="11"/>
  <c r="AS171" i="11"/>
  <c r="AT148" i="11"/>
  <c r="AS110" i="11"/>
  <c r="AS48" i="11"/>
  <c r="AT31" i="11"/>
  <c r="AS78" i="11"/>
  <c r="AS288" i="11"/>
  <c r="AS268" i="11"/>
  <c r="AS231" i="11"/>
  <c r="AS207" i="11"/>
  <c r="AS66" i="11"/>
  <c r="AS169" i="11"/>
  <c r="AS146" i="11"/>
  <c r="AS29" i="11"/>
  <c r="AT479" i="11"/>
  <c r="AT421" i="11"/>
  <c r="AT290" i="11"/>
  <c r="AT218" i="11"/>
  <c r="AT346" i="11"/>
  <c r="AS406" i="11"/>
  <c r="AS358" i="11"/>
  <c r="AS250" i="11"/>
  <c r="AS149" i="11"/>
  <c r="AT550" i="11"/>
  <c r="AT420" i="11"/>
  <c r="AT370" i="11"/>
  <c r="AT172" i="11"/>
  <c r="AT111" i="11"/>
  <c r="AT11" i="11"/>
  <c r="AS405" i="11"/>
  <c r="AS357" i="11"/>
  <c r="AS148" i="11"/>
  <c r="AT549" i="11"/>
  <c r="AT369" i="11"/>
  <c r="AT171" i="11"/>
  <c r="AT110" i="11"/>
  <c r="AT10" i="11"/>
  <c r="AS291" i="11"/>
  <c r="AS219" i="11"/>
  <c r="AS347" i="11"/>
  <c r="AT251" i="11"/>
  <c r="AT497" i="11"/>
  <c r="AT444" i="11"/>
  <c r="AT81" i="11"/>
  <c r="AT234" i="11"/>
  <c r="AT496" i="11"/>
  <c r="AT388" i="11"/>
  <c r="AT198" i="11"/>
  <c r="AT387" i="11"/>
  <c r="AT323" i="11"/>
  <c r="AT197" i="11"/>
  <c r="AT130" i="11"/>
  <c r="AS92" i="11"/>
  <c r="AT544" i="11"/>
  <c r="AT89" i="11"/>
  <c r="AT438" i="11"/>
  <c r="AT332" i="11"/>
  <c r="AT344" i="11"/>
  <c r="AT38" i="11"/>
  <c r="AS89" i="11"/>
  <c r="AT477" i="11"/>
  <c r="AT450" i="11"/>
  <c r="AT367" i="11"/>
  <c r="AT341" i="11"/>
  <c r="AS450" i="11"/>
  <c r="AT329" i="11"/>
  <c r="AT231" i="11"/>
  <c r="AT257" i="11"/>
  <c r="AT128" i="11"/>
  <c r="AT494" i="11"/>
  <c r="AT98" i="11"/>
  <c r="AT385" i="11"/>
  <c r="AT364" i="11"/>
  <c r="AT105" i="11"/>
  <c r="AS494" i="11"/>
  <c r="AS98" i="11"/>
  <c r="AT268" i="11"/>
  <c r="AT225" i="11"/>
  <c r="AT146" i="11"/>
  <c r="AT125" i="11"/>
  <c r="AT512" i="11"/>
  <c r="AT486" i="11"/>
  <c r="AT403" i="11"/>
  <c r="AT376" i="11"/>
  <c r="AT288" i="11"/>
  <c r="AT240" i="11"/>
  <c r="AT169" i="11"/>
  <c r="AT143" i="11"/>
  <c r="AT530" i="11"/>
  <c r="AT509" i="11"/>
  <c r="AT418" i="11"/>
  <c r="AT394" i="11"/>
  <c r="AT29" i="11"/>
  <c r="AS509" i="11"/>
  <c r="AT547" i="11"/>
  <c r="AT78" i="11"/>
  <c r="AT285" i="11"/>
  <c r="AT66" i="11"/>
  <c r="AT166" i="11"/>
  <c r="AT314" i="11"/>
  <c r="AT75" i="11"/>
  <c r="AT207" i="11"/>
  <c r="AT187" i="11"/>
  <c r="AT365" i="11"/>
  <c r="AT126" i="11"/>
  <c r="AT377" i="11"/>
  <c r="AT144" i="11"/>
  <c r="AT401" i="11"/>
  <c r="AT167" i="11"/>
  <c r="AT416" i="11"/>
  <c r="AT188" i="11"/>
  <c r="AT439" i="11"/>
  <c r="AT205" i="11"/>
  <c r="AT451" i="11"/>
  <c r="AT214" i="11"/>
  <c r="AS451" i="11"/>
  <c r="AT475" i="11"/>
  <c r="AT226" i="11"/>
  <c r="AT492" i="11"/>
  <c r="AT241" i="11"/>
  <c r="AT510" i="11"/>
  <c r="AT286" i="11"/>
  <c r="AT18" i="11"/>
  <c r="AT528" i="11"/>
  <c r="AT76" i="11"/>
  <c r="AT39" i="11"/>
  <c r="AT312" i="11"/>
  <c r="AT342" i="11"/>
  <c r="AT548" i="11"/>
  <c r="AT531" i="11"/>
  <c r="AT513" i="11"/>
  <c r="AT495" i="11"/>
  <c r="AT478" i="11"/>
  <c r="AT90" i="11"/>
  <c r="AT442" i="11"/>
  <c r="AT419" i="11"/>
  <c r="AT404" i="11"/>
  <c r="AT386" i="11"/>
  <c r="AT368" i="11"/>
  <c r="AT333" i="11"/>
  <c r="AT315" i="11"/>
  <c r="AT79" i="11"/>
  <c r="AT289" i="11"/>
  <c r="AT269" i="11"/>
  <c r="AT232" i="11"/>
  <c r="AT217" i="11"/>
  <c r="AT248" i="11"/>
  <c r="AT67" i="11"/>
  <c r="AT170" i="11"/>
  <c r="AT147" i="11"/>
  <c r="AT129" i="11"/>
  <c r="AT109" i="11"/>
  <c r="AT345" i="11"/>
  <c r="AT47" i="11"/>
  <c r="AT30" i="11"/>
  <c r="AS513" i="11"/>
  <c r="AS495" i="11"/>
  <c r="F217" i="11" l="1"/>
  <c r="G217" i="11" s="1"/>
  <c r="F143" i="11"/>
  <c r="G143" i="11" s="1"/>
  <c r="F144" i="11"/>
  <c r="G144" i="11" s="1"/>
  <c r="F529" i="11"/>
  <c r="G529" i="11" s="1"/>
  <c r="F476" i="11"/>
  <c r="G476" i="11" s="1"/>
  <c r="F248" i="11"/>
  <c r="G248" i="11" s="1"/>
  <c r="F166" i="11"/>
  <c r="G166" i="11" s="1"/>
  <c r="F121" i="11"/>
  <c r="G121" i="11" s="1"/>
  <c r="F122" i="11"/>
  <c r="G122" i="11" s="1"/>
  <c r="F531" i="11"/>
  <c r="G531" i="11" s="1"/>
  <c r="F528" i="11"/>
  <c r="G528" i="11" s="1"/>
  <c r="F526" i="11"/>
  <c r="G526" i="11" s="1"/>
  <c r="F527" i="11"/>
  <c r="G527" i="11" s="1"/>
  <c r="F125" i="11"/>
  <c r="G125" i="11" s="1"/>
  <c r="F530" i="11"/>
  <c r="G530" i="11" s="1"/>
  <c r="F123" i="11"/>
  <c r="G123" i="11" s="1"/>
  <c r="F532" i="11"/>
  <c r="G532" i="11" s="1"/>
  <c r="F124" i="11"/>
  <c r="G124" i="11" s="1"/>
  <c r="F151" i="11"/>
  <c r="G151" i="11" s="1"/>
  <c r="F132" i="11"/>
  <c r="G132" i="11" s="1"/>
  <c r="F285" i="11"/>
  <c r="G285" i="11" s="1"/>
  <c r="F127" i="11"/>
  <c r="G127" i="11" s="1"/>
  <c r="F174" i="11"/>
  <c r="G174" i="11" s="1"/>
  <c r="F366" i="11"/>
  <c r="G366" i="11" s="1"/>
  <c r="F235" i="11"/>
  <c r="G235" i="11" s="1"/>
  <c r="F201" i="11"/>
  <c r="G201" i="11" s="1"/>
  <c r="F259" i="11"/>
  <c r="G259" i="11" s="1"/>
  <c r="F126" i="11"/>
  <c r="G126" i="11" s="1"/>
  <c r="F258" i="11"/>
  <c r="G258" i="11" s="1"/>
  <c r="F493" i="11"/>
  <c r="G493" i="11" s="1"/>
  <c r="F187" i="11"/>
  <c r="G187" i="11" s="1"/>
  <c r="F17" i="11"/>
  <c r="G17" i="11" s="1"/>
  <c r="F216" i="11"/>
  <c r="G216" i="11" s="1"/>
  <c r="F231" i="11"/>
  <c r="G231" i="11" s="1"/>
  <c r="F484" i="11"/>
  <c r="G484" i="11" s="1"/>
  <c r="F241" i="11"/>
  <c r="G241" i="11" s="1"/>
  <c r="F170" i="11"/>
  <c r="G170" i="11" s="1"/>
  <c r="F269" i="11"/>
  <c r="G269" i="11" s="1"/>
  <c r="F142" i="11"/>
  <c r="G142" i="11" s="1"/>
  <c r="F197" i="11"/>
  <c r="G197" i="11" s="1"/>
  <c r="F147" i="11"/>
  <c r="G147" i="11" s="1"/>
  <c r="F268" i="11"/>
  <c r="G268" i="11" s="1"/>
  <c r="F214" i="11"/>
  <c r="G214" i="11" s="1"/>
  <c r="F152" i="11"/>
  <c r="G152" i="11" s="1"/>
  <c r="F236" i="11"/>
  <c r="G236" i="11" s="1"/>
  <c r="F256" i="11"/>
  <c r="G256" i="11" s="1"/>
  <c r="F220" i="11"/>
  <c r="G220" i="11" s="1"/>
  <c r="F39" i="11"/>
  <c r="G39" i="11" s="1"/>
  <c r="F276" i="11"/>
  <c r="G276" i="11" s="1"/>
  <c r="F139" i="11"/>
  <c r="G139" i="11" s="1"/>
  <c r="F498" i="11"/>
  <c r="G498" i="11" s="1"/>
  <c r="F169" i="11"/>
  <c r="G169" i="11" s="1"/>
  <c r="F255" i="11"/>
  <c r="G255" i="11" s="1"/>
  <c r="F199" i="11"/>
  <c r="G199" i="11" s="1"/>
  <c r="F274" i="11"/>
  <c r="G274" i="11" s="1"/>
  <c r="S543" i="11"/>
  <c r="T543" i="11" s="1"/>
  <c r="U543" i="11" s="1"/>
  <c r="V543" i="11" s="1"/>
  <c r="F483" i="11"/>
  <c r="G483" i="11" s="1"/>
  <c r="F148" i="11"/>
  <c r="G148" i="11" s="1"/>
  <c r="F272" i="11"/>
  <c r="G272" i="11" s="1"/>
  <c r="F253" i="11"/>
  <c r="G253" i="11" s="1"/>
  <c r="U544" i="11"/>
  <c r="V544" i="11" s="1"/>
  <c r="F168" i="11"/>
  <c r="G168" i="11" s="1"/>
  <c r="F287" i="11"/>
  <c r="G287" i="11" s="1"/>
  <c r="F492" i="11"/>
  <c r="G492" i="11" s="1"/>
  <c r="F149" i="11"/>
  <c r="G149" i="11" s="1"/>
  <c r="F146" i="11"/>
  <c r="G146" i="11" s="1"/>
  <c r="F207" i="11"/>
  <c r="G207" i="11" s="1"/>
  <c r="F314" i="11"/>
  <c r="G314" i="11" s="1"/>
  <c r="F165" i="11"/>
  <c r="G165" i="11" s="1"/>
  <c r="F223" i="11"/>
  <c r="G223" i="11" s="1"/>
  <c r="F32" i="11"/>
  <c r="G32" i="11" s="1"/>
  <c r="F238" i="11"/>
  <c r="G238" i="11" s="1"/>
  <c r="F323" i="11"/>
  <c r="G323" i="11" s="1"/>
  <c r="S550" i="11"/>
  <c r="T550" i="11" s="1"/>
  <c r="U550" i="11" s="1"/>
  <c r="V550" i="11" s="1"/>
  <c r="F252" i="11"/>
  <c r="G252" i="11" s="1"/>
  <c r="F226" i="11"/>
  <c r="G226" i="11" s="1"/>
  <c r="F129" i="11"/>
  <c r="G129" i="11" s="1"/>
  <c r="F232" i="11"/>
  <c r="G232" i="11" s="1"/>
  <c r="F234" i="11"/>
  <c r="G234" i="11" s="1"/>
  <c r="F331" i="11"/>
  <c r="G331" i="11" s="1"/>
  <c r="F104" i="11"/>
  <c r="G104" i="11" s="1"/>
  <c r="F512" i="11"/>
  <c r="G512" i="11" s="1"/>
  <c r="F96" i="11"/>
  <c r="G96" i="11" s="1"/>
  <c r="F14" i="11"/>
  <c r="G14" i="11" s="1"/>
  <c r="F67" i="11"/>
  <c r="G67" i="11" s="1"/>
  <c r="F79" i="11"/>
  <c r="G79" i="11" s="1"/>
  <c r="F513" i="11"/>
  <c r="G513" i="11" s="1"/>
  <c r="F346" i="11"/>
  <c r="G346" i="11" s="1"/>
  <c r="F290" i="11"/>
  <c r="G290" i="11" s="1"/>
  <c r="F198" i="11"/>
  <c r="G198" i="11" s="1"/>
  <c r="F221" i="11"/>
  <c r="G221" i="11" s="1"/>
  <c r="F292" i="11"/>
  <c r="G292" i="11" s="1"/>
  <c r="F52" i="11"/>
  <c r="G52" i="11" s="1"/>
  <c r="F254" i="11"/>
  <c r="G254" i="11" s="1"/>
  <c r="F351" i="11"/>
  <c r="G351" i="11" s="1"/>
  <c r="F105" i="11"/>
  <c r="G105" i="11" s="1"/>
  <c r="F311" i="11"/>
  <c r="G311" i="11" s="1"/>
  <c r="F412" i="11"/>
  <c r="G412" i="11" s="1"/>
  <c r="F509" i="11"/>
  <c r="G509" i="11" s="1"/>
  <c r="F188" i="11"/>
  <c r="G188" i="11" s="1"/>
  <c r="F401" i="11"/>
  <c r="G401" i="11" s="1"/>
  <c r="F343" i="11"/>
  <c r="G343" i="11" s="1"/>
  <c r="F440" i="11"/>
  <c r="G440" i="11" s="1"/>
  <c r="F186" i="11"/>
  <c r="G186" i="11" s="1"/>
  <c r="F418" i="11"/>
  <c r="G418" i="11" s="1"/>
  <c r="F315" i="11"/>
  <c r="G315" i="11" s="1"/>
  <c r="F442" i="11"/>
  <c r="G442" i="11" s="1"/>
  <c r="F310" i="11"/>
  <c r="G310" i="11" s="1"/>
  <c r="F172" i="11"/>
  <c r="G172" i="11" s="1"/>
  <c r="F387" i="11"/>
  <c r="G387" i="11" s="1"/>
  <c r="F479" i="11"/>
  <c r="G479" i="11" s="1"/>
  <c r="F392" i="11"/>
  <c r="G392" i="11" s="1"/>
  <c r="F375" i="11"/>
  <c r="G375" i="11" s="1"/>
  <c r="F81" i="11"/>
  <c r="G81" i="11" s="1"/>
  <c r="F421" i="11"/>
  <c r="G421" i="11" s="1"/>
  <c r="F389" i="11"/>
  <c r="G389" i="11" s="1"/>
  <c r="F11" i="11"/>
  <c r="G11" i="11" s="1"/>
  <c r="F408" i="11"/>
  <c r="G408" i="11" s="1"/>
  <c r="F499" i="11"/>
  <c r="G499" i="11" s="1"/>
  <c r="F240" i="11"/>
  <c r="G240" i="11" s="1"/>
  <c r="F12" i="11"/>
  <c r="G12" i="11" s="1"/>
  <c r="F391" i="11"/>
  <c r="G391" i="11" s="1"/>
  <c r="F500" i="11"/>
  <c r="G500" i="11" s="1"/>
  <c r="F76" i="11"/>
  <c r="G76" i="11" s="1"/>
  <c r="F407" i="11"/>
  <c r="G407" i="11" s="1"/>
  <c r="V547" i="11"/>
  <c r="F65" i="11"/>
  <c r="G65" i="11" s="1"/>
  <c r="F546" i="11"/>
  <c r="B546" i="11" s="1"/>
  <c r="A546" i="11" s="1"/>
  <c r="Z546" i="11" s="1"/>
  <c r="F441" i="11"/>
  <c r="G441" i="11" s="1"/>
  <c r="F250" i="11"/>
  <c r="G250" i="11" s="1"/>
  <c r="F333" i="11"/>
  <c r="G333" i="11" s="1"/>
  <c r="F548" i="11"/>
  <c r="B548" i="11" s="1"/>
  <c r="A548" i="11" s="1"/>
  <c r="Z548" i="11" s="1"/>
  <c r="F218" i="11"/>
  <c r="G218" i="11" s="1"/>
  <c r="F111" i="11"/>
  <c r="G111" i="11" s="1"/>
  <c r="F219" i="11"/>
  <c r="G219" i="11" s="1"/>
  <c r="F358" i="11"/>
  <c r="G358" i="11" s="1"/>
  <c r="F92" i="11"/>
  <c r="G92" i="11" s="1"/>
  <c r="F273" i="11"/>
  <c r="G273" i="11" s="1"/>
  <c r="F82" i="11"/>
  <c r="G82" i="11" s="1"/>
  <c r="F309" i="11"/>
  <c r="G309" i="11" s="1"/>
  <c r="F140" i="11"/>
  <c r="G140" i="11" s="1"/>
  <c r="F141" i="11"/>
  <c r="G141" i="11" s="1"/>
  <c r="F34" i="11"/>
  <c r="G34" i="11" s="1"/>
  <c r="F222" i="11"/>
  <c r="G222" i="11" s="1"/>
  <c r="F308" i="11"/>
  <c r="G308" i="11" s="1"/>
  <c r="F518" i="11"/>
  <c r="G518" i="11" s="1"/>
  <c r="F225" i="11"/>
  <c r="G225" i="11" s="1"/>
  <c r="F107" i="11"/>
  <c r="G107" i="11" s="1"/>
  <c r="F363" i="11"/>
  <c r="G363" i="11" s="1"/>
  <c r="F18" i="11"/>
  <c r="G18" i="11" s="1"/>
  <c r="F367" i="11"/>
  <c r="G367" i="11" s="1"/>
  <c r="F257" i="11"/>
  <c r="G257" i="11" s="1"/>
  <c r="F74" i="11"/>
  <c r="G74" i="11" s="1"/>
  <c r="F368" i="11"/>
  <c r="G368" i="11" s="1"/>
  <c r="F90" i="11"/>
  <c r="G90" i="11" s="1"/>
  <c r="F130" i="11"/>
  <c r="G130" i="11" s="1"/>
  <c r="F316" i="11"/>
  <c r="G316" i="11" s="1"/>
  <c r="F420" i="11"/>
  <c r="G420" i="11" s="1"/>
  <c r="F514" i="11"/>
  <c r="G514" i="11" s="1"/>
  <c r="F550" i="11"/>
  <c r="B550" i="11" s="1"/>
  <c r="A550" i="11" s="1"/>
  <c r="Z550" i="11" s="1"/>
  <c r="F49" i="11"/>
  <c r="G49" i="11" s="1"/>
  <c r="F422" i="11"/>
  <c r="G422" i="11" s="1"/>
  <c r="F534" i="11"/>
  <c r="G534" i="11" s="1"/>
  <c r="F449" i="11"/>
  <c r="G449" i="11" s="1"/>
  <c r="F50" i="11"/>
  <c r="G50" i="11" s="1"/>
  <c r="F325" i="11"/>
  <c r="G325" i="11" s="1"/>
  <c r="F535" i="11"/>
  <c r="G535" i="11" s="1"/>
  <c r="F424" i="11"/>
  <c r="G424" i="11" s="1"/>
  <c r="F15" i="11"/>
  <c r="G15" i="11" s="1"/>
  <c r="F364" i="11"/>
  <c r="G364" i="11" s="1"/>
  <c r="F450" i="11"/>
  <c r="G450" i="11" s="1"/>
  <c r="F544" i="11"/>
  <c r="B544" i="11" s="1"/>
  <c r="A544" i="11" s="1"/>
  <c r="Z544" i="11" s="1"/>
  <c r="F330" i="11"/>
  <c r="G330" i="11" s="1"/>
  <c r="F439" i="11"/>
  <c r="G439" i="11" s="1"/>
  <c r="F80" i="11"/>
  <c r="G80" i="11" s="1"/>
  <c r="F347" i="11"/>
  <c r="G347" i="11" s="1"/>
  <c r="F517" i="11"/>
  <c r="G517" i="11" s="1"/>
  <c r="F409" i="11"/>
  <c r="G409" i="11" s="1"/>
  <c r="F176" i="11"/>
  <c r="G176" i="11" s="1"/>
  <c r="F416" i="11"/>
  <c r="G416" i="11" s="1"/>
  <c r="F206" i="11"/>
  <c r="G206" i="11" s="1"/>
  <c r="F384" i="11"/>
  <c r="G384" i="11" s="1"/>
  <c r="F327" i="11"/>
  <c r="G327" i="11" s="1"/>
  <c r="F89" i="11"/>
  <c r="G89" i="11" s="1"/>
  <c r="F547" i="11"/>
  <c r="B547" i="11" s="1"/>
  <c r="A547" i="11" s="1"/>
  <c r="Z547" i="11" s="1"/>
  <c r="F263" i="11"/>
  <c r="G263" i="11" s="1"/>
  <c r="F233" i="11"/>
  <c r="G233" i="11" s="1"/>
  <c r="F36" i="11"/>
  <c r="G36" i="11" s="1"/>
  <c r="F112" i="11"/>
  <c r="G112" i="11" s="1"/>
  <c r="F173" i="11"/>
  <c r="G173" i="11" s="1"/>
  <c r="F224" i="11"/>
  <c r="G224" i="11" s="1"/>
  <c r="F164" i="11"/>
  <c r="G164" i="11" s="1"/>
  <c r="F275" i="11"/>
  <c r="G275" i="11" s="1"/>
  <c r="F447" i="11"/>
  <c r="G447" i="11" s="1"/>
  <c r="F261" i="11"/>
  <c r="G261" i="11" s="1"/>
  <c r="F215" i="11"/>
  <c r="G215" i="11" s="1"/>
  <c r="F452" i="11"/>
  <c r="G452" i="11" s="1"/>
  <c r="F328" i="11"/>
  <c r="G328" i="11" s="1"/>
  <c r="F77" i="11"/>
  <c r="G77" i="11" s="1"/>
  <c r="F402" i="11"/>
  <c r="G402" i="11" s="1"/>
  <c r="F97" i="11"/>
  <c r="G97" i="11" s="1"/>
  <c r="F40" i="11"/>
  <c r="G40" i="11" s="1"/>
  <c r="F426" i="11"/>
  <c r="G426" i="11" s="1"/>
  <c r="F29" i="11"/>
  <c r="G29" i="11" s="1"/>
  <c r="F478" i="11"/>
  <c r="G478" i="11" s="1"/>
  <c r="F53" i="11"/>
  <c r="G53" i="11" s="1"/>
  <c r="F443" i="11"/>
  <c r="G443" i="11" s="1"/>
  <c r="F35" i="11"/>
  <c r="G35" i="11" s="1"/>
  <c r="F370" i="11"/>
  <c r="G370" i="11" s="1"/>
  <c r="F480" i="11"/>
  <c r="G480" i="11" s="1"/>
  <c r="F324" i="11"/>
  <c r="G324" i="11" s="1"/>
  <c r="F445" i="11"/>
  <c r="G445" i="11" s="1"/>
  <c r="S551" i="11"/>
  <c r="F410" i="11"/>
  <c r="G410" i="11" s="1"/>
  <c r="F360" i="11"/>
  <c r="G360" i="11" s="1"/>
  <c r="F446" i="11"/>
  <c r="G446" i="11" s="1"/>
  <c r="F51" i="11"/>
  <c r="G51" i="11" s="1"/>
  <c r="F326" i="11"/>
  <c r="G326" i="11" s="1"/>
  <c r="F536" i="11"/>
  <c r="G536" i="11" s="1"/>
  <c r="F98" i="11"/>
  <c r="G98" i="11" s="1"/>
  <c r="F16" i="11"/>
  <c r="G16" i="11" s="1"/>
  <c r="F365" i="11"/>
  <c r="G365" i="11" s="1"/>
  <c r="F451" i="11"/>
  <c r="G451" i="11" s="1"/>
  <c r="F83" i="11"/>
  <c r="G83" i="11" s="1"/>
  <c r="F438" i="11"/>
  <c r="G438" i="11" s="1"/>
  <c r="F485" i="11"/>
  <c r="G485" i="11" s="1"/>
  <c r="F501" i="11"/>
  <c r="G501" i="11" s="1"/>
  <c r="F516" i="11"/>
  <c r="G516" i="11" s="1"/>
  <c r="F423" i="11"/>
  <c r="G423" i="11" s="1"/>
  <c r="F205" i="11"/>
  <c r="G205" i="11" s="1"/>
  <c r="F329" i="11"/>
  <c r="G329" i="11" s="1"/>
  <c r="V549" i="11"/>
  <c r="F288" i="11"/>
  <c r="G288" i="11" s="1"/>
  <c r="F385" i="11"/>
  <c r="G385" i="11" s="1"/>
  <c r="F477" i="11"/>
  <c r="G477" i="11" s="1"/>
  <c r="F386" i="11"/>
  <c r="G386" i="11" s="1"/>
  <c r="F357" i="11"/>
  <c r="G357" i="11" s="1"/>
  <c r="F260" i="11"/>
  <c r="G260" i="11" s="1"/>
  <c r="F31" i="11"/>
  <c r="G31" i="11" s="1"/>
  <c r="F388" i="11"/>
  <c r="G388" i="11" s="1"/>
  <c r="F359" i="11"/>
  <c r="G359" i="11" s="1"/>
  <c r="F551" i="11"/>
  <c r="B551" i="11" s="1"/>
  <c r="A551" i="11" s="1"/>
  <c r="Z551" i="11" s="1"/>
  <c r="F349" i="11"/>
  <c r="G349" i="11" s="1"/>
  <c r="F393" i="11"/>
  <c r="G393" i="11" s="1"/>
  <c r="F237" i="11"/>
  <c r="G237" i="11" s="1"/>
  <c r="F361" i="11"/>
  <c r="G361" i="11" s="1"/>
  <c r="F95" i="11"/>
  <c r="G95" i="11" s="1"/>
  <c r="F37" i="11"/>
  <c r="G37" i="11" s="1"/>
  <c r="F376" i="11"/>
  <c r="G376" i="11" s="1"/>
  <c r="F230" i="11"/>
  <c r="G230" i="11" s="1"/>
  <c r="F545" i="11"/>
  <c r="B545" i="11" s="1"/>
  <c r="A545" i="11" s="1"/>
  <c r="Z545" i="11" s="1"/>
  <c r="F332" i="11"/>
  <c r="G332" i="11" s="1"/>
  <c r="F294" i="11"/>
  <c r="G294" i="11" s="1"/>
  <c r="F106" i="11"/>
  <c r="G106" i="11" s="1"/>
  <c r="F13" i="11"/>
  <c r="G13" i="11" s="1"/>
  <c r="F251" i="11"/>
  <c r="G251" i="11" s="1"/>
  <c r="F33" i="11"/>
  <c r="G33" i="11" s="1"/>
  <c r="F510" i="11"/>
  <c r="G510" i="11" s="1"/>
  <c r="F313" i="11"/>
  <c r="G313" i="11" s="1"/>
  <c r="F425" i="11"/>
  <c r="G425" i="11" s="1"/>
  <c r="W548" i="11"/>
  <c r="S548" i="11"/>
  <c r="T548" i="11" s="1"/>
  <c r="U548" i="11" s="1"/>
  <c r="V548" i="11" s="1"/>
  <c r="F344" i="11"/>
  <c r="G344" i="11" s="1"/>
  <c r="F494" i="11"/>
  <c r="G494" i="11" s="1"/>
  <c r="F239" i="11"/>
  <c r="G239" i="11" s="1"/>
  <c r="F374" i="11"/>
  <c r="G374" i="11" s="1"/>
  <c r="F543" i="11"/>
  <c r="B543" i="11" s="1"/>
  <c r="A543" i="11" s="1"/>
  <c r="Z543" i="11" s="1"/>
  <c r="F46" i="11"/>
  <c r="G46" i="11" s="1"/>
  <c r="F289" i="11"/>
  <c r="G289" i="11" s="1"/>
  <c r="F495" i="11"/>
  <c r="G495" i="11" s="1"/>
  <c r="F362" i="11"/>
  <c r="G362" i="11" s="1"/>
  <c r="F131" i="11"/>
  <c r="G131" i="11" s="1"/>
  <c r="F30" i="11"/>
  <c r="G30" i="11" s="1"/>
  <c r="F171" i="11"/>
  <c r="G171" i="11" s="1"/>
  <c r="F270" i="11"/>
  <c r="G270" i="11" s="1"/>
  <c r="F204" i="11"/>
  <c r="G204" i="11" s="1"/>
  <c r="F497" i="11"/>
  <c r="G497" i="11" s="1"/>
  <c r="F93" i="11"/>
  <c r="G93" i="11" s="1"/>
  <c r="F175" i="11"/>
  <c r="G175" i="11" s="1"/>
  <c r="F94" i="11"/>
  <c r="G94" i="11" s="1"/>
  <c r="F203" i="11"/>
  <c r="G203" i="11" s="1"/>
  <c r="F508" i="11"/>
  <c r="G508" i="11" s="1"/>
  <c r="F394" i="11"/>
  <c r="G394" i="11" s="1"/>
  <c r="F377" i="11"/>
  <c r="G377" i="11" s="1"/>
  <c r="F475" i="11"/>
  <c r="G475" i="11" s="1"/>
  <c r="S546" i="11"/>
  <c r="F444" i="11"/>
  <c r="G444" i="11" s="1"/>
  <c r="F448" i="11"/>
  <c r="G448" i="11" s="1"/>
  <c r="F109" i="11"/>
  <c r="G109" i="11" s="1"/>
  <c r="F405" i="11"/>
  <c r="G405" i="11" s="1"/>
  <c r="F128" i="11"/>
  <c r="G128" i="11" s="1"/>
  <c r="F417" i="11"/>
  <c r="G417" i="11" s="1"/>
  <c r="F66" i="11"/>
  <c r="G66" i="11" s="1"/>
  <c r="F78" i="11"/>
  <c r="G78" i="11" s="1"/>
  <c r="F403" i="11"/>
  <c r="G403" i="11" s="1"/>
  <c r="F404" i="11"/>
  <c r="G404" i="11" s="1"/>
  <c r="F369" i="11"/>
  <c r="G369" i="11" s="1"/>
  <c r="F549" i="11"/>
  <c r="B549" i="11" s="1"/>
  <c r="A549" i="11" s="1"/>
  <c r="Z549" i="11" s="1"/>
  <c r="F150" i="11"/>
  <c r="G150" i="11" s="1"/>
  <c r="F291" i="11"/>
  <c r="G291" i="11" s="1"/>
  <c r="F406" i="11"/>
  <c r="G406" i="11" s="1"/>
  <c r="F371" i="11"/>
  <c r="G371" i="11" s="1"/>
  <c r="F200" i="11"/>
  <c r="G200" i="11" s="1"/>
  <c r="F372" i="11"/>
  <c r="G372" i="11" s="1"/>
  <c r="F295" i="11"/>
  <c r="G295" i="11" s="1"/>
  <c r="F202" i="11"/>
  <c r="G202" i="11" s="1"/>
  <c r="F350" i="11"/>
  <c r="G350" i="11" s="1"/>
  <c r="F341" i="11"/>
  <c r="G341" i="11" s="1"/>
  <c r="F145" i="11"/>
  <c r="G145" i="11" s="1"/>
  <c r="F267" i="11"/>
  <c r="G267" i="11" s="1"/>
  <c r="F38" i="11"/>
  <c r="G38" i="11" s="1"/>
  <c r="F167" i="11"/>
  <c r="G167" i="11" s="1"/>
  <c r="F286" i="11"/>
  <c r="G286" i="11" s="1"/>
  <c r="F110" i="11"/>
  <c r="G110" i="11" s="1"/>
  <c r="F496" i="11"/>
  <c r="G496" i="11" s="1"/>
  <c r="F411" i="11"/>
  <c r="G411" i="11" s="1"/>
  <c r="F312" i="11"/>
  <c r="G312" i="11" s="1"/>
  <c r="F511" i="11"/>
  <c r="G511" i="11" s="1"/>
  <c r="F108" i="11"/>
  <c r="G108" i="11" s="1"/>
  <c r="F345" i="11"/>
  <c r="G345" i="11" s="1"/>
  <c r="F419" i="11"/>
  <c r="G419" i="11" s="1"/>
  <c r="F271" i="11"/>
  <c r="G271" i="11" s="1"/>
  <c r="F47" i="11"/>
  <c r="G47" i="11" s="1"/>
  <c r="F91" i="11"/>
  <c r="G91" i="11" s="1"/>
  <c r="F48" i="11"/>
  <c r="G48" i="11" s="1"/>
  <c r="F515" i="11"/>
  <c r="G515" i="11" s="1"/>
  <c r="F10" i="11"/>
  <c r="G10" i="11" s="1"/>
  <c r="F481" i="11"/>
  <c r="G481" i="11" s="1"/>
  <c r="F262" i="11"/>
  <c r="G262" i="11" s="1"/>
  <c r="F519" i="11"/>
  <c r="G519" i="11" s="1"/>
  <c r="F293" i="11"/>
  <c r="G293" i="11" s="1"/>
  <c r="F390" i="11"/>
  <c r="G390" i="11" s="1"/>
  <c r="F482" i="11"/>
  <c r="G482" i="11" s="1"/>
  <c r="S545" i="11"/>
  <c r="T545" i="11" s="1"/>
  <c r="U545" i="11" s="1"/>
  <c r="V545" i="11" s="1"/>
  <c r="F373" i="11"/>
  <c r="G373" i="11" s="1"/>
  <c r="F75" i="11"/>
  <c r="G75" i="11" s="1"/>
  <c r="F342" i="11"/>
  <c r="G342" i="11" s="1"/>
  <c r="X548" i="11" l="1"/>
  <c r="Y548" i="11"/>
  <c r="X544" i="11"/>
  <c r="Y544" i="11"/>
  <c r="X550" i="11"/>
  <c r="Y550" i="11"/>
  <c r="X546" i="11"/>
  <c r="Y546" i="11"/>
  <c r="X547" i="11"/>
  <c r="Y547" i="11"/>
  <c r="X545" i="11"/>
  <c r="Y545" i="11"/>
  <c r="X549" i="11"/>
  <c r="Y549" i="11"/>
  <c r="X543" i="11"/>
  <c r="Y543" i="11"/>
  <c r="X551" i="11"/>
  <c r="Y551" i="11"/>
  <c r="G550" i="11"/>
  <c r="G543" i="11"/>
  <c r="G549" i="11"/>
  <c r="G547" i="11"/>
  <c r="G544" i="11"/>
  <c r="G551" i="11"/>
  <c r="G546" i="11"/>
  <c r="T546" i="11"/>
  <c r="U546" i="11" s="1"/>
  <c r="V546" i="11" s="1"/>
  <c r="T551" i="11"/>
  <c r="U551" i="11" s="1"/>
  <c r="V551" i="11" s="1"/>
  <c r="G548" i="11"/>
  <c r="G545" i="11"/>
  <c r="AW548" i="11" l="1"/>
  <c r="AW545" i="11"/>
  <c r="AW550" i="11"/>
  <c r="AW544" i="11"/>
  <c r="AW549" i="11"/>
  <c r="AW547" i="11"/>
  <c r="AW543" i="11"/>
  <c r="AW551" i="11"/>
  <c r="AW546" i="11"/>
  <c r="M9" i="11"/>
  <c r="H9" i="11"/>
  <c r="C9" i="11"/>
  <c r="K9" i="11" l="1"/>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2" i="23"/>
  <c r="AN9" i="11" l="1"/>
  <c r="AQ9" i="11"/>
  <c r="R9" i="11" l="1"/>
  <c r="D9" i="11"/>
  <c r="J1126" i="21" l="1"/>
  <c r="J1124" i="21"/>
  <c r="J1123" i="21"/>
  <c r="J1122" i="21"/>
  <c r="J1121" i="21"/>
  <c r="J1120" i="21"/>
  <c r="J1119" i="21"/>
  <c r="J1118" i="21"/>
  <c r="J1117" i="21"/>
  <c r="J1116" i="21"/>
  <c r="J1115" i="21"/>
  <c r="J1114" i="21"/>
  <c r="J1113" i="21"/>
  <c r="J1112" i="21"/>
  <c r="J1111" i="21"/>
  <c r="J1110" i="21"/>
  <c r="J1109" i="21"/>
  <c r="J1108" i="21"/>
  <c r="J1107" i="21"/>
  <c r="J1106" i="21"/>
  <c r="J1105" i="21"/>
  <c r="J1104" i="21"/>
  <c r="J1103" i="21"/>
  <c r="J1102" i="21"/>
  <c r="J1101" i="21"/>
  <c r="J1100" i="21"/>
  <c r="J1099" i="21"/>
  <c r="J1098" i="21"/>
  <c r="J1097" i="21"/>
  <c r="J1096" i="21"/>
  <c r="J1095" i="21"/>
  <c r="J1094" i="21"/>
  <c r="J1093" i="21"/>
  <c r="J1092" i="21"/>
  <c r="J1091" i="21"/>
  <c r="J1090" i="21"/>
  <c r="J1089" i="21"/>
  <c r="J1088" i="21"/>
  <c r="I465" i="11" s="1"/>
  <c r="J465" i="11" s="1"/>
  <c r="J1087" i="21"/>
  <c r="J1086" i="21"/>
  <c r="J1085" i="21"/>
  <c r="J1084" i="21"/>
  <c r="J1083" i="21"/>
  <c r="J1082" i="21"/>
  <c r="J1081" i="21"/>
  <c r="J1080" i="21"/>
  <c r="J1079" i="21"/>
  <c r="J1078" i="21"/>
  <c r="J1077" i="21"/>
  <c r="J1076" i="21"/>
  <c r="J1075" i="21"/>
  <c r="J1074" i="21"/>
  <c r="J1073" i="21"/>
  <c r="J1072" i="21"/>
  <c r="J1071" i="21"/>
  <c r="J1070" i="21"/>
  <c r="J1069" i="21"/>
  <c r="J1068" i="21"/>
  <c r="J1067" i="21"/>
  <c r="J1066" i="21"/>
  <c r="J1065" i="21"/>
  <c r="J1064" i="21"/>
  <c r="J1063" i="21"/>
  <c r="J1062" i="21"/>
  <c r="J1061" i="21"/>
  <c r="J1060" i="21"/>
  <c r="J1059" i="21"/>
  <c r="J1058" i="21"/>
  <c r="J1057" i="21"/>
  <c r="J1056" i="21"/>
  <c r="J1055" i="21"/>
  <c r="J1054" i="21"/>
  <c r="J1053" i="21"/>
  <c r="J1052" i="21"/>
  <c r="J1051" i="21"/>
  <c r="J1050" i="21"/>
  <c r="J1049" i="21"/>
  <c r="J1048" i="21"/>
  <c r="J1047" i="21"/>
  <c r="J1046" i="21"/>
  <c r="J1045" i="21"/>
  <c r="J1044" i="21"/>
  <c r="J1043" i="21"/>
  <c r="J1042" i="21"/>
  <c r="J1041" i="21"/>
  <c r="J1040" i="21"/>
  <c r="J1039" i="21"/>
  <c r="J1038" i="21"/>
  <c r="J1037" i="21"/>
  <c r="J1036" i="21"/>
  <c r="J1035" i="21"/>
  <c r="J1034" i="21"/>
  <c r="J1033" i="21"/>
  <c r="J1032" i="21"/>
  <c r="J1031" i="21"/>
  <c r="J1030" i="21"/>
  <c r="J1029" i="21"/>
  <c r="J1028" i="21"/>
  <c r="J1027" i="21"/>
  <c r="J1026" i="21"/>
  <c r="J1025" i="21"/>
  <c r="J1024" i="21"/>
  <c r="J1023" i="21"/>
  <c r="J1022" i="21"/>
  <c r="J1021" i="21"/>
  <c r="J1020" i="21"/>
  <c r="J1019" i="21"/>
  <c r="J1018" i="21"/>
  <c r="J1017" i="21"/>
  <c r="J1016" i="21"/>
  <c r="J1015" i="21"/>
  <c r="J1014" i="21"/>
  <c r="J1013" i="21"/>
  <c r="J1012" i="21"/>
  <c r="J1011" i="21"/>
  <c r="J1010" i="21"/>
  <c r="J1009" i="21"/>
  <c r="J1008" i="21"/>
  <c r="J1007" i="21"/>
  <c r="J1006" i="21"/>
  <c r="J1005" i="21"/>
  <c r="J1004" i="21"/>
  <c r="J1003" i="21"/>
  <c r="J1002" i="21"/>
  <c r="J1001" i="21"/>
  <c r="J1000" i="21"/>
  <c r="J999" i="21"/>
  <c r="J998" i="21"/>
  <c r="J997" i="21"/>
  <c r="J996" i="21"/>
  <c r="J995" i="21"/>
  <c r="J994" i="21"/>
  <c r="J993" i="21"/>
  <c r="J992" i="21"/>
  <c r="J991" i="21"/>
  <c r="J990" i="21"/>
  <c r="J989" i="21"/>
  <c r="J988" i="21"/>
  <c r="J987" i="21"/>
  <c r="J986" i="21"/>
  <c r="J985" i="21"/>
  <c r="J984" i="21"/>
  <c r="J983" i="21"/>
  <c r="J982" i="21"/>
  <c r="J981" i="21"/>
  <c r="J980" i="21"/>
  <c r="J979" i="21"/>
  <c r="J978" i="21"/>
  <c r="J977" i="21"/>
  <c r="J976" i="21"/>
  <c r="J975" i="21"/>
  <c r="J974" i="21"/>
  <c r="J973" i="21"/>
  <c r="J972" i="21"/>
  <c r="J971" i="21"/>
  <c r="J970" i="21"/>
  <c r="J969" i="21"/>
  <c r="J968" i="21"/>
  <c r="J967" i="21"/>
  <c r="J966" i="21"/>
  <c r="J965" i="21"/>
  <c r="J964" i="21"/>
  <c r="J963" i="21"/>
  <c r="J962" i="21"/>
  <c r="J961" i="21"/>
  <c r="J960" i="21"/>
  <c r="J959" i="21"/>
  <c r="J958" i="21"/>
  <c r="J957" i="21"/>
  <c r="J956" i="21"/>
  <c r="J955" i="21"/>
  <c r="J954" i="21"/>
  <c r="J953" i="21"/>
  <c r="J952" i="21"/>
  <c r="J951" i="21"/>
  <c r="J950" i="21"/>
  <c r="J949" i="21"/>
  <c r="J948" i="21"/>
  <c r="J947" i="21"/>
  <c r="J946" i="21"/>
  <c r="J945" i="21"/>
  <c r="J944" i="21"/>
  <c r="J943" i="21"/>
  <c r="J942" i="21"/>
  <c r="J941" i="21"/>
  <c r="J940" i="21"/>
  <c r="J939" i="21"/>
  <c r="J938" i="21"/>
  <c r="J937" i="21"/>
  <c r="J936" i="21"/>
  <c r="J935" i="21"/>
  <c r="J934" i="21"/>
  <c r="J933" i="21"/>
  <c r="J932" i="21"/>
  <c r="J931" i="21"/>
  <c r="J930" i="21"/>
  <c r="J929" i="21"/>
  <c r="J928" i="21"/>
  <c r="J927" i="21"/>
  <c r="J926" i="21"/>
  <c r="J925" i="21"/>
  <c r="J924" i="21"/>
  <c r="J923" i="21"/>
  <c r="J922" i="21"/>
  <c r="J921" i="21"/>
  <c r="J920" i="21"/>
  <c r="J919" i="21"/>
  <c r="J918" i="21"/>
  <c r="J917" i="21"/>
  <c r="J916" i="21"/>
  <c r="J915" i="21"/>
  <c r="J914" i="21"/>
  <c r="J913" i="21"/>
  <c r="J912" i="21"/>
  <c r="J911" i="21"/>
  <c r="J910" i="21"/>
  <c r="J909" i="21"/>
  <c r="J908" i="21"/>
  <c r="J907" i="21"/>
  <c r="J906" i="21"/>
  <c r="J905" i="21"/>
  <c r="J904" i="21"/>
  <c r="J903" i="21"/>
  <c r="J902" i="21"/>
  <c r="J901" i="21"/>
  <c r="J900" i="21"/>
  <c r="J899" i="21"/>
  <c r="J898" i="21"/>
  <c r="J897" i="21"/>
  <c r="J896" i="21"/>
  <c r="J895" i="21"/>
  <c r="J894" i="21"/>
  <c r="J893" i="21"/>
  <c r="J892" i="21"/>
  <c r="J891" i="21"/>
  <c r="I356" i="11" s="1"/>
  <c r="J356" i="11" s="1"/>
  <c r="J890" i="21"/>
  <c r="J889" i="21"/>
  <c r="J888" i="21"/>
  <c r="J887" i="21"/>
  <c r="J886" i="21"/>
  <c r="J885" i="21"/>
  <c r="J884" i="21"/>
  <c r="J883" i="21"/>
  <c r="J882" i="21"/>
  <c r="J881" i="21"/>
  <c r="J880" i="21"/>
  <c r="J879" i="21"/>
  <c r="J878" i="21"/>
  <c r="J877" i="21"/>
  <c r="J876" i="21"/>
  <c r="J875" i="21"/>
  <c r="J874" i="21"/>
  <c r="J873" i="21"/>
  <c r="J872" i="21"/>
  <c r="J871" i="21"/>
  <c r="J870" i="21"/>
  <c r="J869" i="21"/>
  <c r="J868" i="21"/>
  <c r="J867" i="21"/>
  <c r="J866" i="21"/>
  <c r="J865" i="21"/>
  <c r="J864" i="21"/>
  <c r="J863" i="21"/>
  <c r="J862" i="21"/>
  <c r="J861" i="21"/>
  <c r="J860" i="21"/>
  <c r="J859" i="21"/>
  <c r="J858" i="21"/>
  <c r="J857" i="21"/>
  <c r="J856" i="21"/>
  <c r="J855" i="21"/>
  <c r="J854" i="21"/>
  <c r="J853" i="21"/>
  <c r="J852" i="21"/>
  <c r="J851" i="21"/>
  <c r="J850" i="21"/>
  <c r="J849" i="21"/>
  <c r="J848" i="21"/>
  <c r="J847" i="21"/>
  <c r="J846" i="21"/>
  <c r="J845" i="21"/>
  <c r="J844" i="21"/>
  <c r="J843" i="21"/>
  <c r="J842" i="21"/>
  <c r="J841" i="21"/>
  <c r="J840" i="21"/>
  <c r="J839" i="21"/>
  <c r="J838" i="21"/>
  <c r="J837" i="21"/>
  <c r="J836" i="21"/>
  <c r="J835" i="21"/>
  <c r="J834" i="21"/>
  <c r="J833" i="21"/>
  <c r="J832" i="21"/>
  <c r="J831" i="21"/>
  <c r="J830" i="21"/>
  <c r="J829" i="21"/>
  <c r="J828" i="21"/>
  <c r="J827" i="21"/>
  <c r="J826" i="21"/>
  <c r="J825" i="21"/>
  <c r="J824" i="21"/>
  <c r="J823" i="21"/>
  <c r="J822" i="21"/>
  <c r="J821" i="21"/>
  <c r="J820" i="21"/>
  <c r="J819" i="21"/>
  <c r="J818" i="21"/>
  <c r="J817" i="21"/>
  <c r="J816" i="21"/>
  <c r="J815" i="21"/>
  <c r="J814" i="21"/>
  <c r="J813" i="21"/>
  <c r="J812" i="21"/>
  <c r="J811" i="21"/>
  <c r="J810" i="21"/>
  <c r="J809" i="21"/>
  <c r="J808" i="21"/>
  <c r="J807" i="21"/>
  <c r="J806" i="21"/>
  <c r="J805" i="21"/>
  <c r="J804" i="21"/>
  <c r="J803" i="21"/>
  <c r="J802" i="21"/>
  <c r="J801" i="21"/>
  <c r="J800" i="21"/>
  <c r="J799" i="21"/>
  <c r="J798" i="21"/>
  <c r="J797" i="21"/>
  <c r="J796" i="21"/>
  <c r="J795" i="21"/>
  <c r="J794" i="21"/>
  <c r="J793" i="21"/>
  <c r="J792" i="21"/>
  <c r="J791" i="21"/>
  <c r="J790" i="21"/>
  <c r="J789" i="21"/>
  <c r="J788" i="21"/>
  <c r="J787" i="21"/>
  <c r="J786" i="21"/>
  <c r="J785" i="21"/>
  <c r="J784" i="21"/>
  <c r="J783" i="21"/>
  <c r="J782" i="21"/>
  <c r="J781" i="21"/>
  <c r="J780" i="21"/>
  <c r="J779" i="21"/>
  <c r="J778" i="21"/>
  <c r="J777" i="21"/>
  <c r="J776" i="21"/>
  <c r="J775" i="21"/>
  <c r="J774" i="21"/>
  <c r="J773" i="21"/>
  <c r="J772" i="21"/>
  <c r="J771" i="21"/>
  <c r="J770" i="21"/>
  <c r="J769" i="21"/>
  <c r="J768" i="21"/>
  <c r="J767" i="21"/>
  <c r="J766" i="21"/>
  <c r="J765" i="21"/>
  <c r="J764" i="21"/>
  <c r="J763" i="21"/>
  <c r="J762" i="21"/>
  <c r="J761" i="21"/>
  <c r="J760" i="21"/>
  <c r="J759" i="21"/>
  <c r="J758" i="21"/>
  <c r="J757" i="21"/>
  <c r="J756" i="21"/>
  <c r="J755" i="21"/>
  <c r="J754" i="21"/>
  <c r="J753" i="21"/>
  <c r="J752" i="21"/>
  <c r="J751" i="21"/>
  <c r="J750" i="21"/>
  <c r="J749" i="21"/>
  <c r="J748" i="21"/>
  <c r="J747" i="21"/>
  <c r="J746" i="21"/>
  <c r="J745" i="21"/>
  <c r="J744" i="21"/>
  <c r="J743" i="21"/>
  <c r="J742" i="21"/>
  <c r="J741" i="21"/>
  <c r="J740" i="21"/>
  <c r="J739" i="21"/>
  <c r="J738" i="21"/>
  <c r="J737" i="21"/>
  <c r="J736" i="21"/>
  <c r="J735" i="21"/>
  <c r="J734" i="21"/>
  <c r="J733" i="21"/>
  <c r="J732" i="21"/>
  <c r="J731" i="21"/>
  <c r="J730" i="21"/>
  <c r="J729" i="21"/>
  <c r="J728" i="21"/>
  <c r="J727" i="21"/>
  <c r="J726" i="21"/>
  <c r="J725" i="21"/>
  <c r="J724" i="21"/>
  <c r="J723" i="21"/>
  <c r="J722" i="21"/>
  <c r="J721" i="21"/>
  <c r="J720" i="21"/>
  <c r="J719" i="21"/>
  <c r="J718" i="21"/>
  <c r="J717" i="21"/>
  <c r="J716" i="21"/>
  <c r="J715" i="21"/>
  <c r="J714" i="21"/>
  <c r="J713" i="21"/>
  <c r="J712" i="21"/>
  <c r="J711" i="21"/>
  <c r="J710" i="21"/>
  <c r="J709" i="21"/>
  <c r="J708" i="21"/>
  <c r="J707" i="21"/>
  <c r="J706" i="21"/>
  <c r="J705" i="21"/>
  <c r="J704" i="21"/>
  <c r="J703" i="21"/>
  <c r="J702" i="21"/>
  <c r="J701" i="21"/>
  <c r="J700" i="21"/>
  <c r="J699" i="21"/>
  <c r="J698" i="21"/>
  <c r="J697" i="21"/>
  <c r="J696" i="21"/>
  <c r="J695" i="21"/>
  <c r="J694" i="21"/>
  <c r="J693" i="21"/>
  <c r="J692" i="21"/>
  <c r="J691" i="21"/>
  <c r="J690" i="21"/>
  <c r="J689" i="21"/>
  <c r="J688" i="21"/>
  <c r="J687" i="21"/>
  <c r="J686" i="21"/>
  <c r="J685" i="21"/>
  <c r="J684" i="21"/>
  <c r="J683" i="21"/>
  <c r="J682" i="21"/>
  <c r="J681" i="21"/>
  <c r="J680" i="21"/>
  <c r="J679" i="21"/>
  <c r="J678" i="21"/>
  <c r="J677" i="21"/>
  <c r="J676" i="21"/>
  <c r="J675" i="21"/>
  <c r="J674" i="21"/>
  <c r="J673" i="21"/>
  <c r="J672" i="21"/>
  <c r="J671" i="21"/>
  <c r="J670" i="21"/>
  <c r="J669" i="21"/>
  <c r="J668" i="21"/>
  <c r="J667" i="21"/>
  <c r="J666" i="21"/>
  <c r="J665" i="21"/>
  <c r="J664" i="21"/>
  <c r="J663" i="21"/>
  <c r="J662" i="21"/>
  <c r="J661" i="21"/>
  <c r="J660" i="21"/>
  <c r="J659" i="21"/>
  <c r="J658" i="21"/>
  <c r="J657" i="21"/>
  <c r="J656" i="21"/>
  <c r="J655" i="21"/>
  <c r="J654" i="21"/>
  <c r="J653" i="21"/>
  <c r="J652" i="21"/>
  <c r="J651" i="21"/>
  <c r="J650" i="21"/>
  <c r="J649" i="21"/>
  <c r="J648" i="21"/>
  <c r="J647" i="21"/>
  <c r="J646" i="21"/>
  <c r="J645" i="21"/>
  <c r="J644" i="21"/>
  <c r="J643" i="21"/>
  <c r="J642" i="21"/>
  <c r="J641" i="21"/>
  <c r="J640" i="21"/>
  <c r="J639" i="21"/>
  <c r="J638" i="21"/>
  <c r="J637" i="21"/>
  <c r="J636" i="21"/>
  <c r="J635" i="21"/>
  <c r="J634" i="21"/>
  <c r="J633" i="21"/>
  <c r="J632" i="21"/>
  <c r="J631" i="21"/>
  <c r="J630" i="21"/>
  <c r="J629" i="21"/>
  <c r="J628" i="21"/>
  <c r="J627" i="21"/>
  <c r="J626" i="21"/>
  <c r="J625" i="21"/>
  <c r="J624" i="21"/>
  <c r="J623" i="21"/>
  <c r="J622" i="21"/>
  <c r="J621" i="21"/>
  <c r="J620" i="21"/>
  <c r="J619" i="21"/>
  <c r="J618" i="21"/>
  <c r="J617" i="21"/>
  <c r="J616" i="21"/>
  <c r="J615" i="21"/>
  <c r="J614" i="21"/>
  <c r="J613" i="21"/>
  <c r="J612" i="21"/>
  <c r="J611" i="21"/>
  <c r="J610" i="21"/>
  <c r="J609" i="21"/>
  <c r="J608" i="21"/>
  <c r="J607" i="21"/>
  <c r="J606" i="21"/>
  <c r="J605" i="21"/>
  <c r="J604" i="21"/>
  <c r="J603" i="21"/>
  <c r="J602" i="21"/>
  <c r="J601" i="21"/>
  <c r="J600" i="21"/>
  <c r="J599" i="21"/>
  <c r="J598" i="21"/>
  <c r="J597" i="21"/>
  <c r="J596" i="21"/>
  <c r="J595" i="21"/>
  <c r="J594" i="21"/>
  <c r="J593" i="21"/>
  <c r="J592" i="21"/>
  <c r="J591" i="21"/>
  <c r="J590" i="21"/>
  <c r="J589" i="21"/>
  <c r="J588" i="21"/>
  <c r="J587" i="21"/>
  <c r="J586" i="21"/>
  <c r="J585" i="21"/>
  <c r="J584" i="21"/>
  <c r="J583" i="21"/>
  <c r="J582" i="21"/>
  <c r="J581" i="21"/>
  <c r="J580" i="21"/>
  <c r="J579" i="21"/>
  <c r="J578" i="21"/>
  <c r="J577" i="21"/>
  <c r="J576" i="21"/>
  <c r="J575" i="21"/>
  <c r="J574" i="21"/>
  <c r="J573" i="21"/>
  <c r="J572" i="21"/>
  <c r="J571" i="21"/>
  <c r="J570" i="21"/>
  <c r="J569" i="21"/>
  <c r="J568" i="21"/>
  <c r="J567" i="21"/>
  <c r="J566" i="21"/>
  <c r="J565" i="21"/>
  <c r="J564" i="21"/>
  <c r="J563" i="21"/>
  <c r="J562" i="21"/>
  <c r="J561" i="21"/>
  <c r="J560" i="21"/>
  <c r="J559" i="21"/>
  <c r="J558" i="21"/>
  <c r="J557" i="21"/>
  <c r="J556" i="21"/>
  <c r="J555" i="21"/>
  <c r="J554" i="21"/>
  <c r="J553" i="21"/>
  <c r="J552" i="21"/>
  <c r="J551" i="21"/>
  <c r="J550" i="21"/>
  <c r="J549" i="21"/>
  <c r="J548" i="21"/>
  <c r="J547" i="21"/>
  <c r="J546" i="21"/>
  <c r="J545" i="21"/>
  <c r="J544" i="21"/>
  <c r="J543" i="21"/>
  <c r="J542" i="21"/>
  <c r="J541" i="21"/>
  <c r="J540" i="21"/>
  <c r="J539" i="21"/>
  <c r="J538" i="21"/>
  <c r="J537" i="21"/>
  <c r="I502" i="11" s="1"/>
  <c r="J502" i="11" s="1"/>
  <c r="J536" i="21"/>
  <c r="J535" i="21"/>
  <c r="J534" i="21"/>
  <c r="J533" i="21"/>
  <c r="J532" i="21"/>
  <c r="J531" i="21"/>
  <c r="J530" i="21"/>
  <c r="J529" i="21"/>
  <c r="J528" i="21"/>
  <c r="J527" i="21"/>
  <c r="J526" i="21"/>
  <c r="J525" i="21"/>
  <c r="J524" i="21"/>
  <c r="J523" i="21"/>
  <c r="J522" i="21"/>
  <c r="J521" i="21"/>
  <c r="J520" i="21"/>
  <c r="J519" i="21"/>
  <c r="J518" i="21"/>
  <c r="J517" i="21"/>
  <c r="J516" i="21"/>
  <c r="J515" i="21"/>
  <c r="J514" i="21"/>
  <c r="J513" i="21"/>
  <c r="J512" i="21"/>
  <c r="J511" i="21"/>
  <c r="J510" i="21"/>
  <c r="J509" i="21"/>
  <c r="J508" i="21"/>
  <c r="J507" i="21"/>
  <c r="J506" i="21"/>
  <c r="J505" i="21"/>
  <c r="J504" i="21"/>
  <c r="J503" i="21"/>
  <c r="J502" i="21"/>
  <c r="J501" i="21"/>
  <c r="J500" i="21"/>
  <c r="J499" i="21"/>
  <c r="J498" i="21"/>
  <c r="J497" i="21"/>
  <c r="J496" i="21"/>
  <c r="J495" i="21"/>
  <c r="J494" i="21"/>
  <c r="J493" i="21"/>
  <c r="J492" i="21"/>
  <c r="J491" i="21"/>
  <c r="J490" i="21"/>
  <c r="J489" i="21"/>
  <c r="J488" i="21"/>
  <c r="J487" i="21"/>
  <c r="J486" i="21"/>
  <c r="J485" i="21"/>
  <c r="J484" i="21"/>
  <c r="J483" i="21"/>
  <c r="J482" i="21"/>
  <c r="J481" i="21"/>
  <c r="J480" i="21"/>
  <c r="J479" i="21"/>
  <c r="J478" i="21"/>
  <c r="J477" i="21"/>
  <c r="J476" i="21"/>
  <c r="J475" i="21"/>
  <c r="J474" i="21"/>
  <c r="J473" i="21"/>
  <c r="J472" i="21"/>
  <c r="J471" i="21"/>
  <c r="J470" i="21"/>
  <c r="J469" i="21"/>
  <c r="J468" i="21"/>
  <c r="J467" i="21"/>
  <c r="J466" i="21"/>
  <c r="J465" i="21"/>
  <c r="J464" i="21"/>
  <c r="J463" i="21"/>
  <c r="J462" i="21"/>
  <c r="J461" i="21"/>
  <c r="J460" i="21"/>
  <c r="J459" i="21"/>
  <c r="J458" i="21"/>
  <c r="J457" i="21"/>
  <c r="J456" i="21"/>
  <c r="J455" i="21"/>
  <c r="J454" i="21"/>
  <c r="J453" i="21"/>
  <c r="J452" i="21"/>
  <c r="J451" i="21"/>
  <c r="J450" i="21"/>
  <c r="J449" i="21"/>
  <c r="J448" i="21"/>
  <c r="J447" i="21"/>
  <c r="J446" i="21"/>
  <c r="J445" i="21"/>
  <c r="J444" i="21"/>
  <c r="J443" i="21"/>
  <c r="J442" i="21"/>
  <c r="J441" i="21"/>
  <c r="J440" i="21"/>
  <c r="J439" i="21"/>
  <c r="J438" i="21"/>
  <c r="J437" i="21"/>
  <c r="J436" i="21"/>
  <c r="J435" i="21"/>
  <c r="J434" i="21"/>
  <c r="J433" i="21"/>
  <c r="J432" i="21"/>
  <c r="J431" i="21"/>
  <c r="J430" i="21"/>
  <c r="J429" i="21"/>
  <c r="J428" i="21"/>
  <c r="J427" i="21"/>
  <c r="J426" i="21"/>
  <c r="J425" i="21"/>
  <c r="J424" i="21"/>
  <c r="J423" i="21"/>
  <c r="J422" i="21"/>
  <c r="J421" i="21"/>
  <c r="J420" i="21"/>
  <c r="J419" i="21"/>
  <c r="J418" i="21"/>
  <c r="J417" i="21"/>
  <c r="J416" i="21"/>
  <c r="J415" i="21"/>
  <c r="J414" i="21"/>
  <c r="J413" i="21"/>
  <c r="J412" i="21"/>
  <c r="J411" i="21"/>
  <c r="J410" i="21"/>
  <c r="J409" i="21"/>
  <c r="J408" i="21"/>
  <c r="J407" i="21"/>
  <c r="J406" i="21"/>
  <c r="J405" i="21"/>
  <c r="J404" i="21"/>
  <c r="J403" i="21"/>
  <c r="J402" i="21"/>
  <c r="J401" i="21"/>
  <c r="J400" i="21"/>
  <c r="J399" i="21"/>
  <c r="J398" i="21"/>
  <c r="J397" i="21"/>
  <c r="J396" i="21"/>
  <c r="J395" i="21"/>
  <c r="J394" i="21"/>
  <c r="J393" i="21"/>
  <c r="J392" i="21"/>
  <c r="J391" i="21"/>
  <c r="J390" i="21"/>
  <c r="J389" i="21"/>
  <c r="J388" i="21"/>
  <c r="J387" i="21"/>
  <c r="J386" i="21"/>
  <c r="J385" i="21"/>
  <c r="J384" i="21"/>
  <c r="J383" i="21"/>
  <c r="J382" i="21"/>
  <c r="J381" i="21"/>
  <c r="J380" i="21"/>
  <c r="J379" i="21"/>
  <c r="J378" i="21"/>
  <c r="J377" i="21"/>
  <c r="J376" i="21"/>
  <c r="J375" i="21"/>
  <c r="J374" i="21"/>
  <c r="J373" i="21"/>
  <c r="J372" i="21"/>
  <c r="J371" i="21"/>
  <c r="J370" i="21"/>
  <c r="J369" i="21"/>
  <c r="J368" i="21"/>
  <c r="J367" i="21"/>
  <c r="J366" i="21"/>
  <c r="J365" i="21"/>
  <c r="J364" i="21"/>
  <c r="J363" i="21"/>
  <c r="J362" i="21"/>
  <c r="J361" i="21"/>
  <c r="J360" i="21"/>
  <c r="J359" i="21"/>
  <c r="J358" i="21"/>
  <c r="J357" i="21"/>
  <c r="J356" i="21"/>
  <c r="J355" i="21"/>
  <c r="J354" i="21"/>
  <c r="J353" i="21"/>
  <c r="J352" i="21"/>
  <c r="J351" i="21"/>
  <c r="J350" i="21"/>
  <c r="J349" i="21"/>
  <c r="J348" i="21"/>
  <c r="J347" i="21"/>
  <c r="J346" i="21"/>
  <c r="J345" i="21"/>
  <c r="J344" i="21"/>
  <c r="J343" i="21"/>
  <c r="J342" i="21"/>
  <c r="J341" i="21"/>
  <c r="J340" i="21"/>
  <c r="J339" i="21"/>
  <c r="J338" i="21"/>
  <c r="J337" i="21"/>
  <c r="J336" i="21"/>
  <c r="J335" i="21"/>
  <c r="J334" i="21"/>
  <c r="J333" i="21"/>
  <c r="J332" i="21"/>
  <c r="J331" i="21"/>
  <c r="J330" i="21"/>
  <c r="J329" i="21"/>
  <c r="J328" i="21"/>
  <c r="J327" i="21"/>
  <c r="J326" i="21"/>
  <c r="J325" i="21"/>
  <c r="J324" i="21"/>
  <c r="J323" i="21"/>
  <c r="J322" i="21"/>
  <c r="J321" i="21"/>
  <c r="J320" i="21"/>
  <c r="J319" i="21"/>
  <c r="J318" i="21"/>
  <c r="J317" i="21"/>
  <c r="J316" i="21"/>
  <c r="J315" i="21"/>
  <c r="J314" i="21"/>
  <c r="J313" i="21"/>
  <c r="J312" i="21"/>
  <c r="J311" i="21"/>
  <c r="J310" i="21"/>
  <c r="J309" i="21"/>
  <c r="J308" i="21"/>
  <c r="J307" i="21"/>
  <c r="J306" i="21"/>
  <c r="J305" i="21"/>
  <c r="J304" i="21"/>
  <c r="J303" i="21"/>
  <c r="J302" i="21"/>
  <c r="J301" i="21"/>
  <c r="J300" i="21"/>
  <c r="J299" i="21"/>
  <c r="J298" i="21"/>
  <c r="J297" i="21"/>
  <c r="J296" i="21"/>
  <c r="J295" i="21"/>
  <c r="J294" i="21"/>
  <c r="J293" i="21"/>
  <c r="J292" i="21"/>
  <c r="J291" i="21"/>
  <c r="J290" i="21"/>
  <c r="J289" i="21"/>
  <c r="J288" i="21"/>
  <c r="J287" i="21"/>
  <c r="J286" i="21"/>
  <c r="J285" i="21"/>
  <c r="J284" i="21"/>
  <c r="J283" i="21"/>
  <c r="J282" i="21"/>
  <c r="J281" i="21"/>
  <c r="J280" i="21"/>
  <c r="J279" i="21"/>
  <c r="J278" i="21"/>
  <c r="J277" i="21"/>
  <c r="J276" i="21"/>
  <c r="J275" i="21"/>
  <c r="J274" i="21"/>
  <c r="J273" i="21"/>
  <c r="J272" i="21"/>
  <c r="J271" i="21"/>
  <c r="J270" i="21"/>
  <c r="J269" i="21"/>
  <c r="J268" i="21"/>
  <c r="J267" i="21"/>
  <c r="J266" i="21"/>
  <c r="J265" i="21"/>
  <c r="J264" i="21"/>
  <c r="J263" i="21"/>
  <c r="J262" i="21"/>
  <c r="J261" i="21"/>
  <c r="J260" i="21"/>
  <c r="J259" i="21"/>
  <c r="J258" i="21"/>
  <c r="J257" i="21"/>
  <c r="J256" i="21"/>
  <c r="J255" i="21"/>
  <c r="J254" i="21"/>
  <c r="J253" i="21"/>
  <c r="J252" i="21"/>
  <c r="J251" i="21"/>
  <c r="J250" i="21"/>
  <c r="J249" i="21"/>
  <c r="J248" i="21"/>
  <c r="J247" i="21"/>
  <c r="J246" i="21"/>
  <c r="J245" i="21"/>
  <c r="J244" i="21"/>
  <c r="J243" i="21"/>
  <c r="J242" i="21"/>
  <c r="J241" i="21"/>
  <c r="J240" i="21"/>
  <c r="J239" i="21"/>
  <c r="J238" i="21"/>
  <c r="J237" i="21"/>
  <c r="J236" i="21"/>
  <c r="J235" i="21"/>
  <c r="J234" i="21"/>
  <c r="J233" i="21"/>
  <c r="J232" i="21"/>
  <c r="J231" i="21"/>
  <c r="J230" i="21"/>
  <c r="J229" i="21"/>
  <c r="J228" i="21"/>
  <c r="J227" i="21"/>
  <c r="J226" i="21"/>
  <c r="J225" i="21"/>
  <c r="J224" i="21"/>
  <c r="J223" i="21"/>
  <c r="J222" i="21"/>
  <c r="J221" i="21"/>
  <c r="J220" i="21"/>
  <c r="J219" i="21"/>
  <c r="J218" i="21"/>
  <c r="J217" i="21"/>
  <c r="J216" i="21"/>
  <c r="J215" i="21"/>
  <c r="J214" i="21"/>
  <c r="J213" i="21"/>
  <c r="J212" i="21"/>
  <c r="J211" i="21"/>
  <c r="J210" i="21"/>
  <c r="J209" i="21"/>
  <c r="J208" i="21"/>
  <c r="J207" i="21"/>
  <c r="J206" i="21"/>
  <c r="J205" i="21"/>
  <c r="J204" i="21"/>
  <c r="J203" i="21"/>
  <c r="J202" i="21"/>
  <c r="J201" i="21"/>
  <c r="J200" i="21"/>
  <c r="J199" i="21"/>
  <c r="J198" i="21"/>
  <c r="J197" i="21"/>
  <c r="J196" i="21"/>
  <c r="J195" i="21"/>
  <c r="J194" i="21"/>
  <c r="J193" i="21"/>
  <c r="J192" i="21"/>
  <c r="J191" i="21"/>
  <c r="J190" i="21"/>
  <c r="J189" i="21"/>
  <c r="J188" i="21"/>
  <c r="J187" i="21"/>
  <c r="J186" i="21"/>
  <c r="J185" i="21"/>
  <c r="J184" i="21"/>
  <c r="J183" i="21"/>
  <c r="J182" i="21"/>
  <c r="J181" i="21"/>
  <c r="J180" i="21"/>
  <c r="J179" i="21"/>
  <c r="J178" i="21"/>
  <c r="J177" i="21"/>
  <c r="J176" i="21"/>
  <c r="J175" i="21"/>
  <c r="J174" i="21"/>
  <c r="J173" i="21"/>
  <c r="J172" i="21"/>
  <c r="J171" i="21"/>
  <c r="J170" i="21"/>
  <c r="J169" i="21"/>
  <c r="J168" i="21"/>
  <c r="J167" i="21"/>
  <c r="J166" i="21"/>
  <c r="J165" i="21"/>
  <c r="J164" i="21"/>
  <c r="J163" i="21"/>
  <c r="J162" i="21"/>
  <c r="J161" i="21"/>
  <c r="J160" i="21"/>
  <c r="J159" i="21"/>
  <c r="J158" i="21"/>
  <c r="J157" i="21"/>
  <c r="J156" i="21"/>
  <c r="J155" i="21"/>
  <c r="J154" i="21"/>
  <c r="J153" i="21"/>
  <c r="J152" i="21"/>
  <c r="J151" i="21"/>
  <c r="J150" i="21"/>
  <c r="J149" i="21"/>
  <c r="J148" i="21"/>
  <c r="J147" i="21"/>
  <c r="J146" i="21"/>
  <c r="J145" i="21"/>
  <c r="J144" i="21"/>
  <c r="J143" i="21"/>
  <c r="J142" i="21"/>
  <c r="J141" i="21"/>
  <c r="J140" i="21"/>
  <c r="J139" i="21"/>
  <c r="J138" i="21"/>
  <c r="J137" i="21"/>
  <c r="J136" i="21"/>
  <c r="J135" i="21"/>
  <c r="J134" i="21"/>
  <c r="J133" i="21"/>
  <c r="J132" i="21"/>
  <c r="J131" i="21"/>
  <c r="J130" i="21"/>
  <c r="J129" i="21"/>
  <c r="J128" i="21"/>
  <c r="J127" i="21"/>
  <c r="J126" i="21"/>
  <c r="J125" i="21"/>
  <c r="J124" i="21"/>
  <c r="J123" i="21"/>
  <c r="J122" i="21"/>
  <c r="J121" i="21"/>
  <c r="J120" i="21"/>
  <c r="J119" i="21"/>
  <c r="J118" i="21"/>
  <c r="J117" i="21"/>
  <c r="J116" i="21"/>
  <c r="J115" i="21"/>
  <c r="J114" i="21"/>
  <c r="J113" i="21"/>
  <c r="J112" i="21"/>
  <c r="J111" i="21"/>
  <c r="J110" i="21"/>
  <c r="J109" i="21"/>
  <c r="J108" i="21"/>
  <c r="J107" i="21"/>
  <c r="J106" i="21"/>
  <c r="J105" i="21"/>
  <c r="J104" i="21"/>
  <c r="J103" i="21"/>
  <c r="J102" i="21"/>
  <c r="J101" i="21"/>
  <c r="J100" i="21"/>
  <c r="J99" i="21"/>
  <c r="J98" i="21"/>
  <c r="J97" i="21"/>
  <c r="J96" i="21"/>
  <c r="J95" i="21"/>
  <c r="J94" i="21"/>
  <c r="J93" i="21"/>
  <c r="J92" i="21"/>
  <c r="J91" i="21"/>
  <c r="J90" i="21"/>
  <c r="J89" i="21"/>
  <c r="J88" i="21"/>
  <c r="J87" i="21"/>
  <c r="J86" i="21"/>
  <c r="J85" i="21"/>
  <c r="J84" i="21"/>
  <c r="J83" i="21"/>
  <c r="J82" i="21"/>
  <c r="J81" i="21"/>
  <c r="J80" i="21"/>
  <c r="J79" i="21"/>
  <c r="J78" i="21"/>
  <c r="I196" i="11" s="1"/>
  <c r="J196" i="11" s="1"/>
  <c r="J77" i="21"/>
  <c r="J76" i="21"/>
  <c r="J75" i="21"/>
  <c r="J74" i="21"/>
  <c r="J73" i="21"/>
  <c r="J72" i="21"/>
  <c r="J71" i="21"/>
  <c r="J70" i="21"/>
  <c r="J69" i="21"/>
  <c r="J68" i="21"/>
  <c r="J67" i="21"/>
  <c r="J66" i="21"/>
  <c r="J65" i="21"/>
  <c r="J64" i="21"/>
  <c r="J63" i="21"/>
  <c r="J62" i="21"/>
  <c r="J61" i="21"/>
  <c r="J60" i="21"/>
  <c r="J59" i="21"/>
  <c r="J58" i="21"/>
  <c r="J57" i="21"/>
  <c r="J56" i="21"/>
  <c r="J55" i="21"/>
  <c r="J54" i="21"/>
  <c r="J53" i="21"/>
  <c r="J52" i="21"/>
  <c r="J51" i="21"/>
  <c r="J50" i="21"/>
  <c r="J49" i="21"/>
  <c r="J48" i="21"/>
  <c r="J47" i="21"/>
  <c r="J46" i="21"/>
  <c r="J45" i="21"/>
  <c r="J44" i="21"/>
  <c r="J43" i="21"/>
  <c r="J42" i="21"/>
  <c r="J41" i="21"/>
  <c r="J40" i="21"/>
  <c r="J39" i="21"/>
  <c r="J38" i="21"/>
  <c r="J37" i="21"/>
  <c r="J36" i="21"/>
  <c r="J35" i="21"/>
  <c r="J34" i="21"/>
  <c r="J33" i="21"/>
  <c r="J32" i="21"/>
  <c r="J31" i="21"/>
  <c r="J30" i="21"/>
  <c r="J29" i="21"/>
  <c r="J28" i="21"/>
  <c r="J27" i="21"/>
  <c r="J26" i="21"/>
  <c r="J25" i="21"/>
  <c r="J24" i="21"/>
  <c r="J23" i="21"/>
  <c r="J22" i="21"/>
  <c r="J21" i="21"/>
  <c r="J20" i="21"/>
  <c r="J19" i="21"/>
  <c r="J18" i="21"/>
  <c r="J17" i="21"/>
  <c r="J16" i="21"/>
  <c r="J15" i="21"/>
  <c r="J14" i="21"/>
  <c r="J13" i="21"/>
  <c r="J12" i="21"/>
  <c r="J11" i="21"/>
  <c r="J10" i="21"/>
  <c r="J9" i="21"/>
  <c r="J8" i="21"/>
  <c r="J7" i="21"/>
  <c r="J6" i="21"/>
  <c r="J5" i="21"/>
  <c r="J4" i="21"/>
  <c r="J3" i="21"/>
  <c r="J2" i="21"/>
  <c r="L465" i="11" l="1"/>
  <c r="N465" i="11" s="1"/>
  <c r="O465" i="11"/>
  <c r="P465" i="11" s="1"/>
  <c r="I462" i="11"/>
  <c r="J462" i="11" s="1"/>
  <c r="I463" i="11"/>
  <c r="J463" i="11" s="1"/>
  <c r="I464" i="11"/>
  <c r="J464" i="11" s="1"/>
  <c r="I461" i="11"/>
  <c r="J461" i="11" s="1"/>
  <c r="I229" i="11"/>
  <c r="J229" i="11" s="1"/>
  <c r="I228" i="11"/>
  <c r="J228" i="11" s="1"/>
  <c r="I227" i="11"/>
  <c r="J227" i="11" s="1"/>
  <c r="I432" i="11"/>
  <c r="J432" i="11" s="1"/>
  <c r="I431" i="11"/>
  <c r="J431" i="11" s="1"/>
  <c r="I430" i="11"/>
  <c r="J430" i="11" s="1"/>
  <c r="I415" i="11"/>
  <c r="J415" i="11" s="1"/>
  <c r="I414" i="11"/>
  <c r="J414" i="11" s="1"/>
  <c r="I413" i="11"/>
  <c r="J413" i="11" s="1"/>
  <c r="I400" i="11"/>
  <c r="J400" i="11" s="1"/>
  <c r="I399" i="11"/>
  <c r="J399" i="11" s="1"/>
  <c r="I398" i="11"/>
  <c r="J398" i="11" s="1"/>
  <c r="I88" i="11"/>
  <c r="J88" i="11" s="1"/>
  <c r="I87" i="11"/>
  <c r="J87" i="11" s="1"/>
  <c r="I86" i="11"/>
  <c r="J86" i="11" s="1"/>
  <c r="I249" i="11"/>
  <c r="J249" i="11" s="1"/>
  <c r="O249" i="11" s="1"/>
  <c r="P249" i="11" s="1"/>
  <c r="I265" i="11"/>
  <c r="J265" i="11" s="1"/>
  <c r="I266" i="11"/>
  <c r="J266" i="11" s="1"/>
  <c r="I264" i="11"/>
  <c r="J264" i="11" s="1"/>
  <c r="L196" i="11"/>
  <c r="N196" i="11" s="1"/>
  <c r="O196" i="11"/>
  <c r="P196" i="11" s="1"/>
  <c r="I194" i="11"/>
  <c r="J194" i="11" s="1"/>
  <c r="L194" i="11" s="1"/>
  <c r="N194" i="11" s="1"/>
  <c r="I195" i="11"/>
  <c r="J195" i="11" s="1"/>
  <c r="L502" i="11"/>
  <c r="N502" i="11" s="1"/>
  <c r="O502" i="11"/>
  <c r="P502" i="11" s="1"/>
  <c r="I507" i="11"/>
  <c r="J507" i="11" s="1"/>
  <c r="I506" i="11"/>
  <c r="J506" i="11" s="1"/>
  <c r="I503" i="11"/>
  <c r="J503" i="11" s="1"/>
  <c r="I504" i="11"/>
  <c r="J504" i="11" s="1"/>
  <c r="I505" i="11"/>
  <c r="J505" i="11" s="1"/>
  <c r="I155" i="11"/>
  <c r="J155" i="11" s="1"/>
  <c r="I156" i="11"/>
  <c r="J156" i="11" s="1"/>
  <c r="I157" i="11"/>
  <c r="J157" i="11" s="1"/>
  <c r="I158" i="11"/>
  <c r="J158" i="11" s="1"/>
  <c r="I153" i="11"/>
  <c r="J153" i="11" s="1"/>
  <c r="I154" i="11"/>
  <c r="J154" i="11" s="1"/>
  <c r="I23" i="11"/>
  <c r="J23" i="11" s="1"/>
  <c r="I24" i="11"/>
  <c r="J24" i="11" s="1"/>
  <c r="I28" i="11"/>
  <c r="J28" i="11" s="1"/>
  <c r="I25" i="11"/>
  <c r="J25" i="11" s="1"/>
  <c r="I27" i="11"/>
  <c r="J27" i="11" s="1"/>
  <c r="I26" i="11"/>
  <c r="J26" i="11" s="1"/>
  <c r="I523" i="11"/>
  <c r="J523" i="11" s="1"/>
  <c r="I524" i="11"/>
  <c r="J524" i="11" s="1"/>
  <c r="I522" i="11"/>
  <c r="J522" i="11" s="1"/>
  <c r="I525" i="11"/>
  <c r="J525" i="11" s="1"/>
  <c r="I247" i="11"/>
  <c r="J247" i="11" s="1"/>
  <c r="I242" i="11"/>
  <c r="J242" i="11" s="1"/>
  <c r="I246" i="11"/>
  <c r="J246" i="11" s="1"/>
  <c r="I243" i="11"/>
  <c r="J243" i="11" s="1"/>
  <c r="I244" i="11"/>
  <c r="J244" i="11" s="1"/>
  <c r="I245" i="11"/>
  <c r="J245" i="11" s="1"/>
  <c r="I138" i="11"/>
  <c r="J138" i="11" s="1"/>
  <c r="I133" i="11"/>
  <c r="J133" i="11" s="1"/>
  <c r="I137" i="11"/>
  <c r="J137" i="11" s="1"/>
  <c r="I134" i="11"/>
  <c r="J134" i="11" s="1"/>
  <c r="I135" i="11"/>
  <c r="J135" i="11" s="1"/>
  <c r="I136" i="11"/>
  <c r="J136" i="11" s="1"/>
  <c r="I61" i="11"/>
  <c r="J61" i="11" s="1"/>
  <c r="I62" i="11"/>
  <c r="J62" i="11" s="1"/>
  <c r="I63" i="11"/>
  <c r="J63" i="11" s="1"/>
  <c r="I59" i="11"/>
  <c r="J59" i="11" s="1"/>
  <c r="I64" i="11"/>
  <c r="J64" i="11" s="1"/>
  <c r="I60" i="11"/>
  <c r="J60" i="11" s="1"/>
  <c r="I307" i="11"/>
  <c r="J307" i="11" s="1"/>
  <c r="I306" i="11"/>
  <c r="J306" i="11" s="1"/>
  <c r="I305" i="11"/>
  <c r="J305" i="11" s="1"/>
  <c r="I304" i="11"/>
  <c r="J304" i="11" s="1"/>
  <c r="I303" i="11"/>
  <c r="J303" i="11" s="1"/>
  <c r="I302" i="11"/>
  <c r="J302" i="11" s="1"/>
  <c r="I22" i="11"/>
  <c r="J22" i="11" s="1"/>
  <c r="I21" i="11"/>
  <c r="J21" i="11" s="1"/>
  <c r="I120" i="11"/>
  <c r="J120" i="11" s="1"/>
  <c r="I116" i="11"/>
  <c r="J116" i="11" s="1"/>
  <c r="I117" i="11"/>
  <c r="J117" i="11" s="1"/>
  <c r="I118" i="11"/>
  <c r="J118" i="11" s="1"/>
  <c r="I119" i="11"/>
  <c r="J119" i="11" s="1"/>
  <c r="I103" i="11"/>
  <c r="J103" i="11" s="1"/>
  <c r="I99" i="11"/>
  <c r="J99" i="11" s="1"/>
  <c r="I100" i="11"/>
  <c r="J100" i="11" s="1"/>
  <c r="I102" i="11"/>
  <c r="J102" i="11" s="1"/>
  <c r="I101" i="11"/>
  <c r="J101" i="11" s="1"/>
  <c r="I457" i="11"/>
  <c r="J457" i="11" s="1"/>
  <c r="I455" i="11"/>
  <c r="J455" i="11" s="1"/>
  <c r="I453" i="11"/>
  <c r="J453" i="11" s="1"/>
  <c r="I454" i="11"/>
  <c r="J454" i="11" s="1"/>
  <c r="I456" i="11"/>
  <c r="J456" i="11" s="1"/>
  <c r="I520" i="11"/>
  <c r="J520" i="11" s="1"/>
  <c r="O520" i="11" s="1"/>
  <c r="P520" i="11" s="1"/>
  <c r="I521" i="11"/>
  <c r="J521" i="11" s="1"/>
  <c r="I161" i="11"/>
  <c r="J161" i="11" s="1"/>
  <c r="I162" i="11"/>
  <c r="J162" i="11" s="1"/>
  <c r="I163" i="11"/>
  <c r="J163" i="11" s="1"/>
  <c r="I159" i="11"/>
  <c r="J159" i="11" s="1"/>
  <c r="I160" i="11"/>
  <c r="J160" i="11" s="1"/>
  <c r="I45" i="11"/>
  <c r="J45" i="11" s="1"/>
  <c r="I41" i="11"/>
  <c r="J41" i="11" s="1"/>
  <c r="I42" i="11"/>
  <c r="J42" i="11" s="1"/>
  <c r="I43" i="11"/>
  <c r="J43" i="11" s="1"/>
  <c r="I44" i="11"/>
  <c r="J44" i="11" s="1"/>
  <c r="I488" i="11"/>
  <c r="J488" i="11" s="1"/>
  <c r="I489" i="11"/>
  <c r="J489" i="11" s="1"/>
  <c r="I490" i="11"/>
  <c r="J490" i="11" s="1"/>
  <c r="I487" i="11"/>
  <c r="J487" i="11" s="1"/>
  <c r="I491" i="11"/>
  <c r="J491" i="11" s="1"/>
  <c r="L356" i="11"/>
  <c r="N356" i="11" s="1"/>
  <c r="O356" i="11"/>
  <c r="P356" i="11" s="1"/>
  <c r="I355" i="11"/>
  <c r="J355" i="11" s="1"/>
  <c r="I352" i="11"/>
  <c r="J352" i="11" s="1"/>
  <c r="I354" i="11"/>
  <c r="J354" i="11" s="1"/>
  <c r="I353" i="11"/>
  <c r="J353" i="11" s="1"/>
  <c r="I433" i="11"/>
  <c r="J433" i="11" s="1"/>
  <c r="O433" i="11" s="1"/>
  <c r="P433" i="11" s="1"/>
  <c r="I435" i="11"/>
  <c r="J435" i="11" s="1"/>
  <c r="I437" i="11"/>
  <c r="J437" i="11" s="1"/>
  <c r="I436" i="11"/>
  <c r="J436" i="11" s="1"/>
  <c r="I434" i="11"/>
  <c r="J434" i="11" s="1"/>
  <c r="I458" i="11"/>
  <c r="J458" i="11" s="1"/>
  <c r="O458" i="11" s="1"/>
  <c r="P458" i="11" s="1"/>
  <c r="I460" i="11"/>
  <c r="J460" i="11" s="1"/>
  <c r="I459" i="11"/>
  <c r="J459" i="11" s="1"/>
  <c r="I84" i="11"/>
  <c r="J84" i="11" s="1"/>
  <c r="I85" i="11"/>
  <c r="J85" i="11" s="1"/>
  <c r="I429" i="11"/>
  <c r="J429" i="11" s="1"/>
  <c r="I427" i="11"/>
  <c r="J427" i="11" s="1"/>
  <c r="I428" i="11"/>
  <c r="J428" i="11" s="1"/>
  <c r="I397" i="11"/>
  <c r="J397" i="11" s="1"/>
  <c r="I395" i="11"/>
  <c r="J395" i="11" s="1"/>
  <c r="I396" i="11"/>
  <c r="J396" i="11" s="1"/>
  <c r="I182" i="11"/>
  <c r="J182" i="11" s="1"/>
  <c r="I177" i="11"/>
  <c r="J177" i="11" s="1"/>
  <c r="I181" i="11"/>
  <c r="J181" i="11" s="1"/>
  <c r="I178" i="11"/>
  <c r="J178" i="11" s="1"/>
  <c r="I179" i="11"/>
  <c r="J179" i="11" s="1"/>
  <c r="I180" i="11"/>
  <c r="J180" i="11" s="1"/>
  <c r="I281" i="11"/>
  <c r="J281" i="11" s="1"/>
  <c r="I282" i="11"/>
  <c r="J282" i="11" s="1"/>
  <c r="I283" i="11"/>
  <c r="J283" i="11" s="1"/>
  <c r="I284" i="11"/>
  <c r="J284" i="11" s="1"/>
  <c r="I279" i="11"/>
  <c r="J279" i="11" s="1"/>
  <c r="I280" i="11"/>
  <c r="J280" i="11" s="1"/>
  <c r="I210" i="11"/>
  <c r="J210" i="11" s="1"/>
  <c r="I211" i="11"/>
  <c r="J211" i="11" s="1"/>
  <c r="I212" i="11"/>
  <c r="J212" i="11" s="1"/>
  <c r="I213" i="11"/>
  <c r="J213" i="11" s="1"/>
  <c r="I208" i="11"/>
  <c r="J208" i="11" s="1"/>
  <c r="I209" i="11"/>
  <c r="J209" i="11" s="1"/>
  <c r="I380" i="11"/>
  <c r="J380" i="11" s="1"/>
  <c r="I382" i="11"/>
  <c r="J382" i="11" s="1"/>
  <c r="I381" i="11"/>
  <c r="J381" i="11" s="1"/>
  <c r="I383" i="11"/>
  <c r="J383" i="11" s="1"/>
  <c r="I379" i="11"/>
  <c r="J379" i="11" s="1"/>
  <c r="I378" i="11"/>
  <c r="J378" i="11" s="1"/>
  <c r="I336" i="11"/>
  <c r="J336" i="11" s="1"/>
  <c r="I337" i="11"/>
  <c r="J337" i="11" s="1"/>
  <c r="I338" i="11"/>
  <c r="J338" i="11" s="1"/>
  <c r="I339" i="11"/>
  <c r="J339" i="11" s="1"/>
  <c r="I334" i="11"/>
  <c r="J334" i="11" s="1"/>
  <c r="I335" i="11"/>
  <c r="J335" i="11" s="1"/>
  <c r="I298" i="11"/>
  <c r="J298" i="11" s="1"/>
  <c r="I297" i="11"/>
  <c r="J297" i="11" s="1"/>
  <c r="I299" i="11"/>
  <c r="J299" i="11" s="1"/>
  <c r="I300" i="11"/>
  <c r="J300" i="11" s="1"/>
  <c r="I301" i="11"/>
  <c r="J301" i="11" s="1"/>
  <c r="I296" i="11"/>
  <c r="J296" i="11" s="1"/>
  <c r="I319" i="11"/>
  <c r="J319" i="11" s="1"/>
  <c r="I320" i="11"/>
  <c r="J320" i="11" s="1"/>
  <c r="I321" i="11"/>
  <c r="J321" i="11" s="1"/>
  <c r="I322" i="11"/>
  <c r="J322" i="11" s="1"/>
  <c r="I317" i="11"/>
  <c r="J317" i="11" s="1"/>
  <c r="I318" i="11"/>
  <c r="J318" i="11" s="1"/>
  <c r="I70" i="11"/>
  <c r="J70" i="11" s="1"/>
  <c r="I71" i="11"/>
  <c r="J71" i="11" s="1"/>
  <c r="I72" i="11"/>
  <c r="J72" i="11" s="1"/>
  <c r="I73" i="11"/>
  <c r="J73" i="11" s="1"/>
  <c r="I68" i="11"/>
  <c r="J68" i="11" s="1"/>
  <c r="I69" i="11"/>
  <c r="J69" i="11" s="1"/>
  <c r="I468" i="11"/>
  <c r="J468" i="11" s="1"/>
  <c r="I474" i="11"/>
  <c r="J474" i="11" s="1"/>
  <c r="I469" i="11"/>
  <c r="J469" i="11" s="1"/>
  <c r="I470" i="11"/>
  <c r="J470" i="11" s="1"/>
  <c r="I471" i="11"/>
  <c r="J471" i="11" s="1"/>
  <c r="I473" i="11"/>
  <c r="J473" i="11" s="1"/>
  <c r="I466" i="11"/>
  <c r="J466" i="11" s="1"/>
  <c r="I472" i="11"/>
  <c r="J472" i="11" s="1"/>
  <c r="I467" i="11"/>
  <c r="J467" i="11" s="1"/>
  <c r="I542" i="11"/>
  <c r="J542" i="11" s="1"/>
  <c r="I540" i="11"/>
  <c r="J540" i="11" s="1"/>
  <c r="I539" i="11"/>
  <c r="J539" i="11" s="1"/>
  <c r="I541" i="11"/>
  <c r="J541" i="11" s="1"/>
  <c r="I537" i="11"/>
  <c r="J537" i="11" s="1"/>
  <c r="O537" i="11" s="1"/>
  <c r="P537" i="11" s="1"/>
  <c r="I538" i="11"/>
  <c r="J538" i="11" s="1"/>
  <c r="I57" i="11"/>
  <c r="J57" i="11" s="1"/>
  <c r="I56" i="11"/>
  <c r="J56" i="11" s="1"/>
  <c r="I58" i="11"/>
  <c r="J58" i="11" s="1"/>
  <c r="I54" i="11"/>
  <c r="J54" i="11" s="1"/>
  <c r="I55" i="11"/>
  <c r="J55" i="11" s="1"/>
  <c r="I19" i="11"/>
  <c r="J19" i="11" s="1"/>
  <c r="I20" i="11"/>
  <c r="J20" i="11" s="1"/>
  <c r="I191" i="11"/>
  <c r="J191" i="11" s="1"/>
  <c r="I192" i="11"/>
  <c r="J192" i="11" s="1"/>
  <c r="I193" i="11"/>
  <c r="J193" i="11" s="1"/>
  <c r="I189" i="11"/>
  <c r="J189" i="11" s="1"/>
  <c r="I190" i="11"/>
  <c r="J190" i="11" s="1"/>
  <c r="I277" i="11"/>
  <c r="J277" i="11" s="1"/>
  <c r="I278" i="11"/>
  <c r="J278" i="11" s="1"/>
  <c r="I115" i="11"/>
  <c r="J115" i="11" s="1"/>
  <c r="I113" i="11"/>
  <c r="J113" i="11" s="1"/>
  <c r="I114" i="11"/>
  <c r="J114" i="11" s="1"/>
  <c r="I230" i="11"/>
  <c r="J230" i="11" s="1"/>
  <c r="I235" i="11"/>
  <c r="J235" i="11" s="1"/>
  <c r="I232" i="11"/>
  <c r="J232" i="11" s="1"/>
  <c r="I237" i="11"/>
  <c r="J237" i="11" s="1"/>
  <c r="I234" i="11"/>
  <c r="J234" i="11" s="1"/>
  <c r="I239" i="11"/>
  <c r="J239" i="11" s="1"/>
  <c r="I241" i="11"/>
  <c r="J241" i="11" s="1"/>
  <c r="I233" i="11"/>
  <c r="J233" i="11" s="1"/>
  <c r="I238" i="11"/>
  <c r="J238" i="11" s="1"/>
  <c r="I231" i="11"/>
  <c r="J231" i="11" s="1"/>
  <c r="I240" i="11"/>
  <c r="J240" i="11" s="1"/>
  <c r="I236" i="11"/>
  <c r="J236" i="11" s="1"/>
  <c r="I440" i="11"/>
  <c r="J440" i="11" s="1"/>
  <c r="I439" i="11"/>
  <c r="J439" i="11" s="1"/>
  <c r="I441" i="11"/>
  <c r="J441" i="11" s="1"/>
  <c r="I442" i="11"/>
  <c r="J442" i="11" s="1"/>
  <c r="I438" i="11"/>
  <c r="J438" i="11" s="1"/>
  <c r="I174" i="11"/>
  <c r="J174" i="11" s="1"/>
  <c r="I175" i="11"/>
  <c r="J175" i="11" s="1"/>
  <c r="I176" i="11"/>
  <c r="J176" i="11" s="1"/>
  <c r="I173" i="11"/>
  <c r="J173" i="11" s="1"/>
  <c r="I172" i="11"/>
  <c r="J172" i="11" s="1"/>
  <c r="I168" i="11"/>
  <c r="J168" i="11" s="1"/>
  <c r="I170" i="11"/>
  <c r="J170" i="11" s="1"/>
  <c r="I171" i="11"/>
  <c r="J171" i="11" s="1"/>
  <c r="I166" i="11"/>
  <c r="J166" i="11" s="1"/>
  <c r="I167" i="11"/>
  <c r="J167" i="11" s="1"/>
  <c r="I169" i="11"/>
  <c r="J169" i="11" s="1"/>
  <c r="I77" i="11"/>
  <c r="J77" i="11" s="1"/>
  <c r="I81" i="11"/>
  <c r="J81" i="11" s="1"/>
  <c r="I76" i="11"/>
  <c r="J76" i="11" s="1"/>
  <c r="I80" i="11"/>
  <c r="J80" i="11" s="1"/>
  <c r="I75" i="11"/>
  <c r="J75" i="11" s="1"/>
  <c r="I79" i="11"/>
  <c r="J79" i="11" s="1"/>
  <c r="I83" i="11"/>
  <c r="J83" i="11" s="1"/>
  <c r="I74" i="11"/>
  <c r="J74" i="11" s="1"/>
  <c r="I78" i="11"/>
  <c r="J78" i="11" s="1"/>
  <c r="I82" i="11"/>
  <c r="J82" i="11" s="1"/>
  <c r="I276" i="11"/>
  <c r="J276" i="11" s="1"/>
  <c r="I274" i="11"/>
  <c r="J274" i="11" s="1"/>
  <c r="I275" i="11"/>
  <c r="J275" i="11" s="1"/>
  <c r="I219" i="11"/>
  <c r="J219" i="11" s="1"/>
  <c r="I217" i="11"/>
  <c r="J217" i="11" s="1"/>
  <c r="I220" i="11"/>
  <c r="J220" i="11" s="1"/>
  <c r="I215" i="11"/>
  <c r="J215" i="11" s="1"/>
  <c r="I224" i="11"/>
  <c r="J224" i="11" s="1"/>
  <c r="I226" i="11"/>
  <c r="J226" i="11" s="1"/>
  <c r="I218" i="11"/>
  <c r="J218" i="11" s="1"/>
  <c r="I221" i="11"/>
  <c r="J221" i="11" s="1"/>
  <c r="I223" i="11"/>
  <c r="J223" i="11" s="1"/>
  <c r="I216" i="11"/>
  <c r="J216" i="11" s="1"/>
  <c r="I214" i="11"/>
  <c r="J214" i="11" s="1"/>
  <c r="I225" i="11"/>
  <c r="J225" i="11" s="1"/>
  <c r="I222" i="11"/>
  <c r="J222" i="11" s="1"/>
  <c r="I104" i="11"/>
  <c r="J104" i="11" s="1"/>
  <c r="I106" i="11"/>
  <c r="J106" i="11" s="1"/>
  <c r="I108" i="11"/>
  <c r="J108" i="11" s="1"/>
  <c r="I110" i="11"/>
  <c r="J110" i="11" s="1"/>
  <c r="I112" i="11"/>
  <c r="J112" i="11" s="1"/>
  <c r="I105" i="11"/>
  <c r="J105" i="11" s="1"/>
  <c r="I109" i="11"/>
  <c r="J109" i="11" s="1"/>
  <c r="I107" i="11"/>
  <c r="J107" i="11" s="1"/>
  <c r="I111" i="11"/>
  <c r="J111" i="11" s="1"/>
  <c r="I285" i="11"/>
  <c r="J285" i="11" s="1"/>
  <c r="I287" i="11"/>
  <c r="J287" i="11" s="1"/>
  <c r="I289" i="11"/>
  <c r="J289" i="11" s="1"/>
  <c r="I295" i="11"/>
  <c r="J295" i="11" s="1"/>
  <c r="I288" i="11"/>
  <c r="J288" i="11" s="1"/>
  <c r="I290" i="11"/>
  <c r="J290" i="11" s="1"/>
  <c r="I292" i="11"/>
  <c r="J292" i="11" s="1"/>
  <c r="I293" i="11"/>
  <c r="J293" i="11" s="1"/>
  <c r="I294" i="11"/>
  <c r="J294" i="11" s="1"/>
  <c r="I286" i="11"/>
  <c r="J286" i="11" s="1"/>
  <c r="I291" i="11"/>
  <c r="J291" i="11" s="1"/>
  <c r="I327" i="11"/>
  <c r="J327" i="11" s="1"/>
  <c r="I331" i="11"/>
  <c r="J331" i="11" s="1"/>
  <c r="I329" i="11"/>
  <c r="J329" i="11" s="1"/>
  <c r="I333" i="11"/>
  <c r="J333" i="11" s="1"/>
  <c r="I325" i="11"/>
  <c r="J325" i="11" s="1"/>
  <c r="I323" i="11"/>
  <c r="J323" i="11" s="1"/>
  <c r="I328" i="11"/>
  <c r="J328" i="11" s="1"/>
  <c r="I326" i="11"/>
  <c r="J326" i="11" s="1"/>
  <c r="I330" i="11"/>
  <c r="J330" i="11" s="1"/>
  <c r="I332" i="11"/>
  <c r="J332" i="11" s="1"/>
  <c r="I324" i="11"/>
  <c r="J324" i="11" s="1"/>
  <c r="I164" i="11"/>
  <c r="J164" i="11" s="1"/>
  <c r="I165" i="11"/>
  <c r="J165" i="11" s="1"/>
  <c r="I10" i="11"/>
  <c r="J10" i="11" s="1"/>
  <c r="I15" i="11"/>
  <c r="J15" i="11" s="1"/>
  <c r="I18" i="11"/>
  <c r="J18" i="11" s="1"/>
  <c r="I12" i="11"/>
  <c r="J12" i="11" s="1"/>
  <c r="I14" i="11"/>
  <c r="J14" i="11" s="1"/>
  <c r="I17" i="11"/>
  <c r="J17" i="11" s="1"/>
  <c r="I11" i="11"/>
  <c r="J11" i="11" s="1"/>
  <c r="I16" i="11"/>
  <c r="J16" i="11" s="1"/>
  <c r="I13" i="11"/>
  <c r="J13" i="11" s="1"/>
  <c r="I384" i="11"/>
  <c r="J384" i="11" s="1"/>
  <c r="I385" i="11"/>
  <c r="J385" i="11" s="1"/>
  <c r="I386" i="11"/>
  <c r="J386" i="11" s="1"/>
  <c r="I387" i="11"/>
  <c r="J387" i="11" s="1"/>
  <c r="I388" i="11"/>
  <c r="J388" i="11" s="1"/>
  <c r="I389" i="11"/>
  <c r="J389" i="11" s="1"/>
  <c r="I390" i="11"/>
  <c r="J390" i="11" s="1"/>
  <c r="I391" i="11"/>
  <c r="J391" i="11" s="1"/>
  <c r="I392" i="11"/>
  <c r="J392" i="11" s="1"/>
  <c r="I393" i="11"/>
  <c r="J393" i="11" s="1"/>
  <c r="I394" i="11"/>
  <c r="J394" i="11" s="1"/>
  <c r="I371" i="11"/>
  <c r="J371" i="11" s="1"/>
  <c r="I370" i="11"/>
  <c r="J370" i="11" s="1"/>
  <c r="I368" i="11"/>
  <c r="J368" i="11" s="1"/>
  <c r="I367" i="11"/>
  <c r="J367" i="11" s="1"/>
  <c r="I377" i="11"/>
  <c r="J377" i="11" s="1"/>
  <c r="I375" i="11"/>
  <c r="J375" i="11" s="1"/>
  <c r="I374" i="11"/>
  <c r="J374" i="11" s="1"/>
  <c r="I372" i="11"/>
  <c r="J372" i="11" s="1"/>
  <c r="I373" i="11"/>
  <c r="J373" i="11" s="1"/>
  <c r="I376" i="11"/>
  <c r="J376" i="11" s="1"/>
  <c r="I369" i="11"/>
  <c r="J369" i="11" s="1"/>
  <c r="I341" i="11"/>
  <c r="J341" i="11" s="1"/>
  <c r="I345" i="11"/>
  <c r="J345" i="11" s="1"/>
  <c r="I349" i="11"/>
  <c r="J349" i="11" s="1"/>
  <c r="I343" i="11"/>
  <c r="J343" i="11" s="1"/>
  <c r="I347" i="11"/>
  <c r="J347" i="11" s="1"/>
  <c r="I348" i="11"/>
  <c r="J348" i="11" s="1"/>
  <c r="I350" i="11"/>
  <c r="J350" i="11" s="1"/>
  <c r="I340" i="11"/>
  <c r="J340" i="11" s="1"/>
  <c r="I342" i="11"/>
  <c r="J342" i="11" s="1"/>
  <c r="I344" i="11"/>
  <c r="J344" i="11" s="1"/>
  <c r="I351" i="11"/>
  <c r="J351" i="11" s="1"/>
  <c r="I346" i="11"/>
  <c r="J346" i="11" s="1"/>
  <c r="I401" i="11"/>
  <c r="J401" i="11" s="1"/>
  <c r="I402" i="11"/>
  <c r="J402" i="11" s="1"/>
  <c r="I403" i="11"/>
  <c r="J403" i="11" s="1"/>
  <c r="I404" i="11"/>
  <c r="J404" i="11" s="1"/>
  <c r="I406" i="11"/>
  <c r="J406" i="11" s="1"/>
  <c r="I410" i="11"/>
  <c r="J410" i="11" s="1"/>
  <c r="I405" i="11"/>
  <c r="J405" i="11" s="1"/>
  <c r="I409" i="11"/>
  <c r="J409" i="11" s="1"/>
  <c r="I408" i="11"/>
  <c r="J408" i="11" s="1"/>
  <c r="I412" i="11"/>
  <c r="J412" i="11" s="1"/>
  <c r="I407" i="11"/>
  <c r="J407" i="11" s="1"/>
  <c r="I411" i="11"/>
  <c r="J411" i="11" s="1"/>
  <c r="I67" i="11"/>
  <c r="J67" i="11" s="1"/>
  <c r="I66" i="11"/>
  <c r="J66" i="11" s="1"/>
  <c r="I65" i="11"/>
  <c r="J65" i="11" s="1"/>
  <c r="I140" i="11"/>
  <c r="J140" i="11" s="1"/>
  <c r="I145" i="11"/>
  <c r="J145" i="11" s="1"/>
  <c r="I146" i="11"/>
  <c r="J146" i="11" s="1"/>
  <c r="I147" i="11"/>
  <c r="J147" i="11" s="1"/>
  <c r="I142" i="11"/>
  <c r="J142" i="11" s="1"/>
  <c r="I143" i="11"/>
  <c r="J143" i="11" s="1"/>
  <c r="I144" i="11"/>
  <c r="J144" i="11" s="1"/>
  <c r="I149" i="11"/>
  <c r="J149" i="11" s="1"/>
  <c r="I141" i="11"/>
  <c r="J141" i="11" s="1"/>
  <c r="I150" i="11"/>
  <c r="J150" i="11" s="1"/>
  <c r="I151" i="11"/>
  <c r="J151" i="11" s="1"/>
  <c r="I152" i="11"/>
  <c r="J152" i="11" s="1"/>
  <c r="I139" i="11"/>
  <c r="J139" i="11" s="1"/>
  <c r="I148" i="11"/>
  <c r="J148" i="11" s="1"/>
  <c r="I527" i="11"/>
  <c r="J527" i="11" s="1"/>
  <c r="I530" i="11"/>
  <c r="J530" i="11" s="1"/>
  <c r="I534" i="11"/>
  <c r="J534" i="11" s="1"/>
  <c r="I533" i="11"/>
  <c r="J533" i="11" s="1"/>
  <c r="I528" i="11"/>
  <c r="J528" i="11" s="1"/>
  <c r="I531" i="11"/>
  <c r="J531" i="11" s="1"/>
  <c r="I536" i="11"/>
  <c r="J536" i="11" s="1"/>
  <c r="I529" i="11"/>
  <c r="J529" i="11" s="1"/>
  <c r="I526" i="11"/>
  <c r="J526" i="11" s="1"/>
  <c r="I535" i="11"/>
  <c r="J535" i="11" s="1"/>
  <c r="I532" i="11"/>
  <c r="J532" i="11" s="1"/>
  <c r="I125" i="11"/>
  <c r="J125" i="11" s="1"/>
  <c r="I127" i="11"/>
  <c r="J127" i="11" s="1"/>
  <c r="I128" i="11"/>
  <c r="J128" i="11" s="1"/>
  <c r="I129" i="11"/>
  <c r="J129" i="11" s="1"/>
  <c r="I126" i="11"/>
  <c r="J126" i="11" s="1"/>
  <c r="I124" i="11"/>
  <c r="J124" i="11" s="1"/>
  <c r="I123" i="11"/>
  <c r="J123" i="11" s="1"/>
  <c r="I131" i="11"/>
  <c r="J131" i="11" s="1"/>
  <c r="I122" i="11"/>
  <c r="J122" i="11" s="1"/>
  <c r="I132" i="11"/>
  <c r="J132" i="11" s="1"/>
  <c r="I130" i="11"/>
  <c r="J130" i="11" s="1"/>
  <c r="I121" i="11"/>
  <c r="J121" i="11" s="1"/>
  <c r="I508" i="11"/>
  <c r="J508" i="11" s="1"/>
  <c r="I512" i="11"/>
  <c r="J512" i="11" s="1"/>
  <c r="I516" i="11"/>
  <c r="J516" i="11" s="1"/>
  <c r="I515" i="11"/>
  <c r="J515" i="11" s="1"/>
  <c r="I519" i="11"/>
  <c r="J519" i="11" s="1"/>
  <c r="I511" i="11"/>
  <c r="J511" i="11" s="1"/>
  <c r="I510" i="11"/>
  <c r="J510" i="11" s="1"/>
  <c r="I514" i="11"/>
  <c r="J514" i="11" s="1"/>
  <c r="I509" i="11"/>
  <c r="J509" i="11" s="1"/>
  <c r="I517" i="11"/>
  <c r="J517" i="11" s="1"/>
  <c r="I518" i="11"/>
  <c r="J518" i="11" s="1"/>
  <c r="I513" i="11"/>
  <c r="J513" i="11" s="1"/>
  <c r="I186" i="11"/>
  <c r="J186" i="11" s="1"/>
  <c r="I187" i="11"/>
  <c r="J187" i="11" s="1"/>
  <c r="I188" i="11"/>
  <c r="J188" i="11" s="1"/>
  <c r="I48" i="11"/>
  <c r="J48" i="11" s="1"/>
  <c r="I52" i="11"/>
  <c r="J52" i="11" s="1"/>
  <c r="I47" i="11"/>
  <c r="J47" i="11" s="1"/>
  <c r="I51" i="11"/>
  <c r="J51" i="11" s="1"/>
  <c r="I46" i="11"/>
  <c r="J46" i="11" s="1"/>
  <c r="I50" i="11"/>
  <c r="J50" i="11" s="1"/>
  <c r="I49" i="11"/>
  <c r="J49" i="11" s="1"/>
  <c r="I53" i="11"/>
  <c r="J53" i="11" s="1"/>
  <c r="I443" i="11"/>
  <c r="J443" i="11" s="1"/>
  <c r="I447" i="11"/>
  <c r="J447" i="11" s="1"/>
  <c r="I452" i="11"/>
  <c r="J452" i="11" s="1"/>
  <c r="I445" i="11"/>
  <c r="J445" i="11" s="1"/>
  <c r="I449" i="11"/>
  <c r="J449" i="11" s="1"/>
  <c r="I451" i="11"/>
  <c r="J451" i="11" s="1"/>
  <c r="I450" i="11"/>
  <c r="J450" i="11" s="1"/>
  <c r="I448" i="11"/>
  <c r="J448" i="11" s="1"/>
  <c r="I446" i="11"/>
  <c r="J446" i="11" s="1"/>
  <c r="I444" i="11"/>
  <c r="J444" i="11" s="1"/>
  <c r="I91" i="11"/>
  <c r="J91" i="11" s="1"/>
  <c r="I93" i="11"/>
  <c r="J93" i="11" s="1"/>
  <c r="I95" i="11"/>
  <c r="J95" i="11" s="1"/>
  <c r="I97" i="11"/>
  <c r="J97" i="11" s="1"/>
  <c r="I89" i="11"/>
  <c r="J89" i="11" s="1"/>
  <c r="I90" i="11"/>
  <c r="J90" i="11" s="1"/>
  <c r="I92" i="11"/>
  <c r="J92" i="11" s="1"/>
  <c r="I94" i="11"/>
  <c r="J94" i="11" s="1"/>
  <c r="I96" i="11"/>
  <c r="J96" i="11" s="1"/>
  <c r="I98" i="11"/>
  <c r="J98" i="11" s="1"/>
  <c r="I476" i="11"/>
  <c r="J476" i="11" s="1"/>
  <c r="I481" i="11"/>
  <c r="J481" i="11" s="1"/>
  <c r="I484" i="11"/>
  <c r="J484" i="11" s="1"/>
  <c r="I475" i="11"/>
  <c r="J475" i="11" s="1"/>
  <c r="I480" i="11"/>
  <c r="J480" i="11" s="1"/>
  <c r="I477" i="11"/>
  <c r="J477" i="11" s="1"/>
  <c r="I479" i="11"/>
  <c r="J479" i="11" s="1"/>
  <c r="I482" i="11"/>
  <c r="J482" i="11" s="1"/>
  <c r="I485" i="11"/>
  <c r="J485" i="11" s="1"/>
  <c r="I478" i="11"/>
  <c r="J478" i="11" s="1"/>
  <c r="I483" i="11"/>
  <c r="J483" i="11" s="1"/>
  <c r="I486" i="11"/>
  <c r="J486" i="11" s="1"/>
  <c r="I258" i="11"/>
  <c r="J258" i="11" s="1"/>
  <c r="I262" i="11"/>
  <c r="J262" i="11" s="1"/>
  <c r="I261" i="11"/>
  <c r="J261" i="11" s="1"/>
  <c r="I250" i="11"/>
  <c r="J250" i="11" s="1"/>
  <c r="I257" i="11"/>
  <c r="J257" i="11" s="1"/>
  <c r="I253" i="11"/>
  <c r="J253" i="11" s="1"/>
  <c r="I260" i="11"/>
  <c r="J260" i="11" s="1"/>
  <c r="I248" i="11"/>
  <c r="J248" i="11" s="1"/>
  <c r="I255" i="11"/>
  <c r="J255" i="11" s="1"/>
  <c r="I263" i="11"/>
  <c r="J263" i="11" s="1"/>
  <c r="I256" i="11"/>
  <c r="J256" i="11" s="1"/>
  <c r="I254" i="11"/>
  <c r="J254" i="11" s="1"/>
  <c r="I251" i="11"/>
  <c r="J251" i="11" s="1"/>
  <c r="I252" i="11"/>
  <c r="J252" i="11" s="1"/>
  <c r="I259" i="11"/>
  <c r="J259" i="11" s="1"/>
  <c r="I494" i="11"/>
  <c r="J494" i="11" s="1"/>
  <c r="I492" i="11"/>
  <c r="J492" i="11" s="1"/>
  <c r="I495" i="11"/>
  <c r="J495" i="11" s="1"/>
  <c r="I493" i="11"/>
  <c r="J493" i="11" s="1"/>
  <c r="I201" i="11"/>
  <c r="J201" i="11" s="1"/>
  <c r="I207" i="11"/>
  <c r="J207" i="11" s="1"/>
  <c r="I198" i="11"/>
  <c r="J198" i="11" s="1"/>
  <c r="I197" i="11"/>
  <c r="J197" i="11" s="1"/>
  <c r="I202" i="11"/>
  <c r="J202" i="11" s="1"/>
  <c r="I203" i="11"/>
  <c r="J203" i="11" s="1"/>
  <c r="I206" i="11"/>
  <c r="J206" i="11" s="1"/>
  <c r="I199" i="11"/>
  <c r="J199" i="11" s="1"/>
  <c r="I204" i="11"/>
  <c r="J204" i="11" s="1"/>
  <c r="I200" i="11"/>
  <c r="J200" i="11" s="1"/>
  <c r="I205" i="11"/>
  <c r="J205" i="11" s="1"/>
  <c r="I35" i="11"/>
  <c r="J35" i="11" s="1"/>
  <c r="I39" i="11"/>
  <c r="J39" i="11" s="1"/>
  <c r="I31" i="11"/>
  <c r="J31" i="11" s="1"/>
  <c r="I34" i="11"/>
  <c r="J34" i="11" s="1"/>
  <c r="I38" i="11"/>
  <c r="J38" i="11" s="1"/>
  <c r="I30" i="11"/>
  <c r="J30" i="11" s="1"/>
  <c r="I33" i="11"/>
  <c r="J33" i="11" s="1"/>
  <c r="I37" i="11"/>
  <c r="J37" i="11" s="1"/>
  <c r="I29" i="11"/>
  <c r="J29" i="11" s="1"/>
  <c r="I32" i="11"/>
  <c r="J32" i="11" s="1"/>
  <c r="I36" i="11"/>
  <c r="J36" i="11" s="1"/>
  <c r="I40" i="11"/>
  <c r="J40" i="11" s="1"/>
  <c r="I271" i="11"/>
  <c r="J271" i="11" s="1"/>
  <c r="I270" i="11"/>
  <c r="J270" i="11" s="1"/>
  <c r="I269" i="11"/>
  <c r="J269" i="11" s="1"/>
  <c r="I268" i="11"/>
  <c r="J268" i="11" s="1"/>
  <c r="I267" i="11"/>
  <c r="J267" i="11" s="1"/>
  <c r="I272" i="11"/>
  <c r="J272" i="11" s="1"/>
  <c r="I273" i="11"/>
  <c r="J273" i="11" s="1"/>
  <c r="I417" i="11"/>
  <c r="J417" i="11" s="1"/>
  <c r="I421" i="11"/>
  <c r="J421" i="11" s="1"/>
  <c r="I425" i="11"/>
  <c r="J425" i="11" s="1"/>
  <c r="I416" i="11"/>
  <c r="J416" i="11" s="1"/>
  <c r="I420" i="11"/>
  <c r="J420" i="11" s="1"/>
  <c r="I424" i="11"/>
  <c r="J424" i="11" s="1"/>
  <c r="I419" i="11"/>
  <c r="J419" i="11" s="1"/>
  <c r="I418" i="11"/>
  <c r="J418" i="11" s="1"/>
  <c r="I422" i="11"/>
  <c r="J422" i="11" s="1"/>
  <c r="I426" i="11"/>
  <c r="J426" i="11" s="1"/>
  <c r="I423" i="11"/>
  <c r="J423" i="11" s="1"/>
  <c r="I359" i="11"/>
  <c r="J359" i="11" s="1"/>
  <c r="I358" i="11"/>
  <c r="J358" i="11" s="1"/>
  <c r="I357" i="11"/>
  <c r="J357" i="11" s="1"/>
  <c r="I365" i="11"/>
  <c r="J365" i="11" s="1"/>
  <c r="I363" i="11"/>
  <c r="J363" i="11" s="1"/>
  <c r="I362" i="11"/>
  <c r="J362" i="11" s="1"/>
  <c r="I364" i="11"/>
  <c r="J364" i="11" s="1"/>
  <c r="I366" i="11"/>
  <c r="J366" i="11" s="1"/>
  <c r="I360" i="11"/>
  <c r="J360" i="11" s="1"/>
  <c r="I361" i="11"/>
  <c r="J361" i="11" s="1"/>
  <c r="I498" i="11"/>
  <c r="J498" i="11" s="1"/>
  <c r="I497" i="11"/>
  <c r="J497" i="11" s="1"/>
  <c r="I501" i="11"/>
  <c r="J501" i="11" s="1"/>
  <c r="I496" i="11"/>
  <c r="J496" i="11" s="1"/>
  <c r="I500" i="11"/>
  <c r="J500" i="11" s="1"/>
  <c r="I499" i="11"/>
  <c r="J499" i="11" s="1"/>
  <c r="I309" i="11"/>
  <c r="J309" i="11" s="1"/>
  <c r="I315" i="11"/>
  <c r="J315" i="11" s="1"/>
  <c r="I316" i="11"/>
  <c r="J316" i="11" s="1"/>
  <c r="I314" i="11"/>
  <c r="J314" i="11" s="1"/>
  <c r="I312" i="11"/>
  <c r="J312" i="11" s="1"/>
  <c r="I310" i="11"/>
  <c r="J310" i="11" s="1"/>
  <c r="I308" i="11"/>
  <c r="J308" i="11" s="1"/>
  <c r="I313" i="11"/>
  <c r="J313" i="11" s="1"/>
  <c r="I311" i="11"/>
  <c r="J311" i="11" s="1"/>
  <c r="I9" i="11"/>
  <c r="J9" i="11" s="1"/>
  <c r="E11" i="18"/>
  <c r="S465" i="11" l="1"/>
  <c r="L461" i="11"/>
  <c r="N461" i="11" s="1"/>
  <c r="O461" i="11"/>
  <c r="P461" i="11" s="1"/>
  <c r="O464" i="11"/>
  <c r="P464" i="11" s="1"/>
  <c r="L464" i="11"/>
  <c r="N464" i="11" s="1"/>
  <c r="L463" i="11"/>
  <c r="N463" i="11" s="1"/>
  <c r="O463" i="11"/>
  <c r="P463" i="11" s="1"/>
  <c r="O462" i="11"/>
  <c r="P462" i="11" s="1"/>
  <c r="L462" i="11"/>
  <c r="N462" i="11" s="1"/>
  <c r="L227" i="11"/>
  <c r="N227" i="11" s="1"/>
  <c r="O227" i="11"/>
  <c r="P227" i="11" s="1"/>
  <c r="O228" i="11"/>
  <c r="P228" i="11" s="1"/>
  <c r="L228" i="11"/>
  <c r="N228" i="11" s="1"/>
  <c r="L229" i="11"/>
  <c r="N229" i="11" s="1"/>
  <c r="O229" i="11"/>
  <c r="P229" i="11" s="1"/>
  <c r="L430" i="11"/>
  <c r="N430" i="11" s="1"/>
  <c r="O430" i="11"/>
  <c r="P430" i="11" s="1"/>
  <c r="O431" i="11"/>
  <c r="P431" i="11" s="1"/>
  <c r="L431" i="11"/>
  <c r="N431" i="11" s="1"/>
  <c r="O432" i="11"/>
  <c r="P432" i="11" s="1"/>
  <c r="L432" i="11"/>
  <c r="N432" i="11" s="1"/>
  <c r="O413" i="11"/>
  <c r="P413" i="11" s="1"/>
  <c r="L413" i="11"/>
  <c r="N413" i="11" s="1"/>
  <c r="L414" i="11"/>
  <c r="N414" i="11" s="1"/>
  <c r="O414" i="11"/>
  <c r="P414" i="11" s="1"/>
  <c r="L415" i="11"/>
  <c r="N415" i="11" s="1"/>
  <c r="O415" i="11"/>
  <c r="P415" i="11" s="1"/>
  <c r="L249" i="11"/>
  <c r="N249" i="11" s="1"/>
  <c r="L398" i="11"/>
  <c r="N398" i="11" s="1"/>
  <c r="O398" i="11"/>
  <c r="P398" i="11" s="1"/>
  <c r="O399" i="11"/>
  <c r="P399" i="11" s="1"/>
  <c r="L399" i="11"/>
  <c r="N399" i="11" s="1"/>
  <c r="L400" i="11"/>
  <c r="N400" i="11" s="1"/>
  <c r="O400" i="11"/>
  <c r="P400" i="11" s="1"/>
  <c r="O86" i="11"/>
  <c r="P86" i="11" s="1"/>
  <c r="L86" i="11"/>
  <c r="N86" i="11" s="1"/>
  <c r="O87" i="11"/>
  <c r="P87" i="11" s="1"/>
  <c r="L87" i="11"/>
  <c r="N87" i="11" s="1"/>
  <c r="L88" i="11"/>
  <c r="N88" i="11" s="1"/>
  <c r="O88" i="11"/>
  <c r="P88" i="11" s="1"/>
  <c r="O264" i="11"/>
  <c r="P264" i="11" s="1"/>
  <c r="L264" i="11"/>
  <c r="N264" i="11" s="1"/>
  <c r="O266" i="11"/>
  <c r="P266" i="11" s="1"/>
  <c r="L266" i="11"/>
  <c r="N266" i="11" s="1"/>
  <c r="O265" i="11"/>
  <c r="P265" i="11" s="1"/>
  <c r="L265" i="11"/>
  <c r="N265" i="11" s="1"/>
  <c r="O194" i="11"/>
  <c r="P194" i="11" s="1"/>
  <c r="S194" i="11" s="1"/>
  <c r="S196" i="11"/>
  <c r="O195" i="11"/>
  <c r="P195" i="11" s="1"/>
  <c r="L195" i="11"/>
  <c r="N195" i="11" s="1"/>
  <c r="S502" i="11"/>
  <c r="L505" i="11"/>
  <c r="N505" i="11" s="1"/>
  <c r="O505" i="11"/>
  <c r="P505" i="11" s="1"/>
  <c r="O504" i="11"/>
  <c r="P504" i="11" s="1"/>
  <c r="L504" i="11"/>
  <c r="N504" i="11" s="1"/>
  <c r="O503" i="11"/>
  <c r="P503" i="11" s="1"/>
  <c r="L503" i="11"/>
  <c r="N503" i="11" s="1"/>
  <c r="L506" i="11"/>
  <c r="N506" i="11" s="1"/>
  <c r="O506" i="11"/>
  <c r="P506" i="11" s="1"/>
  <c r="L507" i="11"/>
  <c r="N507" i="11" s="1"/>
  <c r="O507" i="11"/>
  <c r="P507" i="11" s="1"/>
  <c r="O154" i="11"/>
  <c r="P154" i="11" s="1"/>
  <c r="L154" i="11"/>
  <c r="N154" i="11" s="1"/>
  <c r="O153" i="11"/>
  <c r="P153" i="11" s="1"/>
  <c r="L153" i="11"/>
  <c r="N153" i="11" s="1"/>
  <c r="O158" i="11"/>
  <c r="P158" i="11" s="1"/>
  <c r="L158" i="11"/>
  <c r="N158" i="11" s="1"/>
  <c r="L157" i="11"/>
  <c r="N157" i="11" s="1"/>
  <c r="O157" i="11"/>
  <c r="P157" i="11" s="1"/>
  <c r="L156" i="11"/>
  <c r="N156" i="11" s="1"/>
  <c r="O156" i="11"/>
  <c r="P156" i="11" s="1"/>
  <c r="O155" i="11"/>
  <c r="P155" i="11" s="1"/>
  <c r="L155" i="11"/>
  <c r="N155" i="11" s="1"/>
  <c r="L26" i="11"/>
  <c r="N26" i="11" s="1"/>
  <c r="O26" i="11"/>
  <c r="P26" i="11" s="1"/>
  <c r="O27" i="11"/>
  <c r="P27" i="11" s="1"/>
  <c r="L27" i="11"/>
  <c r="N27" i="11" s="1"/>
  <c r="O25" i="11"/>
  <c r="P25" i="11" s="1"/>
  <c r="L25" i="11"/>
  <c r="N25" i="11" s="1"/>
  <c r="L28" i="11"/>
  <c r="N28" i="11" s="1"/>
  <c r="O28" i="11"/>
  <c r="P28" i="11" s="1"/>
  <c r="L24" i="11"/>
  <c r="N24" i="11" s="1"/>
  <c r="O24" i="11"/>
  <c r="P24" i="11" s="1"/>
  <c r="L23" i="11"/>
  <c r="N23" i="11" s="1"/>
  <c r="O23" i="11"/>
  <c r="P23" i="11" s="1"/>
  <c r="O525" i="11"/>
  <c r="P525" i="11" s="1"/>
  <c r="L525" i="11"/>
  <c r="N525" i="11" s="1"/>
  <c r="L522" i="11"/>
  <c r="N522" i="11" s="1"/>
  <c r="O522" i="11"/>
  <c r="P522" i="11" s="1"/>
  <c r="O524" i="11"/>
  <c r="P524" i="11" s="1"/>
  <c r="L524" i="11"/>
  <c r="N524" i="11" s="1"/>
  <c r="L523" i="11"/>
  <c r="N523" i="11" s="1"/>
  <c r="O523" i="11"/>
  <c r="P523" i="11" s="1"/>
  <c r="O245" i="11"/>
  <c r="P245" i="11" s="1"/>
  <c r="L245" i="11"/>
  <c r="N245" i="11" s="1"/>
  <c r="O244" i="11"/>
  <c r="P244" i="11" s="1"/>
  <c r="L244" i="11"/>
  <c r="N244" i="11" s="1"/>
  <c r="L243" i="11"/>
  <c r="N243" i="11" s="1"/>
  <c r="O243" i="11"/>
  <c r="P243" i="11" s="1"/>
  <c r="O246" i="11"/>
  <c r="P246" i="11" s="1"/>
  <c r="L246" i="11"/>
  <c r="N246" i="11" s="1"/>
  <c r="L242" i="11"/>
  <c r="N242" i="11" s="1"/>
  <c r="O242" i="11"/>
  <c r="P242" i="11" s="1"/>
  <c r="L247" i="11"/>
  <c r="N247" i="11" s="1"/>
  <c r="O247" i="11"/>
  <c r="P247" i="11" s="1"/>
  <c r="O136" i="11"/>
  <c r="P136" i="11" s="1"/>
  <c r="L136" i="11"/>
  <c r="N136" i="11" s="1"/>
  <c r="O135" i="11"/>
  <c r="P135" i="11" s="1"/>
  <c r="L135" i="11"/>
  <c r="N135" i="11" s="1"/>
  <c r="L134" i="11"/>
  <c r="N134" i="11" s="1"/>
  <c r="O134" i="11"/>
  <c r="P134" i="11" s="1"/>
  <c r="L137" i="11"/>
  <c r="N137" i="11" s="1"/>
  <c r="O137" i="11"/>
  <c r="P137" i="11" s="1"/>
  <c r="L133" i="11"/>
  <c r="N133" i="11" s="1"/>
  <c r="O133" i="11"/>
  <c r="P133" i="11" s="1"/>
  <c r="L138" i="11"/>
  <c r="N138" i="11" s="1"/>
  <c r="O138" i="11"/>
  <c r="P138" i="11" s="1"/>
  <c r="L60" i="11"/>
  <c r="N60" i="11" s="1"/>
  <c r="O60" i="11"/>
  <c r="P60" i="11" s="1"/>
  <c r="O64" i="11"/>
  <c r="P64" i="11" s="1"/>
  <c r="L64" i="11"/>
  <c r="N64" i="11" s="1"/>
  <c r="O59" i="11"/>
  <c r="P59" i="11" s="1"/>
  <c r="L59" i="11"/>
  <c r="N59" i="11" s="1"/>
  <c r="O63" i="11"/>
  <c r="P63" i="11" s="1"/>
  <c r="L63" i="11"/>
  <c r="N63" i="11" s="1"/>
  <c r="O62" i="11"/>
  <c r="P62" i="11" s="1"/>
  <c r="L62" i="11"/>
  <c r="N62" i="11" s="1"/>
  <c r="O61" i="11"/>
  <c r="P61" i="11" s="1"/>
  <c r="L61" i="11"/>
  <c r="N61" i="11" s="1"/>
  <c r="L302" i="11"/>
  <c r="N302" i="11" s="1"/>
  <c r="O302" i="11"/>
  <c r="P302" i="11" s="1"/>
  <c r="O303" i="11"/>
  <c r="P303" i="11" s="1"/>
  <c r="L303" i="11"/>
  <c r="N303" i="11" s="1"/>
  <c r="L304" i="11"/>
  <c r="N304" i="11" s="1"/>
  <c r="O304" i="11"/>
  <c r="P304" i="11" s="1"/>
  <c r="L305" i="11"/>
  <c r="N305" i="11" s="1"/>
  <c r="O305" i="11"/>
  <c r="P305" i="11" s="1"/>
  <c r="O306" i="11"/>
  <c r="P306" i="11" s="1"/>
  <c r="L306" i="11"/>
  <c r="N306" i="11" s="1"/>
  <c r="O307" i="11"/>
  <c r="P307" i="11" s="1"/>
  <c r="L307" i="11"/>
  <c r="N307" i="11" s="1"/>
  <c r="O21" i="11"/>
  <c r="P21" i="11" s="1"/>
  <c r="L21" i="11"/>
  <c r="N21" i="11" s="1"/>
  <c r="O22" i="11"/>
  <c r="P22" i="11" s="1"/>
  <c r="L22" i="11"/>
  <c r="N22" i="11" s="1"/>
  <c r="L119" i="11"/>
  <c r="N119" i="11" s="1"/>
  <c r="O119" i="11"/>
  <c r="P119" i="11" s="1"/>
  <c r="O118" i="11"/>
  <c r="P118" i="11" s="1"/>
  <c r="L118" i="11"/>
  <c r="N118" i="11" s="1"/>
  <c r="O117" i="11"/>
  <c r="P117" i="11" s="1"/>
  <c r="L117" i="11"/>
  <c r="N117" i="11" s="1"/>
  <c r="O116" i="11"/>
  <c r="P116" i="11" s="1"/>
  <c r="L116" i="11"/>
  <c r="N116" i="11" s="1"/>
  <c r="L120" i="11"/>
  <c r="N120" i="11" s="1"/>
  <c r="O120" i="11"/>
  <c r="P120" i="11" s="1"/>
  <c r="O101" i="11"/>
  <c r="P101" i="11" s="1"/>
  <c r="L101" i="11"/>
  <c r="N101" i="11" s="1"/>
  <c r="L102" i="11"/>
  <c r="N102" i="11" s="1"/>
  <c r="O102" i="11"/>
  <c r="P102" i="11" s="1"/>
  <c r="O100" i="11"/>
  <c r="P100" i="11" s="1"/>
  <c r="L100" i="11"/>
  <c r="N100" i="11" s="1"/>
  <c r="L99" i="11"/>
  <c r="N99" i="11" s="1"/>
  <c r="O99" i="11"/>
  <c r="P99" i="11" s="1"/>
  <c r="L103" i="11"/>
  <c r="N103" i="11" s="1"/>
  <c r="O103" i="11"/>
  <c r="P103" i="11" s="1"/>
  <c r="O456" i="11"/>
  <c r="P456" i="11" s="1"/>
  <c r="L456" i="11"/>
  <c r="N456" i="11" s="1"/>
  <c r="O454" i="11"/>
  <c r="P454" i="11" s="1"/>
  <c r="L454" i="11"/>
  <c r="N454" i="11" s="1"/>
  <c r="L453" i="11"/>
  <c r="N453" i="11" s="1"/>
  <c r="O453" i="11"/>
  <c r="P453" i="11" s="1"/>
  <c r="L455" i="11"/>
  <c r="N455" i="11" s="1"/>
  <c r="O455" i="11"/>
  <c r="P455" i="11" s="1"/>
  <c r="O457" i="11"/>
  <c r="P457" i="11" s="1"/>
  <c r="L457" i="11"/>
  <c r="N457" i="11" s="1"/>
  <c r="L520" i="11"/>
  <c r="N520" i="11" s="1"/>
  <c r="O521" i="11"/>
  <c r="P521" i="11" s="1"/>
  <c r="L521" i="11"/>
  <c r="N521" i="11" s="1"/>
  <c r="S520" i="11"/>
  <c r="O160" i="11"/>
  <c r="P160" i="11" s="1"/>
  <c r="L160" i="11"/>
  <c r="N160" i="11" s="1"/>
  <c r="O159" i="11"/>
  <c r="P159" i="11" s="1"/>
  <c r="L159" i="11"/>
  <c r="N159" i="11" s="1"/>
  <c r="L163" i="11"/>
  <c r="N163" i="11" s="1"/>
  <c r="O163" i="11"/>
  <c r="P163" i="11" s="1"/>
  <c r="O162" i="11"/>
  <c r="P162" i="11" s="1"/>
  <c r="L162" i="11"/>
  <c r="N162" i="11" s="1"/>
  <c r="L161" i="11"/>
  <c r="N161" i="11" s="1"/>
  <c r="O161" i="11"/>
  <c r="P161" i="11" s="1"/>
  <c r="O44" i="11"/>
  <c r="P44" i="11" s="1"/>
  <c r="L44" i="11"/>
  <c r="N44" i="11" s="1"/>
  <c r="O43" i="11"/>
  <c r="P43" i="11" s="1"/>
  <c r="L43" i="11"/>
  <c r="N43" i="11" s="1"/>
  <c r="O42" i="11"/>
  <c r="P42" i="11" s="1"/>
  <c r="L42" i="11"/>
  <c r="N42" i="11" s="1"/>
  <c r="L41" i="11"/>
  <c r="N41" i="11" s="1"/>
  <c r="O41" i="11"/>
  <c r="P41" i="11" s="1"/>
  <c r="O45" i="11"/>
  <c r="P45" i="11" s="1"/>
  <c r="L45" i="11"/>
  <c r="N45" i="11" s="1"/>
  <c r="L491" i="11"/>
  <c r="N491" i="11" s="1"/>
  <c r="O491" i="11"/>
  <c r="P491" i="11" s="1"/>
  <c r="L487" i="11"/>
  <c r="N487" i="11" s="1"/>
  <c r="O487" i="11"/>
  <c r="P487" i="11" s="1"/>
  <c r="O490" i="11"/>
  <c r="P490" i="11" s="1"/>
  <c r="L490" i="11"/>
  <c r="N490" i="11" s="1"/>
  <c r="L489" i="11"/>
  <c r="N489" i="11" s="1"/>
  <c r="O489" i="11"/>
  <c r="P489" i="11" s="1"/>
  <c r="L488" i="11"/>
  <c r="N488" i="11" s="1"/>
  <c r="O488" i="11"/>
  <c r="P488" i="11" s="1"/>
  <c r="S356" i="11"/>
  <c r="L353" i="11"/>
  <c r="N353" i="11" s="1"/>
  <c r="O353" i="11"/>
  <c r="P353" i="11" s="1"/>
  <c r="O354" i="11"/>
  <c r="P354" i="11" s="1"/>
  <c r="L354" i="11"/>
  <c r="N354" i="11" s="1"/>
  <c r="O352" i="11"/>
  <c r="P352" i="11" s="1"/>
  <c r="L352" i="11"/>
  <c r="N352" i="11" s="1"/>
  <c r="L355" i="11"/>
  <c r="N355" i="11" s="1"/>
  <c r="O355" i="11"/>
  <c r="P355" i="11" s="1"/>
  <c r="L433" i="11"/>
  <c r="N433" i="11" s="1"/>
  <c r="L434" i="11"/>
  <c r="N434" i="11" s="1"/>
  <c r="O434" i="11"/>
  <c r="P434" i="11" s="1"/>
  <c r="L436" i="11"/>
  <c r="N436" i="11" s="1"/>
  <c r="O436" i="11"/>
  <c r="P436" i="11" s="1"/>
  <c r="L437" i="11"/>
  <c r="N437" i="11" s="1"/>
  <c r="O437" i="11"/>
  <c r="P437" i="11" s="1"/>
  <c r="L435" i="11"/>
  <c r="N435" i="11" s="1"/>
  <c r="O435" i="11"/>
  <c r="P435" i="11" s="1"/>
  <c r="S433" i="11"/>
  <c r="T433" i="11" s="1"/>
  <c r="U433" i="11" s="1"/>
  <c r="L458" i="11"/>
  <c r="N458" i="11" s="1"/>
  <c r="O459" i="11"/>
  <c r="P459" i="11" s="1"/>
  <c r="L459" i="11"/>
  <c r="N459" i="11" s="1"/>
  <c r="O460" i="11"/>
  <c r="P460" i="11" s="1"/>
  <c r="L460" i="11"/>
  <c r="N460" i="11" s="1"/>
  <c r="S458" i="11"/>
  <c r="O85" i="11"/>
  <c r="P85" i="11" s="1"/>
  <c r="L85" i="11"/>
  <c r="N85" i="11" s="1"/>
  <c r="O84" i="11"/>
  <c r="P84" i="11" s="1"/>
  <c r="L84" i="11"/>
  <c r="N84" i="11" s="1"/>
  <c r="O428" i="11"/>
  <c r="P428" i="11" s="1"/>
  <c r="L428" i="11"/>
  <c r="N428" i="11" s="1"/>
  <c r="O427" i="11"/>
  <c r="P427" i="11" s="1"/>
  <c r="L427" i="11"/>
  <c r="N427" i="11" s="1"/>
  <c r="O429" i="11"/>
  <c r="P429" i="11" s="1"/>
  <c r="L429" i="11"/>
  <c r="N429" i="11" s="1"/>
  <c r="O396" i="11"/>
  <c r="P396" i="11" s="1"/>
  <c r="L396" i="11"/>
  <c r="N396" i="11" s="1"/>
  <c r="O395" i="11"/>
  <c r="P395" i="11" s="1"/>
  <c r="L395" i="11"/>
  <c r="N395" i="11" s="1"/>
  <c r="L397" i="11"/>
  <c r="N397" i="11" s="1"/>
  <c r="O397" i="11"/>
  <c r="P397" i="11" s="1"/>
  <c r="L180" i="11"/>
  <c r="N180" i="11" s="1"/>
  <c r="O180" i="11"/>
  <c r="P180" i="11" s="1"/>
  <c r="O179" i="11"/>
  <c r="P179" i="11" s="1"/>
  <c r="L179" i="11"/>
  <c r="N179" i="11" s="1"/>
  <c r="O178" i="11"/>
  <c r="P178" i="11" s="1"/>
  <c r="L178" i="11"/>
  <c r="N178" i="11" s="1"/>
  <c r="O181" i="11"/>
  <c r="P181" i="11" s="1"/>
  <c r="L181" i="11"/>
  <c r="N181" i="11" s="1"/>
  <c r="L177" i="11"/>
  <c r="N177" i="11" s="1"/>
  <c r="O177" i="11"/>
  <c r="P177" i="11" s="1"/>
  <c r="L182" i="11"/>
  <c r="N182" i="11" s="1"/>
  <c r="O182" i="11"/>
  <c r="P182" i="11" s="1"/>
  <c r="O280" i="11"/>
  <c r="P280" i="11" s="1"/>
  <c r="L280" i="11"/>
  <c r="N280" i="11" s="1"/>
  <c r="O279" i="11"/>
  <c r="P279" i="11" s="1"/>
  <c r="L279" i="11"/>
  <c r="N279" i="11" s="1"/>
  <c r="O284" i="11"/>
  <c r="P284" i="11" s="1"/>
  <c r="L284" i="11"/>
  <c r="N284" i="11" s="1"/>
  <c r="L283" i="11"/>
  <c r="N283" i="11" s="1"/>
  <c r="O283" i="11"/>
  <c r="P283" i="11" s="1"/>
  <c r="O282" i="11"/>
  <c r="P282" i="11" s="1"/>
  <c r="L282" i="11"/>
  <c r="N282" i="11" s="1"/>
  <c r="L281" i="11"/>
  <c r="N281" i="11" s="1"/>
  <c r="O281" i="11"/>
  <c r="P281" i="11" s="1"/>
  <c r="O209" i="11"/>
  <c r="P209" i="11" s="1"/>
  <c r="L209" i="11"/>
  <c r="N209" i="11" s="1"/>
  <c r="O208" i="11"/>
  <c r="P208" i="11" s="1"/>
  <c r="L208" i="11"/>
  <c r="N208" i="11" s="1"/>
  <c r="O213" i="11"/>
  <c r="P213" i="11" s="1"/>
  <c r="L213" i="11"/>
  <c r="N213" i="11" s="1"/>
  <c r="L212" i="11"/>
  <c r="N212" i="11" s="1"/>
  <c r="O212" i="11"/>
  <c r="P212" i="11" s="1"/>
  <c r="O211" i="11"/>
  <c r="P211" i="11" s="1"/>
  <c r="L211" i="11"/>
  <c r="N211" i="11" s="1"/>
  <c r="O210" i="11"/>
  <c r="P210" i="11" s="1"/>
  <c r="L210" i="11"/>
  <c r="N210" i="11" s="1"/>
  <c r="O378" i="11"/>
  <c r="P378" i="11" s="1"/>
  <c r="L378" i="11"/>
  <c r="N378" i="11" s="1"/>
  <c r="O379" i="11"/>
  <c r="P379" i="11" s="1"/>
  <c r="L379" i="11"/>
  <c r="N379" i="11" s="1"/>
  <c r="O383" i="11"/>
  <c r="P383" i="11" s="1"/>
  <c r="L383" i="11"/>
  <c r="N383" i="11" s="1"/>
  <c r="O381" i="11"/>
  <c r="P381" i="11" s="1"/>
  <c r="L381" i="11"/>
  <c r="N381" i="11" s="1"/>
  <c r="O382" i="11"/>
  <c r="P382" i="11" s="1"/>
  <c r="L382" i="11"/>
  <c r="N382" i="11" s="1"/>
  <c r="O380" i="11"/>
  <c r="P380" i="11" s="1"/>
  <c r="L380" i="11"/>
  <c r="N380" i="11" s="1"/>
  <c r="O335" i="11"/>
  <c r="P335" i="11" s="1"/>
  <c r="L335" i="11"/>
  <c r="N335" i="11" s="1"/>
  <c r="L334" i="11"/>
  <c r="N334" i="11" s="1"/>
  <c r="O334" i="11"/>
  <c r="P334" i="11" s="1"/>
  <c r="O339" i="11"/>
  <c r="P339" i="11" s="1"/>
  <c r="L339" i="11"/>
  <c r="N339" i="11" s="1"/>
  <c r="O338" i="11"/>
  <c r="P338" i="11" s="1"/>
  <c r="L338" i="11"/>
  <c r="N338" i="11" s="1"/>
  <c r="O337" i="11"/>
  <c r="P337" i="11" s="1"/>
  <c r="L337" i="11"/>
  <c r="N337" i="11" s="1"/>
  <c r="L336" i="11"/>
  <c r="N336" i="11" s="1"/>
  <c r="O336" i="11"/>
  <c r="P336" i="11" s="1"/>
  <c r="O296" i="11"/>
  <c r="P296" i="11" s="1"/>
  <c r="L296" i="11"/>
  <c r="N296" i="11" s="1"/>
  <c r="O301" i="11"/>
  <c r="P301" i="11" s="1"/>
  <c r="L301" i="11"/>
  <c r="N301" i="11" s="1"/>
  <c r="O300" i="11"/>
  <c r="P300" i="11" s="1"/>
  <c r="L300" i="11"/>
  <c r="N300" i="11" s="1"/>
  <c r="O299" i="11"/>
  <c r="P299" i="11" s="1"/>
  <c r="L299" i="11"/>
  <c r="N299" i="11" s="1"/>
  <c r="L297" i="11"/>
  <c r="N297" i="11" s="1"/>
  <c r="O297" i="11"/>
  <c r="P297" i="11" s="1"/>
  <c r="L298" i="11"/>
  <c r="N298" i="11" s="1"/>
  <c r="O298" i="11"/>
  <c r="P298" i="11" s="1"/>
  <c r="O318" i="11"/>
  <c r="P318" i="11" s="1"/>
  <c r="L318" i="11"/>
  <c r="N318" i="11" s="1"/>
  <c r="L317" i="11"/>
  <c r="N317" i="11" s="1"/>
  <c r="O317" i="11"/>
  <c r="P317" i="11" s="1"/>
  <c r="O322" i="11"/>
  <c r="P322" i="11" s="1"/>
  <c r="L322" i="11"/>
  <c r="N322" i="11" s="1"/>
  <c r="L321" i="11"/>
  <c r="N321" i="11" s="1"/>
  <c r="O321" i="11"/>
  <c r="P321" i="11" s="1"/>
  <c r="O320" i="11"/>
  <c r="P320" i="11" s="1"/>
  <c r="L320" i="11"/>
  <c r="N320" i="11" s="1"/>
  <c r="L319" i="11"/>
  <c r="N319" i="11" s="1"/>
  <c r="O319" i="11"/>
  <c r="P319" i="11" s="1"/>
  <c r="O69" i="11"/>
  <c r="P69" i="11" s="1"/>
  <c r="L69" i="11"/>
  <c r="N69" i="11" s="1"/>
  <c r="O68" i="11"/>
  <c r="P68" i="11" s="1"/>
  <c r="L68" i="11"/>
  <c r="N68" i="11" s="1"/>
  <c r="O73" i="11"/>
  <c r="P73" i="11" s="1"/>
  <c r="L73" i="11"/>
  <c r="N73" i="11" s="1"/>
  <c r="L72" i="11"/>
  <c r="N72" i="11" s="1"/>
  <c r="O72" i="11"/>
  <c r="P72" i="11" s="1"/>
  <c r="O71" i="11"/>
  <c r="P71" i="11" s="1"/>
  <c r="L71" i="11"/>
  <c r="N71" i="11" s="1"/>
  <c r="L70" i="11"/>
  <c r="N70" i="11" s="1"/>
  <c r="O70" i="11"/>
  <c r="P70" i="11" s="1"/>
  <c r="O467" i="11"/>
  <c r="P467" i="11" s="1"/>
  <c r="L467" i="11"/>
  <c r="N467" i="11" s="1"/>
  <c r="O472" i="11"/>
  <c r="P472" i="11" s="1"/>
  <c r="L472" i="11"/>
  <c r="N472" i="11" s="1"/>
  <c r="O466" i="11"/>
  <c r="P466" i="11" s="1"/>
  <c r="L466" i="11"/>
  <c r="N466" i="11" s="1"/>
  <c r="O473" i="11"/>
  <c r="P473" i="11" s="1"/>
  <c r="L473" i="11"/>
  <c r="N473" i="11" s="1"/>
  <c r="O471" i="11"/>
  <c r="P471" i="11" s="1"/>
  <c r="L471" i="11"/>
  <c r="N471" i="11" s="1"/>
  <c r="O470" i="11"/>
  <c r="P470" i="11" s="1"/>
  <c r="L470" i="11"/>
  <c r="N470" i="11" s="1"/>
  <c r="O469" i="11"/>
  <c r="P469" i="11" s="1"/>
  <c r="L469" i="11"/>
  <c r="N469" i="11" s="1"/>
  <c r="O474" i="11"/>
  <c r="P474" i="11" s="1"/>
  <c r="L474" i="11"/>
  <c r="N474" i="11" s="1"/>
  <c r="O468" i="11"/>
  <c r="P468" i="11" s="1"/>
  <c r="L468" i="11"/>
  <c r="N468" i="11" s="1"/>
  <c r="L541" i="11"/>
  <c r="N541" i="11" s="1"/>
  <c r="O541" i="11"/>
  <c r="P541" i="11" s="1"/>
  <c r="O539" i="11"/>
  <c r="P539" i="11" s="1"/>
  <c r="L539" i="11"/>
  <c r="N539" i="11" s="1"/>
  <c r="O540" i="11"/>
  <c r="P540" i="11" s="1"/>
  <c r="L540" i="11"/>
  <c r="N540" i="11" s="1"/>
  <c r="L542" i="11"/>
  <c r="N542" i="11" s="1"/>
  <c r="O542" i="11"/>
  <c r="P542" i="11" s="1"/>
  <c r="L537" i="11"/>
  <c r="N537" i="11" s="1"/>
  <c r="L538" i="11"/>
  <c r="N538" i="11" s="1"/>
  <c r="O538" i="11"/>
  <c r="P538" i="11" s="1"/>
  <c r="S537" i="11"/>
  <c r="T537" i="11" s="1"/>
  <c r="U537" i="11" s="1"/>
  <c r="L366" i="11"/>
  <c r="N366" i="11" s="1"/>
  <c r="O366" i="11"/>
  <c r="P366" i="11" s="1"/>
  <c r="L55" i="11"/>
  <c r="N55" i="11" s="1"/>
  <c r="O55" i="11"/>
  <c r="P55" i="11" s="1"/>
  <c r="O54" i="11"/>
  <c r="P54" i="11" s="1"/>
  <c r="L54" i="11"/>
  <c r="N54" i="11" s="1"/>
  <c r="O58" i="11"/>
  <c r="P58" i="11" s="1"/>
  <c r="L58" i="11"/>
  <c r="N58" i="11" s="1"/>
  <c r="L56" i="11"/>
  <c r="N56" i="11" s="1"/>
  <c r="O56" i="11"/>
  <c r="P56" i="11" s="1"/>
  <c r="O57" i="11"/>
  <c r="P57" i="11" s="1"/>
  <c r="L57" i="11"/>
  <c r="N57" i="11" s="1"/>
  <c r="O20" i="11"/>
  <c r="P20" i="11" s="1"/>
  <c r="L20" i="11"/>
  <c r="N20" i="11" s="1"/>
  <c r="O19" i="11"/>
  <c r="P19" i="11" s="1"/>
  <c r="L19" i="11"/>
  <c r="N19" i="11" s="1"/>
  <c r="O190" i="11"/>
  <c r="P190" i="11" s="1"/>
  <c r="L190" i="11"/>
  <c r="N190" i="11" s="1"/>
  <c r="O189" i="11"/>
  <c r="P189" i="11" s="1"/>
  <c r="L189" i="11"/>
  <c r="N189" i="11" s="1"/>
  <c r="L193" i="11"/>
  <c r="N193" i="11" s="1"/>
  <c r="O193" i="11"/>
  <c r="P193" i="11" s="1"/>
  <c r="O192" i="11"/>
  <c r="P192" i="11" s="1"/>
  <c r="L192" i="11"/>
  <c r="N192" i="11" s="1"/>
  <c r="O191" i="11"/>
  <c r="P191" i="11" s="1"/>
  <c r="L191" i="11"/>
  <c r="N191" i="11" s="1"/>
  <c r="L278" i="11"/>
  <c r="N278" i="11" s="1"/>
  <c r="O278" i="11"/>
  <c r="P278" i="11" s="1"/>
  <c r="L277" i="11"/>
  <c r="N277" i="11" s="1"/>
  <c r="O277" i="11"/>
  <c r="P277" i="11" s="1"/>
  <c r="S249" i="11"/>
  <c r="O114" i="11"/>
  <c r="P114" i="11" s="1"/>
  <c r="L114" i="11"/>
  <c r="N114" i="11" s="1"/>
  <c r="O113" i="11"/>
  <c r="P113" i="11" s="1"/>
  <c r="L113" i="11"/>
  <c r="N113" i="11" s="1"/>
  <c r="L115" i="11"/>
  <c r="N115" i="11" s="1"/>
  <c r="O115" i="11"/>
  <c r="P115" i="11" s="1"/>
  <c r="O517" i="11"/>
  <c r="P517" i="11" s="1"/>
  <c r="L517" i="11"/>
  <c r="N517" i="11" s="1"/>
  <c r="O332" i="11"/>
  <c r="P332" i="11" s="1"/>
  <c r="L332" i="11"/>
  <c r="N332" i="11" s="1"/>
  <c r="L74" i="11"/>
  <c r="N74" i="11" s="1"/>
  <c r="O74" i="11"/>
  <c r="P74" i="11" s="1"/>
  <c r="O236" i="11"/>
  <c r="P236" i="11" s="1"/>
  <c r="L236" i="11"/>
  <c r="N236" i="11" s="1"/>
  <c r="O496" i="11"/>
  <c r="P496" i="11" s="1"/>
  <c r="L496" i="11"/>
  <c r="N496" i="11" s="1"/>
  <c r="L358" i="11"/>
  <c r="N358" i="11" s="1"/>
  <c r="O358" i="11"/>
  <c r="P358" i="11" s="1"/>
  <c r="O417" i="11"/>
  <c r="P417" i="11" s="1"/>
  <c r="L417" i="11"/>
  <c r="N417" i="11" s="1"/>
  <c r="L37" i="11"/>
  <c r="N37" i="11" s="1"/>
  <c r="O37" i="11"/>
  <c r="P37" i="11" s="1"/>
  <c r="L206" i="11"/>
  <c r="N206" i="11" s="1"/>
  <c r="O206" i="11"/>
  <c r="P206" i="11" s="1"/>
  <c r="L252" i="11"/>
  <c r="N252" i="11" s="1"/>
  <c r="O252" i="11"/>
  <c r="P252" i="11" s="1"/>
  <c r="L262" i="11"/>
  <c r="N262" i="11" s="1"/>
  <c r="O262" i="11"/>
  <c r="P262" i="11" s="1"/>
  <c r="L481" i="11"/>
  <c r="N481" i="11" s="1"/>
  <c r="O481" i="11"/>
  <c r="P481" i="11" s="1"/>
  <c r="O444" i="11"/>
  <c r="P444" i="11" s="1"/>
  <c r="L444" i="11"/>
  <c r="N444" i="11" s="1"/>
  <c r="L50" i="11"/>
  <c r="N50" i="11" s="1"/>
  <c r="O50" i="11"/>
  <c r="P50" i="11" s="1"/>
  <c r="O509" i="11"/>
  <c r="P509" i="11" s="1"/>
  <c r="L509" i="11"/>
  <c r="N509" i="11" s="1"/>
  <c r="O122" i="11"/>
  <c r="P122" i="11" s="1"/>
  <c r="L122" i="11"/>
  <c r="N122" i="11" s="1"/>
  <c r="O529" i="11"/>
  <c r="P529" i="11" s="1"/>
  <c r="L529" i="11"/>
  <c r="N529" i="11" s="1"/>
  <c r="O150" i="11"/>
  <c r="P150" i="11" s="1"/>
  <c r="L150" i="11"/>
  <c r="N150" i="11" s="1"/>
  <c r="O67" i="11"/>
  <c r="P67" i="11" s="1"/>
  <c r="L67" i="11"/>
  <c r="N67" i="11" s="1"/>
  <c r="O401" i="11"/>
  <c r="P401" i="11" s="1"/>
  <c r="L401" i="11"/>
  <c r="N401" i="11" s="1"/>
  <c r="O341" i="11"/>
  <c r="P341" i="11" s="1"/>
  <c r="L341" i="11"/>
  <c r="N341" i="11" s="1"/>
  <c r="O394" i="11"/>
  <c r="P394" i="11" s="1"/>
  <c r="L394" i="11"/>
  <c r="N394" i="11" s="1"/>
  <c r="L16" i="11"/>
  <c r="N16" i="11" s="1"/>
  <c r="O16" i="11"/>
  <c r="P16" i="11" s="1"/>
  <c r="O330" i="11"/>
  <c r="P330" i="11" s="1"/>
  <c r="L330" i="11"/>
  <c r="N330" i="11" s="1"/>
  <c r="L293" i="11"/>
  <c r="N293" i="11" s="1"/>
  <c r="O293" i="11"/>
  <c r="P293" i="11" s="1"/>
  <c r="L112" i="11"/>
  <c r="N112" i="11" s="1"/>
  <c r="O112" i="11"/>
  <c r="P112" i="11" s="1"/>
  <c r="O226" i="11"/>
  <c r="P226" i="11" s="1"/>
  <c r="L226" i="11"/>
  <c r="N226" i="11" s="1"/>
  <c r="L83" i="11"/>
  <c r="N83" i="11" s="1"/>
  <c r="O83" i="11"/>
  <c r="P83" i="11" s="1"/>
  <c r="O168" i="11"/>
  <c r="P168" i="11" s="1"/>
  <c r="L168" i="11"/>
  <c r="N168" i="11" s="1"/>
  <c r="L240" i="11"/>
  <c r="N240" i="11" s="1"/>
  <c r="O240" i="11"/>
  <c r="P240" i="11" s="1"/>
  <c r="L199" i="11"/>
  <c r="N199" i="11" s="1"/>
  <c r="O199" i="11"/>
  <c r="P199" i="11" s="1"/>
  <c r="O66" i="11"/>
  <c r="P66" i="11" s="1"/>
  <c r="L66" i="11"/>
  <c r="N66" i="11" s="1"/>
  <c r="O170" i="11"/>
  <c r="P170" i="11" s="1"/>
  <c r="L170" i="11"/>
  <c r="N170" i="11" s="1"/>
  <c r="L501" i="11"/>
  <c r="N501" i="11" s="1"/>
  <c r="O501" i="11"/>
  <c r="P501" i="11" s="1"/>
  <c r="O273" i="11"/>
  <c r="P273" i="11" s="1"/>
  <c r="L273" i="11"/>
  <c r="N273" i="11" s="1"/>
  <c r="O33" i="11"/>
  <c r="P33" i="11" s="1"/>
  <c r="L33" i="11"/>
  <c r="N33" i="11" s="1"/>
  <c r="O203" i="11"/>
  <c r="P203" i="11" s="1"/>
  <c r="L203" i="11"/>
  <c r="N203" i="11" s="1"/>
  <c r="O251" i="11"/>
  <c r="P251" i="11" s="1"/>
  <c r="L251" i="11"/>
  <c r="N251" i="11" s="1"/>
  <c r="L258" i="11"/>
  <c r="N258" i="11" s="1"/>
  <c r="O258" i="11"/>
  <c r="P258" i="11" s="1"/>
  <c r="O476" i="11"/>
  <c r="P476" i="11" s="1"/>
  <c r="L476" i="11"/>
  <c r="N476" i="11" s="1"/>
  <c r="O446" i="11"/>
  <c r="P446" i="11" s="1"/>
  <c r="L446" i="11"/>
  <c r="N446" i="11" s="1"/>
  <c r="L46" i="11"/>
  <c r="N46" i="11" s="1"/>
  <c r="O46" i="11"/>
  <c r="P46" i="11" s="1"/>
  <c r="O514" i="11"/>
  <c r="P514" i="11" s="1"/>
  <c r="L514" i="11"/>
  <c r="N514" i="11" s="1"/>
  <c r="L131" i="11"/>
  <c r="N131" i="11" s="1"/>
  <c r="O131" i="11"/>
  <c r="P131" i="11" s="1"/>
  <c r="L536" i="11"/>
  <c r="N536" i="11" s="1"/>
  <c r="O536" i="11"/>
  <c r="P536" i="11" s="1"/>
  <c r="O141" i="11"/>
  <c r="P141" i="11" s="1"/>
  <c r="L141" i="11"/>
  <c r="N141" i="11" s="1"/>
  <c r="O411" i="11"/>
  <c r="P411" i="11" s="1"/>
  <c r="L411" i="11"/>
  <c r="N411" i="11" s="1"/>
  <c r="L346" i="11"/>
  <c r="N346" i="11" s="1"/>
  <c r="O346" i="11"/>
  <c r="P346" i="11" s="1"/>
  <c r="L369" i="11"/>
  <c r="N369" i="11" s="1"/>
  <c r="O369" i="11"/>
  <c r="P369" i="11" s="1"/>
  <c r="O393" i="11"/>
  <c r="P393" i="11" s="1"/>
  <c r="L393" i="11"/>
  <c r="N393" i="11" s="1"/>
  <c r="L11" i="11"/>
  <c r="N11" i="11" s="1"/>
  <c r="O11" i="11"/>
  <c r="P11" i="11" s="1"/>
  <c r="O326" i="11"/>
  <c r="P326" i="11" s="1"/>
  <c r="L326" i="11"/>
  <c r="N326" i="11" s="1"/>
  <c r="L292" i="11"/>
  <c r="N292" i="11" s="1"/>
  <c r="O292" i="11"/>
  <c r="P292" i="11" s="1"/>
  <c r="L110" i="11"/>
  <c r="N110" i="11" s="1"/>
  <c r="O110" i="11"/>
  <c r="P110" i="11" s="1"/>
  <c r="L224" i="11"/>
  <c r="N224" i="11" s="1"/>
  <c r="O224" i="11"/>
  <c r="P224" i="11" s="1"/>
  <c r="O79" i="11"/>
  <c r="P79" i="11" s="1"/>
  <c r="L79" i="11"/>
  <c r="N79" i="11" s="1"/>
  <c r="O172" i="11"/>
  <c r="P172" i="11" s="1"/>
  <c r="L172" i="11"/>
  <c r="N172" i="11" s="1"/>
  <c r="L231" i="11"/>
  <c r="N231" i="11" s="1"/>
  <c r="O231" i="11"/>
  <c r="P231" i="11" s="1"/>
  <c r="O259" i="11"/>
  <c r="P259" i="11" s="1"/>
  <c r="L259" i="11"/>
  <c r="N259" i="11" s="1"/>
  <c r="L218" i="11"/>
  <c r="N218" i="11" s="1"/>
  <c r="O218" i="11"/>
  <c r="P218" i="11" s="1"/>
  <c r="O311" i="11"/>
  <c r="P311" i="11" s="1"/>
  <c r="L311" i="11"/>
  <c r="N311" i="11" s="1"/>
  <c r="O359" i="11"/>
  <c r="P359" i="11" s="1"/>
  <c r="L359" i="11"/>
  <c r="N359" i="11" s="1"/>
  <c r="O313" i="11"/>
  <c r="P313" i="11" s="1"/>
  <c r="L313" i="11"/>
  <c r="N313" i="11" s="1"/>
  <c r="L497" i="11"/>
  <c r="N497" i="11" s="1"/>
  <c r="O497" i="11"/>
  <c r="P497" i="11" s="1"/>
  <c r="L423" i="11"/>
  <c r="N423" i="11" s="1"/>
  <c r="O423" i="11"/>
  <c r="P423" i="11" s="1"/>
  <c r="O272" i="11"/>
  <c r="P272" i="11" s="1"/>
  <c r="L272" i="11"/>
  <c r="N272" i="11" s="1"/>
  <c r="O30" i="11"/>
  <c r="P30" i="11" s="1"/>
  <c r="L30" i="11"/>
  <c r="N30" i="11" s="1"/>
  <c r="O202" i="11"/>
  <c r="P202" i="11" s="1"/>
  <c r="L202" i="11"/>
  <c r="N202" i="11" s="1"/>
  <c r="O254" i="11"/>
  <c r="P254" i="11" s="1"/>
  <c r="L254" i="11"/>
  <c r="N254" i="11" s="1"/>
  <c r="O486" i="11"/>
  <c r="P486" i="11" s="1"/>
  <c r="L486" i="11"/>
  <c r="N486" i="11" s="1"/>
  <c r="L98" i="11"/>
  <c r="N98" i="11" s="1"/>
  <c r="O98" i="11"/>
  <c r="P98" i="11" s="1"/>
  <c r="O448" i="11"/>
  <c r="P448" i="11" s="1"/>
  <c r="L448" i="11"/>
  <c r="N448" i="11" s="1"/>
  <c r="L51" i="11"/>
  <c r="N51" i="11" s="1"/>
  <c r="O51" i="11"/>
  <c r="P51" i="11" s="1"/>
  <c r="L510" i="11"/>
  <c r="N510" i="11" s="1"/>
  <c r="O510" i="11"/>
  <c r="P510" i="11" s="1"/>
  <c r="L123" i="11"/>
  <c r="N123" i="11" s="1"/>
  <c r="O123" i="11"/>
  <c r="P123" i="11" s="1"/>
  <c r="O531" i="11"/>
  <c r="P531" i="11" s="1"/>
  <c r="L531" i="11"/>
  <c r="N531" i="11" s="1"/>
  <c r="L149" i="11"/>
  <c r="N149" i="11" s="1"/>
  <c r="O149" i="11"/>
  <c r="P149" i="11" s="1"/>
  <c r="L407" i="11"/>
  <c r="N407" i="11" s="1"/>
  <c r="O407" i="11"/>
  <c r="P407" i="11" s="1"/>
  <c r="L351" i="11"/>
  <c r="N351" i="11" s="1"/>
  <c r="O351" i="11"/>
  <c r="P351" i="11" s="1"/>
  <c r="O376" i="11"/>
  <c r="P376" i="11" s="1"/>
  <c r="L376" i="11"/>
  <c r="N376" i="11" s="1"/>
  <c r="O392" i="11"/>
  <c r="P392" i="11" s="1"/>
  <c r="L392" i="11"/>
  <c r="N392" i="11" s="1"/>
  <c r="L17" i="11"/>
  <c r="N17" i="11" s="1"/>
  <c r="O17" i="11"/>
  <c r="P17" i="11" s="1"/>
  <c r="L328" i="11"/>
  <c r="N328" i="11" s="1"/>
  <c r="O328" i="11"/>
  <c r="P328" i="11" s="1"/>
  <c r="O290" i="11"/>
  <c r="P290" i="11" s="1"/>
  <c r="L290" i="11"/>
  <c r="N290" i="11" s="1"/>
  <c r="L108" i="11"/>
  <c r="N108" i="11" s="1"/>
  <c r="O108" i="11"/>
  <c r="P108" i="11" s="1"/>
  <c r="O215" i="11"/>
  <c r="P215" i="11" s="1"/>
  <c r="L215" i="11"/>
  <c r="N215" i="11" s="1"/>
  <c r="O75" i="11"/>
  <c r="P75" i="11" s="1"/>
  <c r="L75" i="11"/>
  <c r="N75" i="11" s="1"/>
  <c r="L173" i="11"/>
  <c r="N173" i="11" s="1"/>
  <c r="O173" i="11"/>
  <c r="P173" i="11" s="1"/>
  <c r="L238" i="11"/>
  <c r="N238" i="11" s="1"/>
  <c r="O238" i="11"/>
  <c r="P238" i="11" s="1"/>
  <c r="O500" i="11"/>
  <c r="P500" i="11" s="1"/>
  <c r="L500" i="11"/>
  <c r="N500" i="11" s="1"/>
  <c r="O132" i="11"/>
  <c r="P132" i="11" s="1"/>
  <c r="L132" i="11"/>
  <c r="N132" i="11" s="1"/>
  <c r="L371" i="11"/>
  <c r="N371" i="11" s="1"/>
  <c r="O371" i="11"/>
  <c r="P371" i="11" s="1"/>
  <c r="O267" i="11"/>
  <c r="P267" i="11" s="1"/>
  <c r="L267" i="11"/>
  <c r="N267" i="11" s="1"/>
  <c r="L38" i="11"/>
  <c r="N38" i="11" s="1"/>
  <c r="O38" i="11"/>
  <c r="P38" i="11" s="1"/>
  <c r="O197" i="11"/>
  <c r="P197" i="11" s="1"/>
  <c r="L197" i="11"/>
  <c r="N197" i="11" s="1"/>
  <c r="L256" i="11"/>
  <c r="N256" i="11" s="1"/>
  <c r="O256" i="11"/>
  <c r="P256" i="11" s="1"/>
  <c r="O483" i="11"/>
  <c r="P483" i="11" s="1"/>
  <c r="L483" i="11"/>
  <c r="N483" i="11" s="1"/>
  <c r="L96" i="11"/>
  <c r="N96" i="11" s="1"/>
  <c r="O96" i="11"/>
  <c r="P96" i="11" s="1"/>
  <c r="O450" i="11"/>
  <c r="P450" i="11" s="1"/>
  <c r="L450" i="11"/>
  <c r="N450" i="11" s="1"/>
  <c r="L47" i="11"/>
  <c r="N47" i="11" s="1"/>
  <c r="O47" i="11"/>
  <c r="P47" i="11" s="1"/>
  <c r="L511" i="11"/>
  <c r="N511" i="11" s="1"/>
  <c r="O511" i="11"/>
  <c r="P511" i="11" s="1"/>
  <c r="O124" i="11"/>
  <c r="P124" i="11" s="1"/>
  <c r="L124" i="11"/>
  <c r="N124" i="11" s="1"/>
  <c r="O528" i="11"/>
  <c r="P528" i="11" s="1"/>
  <c r="L528" i="11"/>
  <c r="N528" i="11" s="1"/>
  <c r="O144" i="11"/>
  <c r="P144" i="11" s="1"/>
  <c r="L144" i="11"/>
  <c r="N144" i="11" s="1"/>
  <c r="L412" i="11"/>
  <c r="N412" i="11" s="1"/>
  <c r="O412" i="11"/>
  <c r="P412" i="11" s="1"/>
  <c r="O344" i="11"/>
  <c r="P344" i="11" s="1"/>
  <c r="L344" i="11"/>
  <c r="N344" i="11" s="1"/>
  <c r="L373" i="11"/>
  <c r="N373" i="11" s="1"/>
  <c r="O373" i="11"/>
  <c r="P373" i="11" s="1"/>
  <c r="O391" i="11"/>
  <c r="P391" i="11" s="1"/>
  <c r="L391" i="11"/>
  <c r="N391" i="11" s="1"/>
  <c r="L14" i="11"/>
  <c r="N14" i="11" s="1"/>
  <c r="O14" i="11"/>
  <c r="P14" i="11" s="1"/>
  <c r="O323" i="11"/>
  <c r="P323" i="11" s="1"/>
  <c r="L323" i="11"/>
  <c r="N323" i="11" s="1"/>
  <c r="L288" i="11"/>
  <c r="N288" i="11" s="1"/>
  <c r="O288" i="11"/>
  <c r="P288" i="11" s="1"/>
  <c r="L106" i="11"/>
  <c r="N106" i="11" s="1"/>
  <c r="O106" i="11"/>
  <c r="P106" i="11" s="1"/>
  <c r="O220" i="11"/>
  <c r="P220" i="11" s="1"/>
  <c r="L220" i="11"/>
  <c r="N220" i="11" s="1"/>
  <c r="O80" i="11"/>
  <c r="P80" i="11" s="1"/>
  <c r="L80" i="11"/>
  <c r="N80" i="11" s="1"/>
  <c r="L176" i="11"/>
  <c r="N176" i="11" s="1"/>
  <c r="O176" i="11"/>
  <c r="P176" i="11" s="1"/>
  <c r="L233" i="11"/>
  <c r="N233" i="11" s="1"/>
  <c r="O233" i="11"/>
  <c r="P233" i="11" s="1"/>
  <c r="O421" i="11"/>
  <c r="P421" i="11" s="1"/>
  <c r="L421" i="11"/>
  <c r="N421" i="11" s="1"/>
  <c r="L526" i="11"/>
  <c r="N526" i="11" s="1"/>
  <c r="O526" i="11"/>
  <c r="P526" i="11" s="1"/>
  <c r="L308" i="11"/>
  <c r="N308" i="11" s="1"/>
  <c r="O308" i="11"/>
  <c r="P308" i="11" s="1"/>
  <c r="L361" i="11"/>
  <c r="N361" i="11" s="1"/>
  <c r="O361" i="11"/>
  <c r="P361" i="11" s="1"/>
  <c r="L34" i="11"/>
  <c r="N34" i="11" s="1"/>
  <c r="O34" i="11"/>
  <c r="P34" i="11" s="1"/>
  <c r="O263" i="11"/>
  <c r="P263" i="11" s="1"/>
  <c r="L263" i="11"/>
  <c r="N263" i="11" s="1"/>
  <c r="O478" i="11"/>
  <c r="P478" i="11" s="1"/>
  <c r="L478" i="11"/>
  <c r="N478" i="11" s="1"/>
  <c r="L94" i="11"/>
  <c r="N94" i="11" s="1"/>
  <c r="O94" i="11"/>
  <c r="P94" i="11" s="1"/>
  <c r="L451" i="11"/>
  <c r="N451" i="11" s="1"/>
  <c r="O451" i="11"/>
  <c r="P451" i="11" s="1"/>
  <c r="L52" i="11"/>
  <c r="N52" i="11" s="1"/>
  <c r="O52" i="11"/>
  <c r="P52" i="11" s="1"/>
  <c r="L519" i="11"/>
  <c r="N519" i="11" s="1"/>
  <c r="O519" i="11"/>
  <c r="P519" i="11" s="1"/>
  <c r="O126" i="11"/>
  <c r="P126" i="11" s="1"/>
  <c r="L126" i="11"/>
  <c r="N126" i="11" s="1"/>
  <c r="O533" i="11"/>
  <c r="P533" i="11" s="1"/>
  <c r="L533" i="11"/>
  <c r="N533" i="11" s="1"/>
  <c r="L143" i="11"/>
  <c r="N143" i="11" s="1"/>
  <c r="O143" i="11"/>
  <c r="P143" i="11" s="1"/>
  <c r="O408" i="11"/>
  <c r="P408" i="11" s="1"/>
  <c r="L408" i="11"/>
  <c r="N408" i="11" s="1"/>
  <c r="L342" i="11"/>
  <c r="N342" i="11" s="1"/>
  <c r="O342" i="11"/>
  <c r="P342" i="11" s="1"/>
  <c r="O372" i="11"/>
  <c r="P372" i="11" s="1"/>
  <c r="L372" i="11"/>
  <c r="N372" i="11" s="1"/>
  <c r="O390" i="11"/>
  <c r="P390" i="11" s="1"/>
  <c r="L390" i="11"/>
  <c r="N390" i="11" s="1"/>
  <c r="L12" i="11"/>
  <c r="N12" i="11" s="1"/>
  <c r="O12" i="11"/>
  <c r="P12" i="11" s="1"/>
  <c r="O325" i="11"/>
  <c r="P325" i="11" s="1"/>
  <c r="L325" i="11"/>
  <c r="N325" i="11" s="1"/>
  <c r="O295" i="11"/>
  <c r="P295" i="11" s="1"/>
  <c r="L295" i="11"/>
  <c r="N295" i="11" s="1"/>
  <c r="L104" i="11"/>
  <c r="N104" i="11" s="1"/>
  <c r="O104" i="11"/>
  <c r="P104" i="11" s="1"/>
  <c r="L217" i="11"/>
  <c r="N217" i="11" s="1"/>
  <c r="O217" i="11"/>
  <c r="P217" i="11" s="1"/>
  <c r="O76" i="11"/>
  <c r="P76" i="11" s="1"/>
  <c r="L76" i="11"/>
  <c r="N76" i="11" s="1"/>
  <c r="L175" i="11"/>
  <c r="N175" i="11" s="1"/>
  <c r="O175" i="11"/>
  <c r="P175" i="11" s="1"/>
  <c r="L241" i="11"/>
  <c r="N241" i="11" s="1"/>
  <c r="O241" i="11"/>
  <c r="P241" i="11" s="1"/>
  <c r="O357" i="11"/>
  <c r="P357" i="11" s="1"/>
  <c r="L357" i="11"/>
  <c r="N357" i="11" s="1"/>
  <c r="L151" i="11"/>
  <c r="N151" i="11" s="1"/>
  <c r="O151" i="11"/>
  <c r="P151" i="11" s="1"/>
  <c r="L498" i="11"/>
  <c r="N498" i="11" s="1"/>
  <c r="O498" i="11"/>
  <c r="P498" i="11" s="1"/>
  <c r="O422" i="11"/>
  <c r="P422" i="11" s="1"/>
  <c r="L422" i="11"/>
  <c r="N422" i="11" s="1"/>
  <c r="L198" i="11"/>
  <c r="N198" i="11" s="1"/>
  <c r="O198" i="11"/>
  <c r="P198" i="11" s="1"/>
  <c r="O360" i="11"/>
  <c r="P360" i="11" s="1"/>
  <c r="L360" i="11"/>
  <c r="N360" i="11" s="1"/>
  <c r="O418" i="11"/>
  <c r="P418" i="11" s="1"/>
  <c r="L418" i="11"/>
  <c r="N418" i="11" s="1"/>
  <c r="L269" i="11"/>
  <c r="N269" i="11" s="1"/>
  <c r="O269" i="11"/>
  <c r="P269" i="11" s="1"/>
  <c r="L31" i="11"/>
  <c r="N31" i="11" s="1"/>
  <c r="O31" i="11"/>
  <c r="P31" i="11" s="1"/>
  <c r="L207" i="11"/>
  <c r="N207" i="11" s="1"/>
  <c r="O207" i="11"/>
  <c r="P207" i="11" s="1"/>
  <c r="L255" i="11"/>
  <c r="N255" i="11" s="1"/>
  <c r="O255" i="11"/>
  <c r="P255" i="11" s="1"/>
  <c r="O485" i="11"/>
  <c r="P485" i="11" s="1"/>
  <c r="L485" i="11"/>
  <c r="N485" i="11" s="1"/>
  <c r="L92" i="11"/>
  <c r="N92" i="11" s="1"/>
  <c r="O92" i="11"/>
  <c r="P92" i="11" s="1"/>
  <c r="O449" i="11"/>
  <c r="P449" i="11" s="1"/>
  <c r="L449" i="11"/>
  <c r="N449" i="11" s="1"/>
  <c r="O48" i="11"/>
  <c r="P48" i="11" s="1"/>
  <c r="L48" i="11"/>
  <c r="N48" i="11" s="1"/>
  <c r="O515" i="11"/>
  <c r="P515" i="11" s="1"/>
  <c r="L515" i="11"/>
  <c r="N515" i="11" s="1"/>
  <c r="O129" i="11"/>
  <c r="P129" i="11" s="1"/>
  <c r="L129" i="11"/>
  <c r="N129" i="11" s="1"/>
  <c r="O534" i="11"/>
  <c r="P534" i="11" s="1"/>
  <c r="L534" i="11"/>
  <c r="N534" i="11" s="1"/>
  <c r="O142" i="11"/>
  <c r="P142" i="11" s="1"/>
  <c r="L142" i="11"/>
  <c r="N142" i="11" s="1"/>
  <c r="O409" i="11"/>
  <c r="P409" i="11" s="1"/>
  <c r="L409" i="11"/>
  <c r="N409" i="11" s="1"/>
  <c r="L340" i="11"/>
  <c r="N340" i="11" s="1"/>
  <c r="O340" i="11"/>
  <c r="P340" i="11" s="1"/>
  <c r="L374" i="11"/>
  <c r="N374" i="11" s="1"/>
  <c r="O374" i="11"/>
  <c r="P374" i="11" s="1"/>
  <c r="O389" i="11"/>
  <c r="P389" i="11" s="1"/>
  <c r="L389" i="11"/>
  <c r="N389" i="11" s="1"/>
  <c r="L18" i="11"/>
  <c r="N18" i="11" s="1"/>
  <c r="O18" i="11"/>
  <c r="P18" i="11" s="1"/>
  <c r="O333" i="11"/>
  <c r="P333" i="11" s="1"/>
  <c r="L333" i="11"/>
  <c r="N333" i="11" s="1"/>
  <c r="L289" i="11"/>
  <c r="N289" i="11" s="1"/>
  <c r="O289" i="11"/>
  <c r="P289" i="11" s="1"/>
  <c r="L222" i="11"/>
  <c r="N222" i="11" s="1"/>
  <c r="O222" i="11"/>
  <c r="P222" i="11" s="1"/>
  <c r="L219" i="11"/>
  <c r="N219" i="11" s="1"/>
  <c r="O219" i="11"/>
  <c r="P219" i="11" s="1"/>
  <c r="O81" i="11"/>
  <c r="P81" i="11" s="1"/>
  <c r="L81" i="11"/>
  <c r="N81" i="11" s="1"/>
  <c r="L174" i="11"/>
  <c r="N174" i="11" s="1"/>
  <c r="O174" i="11"/>
  <c r="P174" i="11" s="1"/>
  <c r="L239" i="11"/>
  <c r="N239" i="11" s="1"/>
  <c r="O239" i="11"/>
  <c r="P239" i="11" s="1"/>
  <c r="O261" i="11"/>
  <c r="P261" i="11" s="1"/>
  <c r="L261" i="11"/>
  <c r="N261" i="11" s="1"/>
  <c r="O345" i="11"/>
  <c r="P345" i="11" s="1"/>
  <c r="L345" i="11"/>
  <c r="N345" i="11" s="1"/>
  <c r="L310" i="11"/>
  <c r="N310" i="11" s="1"/>
  <c r="O310" i="11"/>
  <c r="P310" i="11" s="1"/>
  <c r="O268" i="11"/>
  <c r="P268" i="11" s="1"/>
  <c r="L268" i="11"/>
  <c r="N268" i="11" s="1"/>
  <c r="L312" i="11"/>
  <c r="N312" i="11" s="1"/>
  <c r="O312" i="11"/>
  <c r="P312" i="11" s="1"/>
  <c r="L314" i="11"/>
  <c r="N314" i="11" s="1"/>
  <c r="O314" i="11"/>
  <c r="P314" i="11" s="1"/>
  <c r="L419" i="11"/>
  <c r="N419" i="11" s="1"/>
  <c r="O419" i="11"/>
  <c r="P419" i="11" s="1"/>
  <c r="O270" i="11"/>
  <c r="P270" i="11" s="1"/>
  <c r="L270" i="11"/>
  <c r="N270" i="11" s="1"/>
  <c r="L39" i="11"/>
  <c r="N39" i="11" s="1"/>
  <c r="O39" i="11"/>
  <c r="P39" i="11" s="1"/>
  <c r="L201" i="11"/>
  <c r="N201" i="11" s="1"/>
  <c r="O201" i="11"/>
  <c r="P201" i="11" s="1"/>
  <c r="L248" i="11"/>
  <c r="N248" i="11" s="1"/>
  <c r="O248" i="11"/>
  <c r="P248" i="11" s="1"/>
  <c r="L482" i="11"/>
  <c r="N482" i="11" s="1"/>
  <c r="O482" i="11"/>
  <c r="P482" i="11" s="1"/>
  <c r="L90" i="11"/>
  <c r="N90" i="11" s="1"/>
  <c r="O90" i="11"/>
  <c r="P90" i="11" s="1"/>
  <c r="O445" i="11"/>
  <c r="P445" i="11" s="1"/>
  <c r="L445" i="11"/>
  <c r="N445" i="11" s="1"/>
  <c r="L188" i="11"/>
  <c r="N188" i="11" s="1"/>
  <c r="O188" i="11"/>
  <c r="P188" i="11" s="1"/>
  <c r="O516" i="11"/>
  <c r="P516" i="11" s="1"/>
  <c r="L516" i="11"/>
  <c r="N516" i="11" s="1"/>
  <c r="O128" i="11"/>
  <c r="P128" i="11" s="1"/>
  <c r="L128" i="11"/>
  <c r="N128" i="11" s="1"/>
  <c r="L530" i="11"/>
  <c r="N530" i="11" s="1"/>
  <c r="O530" i="11"/>
  <c r="P530" i="11" s="1"/>
  <c r="O147" i="11"/>
  <c r="P147" i="11" s="1"/>
  <c r="L147" i="11"/>
  <c r="N147" i="11" s="1"/>
  <c r="O405" i="11"/>
  <c r="P405" i="11" s="1"/>
  <c r="L405" i="11"/>
  <c r="N405" i="11" s="1"/>
  <c r="O350" i="11"/>
  <c r="P350" i="11" s="1"/>
  <c r="L350" i="11"/>
  <c r="N350" i="11" s="1"/>
  <c r="L375" i="11"/>
  <c r="N375" i="11" s="1"/>
  <c r="O375" i="11"/>
  <c r="P375" i="11" s="1"/>
  <c r="O388" i="11"/>
  <c r="P388" i="11" s="1"/>
  <c r="L388" i="11"/>
  <c r="N388" i="11" s="1"/>
  <c r="L15" i="11"/>
  <c r="N15" i="11" s="1"/>
  <c r="O15" i="11"/>
  <c r="P15" i="11" s="1"/>
  <c r="L329" i="11"/>
  <c r="N329" i="11" s="1"/>
  <c r="O329" i="11"/>
  <c r="P329" i="11" s="1"/>
  <c r="O287" i="11"/>
  <c r="P287" i="11" s="1"/>
  <c r="L287" i="11"/>
  <c r="N287" i="11" s="1"/>
  <c r="L225" i="11"/>
  <c r="N225" i="11" s="1"/>
  <c r="O225" i="11"/>
  <c r="P225" i="11" s="1"/>
  <c r="L275" i="11"/>
  <c r="N275" i="11" s="1"/>
  <c r="O275" i="11"/>
  <c r="P275" i="11" s="1"/>
  <c r="O77" i="11"/>
  <c r="P77" i="11" s="1"/>
  <c r="L77" i="11"/>
  <c r="N77" i="11" s="1"/>
  <c r="O438" i="11"/>
  <c r="P438" i="11" s="1"/>
  <c r="L438" i="11"/>
  <c r="N438" i="11" s="1"/>
  <c r="L234" i="11"/>
  <c r="N234" i="11" s="1"/>
  <c r="O234" i="11"/>
  <c r="P234" i="11" s="1"/>
  <c r="L484" i="11"/>
  <c r="N484" i="11" s="1"/>
  <c r="O484" i="11"/>
  <c r="P484" i="11" s="1"/>
  <c r="L13" i="11"/>
  <c r="N13" i="11" s="1"/>
  <c r="O13" i="11"/>
  <c r="P13" i="11" s="1"/>
  <c r="O364" i="11"/>
  <c r="P364" i="11" s="1"/>
  <c r="L364" i="11"/>
  <c r="N364" i="11" s="1"/>
  <c r="O424" i="11"/>
  <c r="P424" i="11" s="1"/>
  <c r="L424" i="11"/>
  <c r="N424" i="11" s="1"/>
  <c r="O271" i="11"/>
  <c r="P271" i="11" s="1"/>
  <c r="L271" i="11"/>
  <c r="N271" i="11" s="1"/>
  <c r="L35" i="11"/>
  <c r="N35" i="11" s="1"/>
  <c r="O35" i="11"/>
  <c r="P35" i="11" s="1"/>
  <c r="O493" i="11"/>
  <c r="P493" i="11" s="1"/>
  <c r="L493" i="11"/>
  <c r="N493" i="11" s="1"/>
  <c r="L260" i="11"/>
  <c r="N260" i="11" s="1"/>
  <c r="O260" i="11"/>
  <c r="P260" i="11" s="1"/>
  <c r="O479" i="11"/>
  <c r="P479" i="11" s="1"/>
  <c r="L479" i="11"/>
  <c r="N479" i="11" s="1"/>
  <c r="O89" i="11"/>
  <c r="P89" i="11" s="1"/>
  <c r="L89" i="11"/>
  <c r="N89" i="11" s="1"/>
  <c r="L452" i="11"/>
  <c r="N452" i="11" s="1"/>
  <c r="O452" i="11"/>
  <c r="P452" i="11" s="1"/>
  <c r="L187" i="11"/>
  <c r="N187" i="11" s="1"/>
  <c r="O187" i="11"/>
  <c r="P187" i="11" s="1"/>
  <c r="O512" i="11"/>
  <c r="P512" i="11" s="1"/>
  <c r="L512" i="11"/>
  <c r="N512" i="11" s="1"/>
  <c r="O127" i="11"/>
  <c r="P127" i="11" s="1"/>
  <c r="L127" i="11"/>
  <c r="N127" i="11" s="1"/>
  <c r="O527" i="11"/>
  <c r="P527" i="11" s="1"/>
  <c r="L527" i="11"/>
  <c r="N527" i="11" s="1"/>
  <c r="L146" i="11"/>
  <c r="N146" i="11" s="1"/>
  <c r="O146" i="11"/>
  <c r="P146" i="11" s="1"/>
  <c r="O410" i="11"/>
  <c r="P410" i="11" s="1"/>
  <c r="L410" i="11"/>
  <c r="N410" i="11" s="1"/>
  <c r="O348" i="11"/>
  <c r="P348" i="11" s="1"/>
  <c r="L348" i="11"/>
  <c r="N348" i="11" s="1"/>
  <c r="L377" i="11"/>
  <c r="N377" i="11" s="1"/>
  <c r="O377" i="11"/>
  <c r="P377" i="11" s="1"/>
  <c r="L387" i="11"/>
  <c r="N387" i="11" s="1"/>
  <c r="O387" i="11"/>
  <c r="P387" i="11" s="1"/>
  <c r="L10" i="11"/>
  <c r="N10" i="11" s="1"/>
  <c r="O10" i="11"/>
  <c r="P10" i="11" s="1"/>
  <c r="L331" i="11"/>
  <c r="N331" i="11" s="1"/>
  <c r="O331" i="11"/>
  <c r="P331" i="11" s="1"/>
  <c r="L285" i="11"/>
  <c r="N285" i="11" s="1"/>
  <c r="O285" i="11"/>
  <c r="P285" i="11" s="1"/>
  <c r="O214" i="11"/>
  <c r="P214" i="11" s="1"/>
  <c r="L214" i="11"/>
  <c r="N214" i="11" s="1"/>
  <c r="O274" i="11"/>
  <c r="P274" i="11" s="1"/>
  <c r="L274" i="11"/>
  <c r="N274" i="11" s="1"/>
  <c r="O169" i="11"/>
  <c r="P169" i="11" s="1"/>
  <c r="L169" i="11"/>
  <c r="N169" i="11" s="1"/>
  <c r="O442" i="11"/>
  <c r="P442" i="11" s="1"/>
  <c r="L442" i="11"/>
  <c r="N442" i="11" s="1"/>
  <c r="O237" i="11"/>
  <c r="P237" i="11" s="1"/>
  <c r="L237" i="11"/>
  <c r="N237" i="11" s="1"/>
  <c r="L49" i="11"/>
  <c r="N49" i="11" s="1"/>
  <c r="O49" i="11"/>
  <c r="P49" i="11" s="1"/>
  <c r="L105" i="11"/>
  <c r="N105" i="11" s="1"/>
  <c r="O105" i="11"/>
  <c r="P105" i="11" s="1"/>
  <c r="O315" i="11"/>
  <c r="P315" i="11" s="1"/>
  <c r="L315" i="11"/>
  <c r="N315" i="11" s="1"/>
  <c r="L40" i="11"/>
  <c r="N40" i="11" s="1"/>
  <c r="O40" i="11"/>
  <c r="P40" i="11" s="1"/>
  <c r="L253" i="11"/>
  <c r="N253" i="11" s="1"/>
  <c r="O253" i="11"/>
  <c r="P253" i="11" s="1"/>
  <c r="L477" i="11"/>
  <c r="N477" i="11" s="1"/>
  <c r="O477" i="11"/>
  <c r="P477" i="11" s="1"/>
  <c r="L97" i="11"/>
  <c r="N97" i="11" s="1"/>
  <c r="O97" i="11"/>
  <c r="P97" i="11" s="1"/>
  <c r="L447" i="11"/>
  <c r="N447" i="11" s="1"/>
  <c r="O447" i="11"/>
  <c r="P447" i="11" s="1"/>
  <c r="L186" i="11"/>
  <c r="N186" i="11" s="1"/>
  <c r="O186" i="11"/>
  <c r="P186" i="11" s="1"/>
  <c r="L508" i="11"/>
  <c r="N508" i="11" s="1"/>
  <c r="O508" i="11"/>
  <c r="P508" i="11" s="1"/>
  <c r="O125" i="11"/>
  <c r="P125" i="11" s="1"/>
  <c r="L125" i="11"/>
  <c r="N125" i="11" s="1"/>
  <c r="O148" i="11"/>
  <c r="P148" i="11" s="1"/>
  <c r="L148" i="11"/>
  <c r="N148" i="11" s="1"/>
  <c r="L145" i="11"/>
  <c r="N145" i="11" s="1"/>
  <c r="O145" i="11"/>
  <c r="P145" i="11" s="1"/>
  <c r="O406" i="11"/>
  <c r="P406" i="11" s="1"/>
  <c r="L406" i="11"/>
  <c r="N406" i="11" s="1"/>
  <c r="O347" i="11"/>
  <c r="P347" i="11" s="1"/>
  <c r="L347" i="11"/>
  <c r="N347" i="11" s="1"/>
  <c r="O367" i="11"/>
  <c r="P367" i="11" s="1"/>
  <c r="L367" i="11"/>
  <c r="N367" i="11" s="1"/>
  <c r="O386" i="11"/>
  <c r="P386" i="11" s="1"/>
  <c r="L386" i="11"/>
  <c r="N386" i="11" s="1"/>
  <c r="O165" i="11"/>
  <c r="P165" i="11" s="1"/>
  <c r="L165" i="11"/>
  <c r="N165" i="11" s="1"/>
  <c r="O327" i="11"/>
  <c r="P327" i="11" s="1"/>
  <c r="L327" i="11"/>
  <c r="N327" i="11" s="1"/>
  <c r="L111" i="11"/>
  <c r="N111" i="11" s="1"/>
  <c r="O111" i="11"/>
  <c r="P111" i="11" s="1"/>
  <c r="L216" i="11"/>
  <c r="N216" i="11" s="1"/>
  <c r="O216" i="11"/>
  <c r="P216" i="11" s="1"/>
  <c r="L276" i="11"/>
  <c r="N276" i="11" s="1"/>
  <c r="O276" i="11"/>
  <c r="P276" i="11" s="1"/>
  <c r="O167" i="11"/>
  <c r="P167" i="11" s="1"/>
  <c r="L167" i="11"/>
  <c r="N167" i="11" s="1"/>
  <c r="O441" i="11"/>
  <c r="P441" i="11" s="1"/>
  <c r="L441" i="11"/>
  <c r="N441" i="11" s="1"/>
  <c r="L232" i="11"/>
  <c r="N232" i="11" s="1"/>
  <c r="O232" i="11"/>
  <c r="P232" i="11" s="1"/>
  <c r="L91" i="11"/>
  <c r="N91" i="11" s="1"/>
  <c r="O91" i="11"/>
  <c r="P91" i="11" s="1"/>
  <c r="L294" i="11"/>
  <c r="N294" i="11" s="1"/>
  <c r="O294" i="11"/>
  <c r="P294" i="11" s="1"/>
  <c r="L316" i="11"/>
  <c r="N316" i="11" s="1"/>
  <c r="O316" i="11"/>
  <c r="P316" i="11" s="1"/>
  <c r="O420" i="11"/>
  <c r="P420" i="11" s="1"/>
  <c r="L420" i="11"/>
  <c r="N420" i="11" s="1"/>
  <c r="O205" i="11"/>
  <c r="P205" i="11" s="1"/>
  <c r="L205" i="11"/>
  <c r="N205" i="11" s="1"/>
  <c r="L309" i="11"/>
  <c r="N309" i="11" s="1"/>
  <c r="O309" i="11"/>
  <c r="P309" i="11" s="1"/>
  <c r="L363" i="11"/>
  <c r="N363" i="11" s="1"/>
  <c r="O363" i="11"/>
  <c r="P363" i="11" s="1"/>
  <c r="O416" i="11"/>
  <c r="P416" i="11" s="1"/>
  <c r="L416" i="11"/>
  <c r="N416" i="11" s="1"/>
  <c r="L36" i="11"/>
  <c r="N36" i="11" s="1"/>
  <c r="O36" i="11"/>
  <c r="P36" i="11" s="1"/>
  <c r="L200" i="11"/>
  <c r="N200" i="11" s="1"/>
  <c r="O200" i="11"/>
  <c r="P200" i="11" s="1"/>
  <c r="O492" i="11"/>
  <c r="P492" i="11" s="1"/>
  <c r="L492" i="11"/>
  <c r="N492" i="11" s="1"/>
  <c r="O257" i="11"/>
  <c r="P257" i="11" s="1"/>
  <c r="L257" i="11"/>
  <c r="N257" i="11" s="1"/>
  <c r="O480" i="11"/>
  <c r="P480" i="11" s="1"/>
  <c r="L480" i="11"/>
  <c r="N480" i="11" s="1"/>
  <c r="L95" i="11"/>
  <c r="N95" i="11" s="1"/>
  <c r="O95" i="11"/>
  <c r="P95" i="11" s="1"/>
  <c r="O443" i="11"/>
  <c r="P443" i="11" s="1"/>
  <c r="L443" i="11"/>
  <c r="N443" i="11" s="1"/>
  <c r="O513" i="11"/>
  <c r="P513" i="11" s="1"/>
  <c r="L513" i="11"/>
  <c r="N513" i="11" s="1"/>
  <c r="O121" i="11"/>
  <c r="P121" i="11" s="1"/>
  <c r="L121" i="11"/>
  <c r="N121" i="11" s="1"/>
  <c r="O532" i="11"/>
  <c r="P532" i="11" s="1"/>
  <c r="L532" i="11"/>
  <c r="N532" i="11" s="1"/>
  <c r="L139" i="11"/>
  <c r="N139" i="11" s="1"/>
  <c r="O139" i="11"/>
  <c r="P139" i="11" s="1"/>
  <c r="O140" i="11"/>
  <c r="P140" i="11" s="1"/>
  <c r="L140" i="11"/>
  <c r="N140" i="11" s="1"/>
  <c r="O404" i="11"/>
  <c r="P404" i="11" s="1"/>
  <c r="L404" i="11"/>
  <c r="N404" i="11" s="1"/>
  <c r="L343" i="11"/>
  <c r="N343" i="11" s="1"/>
  <c r="O343" i="11"/>
  <c r="P343" i="11" s="1"/>
  <c r="L368" i="11"/>
  <c r="N368" i="11" s="1"/>
  <c r="O368" i="11"/>
  <c r="P368" i="11" s="1"/>
  <c r="O385" i="11"/>
  <c r="P385" i="11" s="1"/>
  <c r="L385" i="11"/>
  <c r="N385" i="11" s="1"/>
  <c r="O164" i="11"/>
  <c r="P164" i="11" s="1"/>
  <c r="L164" i="11"/>
  <c r="N164" i="11" s="1"/>
  <c r="L291" i="11"/>
  <c r="N291" i="11" s="1"/>
  <c r="O291" i="11"/>
  <c r="P291" i="11" s="1"/>
  <c r="L107" i="11"/>
  <c r="N107" i="11" s="1"/>
  <c r="O107" i="11"/>
  <c r="P107" i="11" s="1"/>
  <c r="L223" i="11"/>
  <c r="N223" i="11" s="1"/>
  <c r="O223" i="11"/>
  <c r="P223" i="11" s="1"/>
  <c r="L82" i="11"/>
  <c r="N82" i="11" s="1"/>
  <c r="O82" i="11"/>
  <c r="P82" i="11" s="1"/>
  <c r="O166" i="11"/>
  <c r="P166" i="11" s="1"/>
  <c r="L166" i="11"/>
  <c r="N166" i="11" s="1"/>
  <c r="L439" i="11"/>
  <c r="N439" i="11" s="1"/>
  <c r="O439" i="11"/>
  <c r="P439" i="11" s="1"/>
  <c r="L235" i="11"/>
  <c r="N235" i="11" s="1"/>
  <c r="O235" i="11"/>
  <c r="P235" i="11" s="1"/>
  <c r="L29" i="11"/>
  <c r="N29" i="11" s="1"/>
  <c r="O29" i="11"/>
  <c r="P29" i="11" s="1"/>
  <c r="L402" i="11"/>
  <c r="N402" i="11" s="1"/>
  <c r="O402" i="11"/>
  <c r="P402" i="11" s="1"/>
  <c r="O426" i="11"/>
  <c r="P426" i="11" s="1"/>
  <c r="L426" i="11"/>
  <c r="N426" i="11" s="1"/>
  <c r="L362" i="11"/>
  <c r="N362" i="11" s="1"/>
  <c r="O362" i="11"/>
  <c r="P362" i="11" s="1"/>
  <c r="O495" i="11"/>
  <c r="P495" i="11" s="1"/>
  <c r="L495" i="11"/>
  <c r="N495" i="11" s="1"/>
  <c r="O499" i="11"/>
  <c r="P499" i="11" s="1"/>
  <c r="L499" i="11"/>
  <c r="N499" i="11" s="1"/>
  <c r="O365" i="11"/>
  <c r="P365" i="11" s="1"/>
  <c r="L365" i="11"/>
  <c r="N365" i="11" s="1"/>
  <c r="L425" i="11"/>
  <c r="N425" i="11" s="1"/>
  <c r="O425" i="11"/>
  <c r="P425" i="11" s="1"/>
  <c r="L32" i="11"/>
  <c r="N32" i="11" s="1"/>
  <c r="O32" i="11"/>
  <c r="P32" i="11" s="1"/>
  <c r="L204" i="11"/>
  <c r="N204" i="11" s="1"/>
  <c r="O204" i="11"/>
  <c r="P204" i="11" s="1"/>
  <c r="L494" i="11"/>
  <c r="N494" i="11" s="1"/>
  <c r="O494" i="11"/>
  <c r="P494" i="11" s="1"/>
  <c r="O250" i="11"/>
  <c r="P250" i="11" s="1"/>
  <c r="L250" i="11"/>
  <c r="N250" i="11" s="1"/>
  <c r="L475" i="11"/>
  <c r="N475" i="11" s="1"/>
  <c r="O475" i="11"/>
  <c r="P475" i="11" s="1"/>
  <c r="L93" i="11"/>
  <c r="N93" i="11" s="1"/>
  <c r="O93" i="11"/>
  <c r="P93" i="11" s="1"/>
  <c r="L53" i="11"/>
  <c r="N53" i="11" s="1"/>
  <c r="O53" i="11"/>
  <c r="P53" i="11" s="1"/>
  <c r="O518" i="11"/>
  <c r="P518" i="11" s="1"/>
  <c r="L518" i="11"/>
  <c r="N518" i="11" s="1"/>
  <c r="O130" i="11"/>
  <c r="P130" i="11" s="1"/>
  <c r="L130" i="11"/>
  <c r="N130" i="11" s="1"/>
  <c r="O535" i="11"/>
  <c r="P535" i="11" s="1"/>
  <c r="L535" i="11"/>
  <c r="N535" i="11" s="1"/>
  <c r="L152" i="11"/>
  <c r="N152" i="11" s="1"/>
  <c r="O152" i="11"/>
  <c r="P152" i="11" s="1"/>
  <c r="L65" i="11"/>
  <c r="N65" i="11" s="1"/>
  <c r="O65" i="11"/>
  <c r="P65" i="11" s="1"/>
  <c r="L403" i="11"/>
  <c r="N403" i="11" s="1"/>
  <c r="O403" i="11"/>
  <c r="P403" i="11" s="1"/>
  <c r="L349" i="11"/>
  <c r="N349" i="11" s="1"/>
  <c r="O349" i="11"/>
  <c r="P349" i="11" s="1"/>
  <c r="L370" i="11"/>
  <c r="N370" i="11" s="1"/>
  <c r="O370" i="11"/>
  <c r="P370" i="11" s="1"/>
  <c r="O384" i="11"/>
  <c r="P384" i="11" s="1"/>
  <c r="L384" i="11"/>
  <c r="N384" i="11" s="1"/>
  <c r="L324" i="11"/>
  <c r="N324" i="11" s="1"/>
  <c r="O324" i="11"/>
  <c r="P324" i="11" s="1"/>
  <c r="L286" i="11"/>
  <c r="N286" i="11" s="1"/>
  <c r="O286" i="11"/>
  <c r="P286" i="11" s="1"/>
  <c r="L109" i="11"/>
  <c r="N109" i="11" s="1"/>
  <c r="O109" i="11"/>
  <c r="P109" i="11" s="1"/>
  <c r="O221" i="11"/>
  <c r="P221" i="11" s="1"/>
  <c r="L221" i="11"/>
  <c r="N221" i="11" s="1"/>
  <c r="L78" i="11"/>
  <c r="N78" i="11" s="1"/>
  <c r="O78" i="11"/>
  <c r="P78" i="11" s="1"/>
  <c r="O171" i="11"/>
  <c r="P171" i="11" s="1"/>
  <c r="L171" i="11"/>
  <c r="N171" i="11" s="1"/>
  <c r="O440" i="11"/>
  <c r="P440" i="11" s="1"/>
  <c r="L440" i="11"/>
  <c r="N440" i="11" s="1"/>
  <c r="O230" i="11"/>
  <c r="P230" i="11" s="1"/>
  <c r="L230" i="11"/>
  <c r="N230" i="11" s="1"/>
  <c r="L9" i="11"/>
  <c r="O9" i="11"/>
  <c r="P9" i="11" s="1"/>
  <c r="K7" i="13"/>
  <c r="K8" i="13" s="1"/>
  <c r="G21" i="2" s="1"/>
  <c r="O7" i="13"/>
  <c r="C23" i="19"/>
  <c r="C24" i="19" s="1"/>
  <c r="E38" i="19"/>
  <c r="E39" i="19"/>
  <c r="E40" i="19"/>
  <c r="E41" i="19"/>
  <c r="E37" i="19"/>
  <c r="B35" i="19"/>
  <c r="B31" i="19"/>
  <c r="C31" i="19" s="1"/>
  <c r="T465" i="11" l="1"/>
  <c r="U465" i="11" s="1"/>
  <c r="S462" i="11"/>
  <c r="S463" i="11"/>
  <c r="S464" i="11"/>
  <c r="S461" i="11"/>
  <c r="S229" i="11"/>
  <c r="S228" i="11"/>
  <c r="S227" i="11"/>
  <c r="S432" i="11"/>
  <c r="S431" i="11"/>
  <c r="S430" i="11"/>
  <c r="S415" i="11"/>
  <c r="S414" i="11"/>
  <c r="S413" i="11"/>
  <c r="S400" i="11"/>
  <c r="S399" i="11"/>
  <c r="S398" i="11"/>
  <c r="S88" i="11"/>
  <c r="S87" i="11"/>
  <c r="S86" i="11"/>
  <c r="S265" i="11"/>
  <c r="S266" i="11"/>
  <c r="S264" i="11"/>
  <c r="T196" i="11"/>
  <c r="U196" i="11" s="1"/>
  <c r="S195" i="11"/>
  <c r="T194" i="11"/>
  <c r="U194" i="11" s="1"/>
  <c r="T502" i="11"/>
  <c r="U502" i="11" s="1"/>
  <c r="S507" i="11"/>
  <c r="S506" i="11"/>
  <c r="S503" i="11"/>
  <c r="S504" i="11"/>
  <c r="S505" i="11"/>
  <c r="S157" i="11"/>
  <c r="S158" i="11"/>
  <c r="S155" i="11"/>
  <c r="S153" i="11"/>
  <c r="S156" i="11"/>
  <c r="S154" i="11"/>
  <c r="S24" i="11"/>
  <c r="S28" i="11"/>
  <c r="S25" i="11"/>
  <c r="S23" i="11"/>
  <c r="S27" i="11"/>
  <c r="S26" i="11"/>
  <c r="S523" i="11"/>
  <c r="S524" i="11"/>
  <c r="S522" i="11"/>
  <c r="S525" i="11"/>
  <c r="S242" i="11"/>
  <c r="S246" i="11"/>
  <c r="S247" i="11"/>
  <c r="S243" i="11"/>
  <c r="S244" i="11"/>
  <c r="S245" i="11"/>
  <c r="S133" i="11"/>
  <c r="S137" i="11"/>
  <c r="S134" i="11"/>
  <c r="S138" i="11"/>
  <c r="S135" i="11"/>
  <c r="S136" i="11"/>
  <c r="S61" i="11"/>
  <c r="S62" i="11"/>
  <c r="S63" i="11"/>
  <c r="S59" i="11"/>
  <c r="S64" i="11"/>
  <c r="S60" i="11"/>
  <c r="S307" i="11"/>
  <c r="S306" i="11"/>
  <c r="S305" i="11"/>
  <c r="S304" i="11"/>
  <c r="S303" i="11"/>
  <c r="S302" i="11"/>
  <c r="S22" i="11"/>
  <c r="S21" i="11"/>
  <c r="S120" i="11"/>
  <c r="S116" i="11"/>
  <c r="S117" i="11"/>
  <c r="S118" i="11"/>
  <c r="S119" i="11"/>
  <c r="S103" i="11"/>
  <c r="S99" i="11"/>
  <c r="S100" i="11"/>
  <c r="S102" i="11"/>
  <c r="S101" i="11"/>
  <c r="S457" i="11"/>
  <c r="S455" i="11"/>
  <c r="S453" i="11"/>
  <c r="S454" i="11"/>
  <c r="S456" i="11"/>
  <c r="S521" i="11"/>
  <c r="T520" i="11"/>
  <c r="U520" i="11" s="1"/>
  <c r="S161" i="11"/>
  <c r="S162" i="11"/>
  <c r="S163" i="11"/>
  <c r="S159" i="11"/>
  <c r="S160" i="11"/>
  <c r="S45" i="11"/>
  <c r="S41" i="11"/>
  <c r="S42" i="11"/>
  <c r="S43" i="11"/>
  <c r="S44" i="11"/>
  <c r="S489" i="11"/>
  <c r="S490" i="11"/>
  <c r="S487" i="11"/>
  <c r="S488" i="11"/>
  <c r="S491" i="11"/>
  <c r="T356" i="11"/>
  <c r="U356" i="11" s="1"/>
  <c r="S355" i="11"/>
  <c r="S352" i="11"/>
  <c r="S354" i="11"/>
  <c r="S353" i="11"/>
  <c r="S435" i="11"/>
  <c r="T435" i="11" s="1"/>
  <c r="U435" i="11" s="1"/>
  <c r="S437" i="11"/>
  <c r="T437" i="11" s="1"/>
  <c r="U437" i="11" s="1"/>
  <c r="S436" i="11"/>
  <c r="T436" i="11" s="1"/>
  <c r="U436" i="11" s="1"/>
  <c r="S434" i="11"/>
  <c r="T434" i="11" s="1"/>
  <c r="U434" i="11" s="1"/>
  <c r="V433" i="11"/>
  <c r="B433" i="11"/>
  <c r="A433" i="11" s="1"/>
  <c r="S460" i="11"/>
  <c r="S459" i="11"/>
  <c r="S84" i="11"/>
  <c r="S85" i="11"/>
  <c r="S429" i="11"/>
  <c r="S427" i="11"/>
  <c r="S428" i="11"/>
  <c r="S397" i="11"/>
  <c r="S395" i="11"/>
  <c r="S396" i="11"/>
  <c r="S177" i="11"/>
  <c r="S181" i="11"/>
  <c r="S178" i="11"/>
  <c r="S182" i="11"/>
  <c r="S179" i="11"/>
  <c r="S180" i="11"/>
  <c r="S282" i="11"/>
  <c r="S283" i="11"/>
  <c r="S281" i="11"/>
  <c r="S284" i="11"/>
  <c r="S279" i="11"/>
  <c r="S280" i="11"/>
  <c r="S210" i="11"/>
  <c r="S211" i="11"/>
  <c r="S212" i="11"/>
  <c r="S213" i="11"/>
  <c r="S208" i="11"/>
  <c r="S209" i="11"/>
  <c r="S382" i="11"/>
  <c r="S381" i="11"/>
  <c r="S383" i="11"/>
  <c r="S379" i="11"/>
  <c r="S380" i="11"/>
  <c r="S378" i="11"/>
  <c r="S336" i="11"/>
  <c r="S337" i="11"/>
  <c r="S338" i="11"/>
  <c r="S339" i="11"/>
  <c r="S334" i="11"/>
  <c r="S335" i="11"/>
  <c r="S297" i="11"/>
  <c r="S299" i="11"/>
  <c r="S300" i="11"/>
  <c r="S298" i="11"/>
  <c r="S301" i="11"/>
  <c r="S296" i="11"/>
  <c r="S319" i="11"/>
  <c r="S320" i="11"/>
  <c r="S321" i="11"/>
  <c r="S322" i="11"/>
  <c r="S317" i="11"/>
  <c r="S318" i="11"/>
  <c r="S70" i="11"/>
  <c r="S71" i="11"/>
  <c r="S72" i="11"/>
  <c r="S73" i="11"/>
  <c r="S68" i="11"/>
  <c r="S69" i="11"/>
  <c r="S471" i="11"/>
  <c r="S470" i="11"/>
  <c r="S473" i="11"/>
  <c r="S468" i="11"/>
  <c r="S466" i="11"/>
  <c r="S474" i="11"/>
  <c r="S472" i="11"/>
  <c r="S469" i="11"/>
  <c r="S467" i="11"/>
  <c r="S542" i="11"/>
  <c r="T542" i="11" s="1"/>
  <c r="U542" i="11" s="1"/>
  <c r="S540" i="11"/>
  <c r="T540" i="11" s="1"/>
  <c r="U540" i="11" s="1"/>
  <c r="S539" i="11"/>
  <c r="T539" i="11" s="1"/>
  <c r="U539" i="11" s="1"/>
  <c r="S541" i="11"/>
  <c r="T541" i="11" s="1"/>
  <c r="U541" i="11" s="1"/>
  <c r="S538" i="11"/>
  <c r="T538" i="11" s="1"/>
  <c r="U538" i="11" s="1"/>
  <c r="V537" i="11"/>
  <c r="B537" i="11"/>
  <c r="A537" i="11" s="1"/>
  <c r="S57" i="11"/>
  <c r="S56" i="11"/>
  <c r="S58" i="11"/>
  <c r="S54" i="11"/>
  <c r="S55" i="11"/>
  <c r="E21" i="2"/>
  <c r="F21" i="2" s="1"/>
  <c r="H21" i="2" s="1"/>
  <c r="S19" i="11"/>
  <c r="S20" i="11"/>
  <c r="S191" i="11"/>
  <c r="S192" i="11"/>
  <c r="S193" i="11"/>
  <c r="S189" i="11"/>
  <c r="S190" i="11"/>
  <c r="S277" i="11"/>
  <c r="S278" i="11"/>
  <c r="T249" i="11"/>
  <c r="U249" i="11" s="1"/>
  <c r="S115" i="11"/>
  <c r="S113" i="11"/>
  <c r="S114" i="11"/>
  <c r="S49" i="11"/>
  <c r="S289" i="11"/>
  <c r="S110" i="11"/>
  <c r="S358" i="11"/>
  <c r="S221" i="11"/>
  <c r="S518" i="11"/>
  <c r="S166" i="11"/>
  <c r="S385" i="11"/>
  <c r="S532" i="11"/>
  <c r="S257" i="11"/>
  <c r="S327" i="11"/>
  <c r="S410" i="11"/>
  <c r="S271" i="11"/>
  <c r="S438" i="11"/>
  <c r="S366" i="11"/>
  <c r="S261" i="11"/>
  <c r="S409" i="11"/>
  <c r="S449" i="11"/>
  <c r="S80" i="11"/>
  <c r="S391" i="11"/>
  <c r="S124" i="11"/>
  <c r="S500" i="11"/>
  <c r="S290" i="11"/>
  <c r="S448" i="11"/>
  <c r="S272" i="11"/>
  <c r="S33" i="11"/>
  <c r="S330" i="11"/>
  <c r="S150" i="11"/>
  <c r="S97" i="11"/>
  <c r="S52" i="11"/>
  <c r="S218" i="11"/>
  <c r="S481" i="11"/>
  <c r="S53" i="11"/>
  <c r="S32" i="11"/>
  <c r="S82" i="11"/>
  <c r="S368" i="11"/>
  <c r="S477" i="11"/>
  <c r="S331" i="11"/>
  <c r="S146" i="11"/>
  <c r="S248" i="11"/>
  <c r="S314" i="11"/>
  <c r="S239" i="11"/>
  <c r="S92" i="11"/>
  <c r="S451" i="11"/>
  <c r="S308" i="11"/>
  <c r="S373" i="11"/>
  <c r="S511" i="11"/>
  <c r="S238" i="11"/>
  <c r="S328" i="11"/>
  <c r="S149" i="11"/>
  <c r="S98" i="11"/>
  <c r="S423" i="11"/>
  <c r="S292" i="11"/>
  <c r="S16" i="11"/>
  <c r="S262" i="11"/>
  <c r="S362" i="11"/>
  <c r="S285" i="11"/>
  <c r="S46" i="11"/>
  <c r="S403" i="11"/>
  <c r="S426" i="11"/>
  <c r="S121" i="11"/>
  <c r="S492" i="11"/>
  <c r="S205" i="11"/>
  <c r="S441" i="11"/>
  <c r="S165" i="11"/>
  <c r="S148" i="11"/>
  <c r="S237" i="11"/>
  <c r="S89" i="11"/>
  <c r="S424" i="11"/>
  <c r="S77" i="11"/>
  <c r="S388" i="11"/>
  <c r="S128" i="11"/>
  <c r="S333" i="11"/>
  <c r="S142" i="11"/>
  <c r="S418" i="11"/>
  <c r="S357" i="11"/>
  <c r="S295" i="11"/>
  <c r="S408" i="11"/>
  <c r="S220" i="11"/>
  <c r="S197" i="11"/>
  <c r="S259" i="11"/>
  <c r="S411" i="11"/>
  <c r="S446" i="11"/>
  <c r="S273" i="11"/>
  <c r="S168" i="11"/>
  <c r="S529" i="11"/>
  <c r="S496" i="11"/>
  <c r="S349" i="11"/>
  <c r="S342" i="11"/>
  <c r="S407" i="11"/>
  <c r="S65" i="11"/>
  <c r="S93" i="11"/>
  <c r="S425" i="11"/>
  <c r="S402" i="11"/>
  <c r="S223" i="11"/>
  <c r="S343" i="11"/>
  <c r="S200" i="11"/>
  <c r="S253" i="11"/>
  <c r="S10" i="11"/>
  <c r="S275" i="11"/>
  <c r="S375" i="11"/>
  <c r="S201" i="11"/>
  <c r="S312" i="11"/>
  <c r="S174" i="11"/>
  <c r="S18" i="11"/>
  <c r="S241" i="11"/>
  <c r="S143" i="11"/>
  <c r="S94" i="11"/>
  <c r="S526" i="11"/>
  <c r="S106" i="11"/>
  <c r="S47" i="11"/>
  <c r="S38" i="11"/>
  <c r="S173" i="11"/>
  <c r="S17" i="11"/>
  <c r="S497" i="11"/>
  <c r="S231" i="11"/>
  <c r="S501" i="11"/>
  <c r="S83" i="11"/>
  <c r="S252" i="11"/>
  <c r="S204" i="11"/>
  <c r="S104" i="11"/>
  <c r="S256" i="11"/>
  <c r="S240" i="11"/>
  <c r="S109" i="11"/>
  <c r="S230" i="11"/>
  <c r="S513" i="11"/>
  <c r="S420" i="11"/>
  <c r="S167" i="11"/>
  <c r="S386" i="11"/>
  <c r="S125" i="11"/>
  <c r="S442" i="11"/>
  <c r="S527" i="11"/>
  <c r="S479" i="11"/>
  <c r="S364" i="11"/>
  <c r="S516" i="11"/>
  <c r="S534" i="11"/>
  <c r="S485" i="11"/>
  <c r="S360" i="11"/>
  <c r="S325" i="11"/>
  <c r="S344" i="11"/>
  <c r="S531" i="11"/>
  <c r="S486" i="11"/>
  <c r="S326" i="11"/>
  <c r="S141" i="11"/>
  <c r="S476" i="11"/>
  <c r="S394" i="11"/>
  <c r="S122" i="11"/>
  <c r="S236" i="11"/>
  <c r="S309" i="11"/>
  <c r="S324" i="11"/>
  <c r="S152" i="11"/>
  <c r="S475" i="11"/>
  <c r="S29" i="11"/>
  <c r="S107" i="11"/>
  <c r="S36" i="11"/>
  <c r="S316" i="11"/>
  <c r="S276" i="11"/>
  <c r="S508" i="11"/>
  <c r="S40" i="11"/>
  <c r="S387" i="11"/>
  <c r="S260" i="11"/>
  <c r="S13" i="11"/>
  <c r="S225" i="11"/>
  <c r="S188" i="11"/>
  <c r="S39" i="11"/>
  <c r="S255" i="11"/>
  <c r="S198" i="11"/>
  <c r="S175" i="11"/>
  <c r="S12" i="11"/>
  <c r="S288" i="11"/>
  <c r="S412" i="11"/>
  <c r="S123" i="11"/>
  <c r="S11" i="11"/>
  <c r="S536" i="11"/>
  <c r="S258" i="11"/>
  <c r="S206" i="11"/>
  <c r="S74" i="11"/>
  <c r="S530" i="11"/>
  <c r="S361" i="11"/>
  <c r="S346" i="11"/>
  <c r="S286" i="11"/>
  <c r="S440" i="11"/>
  <c r="S365" i="11"/>
  <c r="S404" i="11"/>
  <c r="S443" i="11"/>
  <c r="S367" i="11"/>
  <c r="S169" i="11"/>
  <c r="S127" i="11"/>
  <c r="S350" i="11"/>
  <c r="S268" i="11"/>
  <c r="S81" i="11"/>
  <c r="S389" i="11"/>
  <c r="S129" i="11"/>
  <c r="S533" i="11"/>
  <c r="S478" i="11"/>
  <c r="S421" i="11"/>
  <c r="S450" i="11"/>
  <c r="S267" i="11"/>
  <c r="S75" i="11"/>
  <c r="S392" i="11"/>
  <c r="S254" i="11"/>
  <c r="S313" i="11"/>
  <c r="S172" i="11"/>
  <c r="S170" i="11"/>
  <c r="S226" i="11"/>
  <c r="S341" i="11"/>
  <c r="S509" i="11"/>
  <c r="S452" i="11"/>
  <c r="S269" i="11"/>
  <c r="S95" i="11"/>
  <c r="S294" i="11"/>
  <c r="S216" i="11"/>
  <c r="S186" i="11"/>
  <c r="S377" i="11"/>
  <c r="S484" i="11"/>
  <c r="S310" i="11"/>
  <c r="S219" i="11"/>
  <c r="S374" i="11"/>
  <c r="S207" i="11"/>
  <c r="S233" i="11"/>
  <c r="S96" i="11"/>
  <c r="S371" i="11"/>
  <c r="S510" i="11"/>
  <c r="S131" i="11"/>
  <c r="S112" i="11"/>
  <c r="S50" i="11"/>
  <c r="S37" i="11"/>
  <c r="S232" i="11"/>
  <c r="S15" i="11"/>
  <c r="S151" i="11"/>
  <c r="S291" i="11"/>
  <c r="S171" i="11"/>
  <c r="S535" i="11"/>
  <c r="S250" i="11"/>
  <c r="S499" i="11"/>
  <c r="S140" i="11"/>
  <c r="S416" i="11"/>
  <c r="S347" i="11"/>
  <c r="S315" i="11"/>
  <c r="S274" i="11"/>
  <c r="S512" i="11"/>
  <c r="S493" i="11"/>
  <c r="S287" i="11"/>
  <c r="S405" i="11"/>
  <c r="S445" i="11"/>
  <c r="S270" i="11"/>
  <c r="S515" i="11"/>
  <c r="S422" i="11"/>
  <c r="S76" i="11"/>
  <c r="S390" i="11"/>
  <c r="S126" i="11"/>
  <c r="S263" i="11"/>
  <c r="S323" i="11"/>
  <c r="S144" i="11"/>
  <c r="S215" i="11"/>
  <c r="S376" i="11"/>
  <c r="S202" i="11"/>
  <c r="S359" i="11"/>
  <c r="S79" i="11"/>
  <c r="S393" i="11"/>
  <c r="S251" i="11"/>
  <c r="S66" i="11"/>
  <c r="S401" i="11"/>
  <c r="S332" i="11"/>
  <c r="S145" i="11"/>
  <c r="S482" i="11"/>
  <c r="S384" i="11"/>
  <c r="S78" i="11"/>
  <c r="S370" i="11"/>
  <c r="S494" i="11"/>
  <c r="S439" i="11"/>
  <c r="S139" i="11"/>
  <c r="S363" i="11"/>
  <c r="S91" i="11"/>
  <c r="S111" i="11"/>
  <c r="S447" i="11"/>
  <c r="S105" i="11"/>
  <c r="S187" i="11"/>
  <c r="S35" i="11"/>
  <c r="S234" i="11"/>
  <c r="S329" i="11"/>
  <c r="S90" i="11"/>
  <c r="S419" i="11"/>
  <c r="S222" i="11"/>
  <c r="S340" i="11"/>
  <c r="S31" i="11"/>
  <c r="S498" i="11"/>
  <c r="S217" i="11"/>
  <c r="S519" i="11"/>
  <c r="S34" i="11"/>
  <c r="S176" i="11"/>
  <c r="S14" i="11"/>
  <c r="S108" i="11"/>
  <c r="S351" i="11"/>
  <c r="S51" i="11"/>
  <c r="S224" i="11"/>
  <c r="S369" i="11"/>
  <c r="S199" i="11"/>
  <c r="S293" i="11"/>
  <c r="S235" i="11"/>
  <c r="S130" i="11"/>
  <c r="S495" i="11"/>
  <c r="S164" i="11"/>
  <c r="S480" i="11"/>
  <c r="S406" i="11"/>
  <c r="S214" i="11"/>
  <c r="S348" i="11"/>
  <c r="S147" i="11"/>
  <c r="S345" i="11"/>
  <c r="S48" i="11"/>
  <c r="S372" i="11"/>
  <c r="S528" i="11"/>
  <c r="S483" i="11"/>
  <c r="S132" i="11"/>
  <c r="S30" i="11"/>
  <c r="S311" i="11"/>
  <c r="S514" i="11"/>
  <c r="S203" i="11"/>
  <c r="S67" i="11"/>
  <c r="S444" i="11"/>
  <c r="S417" i="11"/>
  <c r="S517" i="11"/>
  <c r="D34" i="19"/>
  <c r="E34" i="19" s="1"/>
  <c r="C35" i="19"/>
  <c r="C25" i="19"/>
  <c r="C26" i="19" s="1"/>
  <c r="V465" i="11" l="1"/>
  <c r="B465" i="11"/>
  <c r="A465" i="11" s="1"/>
  <c r="X465" i="11" s="1"/>
  <c r="T461" i="11"/>
  <c r="U461" i="11" s="1"/>
  <c r="T464" i="11"/>
  <c r="U464" i="11" s="1"/>
  <c r="T463" i="11"/>
  <c r="U463" i="11" s="1"/>
  <c r="T462" i="11"/>
  <c r="U462" i="11" s="1"/>
  <c r="T227" i="11"/>
  <c r="U227" i="11" s="1"/>
  <c r="T228" i="11"/>
  <c r="U228" i="11" s="1"/>
  <c r="T229" i="11"/>
  <c r="U229" i="11" s="1"/>
  <c r="T430" i="11"/>
  <c r="U430" i="11" s="1"/>
  <c r="T431" i="11"/>
  <c r="U431" i="11" s="1"/>
  <c r="T432" i="11"/>
  <c r="U432" i="11" s="1"/>
  <c r="T413" i="11"/>
  <c r="U413" i="11" s="1"/>
  <c r="T414" i="11"/>
  <c r="U414" i="11" s="1"/>
  <c r="T415" i="11"/>
  <c r="U415" i="11" s="1"/>
  <c r="T398" i="11"/>
  <c r="U398" i="11" s="1"/>
  <c r="T399" i="11"/>
  <c r="U399" i="11" s="1"/>
  <c r="T400" i="11"/>
  <c r="U400" i="11" s="1"/>
  <c r="T86" i="11"/>
  <c r="U86" i="11" s="1"/>
  <c r="T87" i="11"/>
  <c r="U87" i="11" s="1"/>
  <c r="T88" i="11"/>
  <c r="U88" i="11" s="1"/>
  <c r="T264" i="11"/>
  <c r="U264" i="11" s="1"/>
  <c r="T266" i="11"/>
  <c r="U266" i="11" s="1"/>
  <c r="T265" i="11"/>
  <c r="U265" i="11" s="1"/>
  <c r="V196" i="11"/>
  <c r="B196" i="11"/>
  <c r="A196" i="11" s="1"/>
  <c r="T195" i="11"/>
  <c r="U195" i="11" s="1"/>
  <c r="V194" i="11"/>
  <c r="B194" i="11"/>
  <c r="A194" i="11" s="1"/>
  <c r="V502" i="11"/>
  <c r="B502" i="11"/>
  <c r="A502" i="11" s="1"/>
  <c r="T504" i="11"/>
  <c r="U504" i="11" s="1"/>
  <c r="T503" i="11"/>
  <c r="U503" i="11" s="1"/>
  <c r="T506" i="11"/>
  <c r="U506" i="11" s="1"/>
  <c r="T505" i="11"/>
  <c r="U505" i="11" s="1"/>
  <c r="T507" i="11"/>
  <c r="U507" i="11" s="1"/>
  <c r="T155" i="11"/>
  <c r="U155" i="11" s="1"/>
  <c r="T154" i="11"/>
  <c r="U154" i="11" s="1"/>
  <c r="T158" i="11"/>
  <c r="U158" i="11" s="1"/>
  <c r="T156" i="11"/>
  <c r="U156" i="11" s="1"/>
  <c r="T157" i="11"/>
  <c r="U157" i="11" s="1"/>
  <c r="T153" i="11"/>
  <c r="U153" i="11" s="1"/>
  <c r="T26" i="11"/>
  <c r="U26" i="11" s="1"/>
  <c r="T27" i="11"/>
  <c r="U27" i="11" s="1"/>
  <c r="T23" i="11"/>
  <c r="U23" i="11" s="1"/>
  <c r="T25" i="11"/>
  <c r="U25" i="11" s="1"/>
  <c r="T28" i="11"/>
  <c r="U28" i="11" s="1"/>
  <c r="T24" i="11"/>
  <c r="U24" i="11" s="1"/>
  <c r="T525" i="11"/>
  <c r="U525" i="11" s="1"/>
  <c r="T522" i="11"/>
  <c r="U522" i="11" s="1"/>
  <c r="T524" i="11"/>
  <c r="U524" i="11" s="1"/>
  <c r="T523" i="11"/>
  <c r="U523" i="11" s="1"/>
  <c r="T245" i="11"/>
  <c r="U245" i="11" s="1"/>
  <c r="T244" i="11"/>
  <c r="U244" i="11" s="1"/>
  <c r="T243" i="11"/>
  <c r="U243" i="11" s="1"/>
  <c r="T247" i="11"/>
  <c r="U247" i="11" s="1"/>
  <c r="T246" i="11"/>
  <c r="U246" i="11" s="1"/>
  <c r="T242" i="11"/>
  <c r="U242" i="11" s="1"/>
  <c r="T135" i="11"/>
  <c r="U135" i="11" s="1"/>
  <c r="T136" i="11"/>
  <c r="U136" i="11" s="1"/>
  <c r="T138" i="11"/>
  <c r="U138" i="11" s="1"/>
  <c r="T134" i="11"/>
  <c r="U134" i="11" s="1"/>
  <c r="T137" i="11"/>
  <c r="U137" i="11" s="1"/>
  <c r="T133" i="11"/>
  <c r="U133" i="11" s="1"/>
  <c r="T60" i="11"/>
  <c r="U60" i="11" s="1"/>
  <c r="T64" i="11"/>
  <c r="U64" i="11" s="1"/>
  <c r="T63" i="11"/>
  <c r="U63" i="11" s="1"/>
  <c r="T59" i="11"/>
  <c r="U59" i="11" s="1"/>
  <c r="T62" i="11"/>
  <c r="U62" i="11" s="1"/>
  <c r="T61" i="11"/>
  <c r="U61" i="11" s="1"/>
  <c r="T302" i="11"/>
  <c r="U302" i="11" s="1"/>
  <c r="T303" i="11"/>
  <c r="U303" i="11" s="1"/>
  <c r="T304" i="11"/>
  <c r="U304" i="11" s="1"/>
  <c r="T305" i="11"/>
  <c r="U305" i="11" s="1"/>
  <c r="T306" i="11"/>
  <c r="U306" i="11" s="1"/>
  <c r="T307" i="11"/>
  <c r="U307" i="11" s="1"/>
  <c r="T21" i="11"/>
  <c r="U21" i="11" s="1"/>
  <c r="T22" i="11"/>
  <c r="U22" i="11" s="1"/>
  <c r="T119" i="11"/>
  <c r="U119" i="11" s="1"/>
  <c r="T118" i="11"/>
  <c r="U118" i="11" s="1"/>
  <c r="T117" i="11"/>
  <c r="U117" i="11" s="1"/>
  <c r="T116" i="11"/>
  <c r="U116" i="11" s="1"/>
  <c r="T120" i="11"/>
  <c r="U120" i="11" s="1"/>
  <c r="T101" i="11"/>
  <c r="U101" i="11" s="1"/>
  <c r="T102" i="11"/>
  <c r="U102" i="11" s="1"/>
  <c r="T100" i="11"/>
  <c r="U100" i="11" s="1"/>
  <c r="T99" i="11"/>
  <c r="U99" i="11" s="1"/>
  <c r="T103" i="11"/>
  <c r="U103" i="11" s="1"/>
  <c r="T456" i="11"/>
  <c r="U456" i="11" s="1"/>
  <c r="T454" i="11"/>
  <c r="U454" i="11" s="1"/>
  <c r="T453" i="11"/>
  <c r="U453" i="11" s="1"/>
  <c r="T455" i="11"/>
  <c r="U455" i="11" s="1"/>
  <c r="T457" i="11"/>
  <c r="U457" i="11" s="1"/>
  <c r="T521" i="11"/>
  <c r="U521" i="11" s="1"/>
  <c r="V520" i="11"/>
  <c r="B520" i="11"/>
  <c r="A520" i="11" s="1"/>
  <c r="W520" i="11" s="1"/>
  <c r="T160" i="11"/>
  <c r="U160" i="11" s="1"/>
  <c r="T159" i="11"/>
  <c r="U159" i="11" s="1"/>
  <c r="T163" i="11"/>
  <c r="U163" i="11" s="1"/>
  <c r="T162" i="11"/>
  <c r="U162" i="11" s="1"/>
  <c r="T161" i="11"/>
  <c r="U161" i="11" s="1"/>
  <c r="T44" i="11"/>
  <c r="U44" i="11" s="1"/>
  <c r="T43" i="11"/>
  <c r="U43" i="11" s="1"/>
  <c r="T42" i="11"/>
  <c r="U42" i="11" s="1"/>
  <c r="T41" i="11"/>
  <c r="U41" i="11" s="1"/>
  <c r="T45" i="11"/>
  <c r="U45" i="11" s="1"/>
  <c r="T487" i="11"/>
  <c r="U487" i="11" s="1"/>
  <c r="T490" i="11"/>
  <c r="U490" i="11" s="1"/>
  <c r="T488" i="11"/>
  <c r="U488" i="11" s="1"/>
  <c r="T489" i="11"/>
  <c r="U489" i="11" s="1"/>
  <c r="T491" i="11"/>
  <c r="U491" i="11" s="1"/>
  <c r="V356" i="11"/>
  <c r="B356" i="11"/>
  <c r="A356" i="11" s="1"/>
  <c r="T353" i="11"/>
  <c r="U353" i="11" s="1"/>
  <c r="T354" i="11"/>
  <c r="U354" i="11" s="1"/>
  <c r="T352" i="11"/>
  <c r="U352" i="11" s="1"/>
  <c r="T355" i="11"/>
  <c r="U355" i="11" s="1"/>
  <c r="V434" i="11"/>
  <c r="B434" i="11"/>
  <c r="A434" i="11" s="1"/>
  <c r="V436" i="11"/>
  <c r="B436" i="11"/>
  <c r="A436" i="11" s="1"/>
  <c r="V437" i="11"/>
  <c r="B437" i="11"/>
  <c r="A437" i="11" s="1"/>
  <c r="V435" i="11"/>
  <c r="B435" i="11"/>
  <c r="A435" i="11" s="1"/>
  <c r="X433" i="11"/>
  <c r="Y433" i="11"/>
  <c r="Z433" i="11" s="1"/>
  <c r="W433" i="11"/>
  <c r="T85" i="11"/>
  <c r="U85" i="11" s="1"/>
  <c r="T84" i="11"/>
  <c r="U84" i="11" s="1"/>
  <c r="T428" i="11"/>
  <c r="U428" i="11" s="1"/>
  <c r="T427" i="11"/>
  <c r="U427" i="11" s="1"/>
  <c r="T429" i="11"/>
  <c r="U429" i="11" s="1"/>
  <c r="T396" i="11"/>
  <c r="U396" i="11" s="1"/>
  <c r="T395" i="11"/>
  <c r="U395" i="11" s="1"/>
  <c r="T397" i="11"/>
  <c r="U397" i="11" s="1"/>
  <c r="T182" i="11"/>
  <c r="U182" i="11" s="1"/>
  <c r="T178" i="11"/>
  <c r="U178" i="11" s="1"/>
  <c r="T180" i="11"/>
  <c r="U180" i="11" s="1"/>
  <c r="T179" i="11"/>
  <c r="U179" i="11" s="1"/>
  <c r="T181" i="11"/>
  <c r="U181" i="11" s="1"/>
  <c r="T177" i="11"/>
  <c r="U177" i="11" s="1"/>
  <c r="T279" i="11"/>
  <c r="U279" i="11" s="1"/>
  <c r="T284" i="11"/>
  <c r="U284" i="11" s="1"/>
  <c r="T281" i="11"/>
  <c r="U281" i="11" s="1"/>
  <c r="T280" i="11"/>
  <c r="U280" i="11" s="1"/>
  <c r="T283" i="11"/>
  <c r="U283" i="11" s="1"/>
  <c r="T282" i="11"/>
  <c r="U282" i="11" s="1"/>
  <c r="T208" i="11"/>
  <c r="U208" i="11" s="1"/>
  <c r="T213" i="11"/>
  <c r="U213" i="11" s="1"/>
  <c r="T209" i="11"/>
  <c r="U209" i="11" s="1"/>
  <c r="T212" i="11"/>
  <c r="U212" i="11" s="1"/>
  <c r="T211" i="11"/>
  <c r="U211" i="11" s="1"/>
  <c r="T210" i="11"/>
  <c r="U210" i="11" s="1"/>
  <c r="T380" i="11"/>
  <c r="U380" i="11" s="1"/>
  <c r="T378" i="11"/>
  <c r="U378" i="11" s="1"/>
  <c r="T379" i="11"/>
  <c r="U379" i="11" s="1"/>
  <c r="T383" i="11"/>
  <c r="U383" i="11" s="1"/>
  <c r="T381" i="11"/>
  <c r="U381" i="11" s="1"/>
  <c r="T382" i="11"/>
  <c r="U382" i="11" s="1"/>
  <c r="T335" i="11"/>
  <c r="U335" i="11" s="1"/>
  <c r="T334" i="11"/>
  <c r="U334" i="11" s="1"/>
  <c r="T339" i="11"/>
  <c r="U339" i="11" s="1"/>
  <c r="T338" i="11"/>
  <c r="U338" i="11" s="1"/>
  <c r="T337" i="11"/>
  <c r="U337" i="11" s="1"/>
  <c r="T336" i="11"/>
  <c r="U336" i="11" s="1"/>
  <c r="T296" i="11"/>
  <c r="U296" i="11" s="1"/>
  <c r="T301" i="11"/>
  <c r="U301" i="11" s="1"/>
  <c r="T298" i="11"/>
  <c r="U298" i="11" s="1"/>
  <c r="T300" i="11"/>
  <c r="U300" i="11" s="1"/>
  <c r="T299" i="11"/>
  <c r="U299" i="11" s="1"/>
  <c r="T297" i="11"/>
  <c r="U297" i="11" s="1"/>
  <c r="T317" i="11"/>
  <c r="U317" i="11" s="1"/>
  <c r="T318" i="11"/>
  <c r="U318" i="11" s="1"/>
  <c r="T322" i="11"/>
  <c r="U322" i="11" s="1"/>
  <c r="T321" i="11"/>
  <c r="U321" i="11" s="1"/>
  <c r="T320" i="11"/>
  <c r="U320" i="11" s="1"/>
  <c r="T319" i="11"/>
  <c r="U319" i="11" s="1"/>
  <c r="T69" i="11"/>
  <c r="U69" i="11" s="1"/>
  <c r="T68" i="11"/>
  <c r="U68" i="11" s="1"/>
  <c r="T73" i="11"/>
  <c r="U73" i="11" s="1"/>
  <c r="T72" i="11"/>
  <c r="U72" i="11" s="1"/>
  <c r="T71" i="11"/>
  <c r="U71" i="11" s="1"/>
  <c r="T70" i="11"/>
  <c r="U70" i="11" s="1"/>
  <c r="T466" i="11"/>
  <c r="U466" i="11" s="1"/>
  <c r="T468" i="11"/>
  <c r="U468" i="11" s="1"/>
  <c r="T467" i="11"/>
  <c r="U467" i="11" s="1"/>
  <c r="T473" i="11"/>
  <c r="U473" i="11" s="1"/>
  <c r="T474" i="11"/>
  <c r="U474" i="11" s="1"/>
  <c r="T469" i="11"/>
  <c r="U469" i="11" s="1"/>
  <c r="T470" i="11"/>
  <c r="U470" i="11" s="1"/>
  <c r="T472" i="11"/>
  <c r="U472" i="11" s="1"/>
  <c r="T471" i="11"/>
  <c r="U471" i="11" s="1"/>
  <c r="V541" i="11"/>
  <c r="B541" i="11"/>
  <c r="A541" i="11" s="1"/>
  <c r="V539" i="11"/>
  <c r="B539" i="11"/>
  <c r="A539" i="11" s="1"/>
  <c r="V540" i="11"/>
  <c r="B540" i="11"/>
  <c r="A540" i="11" s="1"/>
  <c r="V542" i="11"/>
  <c r="B542" i="11"/>
  <c r="A542" i="11" s="1"/>
  <c r="V538" i="11"/>
  <c r="B538" i="11"/>
  <c r="A538" i="11" s="1"/>
  <c r="Y537" i="11"/>
  <c r="Z537" i="11" s="1"/>
  <c r="X537" i="11"/>
  <c r="W537" i="11"/>
  <c r="T55" i="11"/>
  <c r="U55" i="11" s="1"/>
  <c r="T54" i="11"/>
  <c r="U54" i="11" s="1"/>
  <c r="T58" i="11"/>
  <c r="U58" i="11" s="1"/>
  <c r="T56" i="11"/>
  <c r="U56" i="11" s="1"/>
  <c r="T57" i="11"/>
  <c r="U57" i="11" s="1"/>
  <c r="T20" i="11"/>
  <c r="U20" i="11" s="1"/>
  <c r="T19" i="11"/>
  <c r="U19" i="11" s="1"/>
  <c r="T189" i="11"/>
  <c r="U189" i="11" s="1"/>
  <c r="T193" i="11"/>
  <c r="U193" i="11" s="1"/>
  <c r="T192" i="11"/>
  <c r="U192" i="11" s="1"/>
  <c r="T191" i="11"/>
  <c r="U191" i="11" s="1"/>
  <c r="T190" i="11"/>
  <c r="U190" i="11" s="1"/>
  <c r="T278" i="11"/>
  <c r="U278" i="11" s="1"/>
  <c r="T277" i="11"/>
  <c r="U277" i="11" s="1"/>
  <c r="V249" i="11"/>
  <c r="B249" i="11"/>
  <c r="A249" i="11" s="1"/>
  <c r="T114" i="11"/>
  <c r="U114" i="11" s="1"/>
  <c r="T113" i="11"/>
  <c r="U113" i="11" s="1"/>
  <c r="T115" i="11"/>
  <c r="U115" i="11" s="1"/>
  <c r="T250" i="11"/>
  <c r="U250" i="11" s="1"/>
  <c r="T449" i="11"/>
  <c r="U449" i="11" s="1"/>
  <c r="T203" i="11"/>
  <c r="U203" i="11" s="1"/>
  <c r="T214" i="11"/>
  <c r="U214" i="11" s="1"/>
  <c r="T235" i="11"/>
  <c r="U235" i="11" s="1"/>
  <c r="T351" i="11"/>
  <c r="U351" i="11" s="1"/>
  <c r="T217" i="11"/>
  <c r="U217" i="11" s="1"/>
  <c r="T90" i="11"/>
  <c r="U90" i="11" s="1"/>
  <c r="T494" i="11"/>
  <c r="U494" i="11" s="1"/>
  <c r="T332" i="11"/>
  <c r="U332" i="11" s="1"/>
  <c r="T359" i="11"/>
  <c r="U359" i="11" s="1"/>
  <c r="T274" i="11"/>
  <c r="U274" i="11" s="1"/>
  <c r="T232" i="11"/>
  <c r="U232" i="11" s="1"/>
  <c r="T371" i="11"/>
  <c r="U371" i="11" s="1"/>
  <c r="T95" i="11"/>
  <c r="U95" i="11" s="1"/>
  <c r="T170" i="11"/>
  <c r="U170" i="11" s="1"/>
  <c r="T267" i="11"/>
  <c r="U267" i="11" s="1"/>
  <c r="T346" i="11"/>
  <c r="U346" i="11" s="1"/>
  <c r="T536" i="11"/>
  <c r="U536" i="11" s="1"/>
  <c r="T175" i="11"/>
  <c r="U175" i="11" s="1"/>
  <c r="T13" i="11"/>
  <c r="U13" i="11" s="1"/>
  <c r="T324" i="11"/>
  <c r="U324" i="11" s="1"/>
  <c r="T141" i="11"/>
  <c r="U141" i="11" s="1"/>
  <c r="T527" i="11"/>
  <c r="U527" i="11" s="1"/>
  <c r="T17" i="11"/>
  <c r="U17" i="11" s="1"/>
  <c r="T94" i="11"/>
  <c r="U94" i="11" s="1"/>
  <c r="T407" i="11"/>
  <c r="U407" i="11" s="1"/>
  <c r="T273" i="11"/>
  <c r="U273" i="11" s="1"/>
  <c r="T408" i="11"/>
  <c r="U408" i="11" s="1"/>
  <c r="T128" i="11"/>
  <c r="U128" i="11" s="1"/>
  <c r="T148" i="11"/>
  <c r="U148" i="11" s="1"/>
  <c r="T16" i="11"/>
  <c r="U16" i="11" s="1"/>
  <c r="T238" i="11"/>
  <c r="U238" i="11" s="1"/>
  <c r="T239" i="11"/>
  <c r="U239" i="11" s="1"/>
  <c r="T368" i="11"/>
  <c r="U368" i="11" s="1"/>
  <c r="T52" i="11"/>
  <c r="U52" i="11" s="1"/>
  <c r="T448" i="11"/>
  <c r="U448" i="11" s="1"/>
  <c r="T518" i="11"/>
  <c r="U518" i="11" s="1"/>
  <c r="T367" i="11"/>
  <c r="U367" i="11" s="1"/>
  <c r="T372" i="11"/>
  <c r="U372" i="11" s="1"/>
  <c r="T406" i="11"/>
  <c r="U406" i="11" s="1"/>
  <c r="T329" i="11"/>
  <c r="U329" i="11" s="1"/>
  <c r="T370" i="11"/>
  <c r="U370" i="11" s="1"/>
  <c r="T269" i="11"/>
  <c r="U269" i="11" s="1"/>
  <c r="T172" i="11"/>
  <c r="U172" i="11" s="1"/>
  <c r="T443" i="11"/>
  <c r="U443" i="11" s="1"/>
  <c r="T361" i="11"/>
  <c r="U361" i="11" s="1"/>
  <c r="T198" i="11"/>
  <c r="U198" i="11" s="1"/>
  <c r="T309" i="11"/>
  <c r="U309" i="11" s="1"/>
  <c r="T230" i="11"/>
  <c r="U230" i="11" s="1"/>
  <c r="T388" i="11"/>
  <c r="U388" i="11" s="1"/>
  <c r="T403" i="11"/>
  <c r="U403" i="11" s="1"/>
  <c r="T314" i="11"/>
  <c r="U314" i="11" s="1"/>
  <c r="T327" i="11"/>
  <c r="U327" i="11" s="1"/>
  <c r="T316" i="11"/>
  <c r="U316" i="11" s="1"/>
  <c r="T293" i="11"/>
  <c r="U293" i="11" s="1"/>
  <c r="T108" i="11"/>
  <c r="U108" i="11" s="1"/>
  <c r="T498" i="11"/>
  <c r="U498" i="11" s="1"/>
  <c r="T111" i="11"/>
  <c r="U111" i="11" s="1"/>
  <c r="T401" i="11"/>
  <c r="U401" i="11" s="1"/>
  <c r="T202" i="11"/>
  <c r="U202" i="11" s="1"/>
  <c r="T126" i="11"/>
  <c r="U126" i="11" s="1"/>
  <c r="T445" i="11"/>
  <c r="U445" i="11" s="1"/>
  <c r="T315" i="11"/>
  <c r="U315" i="11" s="1"/>
  <c r="T535" i="11"/>
  <c r="U535" i="11" s="1"/>
  <c r="T37" i="11"/>
  <c r="U37" i="11" s="1"/>
  <c r="T96" i="11"/>
  <c r="U96" i="11" s="1"/>
  <c r="T484" i="11"/>
  <c r="U484" i="11" s="1"/>
  <c r="T450" i="11"/>
  <c r="U450" i="11" s="1"/>
  <c r="T81" i="11"/>
  <c r="U81" i="11" s="1"/>
  <c r="T11" i="11"/>
  <c r="U11" i="11" s="1"/>
  <c r="T260" i="11"/>
  <c r="U260" i="11" s="1"/>
  <c r="T36" i="11"/>
  <c r="U36" i="11" s="1"/>
  <c r="T326" i="11"/>
  <c r="U326" i="11" s="1"/>
  <c r="T485" i="11"/>
  <c r="U485" i="11" s="1"/>
  <c r="T442" i="11"/>
  <c r="U442" i="11" s="1"/>
  <c r="T252" i="11"/>
  <c r="U252" i="11" s="1"/>
  <c r="T173" i="11"/>
  <c r="U173" i="11" s="1"/>
  <c r="T143" i="11"/>
  <c r="U143" i="11" s="1"/>
  <c r="T375" i="11"/>
  <c r="U375" i="11" s="1"/>
  <c r="T223" i="11"/>
  <c r="U223" i="11" s="1"/>
  <c r="T342" i="11"/>
  <c r="U342" i="11" s="1"/>
  <c r="T446" i="11"/>
  <c r="U446" i="11" s="1"/>
  <c r="T295" i="11"/>
  <c r="U295" i="11" s="1"/>
  <c r="T165" i="11"/>
  <c r="U165" i="11" s="1"/>
  <c r="T292" i="11"/>
  <c r="U292" i="11" s="1"/>
  <c r="T511" i="11"/>
  <c r="U511" i="11" s="1"/>
  <c r="T82" i="11"/>
  <c r="U82" i="11" s="1"/>
  <c r="T97" i="11"/>
  <c r="U97" i="11" s="1"/>
  <c r="T290" i="11"/>
  <c r="U290" i="11" s="1"/>
  <c r="T409" i="11"/>
  <c r="U409" i="11" s="1"/>
  <c r="T221" i="11"/>
  <c r="U221" i="11" s="1"/>
  <c r="T204" i="11"/>
  <c r="U204" i="11" s="1"/>
  <c r="T234" i="11"/>
  <c r="U234" i="11" s="1"/>
  <c r="T376" i="11"/>
  <c r="U376" i="11" s="1"/>
  <c r="T390" i="11"/>
  <c r="U390" i="11" s="1"/>
  <c r="T347" i="11"/>
  <c r="U347" i="11" s="1"/>
  <c r="T171" i="11"/>
  <c r="U171" i="11" s="1"/>
  <c r="T377" i="11"/>
  <c r="U377" i="11" s="1"/>
  <c r="T421" i="11"/>
  <c r="U421" i="11" s="1"/>
  <c r="T255" i="11"/>
  <c r="U255" i="11" s="1"/>
  <c r="T387" i="11"/>
  <c r="U387" i="11" s="1"/>
  <c r="T534" i="11"/>
  <c r="U534" i="11" s="1"/>
  <c r="T373" i="11"/>
  <c r="U373" i="11" s="1"/>
  <c r="T261" i="11"/>
  <c r="U261" i="11" s="1"/>
  <c r="T447" i="11"/>
  <c r="U447" i="11" s="1"/>
  <c r="T389" i="11"/>
  <c r="U389" i="11" s="1"/>
  <c r="T410" i="11"/>
  <c r="U410" i="11" s="1"/>
  <c r="T514" i="11"/>
  <c r="U514" i="11" s="1"/>
  <c r="T517" i="11"/>
  <c r="U517" i="11" s="1"/>
  <c r="T480" i="11"/>
  <c r="U480" i="11" s="1"/>
  <c r="T311" i="11"/>
  <c r="U311" i="11" s="1"/>
  <c r="T48" i="11"/>
  <c r="U48" i="11" s="1"/>
  <c r="T199" i="11"/>
  <c r="U199" i="11" s="1"/>
  <c r="T14" i="11"/>
  <c r="U14" i="11" s="1"/>
  <c r="T31" i="11"/>
  <c r="U31" i="11" s="1"/>
  <c r="T91" i="11"/>
  <c r="U91" i="11" s="1"/>
  <c r="T78" i="11"/>
  <c r="U78" i="11" s="1"/>
  <c r="T66" i="11"/>
  <c r="U66" i="11" s="1"/>
  <c r="T405" i="11"/>
  <c r="U405" i="11" s="1"/>
  <c r="T50" i="11"/>
  <c r="U50" i="11" s="1"/>
  <c r="T233" i="11"/>
  <c r="U233" i="11" s="1"/>
  <c r="T452" i="11"/>
  <c r="U452" i="11" s="1"/>
  <c r="T313" i="11"/>
  <c r="U313" i="11" s="1"/>
  <c r="T268" i="11"/>
  <c r="U268" i="11" s="1"/>
  <c r="T404" i="11"/>
  <c r="U404" i="11" s="1"/>
  <c r="T530" i="11"/>
  <c r="U530" i="11" s="1"/>
  <c r="T123" i="11"/>
  <c r="U123" i="11" s="1"/>
  <c r="T107" i="11"/>
  <c r="U107" i="11" s="1"/>
  <c r="T236" i="11"/>
  <c r="U236" i="11" s="1"/>
  <c r="T125" i="11"/>
  <c r="U125" i="11" s="1"/>
  <c r="T109" i="11"/>
  <c r="U109" i="11" s="1"/>
  <c r="T83" i="11"/>
  <c r="U83" i="11" s="1"/>
  <c r="T38" i="11"/>
  <c r="U38" i="11" s="1"/>
  <c r="T241" i="11"/>
  <c r="U241" i="11" s="1"/>
  <c r="T275" i="11"/>
  <c r="U275" i="11" s="1"/>
  <c r="T402" i="11"/>
  <c r="U402" i="11" s="1"/>
  <c r="T349" i="11"/>
  <c r="U349" i="11" s="1"/>
  <c r="T411" i="11"/>
  <c r="U411" i="11" s="1"/>
  <c r="T357" i="11"/>
  <c r="U357" i="11" s="1"/>
  <c r="T77" i="11"/>
  <c r="U77" i="11" s="1"/>
  <c r="T441" i="11"/>
  <c r="U441" i="11" s="1"/>
  <c r="T46" i="11"/>
  <c r="U46" i="11" s="1"/>
  <c r="T423" i="11"/>
  <c r="U423" i="11" s="1"/>
  <c r="T248" i="11"/>
  <c r="U248" i="11" s="1"/>
  <c r="T32" i="11"/>
  <c r="U32" i="11" s="1"/>
  <c r="T150" i="11"/>
  <c r="U150" i="11" s="1"/>
  <c r="T500" i="11"/>
  <c r="U500" i="11" s="1"/>
  <c r="T257" i="11"/>
  <c r="U257" i="11" s="1"/>
  <c r="T358" i="11"/>
  <c r="U358" i="11" s="1"/>
  <c r="T345" i="11"/>
  <c r="U345" i="11" s="1"/>
  <c r="T384" i="11"/>
  <c r="U384" i="11" s="1"/>
  <c r="T251" i="11"/>
  <c r="U251" i="11" s="1"/>
  <c r="T207" i="11"/>
  <c r="U207" i="11" s="1"/>
  <c r="T186" i="11"/>
  <c r="U186" i="11" s="1"/>
  <c r="T509" i="11"/>
  <c r="U509" i="11" s="1"/>
  <c r="T478" i="11"/>
  <c r="U478" i="11" s="1"/>
  <c r="T350" i="11"/>
  <c r="U350" i="11" s="1"/>
  <c r="T516" i="11"/>
  <c r="U516" i="11" s="1"/>
  <c r="T386" i="11"/>
  <c r="U386" i="11" s="1"/>
  <c r="T240" i="11"/>
  <c r="U240" i="11" s="1"/>
  <c r="T425" i="11"/>
  <c r="U425" i="11" s="1"/>
  <c r="T285" i="11"/>
  <c r="U285" i="11" s="1"/>
  <c r="T532" i="11"/>
  <c r="U532" i="11" s="1"/>
  <c r="T30" i="11"/>
  <c r="U30" i="11" s="1"/>
  <c r="T164" i="11"/>
  <c r="U164" i="11" s="1"/>
  <c r="T369" i="11"/>
  <c r="U369" i="11" s="1"/>
  <c r="T176" i="11"/>
  <c r="U176" i="11" s="1"/>
  <c r="T340" i="11"/>
  <c r="U340" i="11" s="1"/>
  <c r="T35" i="11"/>
  <c r="U35" i="11" s="1"/>
  <c r="T363" i="11"/>
  <c r="U363" i="11" s="1"/>
  <c r="T215" i="11"/>
  <c r="U215" i="11" s="1"/>
  <c r="T76" i="11"/>
  <c r="U76" i="11" s="1"/>
  <c r="T287" i="11"/>
  <c r="U287" i="11" s="1"/>
  <c r="T416" i="11"/>
  <c r="U416" i="11" s="1"/>
  <c r="T291" i="11"/>
  <c r="U291" i="11" s="1"/>
  <c r="T112" i="11"/>
  <c r="U112" i="11" s="1"/>
  <c r="T254" i="11"/>
  <c r="U254" i="11" s="1"/>
  <c r="T365" i="11"/>
  <c r="U365" i="11" s="1"/>
  <c r="T74" i="11"/>
  <c r="U74" i="11" s="1"/>
  <c r="T412" i="11"/>
  <c r="U412" i="11" s="1"/>
  <c r="T39" i="11"/>
  <c r="U39" i="11" s="1"/>
  <c r="T40" i="11"/>
  <c r="U40" i="11" s="1"/>
  <c r="T29" i="11"/>
  <c r="U29" i="11" s="1"/>
  <c r="T122" i="11"/>
  <c r="U122" i="11" s="1"/>
  <c r="T531" i="11"/>
  <c r="U531" i="11" s="1"/>
  <c r="T501" i="11"/>
  <c r="U501" i="11" s="1"/>
  <c r="T47" i="11"/>
  <c r="U47" i="11" s="1"/>
  <c r="T18" i="11"/>
  <c r="U18" i="11" s="1"/>
  <c r="T10" i="11"/>
  <c r="U10" i="11" s="1"/>
  <c r="T496" i="11"/>
  <c r="U496" i="11" s="1"/>
  <c r="T259" i="11"/>
  <c r="U259" i="11" s="1"/>
  <c r="T418" i="11"/>
  <c r="U418" i="11" s="1"/>
  <c r="T424" i="11"/>
  <c r="U424" i="11" s="1"/>
  <c r="T205" i="11"/>
  <c r="U205" i="11" s="1"/>
  <c r="T98" i="11"/>
  <c r="U98" i="11" s="1"/>
  <c r="T308" i="11"/>
  <c r="U308" i="11" s="1"/>
  <c r="T146" i="11"/>
  <c r="U146" i="11" s="1"/>
  <c r="T53" i="11"/>
  <c r="U53" i="11" s="1"/>
  <c r="T330" i="11"/>
  <c r="U330" i="11" s="1"/>
  <c r="T124" i="11"/>
  <c r="U124" i="11" s="1"/>
  <c r="T366" i="11"/>
  <c r="U366" i="11" s="1"/>
  <c r="T110" i="11"/>
  <c r="U110" i="11" s="1"/>
  <c r="T263" i="11"/>
  <c r="U263" i="11" s="1"/>
  <c r="T360" i="11"/>
  <c r="U360" i="11" s="1"/>
  <c r="T343" i="11"/>
  <c r="U343" i="11" s="1"/>
  <c r="T495" i="11"/>
  <c r="U495" i="11" s="1"/>
  <c r="T224" i="11"/>
  <c r="U224" i="11" s="1"/>
  <c r="T222" i="11"/>
  <c r="U222" i="11" s="1"/>
  <c r="T493" i="11"/>
  <c r="U493" i="11" s="1"/>
  <c r="T341" i="11"/>
  <c r="U341" i="11" s="1"/>
  <c r="T392" i="11"/>
  <c r="U392" i="11" s="1"/>
  <c r="T394" i="11"/>
  <c r="U394" i="11" s="1"/>
  <c r="T364" i="11"/>
  <c r="U364" i="11" s="1"/>
  <c r="T174" i="11"/>
  <c r="U174" i="11" s="1"/>
  <c r="T253" i="11"/>
  <c r="U253" i="11" s="1"/>
  <c r="T331" i="11"/>
  <c r="U331" i="11" s="1"/>
  <c r="T481" i="11"/>
  <c r="U481" i="11" s="1"/>
  <c r="T385" i="11"/>
  <c r="U385" i="11" s="1"/>
  <c r="T528" i="11"/>
  <c r="U528" i="11" s="1"/>
  <c r="T270" i="11"/>
  <c r="U270" i="11" s="1"/>
  <c r="T513" i="11"/>
  <c r="U513" i="11" s="1"/>
  <c r="T426" i="11"/>
  <c r="U426" i="11" s="1"/>
  <c r="T417" i="11"/>
  <c r="U417" i="11" s="1"/>
  <c r="T444" i="11"/>
  <c r="U444" i="11" s="1"/>
  <c r="T147" i="11"/>
  <c r="U147" i="11" s="1"/>
  <c r="T34" i="11"/>
  <c r="U34" i="11" s="1"/>
  <c r="T187" i="11"/>
  <c r="U187" i="11" s="1"/>
  <c r="T139" i="11"/>
  <c r="U139" i="11" s="1"/>
  <c r="T482" i="11"/>
  <c r="U482" i="11" s="1"/>
  <c r="T393" i="11"/>
  <c r="U393" i="11" s="1"/>
  <c r="T144" i="11"/>
  <c r="U144" i="11" s="1"/>
  <c r="T422" i="11"/>
  <c r="U422" i="11" s="1"/>
  <c r="T140" i="11"/>
  <c r="U140" i="11" s="1"/>
  <c r="T151" i="11"/>
  <c r="U151" i="11" s="1"/>
  <c r="T131" i="11"/>
  <c r="U131" i="11" s="1"/>
  <c r="T374" i="11"/>
  <c r="U374" i="11" s="1"/>
  <c r="T216" i="11"/>
  <c r="U216" i="11" s="1"/>
  <c r="T127" i="11"/>
  <c r="U127" i="11" s="1"/>
  <c r="T440" i="11"/>
  <c r="U440" i="11" s="1"/>
  <c r="T206" i="11"/>
  <c r="U206" i="11" s="1"/>
  <c r="T288" i="11"/>
  <c r="U288" i="11" s="1"/>
  <c r="T188" i="11"/>
  <c r="U188" i="11" s="1"/>
  <c r="T508" i="11"/>
  <c r="U508" i="11" s="1"/>
  <c r="T475" i="11"/>
  <c r="U475" i="11" s="1"/>
  <c r="T344" i="11"/>
  <c r="U344" i="11" s="1"/>
  <c r="T167" i="11"/>
  <c r="U167" i="11" s="1"/>
  <c r="T256" i="11"/>
  <c r="U256" i="11" s="1"/>
  <c r="T231" i="11"/>
  <c r="U231" i="11" s="1"/>
  <c r="T106" i="11"/>
  <c r="U106" i="11" s="1"/>
  <c r="T93" i="11"/>
  <c r="U93" i="11" s="1"/>
  <c r="T529" i="11"/>
  <c r="U529" i="11" s="1"/>
  <c r="T197" i="11"/>
  <c r="U197" i="11" s="1"/>
  <c r="T142" i="11"/>
  <c r="U142" i="11" s="1"/>
  <c r="T89" i="11"/>
  <c r="U89" i="11" s="1"/>
  <c r="T492" i="11"/>
  <c r="U492" i="11" s="1"/>
  <c r="T362" i="11"/>
  <c r="U362" i="11" s="1"/>
  <c r="T149" i="11"/>
  <c r="U149" i="11" s="1"/>
  <c r="T451" i="11"/>
  <c r="U451" i="11" s="1"/>
  <c r="T33" i="11"/>
  <c r="U33" i="11" s="1"/>
  <c r="T391" i="11"/>
  <c r="U391" i="11" s="1"/>
  <c r="T438" i="11"/>
  <c r="U438" i="11" s="1"/>
  <c r="T289" i="11"/>
  <c r="U289" i="11" s="1"/>
  <c r="T310" i="11"/>
  <c r="U310" i="11" s="1"/>
  <c r="T201" i="11"/>
  <c r="U201" i="11" s="1"/>
  <c r="T323" i="11"/>
  <c r="U323" i="11" s="1"/>
  <c r="T499" i="11"/>
  <c r="U499" i="11" s="1"/>
  <c r="T219" i="11"/>
  <c r="U219" i="11" s="1"/>
  <c r="T294" i="11"/>
  <c r="U294" i="11" s="1"/>
  <c r="T276" i="11"/>
  <c r="U276" i="11" s="1"/>
  <c r="T476" i="11"/>
  <c r="U476" i="11" s="1"/>
  <c r="T333" i="11"/>
  <c r="U333" i="11" s="1"/>
  <c r="T237" i="11"/>
  <c r="U237" i="11" s="1"/>
  <c r="T262" i="11"/>
  <c r="U262" i="11" s="1"/>
  <c r="T477" i="11"/>
  <c r="U477" i="11" s="1"/>
  <c r="T272" i="11"/>
  <c r="U272" i="11" s="1"/>
  <c r="T271" i="11"/>
  <c r="U271" i="11" s="1"/>
  <c r="T132" i="11"/>
  <c r="U132" i="11" s="1"/>
  <c r="T483" i="11"/>
  <c r="U483" i="11" s="1"/>
  <c r="T67" i="11"/>
  <c r="U67" i="11" s="1"/>
  <c r="T130" i="11"/>
  <c r="U130" i="11" s="1"/>
  <c r="T51" i="11"/>
  <c r="U51" i="11" s="1"/>
  <c r="T519" i="11"/>
  <c r="U519" i="11" s="1"/>
  <c r="T419" i="11"/>
  <c r="U419" i="11" s="1"/>
  <c r="T105" i="11"/>
  <c r="U105" i="11" s="1"/>
  <c r="T439" i="11"/>
  <c r="U439" i="11" s="1"/>
  <c r="T145" i="11"/>
  <c r="U145" i="11" s="1"/>
  <c r="T79" i="11"/>
  <c r="U79" i="11" s="1"/>
  <c r="T515" i="11"/>
  <c r="U515" i="11" s="1"/>
  <c r="T512" i="11"/>
  <c r="U512" i="11" s="1"/>
  <c r="T15" i="11"/>
  <c r="U15" i="11" s="1"/>
  <c r="T510" i="11"/>
  <c r="U510" i="11" s="1"/>
  <c r="T226" i="11"/>
  <c r="U226" i="11" s="1"/>
  <c r="T75" i="11"/>
  <c r="U75" i="11" s="1"/>
  <c r="T129" i="11"/>
  <c r="U129" i="11" s="1"/>
  <c r="T169" i="11"/>
  <c r="U169" i="11" s="1"/>
  <c r="T286" i="11"/>
  <c r="U286" i="11" s="1"/>
  <c r="T258" i="11"/>
  <c r="U258" i="11" s="1"/>
  <c r="T12" i="11"/>
  <c r="U12" i="11" s="1"/>
  <c r="T225" i="11"/>
  <c r="U225" i="11" s="1"/>
  <c r="T152" i="11"/>
  <c r="U152" i="11" s="1"/>
  <c r="T325" i="11"/>
  <c r="U325" i="11" s="1"/>
  <c r="T479" i="11"/>
  <c r="U479" i="11" s="1"/>
  <c r="T420" i="11"/>
  <c r="U420" i="11" s="1"/>
  <c r="T104" i="11"/>
  <c r="U104" i="11" s="1"/>
  <c r="T497" i="11"/>
  <c r="U497" i="11" s="1"/>
  <c r="T526" i="11"/>
  <c r="U526" i="11" s="1"/>
  <c r="T312" i="11"/>
  <c r="U312" i="11" s="1"/>
  <c r="T200" i="11"/>
  <c r="U200" i="11" s="1"/>
  <c r="T65" i="11"/>
  <c r="U65" i="11" s="1"/>
  <c r="T168" i="11"/>
  <c r="U168" i="11" s="1"/>
  <c r="T220" i="11"/>
  <c r="U220" i="11" s="1"/>
  <c r="T121" i="11"/>
  <c r="U121" i="11" s="1"/>
  <c r="T328" i="11"/>
  <c r="U328" i="11" s="1"/>
  <c r="T92" i="11"/>
  <c r="U92" i="11" s="1"/>
  <c r="T218" i="11"/>
  <c r="U218" i="11" s="1"/>
  <c r="T80" i="11"/>
  <c r="U80" i="11" s="1"/>
  <c r="T166" i="11"/>
  <c r="U166" i="11" s="1"/>
  <c r="T49" i="11"/>
  <c r="U49" i="11" s="1"/>
  <c r="C7" i="19"/>
  <c r="Y465" i="11" l="1"/>
  <c r="Z465" i="11" s="1"/>
  <c r="W465" i="11"/>
  <c r="V462" i="11"/>
  <c r="B462" i="11"/>
  <c r="A462" i="11" s="1"/>
  <c r="X462" i="11" s="1"/>
  <c r="V463" i="11"/>
  <c r="B463" i="11"/>
  <c r="A463" i="11" s="1"/>
  <c r="X463" i="11" s="1"/>
  <c r="V464" i="11"/>
  <c r="B464" i="11"/>
  <c r="A464" i="11" s="1"/>
  <c r="X464" i="11" s="1"/>
  <c r="V461" i="11"/>
  <c r="B461" i="11"/>
  <c r="A461" i="11" s="1"/>
  <c r="X461" i="11" s="1"/>
  <c r="V229" i="11"/>
  <c r="B229" i="11"/>
  <c r="A229" i="11" s="1"/>
  <c r="V228" i="11"/>
  <c r="B228" i="11"/>
  <c r="A228" i="11" s="1"/>
  <c r="V227" i="11"/>
  <c r="B227" i="11"/>
  <c r="A227" i="11" s="1"/>
  <c r="V432" i="11"/>
  <c r="B432" i="11"/>
  <c r="A432" i="11" s="1"/>
  <c r="V430" i="11"/>
  <c r="B430" i="11"/>
  <c r="A430" i="11" s="1"/>
  <c r="V431" i="11"/>
  <c r="B431" i="11"/>
  <c r="A431" i="11" s="1"/>
  <c r="V415" i="11"/>
  <c r="B415" i="11"/>
  <c r="A415" i="11" s="1"/>
  <c r="V414" i="11"/>
  <c r="B414" i="11"/>
  <c r="A414" i="11" s="1"/>
  <c r="V413" i="11"/>
  <c r="B413" i="11"/>
  <c r="A413" i="11" s="1"/>
  <c r="V400" i="11"/>
  <c r="B400" i="11"/>
  <c r="A400" i="11" s="1"/>
  <c r="V398" i="11"/>
  <c r="B398" i="11"/>
  <c r="A398" i="11" s="1"/>
  <c r="V399" i="11"/>
  <c r="B399" i="11"/>
  <c r="A399" i="11" s="1"/>
  <c r="V87" i="11"/>
  <c r="B87" i="11"/>
  <c r="A87" i="11" s="1"/>
  <c r="V88" i="11"/>
  <c r="B88" i="11"/>
  <c r="A88" i="11" s="1"/>
  <c r="V86" i="11"/>
  <c r="B86" i="11"/>
  <c r="A86" i="11" s="1"/>
  <c r="V264" i="11"/>
  <c r="B264" i="11"/>
  <c r="A264" i="11" s="1"/>
  <c r="V266" i="11"/>
  <c r="B266" i="11"/>
  <c r="A266" i="11" s="1"/>
  <c r="V265" i="11"/>
  <c r="B265" i="11"/>
  <c r="A265" i="11" s="1"/>
  <c r="Y196" i="11"/>
  <c r="Z196" i="11" s="1"/>
  <c r="X196" i="11"/>
  <c r="W196" i="11"/>
  <c r="V195" i="11"/>
  <c r="B195" i="11"/>
  <c r="A195" i="11" s="1"/>
  <c r="Y194" i="11"/>
  <c r="Z194" i="11" s="1"/>
  <c r="X194" i="11"/>
  <c r="W194" i="11"/>
  <c r="W502" i="11"/>
  <c r="V507" i="11"/>
  <c r="B507" i="11"/>
  <c r="A507" i="11" s="1"/>
  <c r="V505" i="11"/>
  <c r="B505" i="11"/>
  <c r="A505" i="11" s="1"/>
  <c r="V506" i="11"/>
  <c r="B506" i="11"/>
  <c r="A506" i="11" s="1"/>
  <c r="V503" i="11"/>
  <c r="B503" i="11"/>
  <c r="A503" i="11" s="1"/>
  <c r="V504" i="11"/>
  <c r="B504" i="11"/>
  <c r="A504" i="11" s="1"/>
  <c r="V153" i="11"/>
  <c r="B153" i="11"/>
  <c r="A153" i="11" s="1"/>
  <c r="V157" i="11"/>
  <c r="B157" i="11"/>
  <c r="A157" i="11" s="1"/>
  <c r="V156" i="11"/>
  <c r="B156" i="11"/>
  <c r="A156" i="11" s="1"/>
  <c r="V158" i="11"/>
  <c r="B158" i="11"/>
  <c r="A158" i="11" s="1"/>
  <c r="V155" i="11"/>
  <c r="B155" i="11"/>
  <c r="A155" i="11" s="1"/>
  <c r="V154" i="11"/>
  <c r="B154" i="11"/>
  <c r="A154" i="11" s="1"/>
  <c r="V24" i="11"/>
  <c r="B24" i="11"/>
  <c r="A24" i="11" s="1"/>
  <c r="V28" i="11"/>
  <c r="B28" i="11"/>
  <c r="A28" i="11" s="1"/>
  <c r="V25" i="11"/>
  <c r="B25" i="11"/>
  <c r="A25" i="11" s="1"/>
  <c r="V23" i="11"/>
  <c r="B23" i="11"/>
  <c r="A23" i="11" s="1"/>
  <c r="V27" i="11"/>
  <c r="B27" i="11"/>
  <c r="A27" i="11" s="1"/>
  <c r="V26" i="11"/>
  <c r="B26" i="11"/>
  <c r="A26" i="11" s="1"/>
  <c r="V523" i="11"/>
  <c r="B523" i="11"/>
  <c r="A523" i="11" s="1"/>
  <c r="W523" i="11" s="1"/>
  <c r="V524" i="11"/>
  <c r="B524" i="11"/>
  <c r="A524" i="11" s="1"/>
  <c r="W524" i="11" s="1"/>
  <c r="V525" i="11"/>
  <c r="B525" i="11"/>
  <c r="A525" i="11" s="1"/>
  <c r="W525" i="11" s="1"/>
  <c r="V522" i="11"/>
  <c r="B522" i="11"/>
  <c r="A522" i="11" s="1"/>
  <c r="W522" i="11" s="1"/>
  <c r="V242" i="11"/>
  <c r="B242" i="11"/>
  <c r="A242" i="11" s="1"/>
  <c r="V244" i="11"/>
  <c r="B244" i="11"/>
  <c r="A244" i="11" s="1"/>
  <c r="V245" i="11"/>
  <c r="B245" i="11"/>
  <c r="A245" i="11" s="1"/>
  <c r="V246" i="11"/>
  <c r="B246" i="11"/>
  <c r="A246" i="11" s="1"/>
  <c r="V247" i="11"/>
  <c r="B247" i="11"/>
  <c r="A247" i="11" s="1"/>
  <c r="V243" i="11"/>
  <c r="B243" i="11"/>
  <c r="A243" i="11" s="1"/>
  <c r="V133" i="11"/>
  <c r="B133" i="11"/>
  <c r="A133" i="11" s="1"/>
  <c r="V134" i="11"/>
  <c r="B134" i="11"/>
  <c r="A134" i="11" s="1"/>
  <c r="V138" i="11"/>
  <c r="B138" i="11"/>
  <c r="A138" i="11" s="1"/>
  <c r="V136" i="11"/>
  <c r="B136" i="11"/>
  <c r="A136" i="11" s="1"/>
  <c r="V135" i="11"/>
  <c r="B135" i="11"/>
  <c r="A135" i="11" s="1"/>
  <c r="V137" i="11"/>
  <c r="B137" i="11"/>
  <c r="A137" i="11" s="1"/>
  <c r="V61" i="11"/>
  <c r="B61" i="11"/>
  <c r="A61" i="11" s="1"/>
  <c r="V62" i="11"/>
  <c r="B62" i="11"/>
  <c r="A62" i="11" s="1"/>
  <c r="V59" i="11"/>
  <c r="B59" i="11"/>
  <c r="A59" i="11" s="1"/>
  <c r="V63" i="11"/>
  <c r="B63" i="11"/>
  <c r="A63" i="11" s="1"/>
  <c r="V64" i="11"/>
  <c r="B64" i="11"/>
  <c r="A64" i="11" s="1"/>
  <c r="V60" i="11"/>
  <c r="B60" i="11"/>
  <c r="A60" i="11" s="1"/>
  <c r="V307" i="11"/>
  <c r="B307" i="11"/>
  <c r="A307" i="11" s="1"/>
  <c r="X307" i="11" s="1"/>
  <c r="V306" i="11"/>
  <c r="B306" i="11"/>
  <c r="A306" i="11" s="1"/>
  <c r="X306" i="11" s="1"/>
  <c r="V305" i="11"/>
  <c r="B305" i="11"/>
  <c r="A305" i="11" s="1"/>
  <c r="X305" i="11" s="1"/>
  <c r="V304" i="11"/>
  <c r="B304" i="11"/>
  <c r="A304" i="11" s="1"/>
  <c r="X304" i="11" s="1"/>
  <c r="V303" i="11"/>
  <c r="B303" i="11"/>
  <c r="A303" i="11" s="1"/>
  <c r="X303" i="11" s="1"/>
  <c r="V302" i="11"/>
  <c r="B302" i="11"/>
  <c r="A302" i="11" s="1"/>
  <c r="X302" i="11" s="1"/>
  <c r="V22" i="11"/>
  <c r="B22" i="11"/>
  <c r="A22" i="11" s="1"/>
  <c r="V21" i="11"/>
  <c r="B21" i="11"/>
  <c r="A21" i="11" s="1"/>
  <c r="V120" i="11"/>
  <c r="B120" i="11"/>
  <c r="A120" i="11" s="1"/>
  <c r="V116" i="11"/>
  <c r="B116" i="11"/>
  <c r="A116" i="11" s="1"/>
  <c r="V117" i="11"/>
  <c r="B117" i="11"/>
  <c r="A117" i="11" s="1"/>
  <c r="V118" i="11"/>
  <c r="B118" i="11"/>
  <c r="A118" i="11" s="1"/>
  <c r="V119" i="11"/>
  <c r="B119" i="11"/>
  <c r="A119" i="11" s="1"/>
  <c r="V103" i="11"/>
  <c r="B103" i="11"/>
  <c r="A103" i="11" s="1"/>
  <c r="V99" i="11"/>
  <c r="B99" i="11"/>
  <c r="A99" i="11" s="1"/>
  <c r="V100" i="11"/>
  <c r="B100" i="11"/>
  <c r="A100" i="11" s="1"/>
  <c r="V102" i="11"/>
  <c r="B102" i="11"/>
  <c r="A102" i="11" s="1"/>
  <c r="V101" i="11"/>
  <c r="B101" i="11"/>
  <c r="A101" i="11" s="1"/>
  <c r="V457" i="11"/>
  <c r="B457" i="11"/>
  <c r="A457" i="11" s="1"/>
  <c r="V455" i="11"/>
  <c r="B455" i="11"/>
  <c r="A455" i="11" s="1"/>
  <c r="V453" i="11"/>
  <c r="B453" i="11"/>
  <c r="A453" i="11" s="1"/>
  <c r="V454" i="11"/>
  <c r="B454" i="11"/>
  <c r="A454" i="11" s="1"/>
  <c r="V456" i="11"/>
  <c r="B456" i="11"/>
  <c r="A456" i="11" s="1"/>
  <c r="V521" i="11"/>
  <c r="B521" i="11"/>
  <c r="A521" i="11" s="1"/>
  <c r="V161" i="11"/>
  <c r="B161" i="11"/>
  <c r="A161" i="11" s="1"/>
  <c r="V159" i="11"/>
  <c r="B159" i="11"/>
  <c r="A159" i="11" s="1"/>
  <c r="V162" i="11"/>
  <c r="B162" i="11"/>
  <c r="A162" i="11" s="1"/>
  <c r="V163" i="11"/>
  <c r="B163" i="11"/>
  <c r="A163" i="11" s="1"/>
  <c r="V160" i="11"/>
  <c r="B160" i="11"/>
  <c r="A160" i="11" s="1"/>
  <c r="V45" i="11"/>
  <c r="B45" i="11"/>
  <c r="A45" i="11" s="1"/>
  <c r="V42" i="11"/>
  <c r="B42" i="11"/>
  <c r="A42" i="11" s="1"/>
  <c r="V43" i="11"/>
  <c r="B43" i="11"/>
  <c r="A43" i="11" s="1"/>
  <c r="V44" i="11"/>
  <c r="B44" i="11"/>
  <c r="A44" i="11" s="1"/>
  <c r="V41" i="11"/>
  <c r="B41" i="11"/>
  <c r="A41" i="11" s="1"/>
  <c r="V487" i="11"/>
  <c r="B487" i="11"/>
  <c r="A487" i="11" s="1"/>
  <c r="V491" i="11"/>
  <c r="B491" i="11"/>
  <c r="A491" i="11" s="1"/>
  <c r="V489" i="11"/>
  <c r="B489" i="11"/>
  <c r="A489" i="11" s="1"/>
  <c r="V488" i="11"/>
  <c r="B488" i="11"/>
  <c r="A488" i="11" s="1"/>
  <c r="V490" i="11"/>
  <c r="B490" i="11"/>
  <c r="A490" i="11" s="1"/>
  <c r="Y356" i="11"/>
  <c r="Z356" i="11" s="1"/>
  <c r="X356" i="11"/>
  <c r="W356" i="11"/>
  <c r="V352" i="11"/>
  <c r="B352" i="11"/>
  <c r="A352" i="11" s="1"/>
  <c r="V355" i="11"/>
  <c r="B355" i="11"/>
  <c r="A355" i="11" s="1"/>
  <c r="V354" i="11"/>
  <c r="B354" i="11"/>
  <c r="A354" i="11" s="1"/>
  <c r="V353" i="11"/>
  <c r="B353" i="11"/>
  <c r="A353" i="11" s="1"/>
  <c r="Y435" i="11"/>
  <c r="Z435" i="11" s="1"/>
  <c r="X435" i="11"/>
  <c r="W435" i="11"/>
  <c r="X437" i="11"/>
  <c r="Y437" i="11"/>
  <c r="Z437" i="11" s="1"/>
  <c r="W437" i="11"/>
  <c r="Y436" i="11"/>
  <c r="Z436" i="11" s="1"/>
  <c r="X436" i="11"/>
  <c r="W436" i="11"/>
  <c r="Y434" i="11"/>
  <c r="Z434" i="11" s="1"/>
  <c r="X434" i="11"/>
  <c r="W434" i="11"/>
  <c r="V84" i="11"/>
  <c r="B84" i="11"/>
  <c r="A84" i="11" s="1"/>
  <c r="V85" i="11"/>
  <c r="B85" i="11"/>
  <c r="A85" i="11" s="1"/>
  <c r="V427" i="11"/>
  <c r="B427" i="11"/>
  <c r="A427" i="11" s="1"/>
  <c r="V429" i="11"/>
  <c r="B429" i="11"/>
  <c r="A429" i="11" s="1"/>
  <c r="V428" i="11"/>
  <c r="B428" i="11"/>
  <c r="A428" i="11" s="1"/>
  <c r="V397" i="11"/>
  <c r="B397" i="11"/>
  <c r="A397" i="11" s="1"/>
  <c r="V395" i="11"/>
  <c r="B395" i="11"/>
  <c r="A395" i="11" s="1"/>
  <c r="V396" i="11"/>
  <c r="B396" i="11"/>
  <c r="A396" i="11" s="1"/>
  <c r="V177" i="11"/>
  <c r="B177" i="11"/>
  <c r="A177" i="11" s="1"/>
  <c r="V179" i="11"/>
  <c r="B179" i="11"/>
  <c r="A179" i="11" s="1"/>
  <c r="V178" i="11"/>
  <c r="B178" i="11"/>
  <c r="A178" i="11" s="1"/>
  <c r="V182" i="11"/>
  <c r="B182" i="11"/>
  <c r="A182" i="11" s="1"/>
  <c r="V180" i="11"/>
  <c r="B180" i="11"/>
  <c r="A180" i="11" s="1"/>
  <c r="V181" i="11"/>
  <c r="B181" i="11"/>
  <c r="A181" i="11" s="1"/>
  <c r="V283" i="11"/>
  <c r="B283" i="11"/>
  <c r="A283" i="11" s="1"/>
  <c r="V280" i="11"/>
  <c r="B280" i="11"/>
  <c r="A280" i="11" s="1"/>
  <c r="V281" i="11"/>
  <c r="B281" i="11"/>
  <c r="A281" i="11" s="1"/>
  <c r="V282" i="11"/>
  <c r="B282" i="11"/>
  <c r="A282" i="11" s="1"/>
  <c r="V284" i="11"/>
  <c r="B284" i="11"/>
  <c r="A284" i="11" s="1"/>
  <c r="V279" i="11"/>
  <c r="B279" i="11"/>
  <c r="A279" i="11" s="1"/>
  <c r="V210" i="11"/>
  <c r="B210" i="11"/>
  <c r="A210" i="11" s="1"/>
  <c r="V211" i="11"/>
  <c r="B211" i="11"/>
  <c r="A211" i="11" s="1"/>
  <c r="V212" i="11"/>
  <c r="B212" i="11"/>
  <c r="A212" i="11" s="1"/>
  <c r="V209" i="11"/>
  <c r="B209" i="11"/>
  <c r="A209" i="11" s="1"/>
  <c r="V213" i="11"/>
  <c r="B213" i="11"/>
  <c r="A213" i="11" s="1"/>
  <c r="V208" i="11"/>
  <c r="B208" i="11"/>
  <c r="A208" i="11" s="1"/>
  <c r="V382" i="11"/>
  <c r="B382" i="11"/>
  <c r="A382" i="11" s="1"/>
  <c r="X382" i="11" s="1"/>
  <c r="V383" i="11"/>
  <c r="B383" i="11"/>
  <c r="A383" i="11" s="1"/>
  <c r="X383" i="11" s="1"/>
  <c r="V378" i="11"/>
  <c r="B378" i="11"/>
  <c r="A378" i="11" s="1"/>
  <c r="V379" i="11"/>
  <c r="B379" i="11"/>
  <c r="A379" i="11" s="1"/>
  <c r="X379" i="11" s="1"/>
  <c r="V381" i="11"/>
  <c r="B381" i="11"/>
  <c r="A381" i="11" s="1"/>
  <c r="X381" i="11" s="1"/>
  <c r="V380" i="11"/>
  <c r="B380" i="11"/>
  <c r="A380" i="11" s="1"/>
  <c r="X380" i="11" s="1"/>
  <c r="V336" i="11"/>
  <c r="B336" i="11"/>
  <c r="A336" i="11" s="1"/>
  <c r="V335" i="11"/>
  <c r="B335" i="11"/>
  <c r="A335" i="11" s="1"/>
  <c r="V337" i="11"/>
  <c r="B337" i="11"/>
  <c r="A337" i="11" s="1"/>
  <c r="V338" i="11"/>
  <c r="B338" i="11"/>
  <c r="A338" i="11" s="1"/>
  <c r="V339" i="11"/>
  <c r="B339" i="11"/>
  <c r="A339" i="11" s="1"/>
  <c r="V334" i="11"/>
  <c r="B334" i="11"/>
  <c r="A334" i="11" s="1"/>
  <c r="V297" i="11"/>
  <c r="B297" i="11"/>
  <c r="A297" i="11" s="1"/>
  <c r="X297" i="11" s="1"/>
  <c r="V299" i="11"/>
  <c r="B299" i="11"/>
  <c r="A299" i="11" s="1"/>
  <c r="X299" i="11" s="1"/>
  <c r="V300" i="11"/>
  <c r="B300" i="11"/>
  <c r="A300" i="11" s="1"/>
  <c r="X300" i="11" s="1"/>
  <c r="V298" i="11"/>
  <c r="B298" i="11"/>
  <c r="A298" i="11" s="1"/>
  <c r="X298" i="11" s="1"/>
  <c r="V301" i="11"/>
  <c r="B301" i="11"/>
  <c r="A301" i="11" s="1"/>
  <c r="X301" i="11" s="1"/>
  <c r="V296" i="11"/>
  <c r="B296" i="11"/>
  <c r="A296" i="11" s="1"/>
  <c r="V319" i="11"/>
  <c r="B319" i="11"/>
  <c r="A319" i="11" s="1"/>
  <c r="V320" i="11"/>
  <c r="B320" i="11"/>
  <c r="A320" i="11" s="1"/>
  <c r="V321" i="11"/>
  <c r="B321" i="11"/>
  <c r="A321" i="11" s="1"/>
  <c r="V322" i="11"/>
  <c r="B322" i="11"/>
  <c r="A322" i="11" s="1"/>
  <c r="V318" i="11"/>
  <c r="B318" i="11"/>
  <c r="A318" i="11" s="1"/>
  <c r="V317" i="11"/>
  <c r="B317" i="11"/>
  <c r="A317" i="11" s="1"/>
  <c r="V70" i="11"/>
  <c r="B70" i="11"/>
  <c r="A70" i="11" s="1"/>
  <c r="V71" i="11"/>
  <c r="B71" i="11"/>
  <c r="A71" i="11" s="1"/>
  <c r="V68" i="11"/>
  <c r="B68" i="11"/>
  <c r="A68" i="11" s="1"/>
  <c r="V72" i="11"/>
  <c r="B72" i="11"/>
  <c r="A72" i="11" s="1"/>
  <c r="V73" i="11"/>
  <c r="B73" i="11"/>
  <c r="A73" i="11" s="1"/>
  <c r="V69" i="11"/>
  <c r="B69" i="11"/>
  <c r="A69" i="11" s="1"/>
  <c r="V474" i="11"/>
  <c r="B474" i="11"/>
  <c r="A474" i="11" s="1"/>
  <c r="V472" i="11"/>
  <c r="B472" i="11"/>
  <c r="A472" i="11" s="1"/>
  <c r="V473" i="11"/>
  <c r="B473" i="11"/>
  <c r="A473" i="11" s="1"/>
  <c r="V468" i="11"/>
  <c r="B468" i="11"/>
  <c r="A468" i="11" s="1"/>
  <c r="V467" i="11"/>
  <c r="B467" i="11"/>
  <c r="A467" i="11" s="1"/>
  <c r="V471" i="11"/>
  <c r="B471" i="11"/>
  <c r="A471" i="11" s="1"/>
  <c r="V469" i="11"/>
  <c r="B469" i="11"/>
  <c r="A469" i="11" s="1"/>
  <c r="V470" i="11"/>
  <c r="B470" i="11"/>
  <c r="A470" i="11" s="1"/>
  <c r="V466" i="11"/>
  <c r="B466" i="11"/>
  <c r="A466" i="11" s="1"/>
  <c r="X542" i="11"/>
  <c r="Y542" i="11"/>
  <c r="Z542" i="11" s="1"/>
  <c r="W542" i="11"/>
  <c r="X540" i="11"/>
  <c r="Y540" i="11"/>
  <c r="Z540" i="11" s="1"/>
  <c r="W540" i="11"/>
  <c r="X539" i="11"/>
  <c r="Y539" i="11"/>
  <c r="Z539" i="11" s="1"/>
  <c r="W539" i="11"/>
  <c r="X541" i="11"/>
  <c r="Y541" i="11"/>
  <c r="Z541" i="11" s="1"/>
  <c r="W541" i="11"/>
  <c r="X538" i="11"/>
  <c r="Y538" i="11"/>
  <c r="Z538" i="11" s="1"/>
  <c r="W538" i="11"/>
  <c r="V56" i="11"/>
  <c r="B56" i="11"/>
  <c r="A56" i="11" s="1"/>
  <c r="V57" i="11"/>
  <c r="B57" i="11"/>
  <c r="A57" i="11" s="1"/>
  <c r="V54" i="11"/>
  <c r="B54" i="11"/>
  <c r="A54" i="11" s="1"/>
  <c r="V58" i="11"/>
  <c r="B58" i="11"/>
  <c r="A58" i="11" s="1"/>
  <c r="V55" i="11"/>
  <c r="B55" i="11"/>
  <c r="A55" i="11" s="1"/>
  <c r="V19" i="11"/>
  <c r="B19" i="11"/>
  <c r="A19" i="11" s="1"/>
  <c r="V20" i="11"/>
  <c r="B20" i="11"/>
  <c r="A20" i="11" s="1"/>
  <c r="V191" i="11"/>
  <c r="B191" i="11"/>
  <c r="A191" i="11" s="1"/>
  <c r="V193" i="11"/>
  <c r="B193" i="11"/>
  <c r="A193" i="11" s="1"/>
  <c r="V192" i="11"/>
  <c r="B192" i="11"/>
  <c r="A192" i="11" s="1"/>
  <c r="V190" i="11"/>
  <c r="B190" i="11"/>
  <c r="A190" i="11" s="1"/>
  <c r="V189" i="11"/>
  <c r="B189" i="11"/>
  <c r="A189" i="11" s="1"/>
  <c r="V278" i="11"/>
  <c r="B278" i="11"/>
  <c r="A278" i="11" s="1"/>
  <c r="V277" i="11"/>
  <c r="B277" i="11"/>
  <c r="A277" i="11" s="1"/>
  <c r="X249" i="11"/>
  <c r="Y249" i="11"/>
  <c r="BC249" i="11" s="1"/>
  <c r="W249" i="11"/>
  <c r="V114" i="11"/>
  <c r="B114" i="11"/>
  <c r="A114" i="11" s="1"/>
  <c r="V115" i="11"/>
  <c r="B115" i="11"/>
  <c r="A115" i="11" s="1"/>
  <c r="V113" i="11"/>
  <c r="B113" i="11"/>
  <c r="A113" i="11" s="1"/>
  <c r="V167" i="11"/>
  <c r="B167" i="11"/>
  <c r="A167" i="11" s="1"/>
  <c r="V481" i="11"/>
  <c r="B481" i="11"/>
  <c r="A481" i="11" s="1"/>
  <c r="V40" i="11"/>
  <c r="B40" i="11"/>
  <c r="A40" i="11" s="1"/>
  <c r="V441" i="11"/>
  <c r="B441" i="11"/>
  <c r="A441" i="11" s="1"/>
  <c r="V313" i="11"/>
  <c r="B313" i="11"/>
  <c r="A313" i="11" s="1"/>
  <c r="V409" i="11"/>
  <c r="B409" i="11"/>
  <c r="A409" i="11" s="1"/>
  <c r="V445" i="11"/>
  <c r="B445" i="11"/>
  <c r="A445" i="11" s="1"/>
  <c r="V407" i="11"/>
  <c r="B407" i="11"/>
  <c r="A407" i="11" s="1"/>
  <c r="V494" i="11"/>
  <c r="B494" i="11"/>
  <c r="A494" i="11" s="1"/>
  <c r="V420" i="11"/>
  <c r="B420" i="11"/>
  <c r="A420" i="11" s="1"/>
  <c r="V439" i="11"/>
  <c r="B439" i="11"/>
  <c r="A439" i="11" s="1"/>
  <c r="V417" i="11"/>
  <c r="B417" i="11"/>
  <c r="A417" i="11" s="1"/>
  <c r="V39" i="11"/>
  <c r="B39" i="11"/>
  <c r="A39" i="11" s="1"/>
  <c r="V389" i="11"/>
  <c r="B389" i="11"/>
  <c r="A389" i="11" s="1"/>
  <c r="V342" i="11"/>
  <c r="B342" i="11"/>
  <c r="A342" i="11" s="1"/>
  <c r="V370" i="11"/>
  <c r="B370" i="11"/>
  <c r="A370" i="11" s="1"/>
  <c r="V220" i="11"/>
  <c r="B220" i="11"/>
  <c r="A220" i="11" s="1"/>
  <c r="V75" i="11"/>
  <c r="B75" i="11"/>
  <c r="A75" i="11" s="1"/>
  <c r="V132" i="11"/>
  <c r="B132" i="11"/>
  <c r="A132" i="11" s="1"/>
  <c r="V289" i="11"/>
  <c r="B289" i="11"/>
  <c r="A289" i="11" s="1"/>
  <c r="V475" i="11"/>
  <c r="B475" i="11"/>
  <c r="A475" i="11" s="1"/>
  <c r="V124" i="11"/>
  <c r="B124" i="11"/>
  <c r="A124" i="11" s="1"/>
  <c r="V259" i="11"/>
  <c r="B259" i="11"/>
  <c r="A259" i="11" s="1"/>
  <c r="V358" i="11"/>
  <c r="B358" i="11"/>
  <c r="A358" i="11" s="1"/>
  <c r="V357" i="11"/>
  <c r="B357" i="11"/>
  <c r="A357" i="11" s="1"/>
  <c r="V199" i="11"/>
  <c r="B199" i="11"/>
  <c r="A199" i="11" s="1"/>
  <c r="V223" i="11"/>
  <c r="B223" i="11"/>
  <c r="A223" i="11" s="1"/>
  <c r="V11" i="11"/>
  <c r="B11" i="11"/>
  <c r="A11" i="11" s="1"/>
  <c r="V202" i="11"/>
  <c r="B202" i="11"/>
  <c r="A202" i="11" s="1"/>
  <c r="V218" i="11"/>
  <c r="B218" i="11"/>
  <c r="A218" i="11" s="1"/>
  <c r="V444" i="11"/>
  <c r="B444" i="11"/>
  <c r="A444" i="11" s="1"/>
  <c r="V516" i="11"/>
  <c r="B516" i="11"/>
  <c r="A516" i="11" s="1"/>
  <c r="V109" i="11"/>
  <c r="B109" i="11"/>
  <c r="A109" i="11" s="1"/>
  <c r="V410" i="11"/>
  <c r="B410" i="11"/>
  <c r="A410" i="11" s="1"/>
  <c r="V446" i="11"/>
  <c r="B446" i="11"/>
  <c r="A446" i="11" s="1"/>
  <c r="V314" i="11"/>
  <c r="B314" i="11"/>
  <c r="A314" i="11" s="1"/>
  <c r="V250" i="11"/>
  <c r="B250" i="11"/>
  <c r="A250" i="11" s="1"/>
  <c r="V483" i="11"/>
  <c r="B483" i="11"/>
  <c r="A483" i="11" s="1"/>
  <c r="V344" i="11"/>
  <c r="B344" i="11"/>
  <c r="A344" i="11" s="1"/>
  <c r="V366" i="11"/>
  <c r="B366" i="11"/>
  <c r="A366" i="11" s="1"/>
  <c r="V77" i="11"/>
  <c r="B77" i="11"/>
  <c r="A77" i="11" s="1"/>
  <c r="V452" i="11"/>
  <c r="B452" i="11"/>
  <c r="A452" i="11" s="1"/>
  <c r="V126" i="11"/>
  <c r="B126" i="11"/>
  <c r="A126" i="11" s="1"/>
  <c r="V267" i="11"/>
  <c r="B267" i="11"/>
  <c r="A267" i="11" s="1"/>
  <c r="W267" i="11" s="1"/>
  <c r="V168" i="11"/>
  <c r="B168" i="11"/>
  <c r="A168" i="11" s="1"/>
  <c r="V226" i="11"/>
  <c r="B226" i="11"/>
  <c r="A226" i="11" s="1"/>
  <c r="V142" i="11"/>
  <c r="B142" i="11"/>
  <c r="A142" i="11" s="1"/>
  <c r="V253" i="11"/>
  <c r="B253" i="11"/>
  <c r="A253" i="11" s="1"/>
  <c r="V330" i="11"/>
  <c r="B330" i="11"/>
  <c r="A330" i="11" s="1"/>
  <c r="V496" i="11"/>
  <c r="B496" i="11"/>
  <c r="A496" i="11" s="1"/>
  <c r="V30" i="11"/>
  <c r="B30" i="11"/>
  <c r="A30" i="11" s="1"/>
  <c r="V257" i="11"/>
  <c r="B257" i="11"/>
  <c r="A257" i="11" s="1"/>
  <c r="V171" i="11"/>
  <c r="B171" i="11"/>
  <c r="A171" i="11" s="1"/>
  <c r="V97" i="11"/>
  <c r="B97" i="11"/>
  <c r="A97" i="11" s="1"/>
  <c r="V375" i="11"/>
  <c r="B375" i="11"/>
  <c r="A375" i="11" s="1"/>
  <c r="V81" i="11"/>
  <c r="B81" i="11"/>
  <c r="A81" i="11" s="1"/>
  <c r="V401" i="11"/>
  <c r="B401" i="11"/>
  <c r="A401" i="11" s="1"/>
  <c r="V17" i="11"/>
  <c r="B17" i="11"/>
  <c r="A17" i="11" s="1"/>
  <c r="V217" i="11"/>
  <c r="B217" i="11"/>
  <c r="A217" i="11" s="1"/>
  <c r="V526" i="11"/>
  <c r="B526" i="11"/>
  <c r="A526" i="11" s="1"/>
  <c r="V421" i="11"/>
  <c r="B421" i="11"/>
  <c r="A421" i="11" s="1"/>
  <c r="V49" i="11"/>
  <c r="B49" i="11"/>
  <c r="A49" i="11" s="1"/>
  <c r="V65" i="11"/>
  <c r="B65" i="11"/>
  <c r="A65" i="11" s="1"/>
  <c r="V325" i="11"/>
  <c r="B325" i="11"/>
  <c r="A325" i="11" s="1"/>
  <c r="V510" i="11"/>
  <c r="B510" i="11"/>
  <c r="A510" i="11" s="1"/>
  <c r="V419" i="11"/>
  <c r="B419" i="11"/>
  <c r="A419" i="11" s="1"/>
  <c r="V294" i="11"/>
  <c r="B294" i="11"/>
  <c r="A294" i="11" s="1"/>
  <c r="V197" i="11"/>
  <c r="B197" i="11"/>
  <c r="A197" i="11" s="1"/>
  <c r="V374" i="11"/>
  <c r="B374" i="11"/>
  <c r="A374" i="11" s="1"/>
  <c r="V482" i="11"/>
  <c r="B482" i="11"/>
  <c r="A482" i="11" s="1"/>
  <c r="V174" i="11"/>
  <c r="B174" i="11"/>
  <c r="A174" i="11" s="1"/>
  <c r="V10" i="11"/>
  <c r="B10" i="11"/>
  <c r="A10" i="11" s="1"/>
  <c r="V74" i="11"/>
  <c r="B74" i="11"/>
  <c r="A74" i="11" s="1"/>
  <c r="B532" i="11"/>
  <c r="A532" i="11" s="1"/>
  <c r="V261" i="11"/>
  <c r="B261" i="11"/>
  <c r="A261" i="11" s="1"/>
  <c r="V82" i="11"/>
  <c r="B82" i="11"/>
  <c r="A82" i="11" s="1"/>
  <c r="V143" i="11"/>
  <c r="B143" i="11"/>
  <c r="A143" i="11" s="1"/>
  <c r="V450" i="11"/>
  <c r="B450" i="11"/>
  <c r="A450" i="11" s="1"/>
  <c r="V111" i="11"/>
  <c r="B111" i="11"/>
  <c r="A111" i="11" s="1"/>
  <c r="V406" i="11"/>
  <c r="B406" i="11"/>
  <c r="A406" i="11" s="1"/>
  <c r="V238" i="11"/>
  <c r="B238" i="11"/>
  <c r="A238" i="11" s="1"/>
  <c r="V95" i="11"/>
  <c r="B95" i="11"/>
  <c r="A95" i="11" s="1"/>
  <c r="B166" i="11"/>
  <c r="A166" i="11" s="1"/>
  <c r="V166" i="11"/>
  <c r="V152" i="11"/>
  <c r="B152" i="11"/>
  <c r="A152" i="11" s="1"/>
  <c r="V272" i="11"/>
  <c r="B272" i="11"/>
  <c r="A272" i="11" s="1"/>
  <c r="V131" i="11"/>
  <c r="B131" i="11"/>
  <c r="A131" i="11" s="1"/>
  <c r="V364" i="11"/>
  <c r="B364" i="11"/>
  <c r="A364" i="11" s="1"/>
  <c r="V18" i="11"/>
  <c r="B18" i="11"/>
  <c r="A18" i="11" s="1"/>
  <c r="W18" i="11" s="1"/>
  <c r="V365" i="11"/>
  <c r="B365" i="11"/>
  <c r="A365" i="11" s="1"/>
  <c r="V285" i="11"/>
  <c r="B285" i="11"/>
  <c r="A285" i="11" s="1"/>
  <c r="V349" i="11"/>
  <c r="B349" i="11"/>
  <c r="A349" i="11" s="1"/>
  <c r="V107" i="11"/>
  <c r="B107" i="11"/>
  <c r="A107" i="11" s="1"/>
  <c r="V373" i="11"/>
  <c r="B373" i="11"/>
  <c r="A373" i="11" s="1"/>
  <c r="V173" i="11"/>
  <c r="B173" i="11"/>
  <c r="A173" i="11" s="1"/>
  <c r="V498" i="11"/>
  <c r="B498" i="11"/>
  <c r="A498" i="11" s="1"/>
  <c r="V230" i="11"/>
  <c r="B230" i="11"/>
  <c r="A230" i="11" s="1"/>
  <c r="V372" i="11"/>
  <c r="B372" i="11"/>
  <c r="A372" i="11" s="1"/>
  <c r="V371" i="11"/>
  <c r="B371" i="11"/>
  <c r="A371" i="11" s="1"/>
  <c r="V477" i="11"/>
  <c r="B477" i="11"/>
  <c r="A477" i="11" s="1"/>
  <c r="V343" i="11"/>
  <c r="B343" i="11"/>
  <c r="A343" i="11" s="1"/>
  <c r="V146" i="11"/>
  <c r="B146" i="11"/>
  <c r="A146" i="11" s="1"/>
  <c r="V47" i="11"/>
  <c r="B47" i="11"/>
  <c r="A47" i="11" s="1"/>
  <c r="V254" i="11"/>
  <c r="B254" i="11"/>
  <c r="A254" i="11" s="1"/>
  <c r="V35" i="11"/>
  <c r="B35" i="11"/>
  <c r="A35" i="11" s="1"/>
  <c r="V150" i="11"/>
  <c r="B150" i="11"/>
  <c r="A150" i="11" s="1"/>
  <c r="V402" i="11"/>
  <c r="B402" i="11"/>
  <c r="A402" i="11" s="1"/>
  <c r="V405" i="11"/>
  <c r="B405" i="11"/>
  <c r="A405" i="11" s="1"/>
  <c r="V390" i="11"/>
  <c r="B390" i="11"/>
  <c r="A390" i="11" s="1"/>
  <c r="V252" i="11"/>
  <c r="B252" i="11"/>
  <c r="A252" i="11" s="1"/>
  <c r="V108" i="11"/>
  <c r="B108" i="11"/>
  <c r="A108" i="11" s="1"/>
  <c r="V309" i="11"/>
  <c r="B309" i="11"/>
  <c r="A309" i="11" s="1"/>
  <c r="V367" i="11"/>
  <c r="B367" i="11"/>
  <c r="A367" i="11" s="1"/>
  <c r="V141" i="11"/>
  <c r="B141" i="11"/>
  <c r="A141" i="11" s="1"/>
  <c r="V235" i="11"/>
  <c r="B235" i="11"/>
  <c r="A235" i="11" s="1"/>
  <c r="V312" i="11"/>
  <c r="B312" i="11"/>
  <c r="A312" i="11" s="1"/>
  <c r="V512" i="11"/>
  <c r="B512" i="11"/>
  <c r="A512" i="11" s="1"/>
  <c r="V51" i="11"/>
  <c r="B51" i="11"/>
  <c r="A51" i="11" s="1"/>
  <c r="V33" i="11"/>
  <c r="B33" i="11"/>
  <c r="A33" i="11" s="1"/>
  <c r="V93" i="11"/>
  <c r="B93" i="11"/>
  <c r="A93" i="11" s="1"/>
  <c r="V288" i="11"/>
  <c r="B288" i="11"/>
  <c r="A288" i="11" s="1"/>
  <c r="V501" i="11"/>
  <c r="B501" i="11"/>
  <c r="A501" i="11" s="1"/>
  <c r="V112" i="11"/>
  <c r="B112" i="11"/>
  <c r="A112" i="11" s="1"/>
  <c r="V186" i="11"/>
  <c r="B186" i="11"/>
  <c r="A186" i="11" s="1"/>
  <c r="V32" i="11"/>
  <c r="B32" i="11"/>
  <c r="A32" i="11" s="1"/>
  <c r="V275" i="11"/>
  <c r="B275" i="11"/>
  <c r="A275" i="11" s="1"/>
  <c r="V480" i="11"/>
  <c r="B480" i="11"/>
  <c r="A480" i="11" s="1"/>
  <c r="V376" i="11"/>
  <c r="B376" i="11"/>
  <c r="A376" i="11" s="1"/>
  <c r="V442" i="11"/>
  <c r="B442" i="11"/>
  <c r="A442" i="11" s="1"/>
  <c r="V96" i="11"/>
  <c r="B96" i="11"/>
  <c r="A96" i="11" s="1"/>
  <c r="V198" i="11"/>
  <c r="B198" i="11"/>
  <c r="A198" i="11" s="1"/>
  <c r="V324" i="11"/>
  <c r="B324" i="11"/>
  <c r="A324" i="11" s="1"/>
  <c r="V214" i="11"/>
  <c r="B214" i="11"/>
  <c r="A214" i="11" s="1"/>
  <c r="V451" i="11"/>
  <c r="B451" i="11"/>
  <c r="A451" i="11" s="1"/>
  <c r="V206" i="11"/>
  <c r="B206" i="11"/>
  <c r="A206" i="11" s="1"/>
  <c r="V531" i="11"/>
  <c r="B531" i="11"/>
  <c r="A531" i="11" s="1"/>
  <c r="V291" i="11"/>
  <c r="B291" i="11"/>
  <c r="A291" i="11" s="1"/>
  <c r="V207" i="11"/>
  <c r="B207" i="11"/>
  <c r="A207" i="11" s="1"/>
  <c r="V248" i="11"/>
  <c r="B248" i="11"/>
  <c r="A248" i="11" s="1"/>
  <c r="V241" i="11"/>
  <c r="B241" i="11"/>
  <c r="A241" i="11" s="1"/>
  <c r="V530" i="11"/>
  <c r="B530" i="11"/>
  <c r="A530" i="11" s="1"/>
  <c r="V234" i="11"/>
  <c r="B234" i="11"/>
  <c r="A234" i="11" s="1"/>
  <c r="V485" i="11"/>
  <c r="B485" i="11"/>
  <c r="A485" i="11" s="1"/>
  <c r="V361" i="11"/>
  <c r="B361" i="11"/>
  <c r="A361" i="11" s="1"/>
  <c r="V13" i="11"/>
  <c r="B13" i="11"/>
  <c r="A13" i="11" s="1"/>
  <c r="V274" i="11"/>
  <c r="B274" i="11"/>
  <c r="A274" i="11" s="1"/>
  <c r="V251" i="11"/>
  <c r="B251" i="11"/>
  <c r="A251" i="11" s="1"/>
  <c r="V38" i="11"/>
  <c r="B38" i="11"/>
  <c r="A38" i="11" s="1"/>
  <c r="V78" i="11"/>
  <c r="B78" i="11"/>
  <c r="A78" i="11" s="1"/>
  <c r="V387" i="11"/>
  <c r="B387" i="11"/>
  <c r="A387" i="11" s="1"/>
  <c r="V165" i="11"/>
  <c r="B165" i="11"/>
  <c r="A165" i="11" s="1"/>
  <c r="V316" i="11"/>
  <c r="B316" i="11"/>
  <c r="A316" i="11" s="1"/>
  <c r="V443" i="11"/>
  <c r="B443" i="11"/>
  <c r="A443" i="11" s="1"/>
  <c r="V448" i="11"/>
  <c r="B448" i="11"/>
  <c r="A448" i="11" s="1"/>
  <c r="V128" i="11"/>
  <c r="B128" i="11"/>
  <c r="A128" i="11" s="1"/>
  <c r="V175" i="11"/>
  <c r="B175" i="11"/>
  <c r="A175" i="11" s="1"/>
  <c r="V225" i="11"/>
  <c r="B225" i="11"/>
  <c r="A225" i="11" s="1"/>
  <c r="V258" i="11"/>
  <c r="B258" i="11"/>
  <c r="A258" i="11" s="1"/>
  <c r="V237" i="11"/>
  <c r="B237" i="11"/>
  <c r="A237" i="11" s="1"/>
  <c r="V149" i="11"/>
  <c r="B149" i="11"/>
  <c r="A149" i="11" s="1"/>
  <c r="V440" i="11"/>
  <c r="B440" i="11"/>
  <c r="A440" i="11" s="1"/>
  <c r="V98" i="11"/>
  <c r="B98" i="11"/>
  <c r="A98" i="11" s="1"/>
  <c r="V423" i="11"/>
  <c r="B423" i="11"/>
  <c r="A423" i="11" s="1"/>
  <c r="V404" i="11"/>
  <c r="B404" i="11"/>
  <c r="A404" i="11" s="1"/>
  <c r="V286" i="11"/>
  <c r="B286" i="11"/>
  <c r="A286" i="11" s="1"/>
  <c r="V79" i="11"/>
  <c r="B79" i="11"/>
  <c r="A79" i="11" s="1"/>
  <c r="V362" i="11"/>
  <c r="B362" i="11"/>
  <c r="A362" i="11" s="1"/>
  <c r="V231" i="11"/>
  <c r="B231" i="11"/>
  <c r="A231" i="11" s="1"/>
  <c r="V341" i="11"/>
  <c r="B341" i="11"/>
  <c r="A341" i="11" s="1"/>
  <c r="V205" i="11"/>
  <c r="B205" i="11"/>
  <c r="A205" i="11" s="1"/>
  <c r="V91" i="11"/>
  <c r="B91" i="11"/>
  <c r="A91" i="11" s="1"/>
  <c r="V535" i="11"/>
  <c r="B535" i="11"/>
  <c r="A535" i="11" s="1"/>
  <c r="V172" i="11"/>
  <c r="B172" i="11"/>
  <c r="A172" i="11" s="1"/>
  <c r="V408" i="11"/>
  <c r="B408" i="11"/>
  <c r="A408" i="11" s="1"/>
  <c r="V536" i="11"/>
  <c r="B536" i="11"/>
  <c r="A536" i="11" s="1"/>
  <c r="V328" i="11"/>
  <c r="B328" i="11"/>
  <c r="A328" i="11" s="1"/>
  <c r="V169" i="11"/>
  <c r="B169" i="11"/>
  <c r="A169" i="11" s="1"/>
  <c r="V201" i="11"/>
  <c r="B201" i="11"/>
  <c r="A201" i="11" s="1"/>
  <c r="V256" i="11"/>
  <c r="B256" i="11"/>
  <c r="A256" i="11" s="1"/>
  <c r="V147" i="11"/>
  <c r="B147" i="11"/>
  <c r="A147" i="11" s="1"/>
  <c r="V493" i="11"/>
  <c r="B493" i="11"/>
  <c r="A493" i="11" s="1"/>
  <c r="V424" i="11"/>
  <c r="B424" i="11"/>
  <c r="A424" i="11" s="1"/>
  <c r="V29" i="11"/>
  <c r="B29" i="11"/>
  <c r="A29" i="11" s="1"/>
  <c r="V287" i="11"/>
  <c r="B287" i="11"/>
  <c r="A287" i="11" s="1"/>
  <c r="V31" i="11"/>
  <c r="B31" i="11"/>
  <c r="A31" i="11" s="1"/>
  <c r="V221" i="11"/>
  <c r="B221" i="11"/>
  <c r="A221" i="11" s="1"/>
  <c r="V36" i="11"/>
  <c r="B36" i="11"/>
  <c r="A36" i="11" s="1"/>
  <c r="V315" i="11"/>
  <c r="B315" i="11"/>
  <c r="A315" i="11" s="1"/>
  <c r="V273" i="11"/>
  <c r="B273" i="11"/>
  <c r="A273" i="11" s="1"/>
  <c r="V332" i="11"/>
  <c r="B332" i="11"/>
  <c r="A332" i="11" s="1"/>
  <c r="V392" i="11"/>
  <c r="B392" i="11"/>
  <c r="A392" i="11" s="1"/>
  <c r="V80" i="11"/>
  <c r="B80" i="11"/>
  <c r="A80" i="11" s="1"/>
  <c r="V276" i="11"/>
  <c r="B276" i="11"/>
  <c r="A276" i="11" s="1"/>
  <c r="V53" i="11"/>
  <c r="B53" i="11"/>
  <c r="A53" i="11" s="1"/>
  <c r="V92" i="11"/>
  <c r="B92" i="11"/>
  <c r="A92" i="11" s="1"/>
  <c r="V479" i="11"/>
  <c r="B479" i="11"/>
  <c r="A479" i="11" s="1"/>
  <c r="V15" i="11"/>
  <c r="B15" i="11"/>
  <c r="A15" i="11" s="1"/>
  <c r="V67" i="11"/>
  <c r="B67" i="11"/>
  <c r="A67" i="11" s="1"/>
  <c r="V219" i="11"/>
  <c r="B219" i="11"/>
  <c r="A219" i="11" s="1"/>
  <c r="V492" i="11"/>
  <c r="B492" i="11"/>
  <c r="A492" i="11" s="1"/>
  <c r="V508" i="11"/>
  <c r="B508" i="11"/>
  <c r="A508" i="11" s="1"/>
  <c r="V422" i="11"/>
  <c r="B422" i="11"/>
  <c r="A422" i="11" s="1"/>
  <c r="V270" i="11"/>
  <c r="B270" i="11"/>
  <c r="A270" i="11" s="1"/>
  <c r="V222" i="11"/>
  <c r="B222" i="11"/>
  <c r="A222" i="11" s="1"/>
  <c r="V308" i="11"/>
  <c r="B308" i="11"/>
  <c r="A308" i="11" s="1"/>
  <c r="V369" i="11"/>
  <c r="B369" i="11"/>
  <c r="A369" i="11" s="1"/>
  <c r="V46" i="11"/>
  <c r="B46" i="11"/>
  <c r="A46" i="11" s="1"/>
  <c r="V268" i="11"/>
  <c r="B268" i="11"/>
  <c r="A268" i="11" s="1"/>
  <c r="V48" i="11"/>
  <c r="B48" i="11"/>
  <c r="A48" i="11" s="1"/>
  <c r="V290" i="11"/>
  <c r="B290" i="11"/>
  <c r="A290" i="11" s="1"/>
  <c r="V260" i="11"/>
  <c r="B260" i="11"/>
  <c r="A260" i="11" s="1"/>
  <c r="V12" i="11"/>
  <c r="B12" i="11"/>
  <c r="A12" i="11" s="1"/>
  <c r="V331" i="11"/>
  <c r="B331" i="11"/>
  <c r="A331" i="11" s="1"/>
  <c r="V412" i="11"/>
  <c r="B412" i="11"/>
  <c r="A412" i="11" s="1"/>
  <c r="V140" i="11"/>
  <c r="B140" i="11"/>
  <c r="A140" i="11" s="1"/>
  <c r="V200" i="11"/>
  <c r="B200" i="11"/>
  <c r="A200" i="11" s="1"/>
  <c r="V105" i="11"/>
  <c r="B105" i="11"/>
  <c r="A105" i="11" s="1"/>
  <c r="V262" i="11"/>
  <c r="B262" i="11"/>
  <c r="A262" i="11" s="1"/>
  <c r="V438" i="11"/>
  <c r="B438" i="11"/>
  <c r="A438" i="11" s="1"/>
  <c r="V106" i="11"/>
  <c r="B106" i="11"/>
  <c r="A106" i="11" s="1"/>
  <c r="V34" i="11"/>
  <c r="B34" i="11"/>
  <c r="A34" i="11" s="1"/>
  <c r="V110" i="11"/>
  <c r="B110" i="11"/>
  <c r="A110" i="11" s="1"/>
  <c r="V122" i="11"/>
  <c r="B122" i="11"/>
  <c r="A122" i="11" s="1"/>
  <c r="V76" i="11"/>
  <c r="B76" i="11"/>
  <c r="A76" i="11" s="1"/>
  <c r="V240" i="11"/>
  <c r="B240" i="11"/>
  <c r="A240" i="11" s="1"/>
  <c r="V125" i="11"/>
  <c r="B125" i="11"/>
  <c r="A125" i="11" s="1"/>
  <c r="V66" i="11"/>
  <c r="B66" i="11"/>
  <c r="A66" i="11" s="1"/>
  <c r="V295" i="11"/>
  <c r="B295" i="11"/>
  <c r="A295" i="11" s="1"/>
  <c r="V37" i="11"/>
  <c r="B37" i="11"/>
  <c r="A37" i="11" s="1"/>
  <c r="V327" i="11"/>
  <c r="B327" i="11"/>
  <c r="A327" i="11" s="1"/>
  <c r="V329" i="11"/>
  <c r="B329" i="11"/>
  <c r="A329" i="11" s="1"/>
  <c r="V52" i="11"/>
  <c r="B52" i="11"/>
  <c r="A52" i="11" s="1"/>
  <c r="V527" i="11"/>
  <c r="B527" i="11"/>
  <c r="A527" i="11" s="1"/>
  <c r="V346" i="11"/>
  <c r="B346" i="11"/>
  <c r="A346" i="11" s="1"/>
  <c r="V351" i="11"/>
  <c r="B351" i="11"/>
  <c r="A351" i="11" s="1"/>
  <c r="V145" i="11"/>
  <c r="B145" i="11"/>
  <c r="A145" i="11" s="1"/>
  <c r="V151" i="11"/>
  <c r="B151" i="11"/>
  <c r="A151" i="11" s="1"/>
  <c r="V478" i="11"/>
  <c r="B478" i="11"/>
  <c r="A478" i="11" s="1"/>
  <c r="V499" i="11"/>
  <c r="B499" i="11"/>
  <c r="A499" i="11" s="1"/>
  <c r="V89" i="11"/>
  <c r="B89" i="11"/>
  <c r="A89" i="11" s="1"/>
  <c r="V216" i="11"/>
  <c r="B216" i="11"/>
  <c r="A216" i="11" s="1"/>
  <c r="V271" i="11"/>
  <c r="B271" i="11"/>
  <c r="A271" i="11" s="1"/>
  <c r="V130" i="11"/>
  <c r="B130" i="11"/>
  <c r="A130" i="11" s="1"/>
  <c r="V426" i="11"/>
  <c r="B426" i="11"/>
  <c r="A426" i="11" s="1"/>
  <c r="V411" i="11"/>
  <c r="B411" i="11"/>
  <c r="A411" i="11" s="1"/>
  <c r="V391" i="11"/>
  <c r="B391" i="11"/>
  <c r="A391" i="11" s="1"/>
  <c r="V188" i="11"/>
  <c r="B188" i="11"/>
  <c r="A188" i="11" s="1"/>
  <c r="V144" i="11"/>
  <c r="B144" i="11"/>
  <c r="A144" i="11" s="1"/>
  <c r="V528" i="11"/>
  <c r="B528" i="11"/>
  <c r="A528" i="11" s="1"/>
  <c r="V224" i="11"/>
  <c r="B224" i="11"/>
  <c r="A224" i="11" s="1"/>
  <c r="V215" i="11"/>
  <c r="B215" i="11"/>
  <c r="A215" i="11" s="1"/>
  <c r="V164" i="11"/>
  <c r="B164" i="11"/>
  <c r="A164" i="11" s="1"/>
  <c r="V386" i="11"/>
  <c r="B386" i="11"/>
  <c r="A386" i="11" s="1"/>
  <c r="V500" i="11"/>
  <c r="B500" i="11"/>
  <c r="A500" i="11" s="1"/>
  <c r="V236" i="11"/>
  <c r="B236" i="11"/>
  <c r="A236" i="11" s="1"/>
  <c r="V311" i="11"/>
  <c r="B311" i="11"/>
  <c r="A311" i="11" s="1"/>
  <c r="V447" i="11"/>
  <c r="B447" i="11"/>
  <c r="A447" i="11" s="1"/>
  <c r="V255" i="11"/>
  <c r="B255" i="11"/>
  <c r="A255" i="11" s="1"/>
  <c r="V368" i="11"/>
  <c r="B368" i="11"/>
  <c r="A368" i="11" s="1"/>
  <c r="V359" i="11"/>
  <c r="B359" i="11"/>
  <c r="A359" i="11" s="1"/>
  <c r="V139" i="11"/>
  <c r="B139" i="11"/>
  <c r="A139" i="11" s="1"/>
  <c r="V345" i="11"/>
  <c r="B345" i="11"/>
  <c r="A345" i="11" s="1"/>
  <c r="V129" i="11"/>
  <c r="B129" i="11"/>
  <c r="A129" i="11" s="1"/>
  <c r="V519" i="11"/>
  <c r="B519" i="11"/>
  <c r="A519" i="11" s="1"/>
  <c r="V323" i="11"/>
  <c r="B323" i="11"/>
  <c r="A323" i="11" s="1"/>
  <c r="V393" i="11"/>
  <c r="B393" i="11"/>
  <c r="A393" i="11" s="1"/>
  <c r="V385" i="11"/>
  <c r="B385" i="11"/>
  <c r="A385" i="11" s="1"/>
  <c r="V495" i="11"/>
  <c r="B495" i="11"/>
  <c r="A495" i="11" s="1"/>
  <c r="V363" i="11"/>
  <c r="B363" i="11"/>
  <c r="A363" i="11" s="1"/>
  <c r="V403" i="11"/>
  <c r="B403" i="11"/>
  <c r="A403" i="11" s="1"/>
  <c r="V170" i="11"/>
  <c r="B170" i="11"/>
  <c r="A170" i="11" s="1"/>
  <c r="V83" i="11"/>
  <c r="B83" i="11"/>
  <c r="A83" i="11" s="1"/>
  <c r="V121" i="11"/>
  <c r="B121" i="11"/>
  <c r="A121" i="11" s="1"/>
  <c r="V515" i="11"/>
  <c r="B515" i="11"/>
  <c r="A515" i="11" s="1"/>
  <c r="V333" i="11"/>
  <c r="B333" i="11"/>
  <c r="A333" i="11" s="1"/>
  <c r="V394" i="11"/>
  <c r="B394" i="11"/>
  <c r="A394" i="11" s="1"/>
  <c r="V239" i="11"/>
  <c r="B239" i="11"/>
  <c r="A239" i="11" s="1"/>
  <c r="V350" i="11"/>
  <c r="B350" i="11"/>
  <c r="A350" i="11" s="1"/>
  <c r="V384" i="11"/>
  <c r="B384" i="11"/>
  <c r="A384" i="11" s="1"/>
  <c r="V123" i="11"/>
  <c r="B123" i="11"/>
  <c r="A123" i="11" s="1"/>
  <c r="V233" i="11"/>
  <c r="B233" i="11"/>
  <c r="A233" i="11" s="1"/>
  <c r="V517" i="11"/>
  <c r="B517" i="11"/>
  <c r="A517" i="11" s="1"/>
  <c r="V377" i="11"/>
  <c r="B377" i="11"/>
  <c r="A377" i="11" s="1"/>
  <c r="V204" i="11"/>
  <c r="B204" i="11"/>
  <c r="A204" i="11" s="1"/>
  <c r="V511" i="11"/>
  <c r="B511" i="11"/>
  <c r="A511" i="11" s="1"/>
  <c r="V388" i="11"/>
  <c r="B388" i="11"/>
  <c r="A388" i="11" s="1"/>
  <c r="V203" i="11"/>
  <c r="B203" i="11"/>
  <c r="A203" i="11" s="1"/>
  <c r="B529" i="11"/>
  <c r="A529" i="11" s="1"/>
  <c r="V416" i="11"/>
  <c r="B416" i="11"/>
  <c r="A416" i="11" s="1"/>
  <c r="V514" i="11"/>
  <c r="B514" i="11"/>
  <c r="A514" i="11" s="1"/>
  <c r="V292" i="11"/>
  <c r="B292" i="11"/>
  <c r="A292" i="11" s="1"/>
  <c r="V326" i="11"/>
  <c r="B326" i="11"/>
  <c r="A326" i="11" s="1"/>
  <c r="V484" i="11"/>
  <c r="B484" i="11"/>
  <c r="A484" i="11" s="1"/>
  <c r="V293" i="11"/>
  <c r="B293" i="11"/>
  <c r="A293" i="11" s="1"/>
  <c r="V269" i="11"/>
  <c r="B269" i="11"/>
  <c r="A269" i="11" s="1"/>
  <c r="V518" i="11"/>
  <c r="B518" i="11"/>
  <c r="A518" i="11" s="1"/>
  <c r="V16" i="11"/>
  <c r="B16" i="11"/>
  <c r="A16" i="11" s="1"/>
  <c r="V94" i="11"/>
  <c r="B94" i="11"/>
  <c r="A94" i="11" s="1"/>
  <c r="V90" i="11"/>
  <c r="B90" i="11"/>
  <c r="A90" i="11" s="1"/>
  <c r="V449" i="11"/>
  <c r="B449" i="11"/>
  <c r="A449" i="11" s="1"/>
  <c r="V310" i="11"/>
  <c r="B310" i="11"/>
  <c r="A310" i="11" s="1"/>
  <c r="V418" i="11"/>
  <c r="B418" i="11"/>
  <c r="A418" i="11" s="1"/>
  <c r="V14" i="11"/>
  <c r="B14" i="11"/>
  <c r="A14" i="11" s="1"/>
  <c r="V476" i="11"/>
  <c r="B476" i="11"/>
  <c r="A476" i="11" s="1"/>
  <c r="V104" i="11"/>
  <c r="B104" i="11"/>
  <c r="A104" i="11" s="1"/>
  <c r="V340" i="11"/>
  <c r="B340" i="11"/>
  <c r="A340" i="11" s="1"/>
  <c r="V50" i="11"/>
  <c r="B50" i="11"/>
  <c r="A50" i="11" s="1"/>
  <c r="V497" i="11"/>
  <c r="B497" i="11"/>
  <c r="A497" i="11" s="1"/>
  <c r="V360" i="11"/>
  <c r="B360" i="11"/>
  <c r="A360" i="11" s="1"/>
  <c r="V534" i="11"/>
  <c r="B534" i="11"/>
  <c r="A534" i="11" s="1"/>
  <c r="V127" i="11"/>
  <c r="B127" i="11"/>
  <c r="A127" i="11" s="1"/>
  <c r="V187" i="11"/>
  <c r="B187" i="11"/>
  <c r="A187" i="11" s="1"/>
  <c r="V513" i="11"/>
  <c r="B513" i="11"/>
  <c r="A513" i="11" s="1"/>
  <c r="V263" i="11"/>
  <c r="B263" i="11"/>
  <c r="A263" i="11" s="1"/>
  <c r="W263" i="11" s="1"/>
  <c r="V176" i="11"/>
  <c r="B176" i="11"/>
  <c r="A176" i="11" s="1"/>
  <c r="V425" i="11"/>
  <c r="B425" i="11"/>
  <c r="A425" i="11" s="1"/>
  <c r="V509" i="11"/>
  <c r="B509" i="11"/>
  <c r="A509" i="11" s="1"/>
  <c r="V347" i="11"/>
  <c r="B347" i="11"/>
  <c r="A347" i="11" s="1"/>
  <c r="V148" i="11"/>
  <c r="B148" i="11"/>
  <c r="A148" i="11" s="1"/>
  <c r="V232" i="11"/>
  <c r="B232" i="11"/>
  <c r="A232" i="11" s="1"/>
  <c r="D2" i="19"/>
  <c r="F15" i="19" s="1"/>
  <c r="G15" i="19" s="1"/>
  <c r="D1" i="19"/>
  <c r="E1" i="19" s="1"/>
  <c r="D5" i="19"/>
  <c r="E5" i="19" s="1"/>
  <c r="D4" i="19"/>
  <c r="E4" i="19" s="1"/>
  <c r="D3" i="19"/>
  <c r="E3" i="19" s="1"/>
  <c r="O5" i="13"/>
  <c r="O6" i="13"/>
  <c r="W521" i="11" l="1"/>
  <c r="Y464" i="11"/>
  <c r="Z464" i="11" s="1"/>
  <c r="Y461" i="11"/>
  <c r="Z461" i="11" s="1"/>
  <c r="Y463" i="11"/>
  <c r="Z463" i="11" s="1"/>
  <c r="Y462" i="11"/>
  <c r="Z462" i="11" s="1"/>
  <c r="W461" i="11"/>
  <c r="W464" i="11"/>
  <c r="W463" i="11"/>
  <c r="W462" i="11"/>
  <c r="Y227" i="11"/>
  <c r="X227" i="11"/>
  <c r="W227" i="11"/>
  <c r="Y228" i="11"/>
  <c r="X228" i="11"/>
  <c r="W228" i="11"/>
  <c r="X229" i="11"/>
  <c r="Y229" i="11"/>
  <c r="W229" i="11"/>
  <c r="Y431" i="11"/>
  <c r="X431" i="11"/>
  <c r="W431" i="11"/>
  <c r="Y430" i="11"/>
  <c r="X430" i="11"/>
  <c r="W430" i="11"/>
  <c r="Y432" i="11"/>
  <c r="X432" i="11"/>
  <c r="W432" i="11"/>
  <c r="Y413" i="11"/>
  <c r="X413" i="11"/>
  <c r="W413" i="11"/>
  <c r="Y414" i="11"/>
  <c r="X414" i="11"/>
  <c r="W414" i="11"/>
  <c r="Y415" i="11"/>
  <c r="X415" i="11"/>
  <c r="W415" i="11"/>
  <c r="Y399" i="11"/>
  <c r="X399" i="11"/>
  <c r="W399" i="11"/>
  <c r="Y398" i="11"/>
  <c r="X398" i="11"/>
  <c r="W398" i="11"/>
  <c r="Y400" i="11"/>
  <c r="X400" i="11"/>
  <c r="W400" i="11"/>
  <c r="Y86" i="11"/>
  <c r="X86" i="11"/>
  <c r="W86" i="11"/>
  <c r="Y88" i="11"/>
  <c r="Z88" i="11" s="1"/>
  <c r="X88" i="11"/>
  <c r="W88" i="11"/>
  <c r="Y87" i="11"/>
  <c r="X87" i="11"/>
  <c r="W87" i="11"/>
  <c r="Y265" i="11"/>
  <c r="Z265" i="11" s="1"/>
  <c r="X265" i="11"/>
  <c r="W265" i="11"/>
  <c r="Y266" i="11"/>
  <c r="X266" i="11"/>
  <c r="W266" i="11"/>
  <c r="Y264" i="11"/>
  <c r="X264" i="11"/>
  <c r="W264" i="11"/>
  <c r="Y195" i="11"/>
  <c r="Z195" i="11" s="1"/>
  <c r="X195" i="11"/>
  <c r="W195" i="11"/>
  <c r="X502" i="11"/>
  <c r="Y502" i="11"/>
  <c r="Z502" i="11" s="1"/>
  <c r="Y503" i="11"/>
  <c r="X503" i="11"/>
  <c r="W503" i="11"/>
  <c r="Y506" i="11"/>
  <c r="X506" i="11"/>
  <c r="W506" i="11"/>
  <c r="Y505" i="11"/>
  <c r="Z505" i="11" s="1"/>
  <c r="X505" i="11"/>
  <c r="W505" i="11"/>
  <c r="Y504" i="11"/>
  <c r="X504" i="11"/>
  <c r="W504" i="11"/>
  <c r="X507" i="11"/>
  <c r="Y507" i="11"/>
  <c r="W507" i="11"/>
  <c r="Y155" i="11"/>
  <c r="X155" i="11"/>
  <c r="W155" i="11"/>
  <c r="Y158" i="11"/>
  <c r="X158" i="11"/>
  <c r="W158" i="11"/>
  <c r="X156" i="11"/>
  <c r="Y156" i="11"/>
  <c r="Z156" i="11" s="1"/>
  <c r="W156" i="11"/>
  <c r="X154" i="11"/>
  <c r="Y154" i="11"/>
  <c r="Z154" i="11" s="1"/>
  <c r="W154" i="11"/>
  <c r="Y157" i="11"/>
  <c r="X157" i="11"/>
  <c r="W157" i="11"/>
  <c r="Y153" i="11"/>
  <c r="X153" i="11"/>
  <c r="W153" i="11"/>
  <c r="Y27" i="11"/>
  <c r="X27" i="11"/>
  <c r="W27" i="11"/>
  <c r="X23" i="11"/>
  <c r="Y23" i="11"/>
  <c r="Z23" i="11" s="1"/>
  <c r="W23" i="11"/>
  <c r="Y25" i="11"/>
  <c r="Z25" i="11" s="1"/>
  <c r="X25" i="11"/>
  <c r="W25" i="11"/>
  <c r="Y28" i="11"/>
  <c r="X28" i="11"/>
  <c r="W28" i="11"/>
  <c r="Y24" i="11"/>
  <c r="X24" i="11"/>
  <c r="W24" i="11"/>
  <c r="Y26" i="11"/>
  <c r="Z26" i="11" s="1"/>
  <c r="X26" i="11"/>
  <c r="W26" i="11"/>
  <c r="X247" i="11"/>
  <c r="Y247" i="11"/>
  <c r="W247" i="11"/>
  <c r="Y246" i="11"/>
  <c r="X246" i="11"/>
  <c r="W246" i="11"/>
  <c r="Y243" i="11"/>
  <c r="X243" i="11"/>
  <c r="W243" i="11"/>
  <c r="Y245" i="11"/>
  <c r="Z245" i="11" s="1"/>
  <c r="X245" i="11"/>
  <c r="W245" i="11"/>
  <c r="Y244" i="11"/>
  <c r="X244" i="11"/>
  <c r="W244" i="11"/>
  <c r="X242" i="11"/>
  <c r="Y242" i="11"/>
  <c r="Z242" i="11" s="1"/>
  <c r="W242" i="11"/>
  <c r="Y135" i="11"/>
  <c r="X135" i="11"/>
  <c r="W135" i="11"/>
  <c r="Y136" i="11"/>
  <c r="X136" i="11"/>
  <c r="W136" i="11"/>
  <c r="X138" i="11"/>
  <c r="Y138" i="11"/>
  <c r="W138" i="11"/>
  <c r="Y137" i="11"/>
  <c r="X137" i="11"/>
  <c r="W137" i="11"/>
  <c r="Y134" i="11"/>
  <c r="X134" i="11"/>
  <c r="W134" i="11"/>
  <c r="X133" i="11"/>
  <c r="Y133" i="11"/>
  <c r="Z133" i="11" s="1"/>
  <c r="W133" i="11"/>
  <c r="Y60" i="11"/>
  <c r="Z60" i="11" s="1"/>
  <c r="X60" i="11"/>
  <c r="W60" i="11"/>
  <c r="Y64" i="11"/>
  <c r="Z64" i="11" s="1"/>
  <c r="X64" i="11"/>
  <c r="W64" i="11"/>
  <c r="Y63" i="11"/>
  <c r="Z63" i="11" s="1"/>
  <c r="X63" i="11"/>
  <c r="W63" i="11"/>
  <c r="Y59" i="11"/>
  <c r="Z59" i="11" s="1"/>
  <c r="X59" i="11"/>
  <c r="W59" i="11"/>
  <c r="Y62" i="11"/>
  <c r="Z62" i="11" s="1"/>
  <c r="X62" i="11"/>
  <c r="W62" i="11"/>
  <c r="X61" i="11"/>
  <c r="Y61" i="11"/>
  <c r="Z61" i="11" s="1"/>
  <c r="W61" i="11"/>
  <c r="X163" i="11"/>
  <c r="Y163" i="11"/>
  <c r="Z163" i="11" s="1"/>
  <c r="X162" i="11"/>
  <c r="Y162" i="11"/>
  <c r="Z162" i="11" s="1"/>
  <c r="X160" i="11"/>
  <c r="Y160" i="11"/>
  <c r="Z160" i="11" s="1"/>
  <c r="X161" i="11"/>
  <c r="Y161" i="11"/>
  <c r="Z161" i="11" s="1"/>
  <c r="X58" i="11"/>
  <c r="Y58" i="11"/>
  <c r="Z58" i="11" s="1"/>
  <c r="Y57" i="11"/>
  <c r="Z57" i="11" s="1"/>
  <c r="X57" i="11"/>
  <c r="X212" i="11"/>
  <c r="Y212" i="11"/>
  <c r="Z212" i="11" s="1"/>
  <c r="X209" i="11"/>
  <c r="Y209" i="11"/>
  <c r="Z209" i="11" s="1"/>
  <c r="Y211" i="11"/>
  <c r="Z211" i="11" s="1"/>
  <c r="X211" i="11"/>
  <c r="Y210" i="11"/>
  <c r="Z210" i="11" s="1"/>
  <c r="X210" i="11"/>
  <c r="X213" i="11"/>
  <c r="Y213" i="11"/>
  <c r="Z213" i="11" s="1"/>
  <c r="Y428" i="11"/>
  <c r="Z428" i="11" s="1"/>
  <c r="X428" i="11"/>
  <c r="Y429" i="11"/>
  <c r="Z429" i="11" s="1"/>
  <c r="X429" i="11"/>
  <c r="X397" i="11"/>
  <c r="Y397" i="11"/>
  <c r="Z397" i="11" s="1"/>
  <c r="X396" i="11"/>
  <c r="Y396" i="11"/>
  <c r="Z396" i="11" s="1"/>
  <c r="W302" i="11"/>
  <c r="Y302" i="11"/>
  <c r="Z302" i="11" s="1"/>
  <c r="W303" i="11"/>
  <c r="Y303" i="11"/>
  <c r="Z303" i="11" s="1"/>
  <c r="W304" i="11"/>
  <c r="Y304" i="11"/>
  <c r="Z304" i="11" s="1"/>
  <c r="W305" i="11"/>
  <c r="Y305" i="11"/>
  <c r="Z305" i="11" s="1"/>
  <c r="W306" i="11"/>
  <c r="Y306" i="11"/>
  <c r="Z306" i="11" s="1"/>
  <c r="W307" i="11"/>
  <c r="Y307" i="11"/>
  <c r="Z307" i="11" s="1"/>
  <c r="Y21" i="11"/>
  <c r="Z21" i="11" s="1"/>
  <c r="X21" i="11"/>
  <c r="W21" i="11"/>
  <c r="Y22" i="11"/>
  <c r="X22" i="11"/>
  <c r="W22" i="11"/>
  <c r="Y119" i="11"/>
  <c r="X119" i="11"/>
  <c r="W119" i="11"/>
  <c r="Y118" i="11"/>
  <c r="X118" i="11"/>
  <c r="W118" i="11"/>
  <c r="Y117" i="11"/>
  <c r="X117" i="11"/>
  <c r="W117" i="11"/>
  <c r="Y116" i="11"/>
  <c r="X116" i="11"/>
  <c r="W116" i="11"/>
  <c r="X120" i="11"/>
  <c r="Y120" i="11"/>
  <c r="Z120" i="11" s="1"/>
  <c r="W120" i="11"/>
  <c r="Y101" i="11"/>
  <c r="X101" i="11"/>
  <c r="W101" i="11"/>
  <c r="Y102" i="11"/>
  <c r="X102" i="11"/>
  <c r="W102" i="11"/>
  <c r="Y100" i="11"/>
  <c r="Z100" i="11" s="1"/>
  <c r="X100" i="11"/>
  <c r="W100" i="11"/>
  <c r="X99" i="11"/>
  <c r="Y99" i="11"/>
  <c r="W99" i="11"/>
  <c r="X103" i="11"/>
  <c r="Y103" i="11"/>
  <c r="Z103" i="11" s="1"/>
  <c r="W103" i="11"/>
  <c r="Y456" i="11"/>
  <c r="X456" i="11"/>
  <c r="W456" i="11"/>
  <c r="Y454" i="11"/>
  <c r="X454" i="11"/>
  <c r="W454" i="11"/>
  <c r="Y453" i="11"/>
  <c r="X453" i="11"/>
  <c r="W453" i="11"/>
  <c r="Y455" i="11"/>
  <c r="X455" i="11"/>
  <c r="W455" i="11"/>
  <c r="Y457" i="11"/>
  <c r="X457" i="11"/>
  <c r="W457" i="11"/>
  <c r="W160" i="11"/>
  <c r="W163" i="11"/>
  <c r="W162" i="11"/>
  <c r="Y159" i="11"/>
  <c r="Z159" i="11" s="1"/>
  <c r="X159" i="11"/>
  <c r="W159" i="11"/>
  <c r="W161" i="11"/>
  <c r="Y41" i="11"/>
  <c r="Z41" i="11" s="1"/>
  <c r="X41" i="11"/>
  <c r="W41" i="11"/>
  <c r="Y44" i="11"/>
  <c r="X44" i="11"/>
  <c r="W44" i="11"/>
  <c r="Y43" i="11"/>
  <c r="X43" i="11"/>
  <c r="W43" i="11"/>
  <c r="Y42" i="11"/>
  <c r="Z42" i="11" s="1"/>
  <c r="X42" i="11"/>
  <c r="W42" i="11"/>
  <c r="Y45" i="11"/>
  <c r="X45" i="11"/>
  <c r="W45" i="11"/>
  <c r="X488" i="11"/>
  <c r="Y488" i="11"/>
  <c r="W488" i="11"/>
  <c r="Y490" i="11"/>
  <c r="Z490" i="11" s="1"/>
  <c r="X490" i="11"/>
  <c r="W490" i="11"/>
  <c r="Y489" i="11"/>
  <c r="Z489" i="11" s="1"/>
  <c r="X489" i="11"/>
  <c r="W489" i="11"/>
  <c r="Y491" i="11"/>
  <c r="X491" i="11"/>
  <c r="W491" i="11"/>
  <c r="X487" i="11"/>
  <c r="Y487" i="11"/>
  <c r="W487" i="11"/>
  <c r="AW356" i="11"/>
  <c r="Y353" i="11"/>
  <c r="Z353" i="11" s="1"/>
  <c r="X353" i="11"/>
  <c r="W353" i="11"/>
  <c r="Y354" i="11"/>
  <c r="X354" i="11"/>
  <c r="W354" i="11"/>
  <c r="X355" i="11"/>
  <c r="Y355" i="11"/>
  <c r="W355" i="11"/>
  <c r="Y352" i="11"/>
  <c r="Z352" i="11" s="1"/>
  <c r="X352" i="11"/>
  <c r="W352" i="11"/>
  <c r="Y85" i="11"/>
  <c r="X85" i="11"/>
  <c r="W85" i="11"/>
  <c r="X84" i="11"/>
  <c r="Y84" i="11"/>
  <c r="W84" i="11"/>
  <c r="W428" i="11"/>
  <c r="W429" i="11"/>
  <c r="Y427" i="11"/>
  <c r="Z427" i="11" s="1"/>
  <c r="X427" i="11"/>
  <c r="W427" i="11"/>
  <c r="W396" i="11"/>
  <c r="Y395" i="11"/>
  <c r="Z395" i="11" s="1"/>
  <c r="X395" i="11"/>
  <c r="W395" i="11"/>
  <c r="W397" i="11"/>
  <c r="Y181" i="11"/>
  <c r="X181" i="11"/>
  <c r="W181" i="11"/>
  <c r="Y182" i="11"/>
  <c r="X182" i="11"/>
  <c r="W182" i="11"/>
  <c r="Y180" i="11"/>
  <c r="X180" i="11"/>
  <c r="W180" i="11"/>
  <c r="Y178" i="11"/>
  <c r="X178" i="11"/>
  <c r="W178" i="11"/>
  <c r="Y179" i="11"/>
  <c r="X179" i="11"/>
  <c r="W179" i="11"/>
  <c r="X177" i="11"/>
  <c r="Y177" i="11"/>
  <c r="Z177" i="11" s="1"/>
  <c r="W177" i="11"/>
  <c r="X284" i="11"/>
  <c r="Y284" i="11"/>
  <c r="Z284" i="11" s="1"/>
  <c r="W284" i="11"/>
  <c r="Y279" i="11"/>
  <c r="Z279" i="11" s="1"/>
  <c r="X279" i="11"/>
  <c r="W279" i="11"/>
  <c r="X282" i="11"/>
  <c r="Y282" i="11"/>
  <c r="Z282" i="11" s="1"/>
  <c r="W282" i="11"/>
  <c r="X281" i="11"/>
  <c r="Y281" i="11"/>
  <c r="Z281" i="11" s="1"/>
  <c r="W281" i="11"/>
  <c r="X280" i="11"/>
  <c r="Y280" i="11"/>
  <c r="Z280" i="11" s="1"/>
  <c r="W280" i="11"/>
  <c r="X283" i="11"/>
  <c r="Y283" i="11"/>
  <c r="Z283" i="11" s="1"/>
  <c r="W283" i="11"/>
  <c r="Y208" i="11"/>
  <c r="Z208" i="11" s="1"/>
  <c r="X208" i="11"/>
  <c r="W208" i="11"/>
  <c r="W213" i="11"/>
  <c r="W209" i="11"/>
  <c r="W212" i="11"/>
  <c r="W211" i="11"/>
  <c r="W210" i="11"/>
  <c r="Y380" i="11"/>
  <c r="Z380" i="11" s="1"/>
  <c r="W380" i="11"/>
  <c r="Y381" i="11"/>
  <c r="Z381" i="11" s="1"/>
  <c r="W381" i="11"/>
  <c r="Y379" i="11"/>
  <c r="Z379" i="11" s="1"/>
  <c r="W379" i="11"/>
  <c r="Y378" i="11"/>
  <c r="Z378" i="11" s="1"/>
  <c r="X378" i="11"/>
  <c r="W378" i="11"/>
  <c r="Y383" i="11"/>
  <c r="Z383" i="11" s="1"/>
  <c r="W383" i="11"/>
  <c r="Y382" i="11"/>
  <c r="Z382" i="11" s="1"/>
  <c r="W382" i="11"/>
  <c r="Y334" i="11"/>
  <c r="Z334" i="11" s="1"/>
  <c r="X334" i="11"/>
  <c r="W334" i="11"/>
  <c r="Y339" i="11"/>
  <c r="Z339" i="11" s="1"/>
  <c r="X339" i="11"/>
  <c r="W339" i="11"/>
  <c r="X338" i="11"/>
  <c r="Y338" i="11"/>
  <c r="Z338" i="11" s="1"/>
  <c r="W338" i="11"/>
  <c r="X337" i="11"/>
  <c r="Y337" i="11"/>
  <c r="Z337" i="11" s="1"/>
  <c r="W337" i="11"/>
  <c r="X335" i="11"/>
  <c r="Y335" i="11"/>
  <c r="Z335" i="11" s="1"/>
  <c r="W335" i="11"/>
  <c r="X336" i="11"/>
  <c r="Y336" i="11"/>
  <c r="Z336" i="11" s="1"/>
  <c r="W336" i="11"/>
  <c r="Y301" i="11"/>
  <c r="W301" i="11"/>
  <c r="Y296" i="11"/>
  <c r="Z296" i="11" s="1"/>
  <c r="X296" i="11"/>
  <c r="W296" i="11"/>
  <c r="Y298" i="11"/>
  <c r="Z298" i="11" s="1"/>
  <c r="W298" i="11"/>
  <c r="Y300" i="11"/>
  <c r="W300" i="11"/>
  <c r="Y299" i="11"/>
  <c r="Z299" i="11" s="1"/>
  <c r="W299" i="11"/>
  <c r="Y297" i="11"/>
  <c r="Z297" i="11" s="1"/>
  <c r="W297" i="11"/>
  <c r="X318" i="11"/>
  <c r="Y318" i="11"/>
  <c r="Z318" i="11" s="1"/>
  <c r="W318" i="11"/>
  <c r="Y317" i="11"/>
  <c r="Z317" i="11" s="1"/>
  <c r="X317" i="11"/>
  <c r="W317" i="11"/>
  <c r="X322" i="11"/>
  <c r="Y322" i="11"/>
  <c r="Z322" i="11" s="1"/>
  <c r="W322" i="11"/>
  <c r="Y321" i="11"/>
  <c r="Z321" i="11" s="1"/>
  <c r="X321" i="11"/>
  <c r="W321" i="11"/>
  <c r="X320" i="11"/>
  <c r="Y320" i="11"/>
  <c r="Z320" i="11" s="1"/>
  <c r="W320" i="11"/>
  <c r="X319" i="11"/>
  <c r="Y319" i="11"/>
  <c r="Z319" i="11" s="1"/>
  <c r="W319" i="11"/>
  <c r="Y69" i="11"/>
  <c r="Z69" i="11" s="1"/>
  <c r="X69" i="11"/>
  <c r="W69" i="11"/>
  <c r="X73" i="11"/>
  <c r="Y73" i="11"/>
  <c r="Z73" i="11" s="1"/>
  <c r="W73" i="11"/>
  <c r="X72" i="11"/>
  <c r="Y72" i="11"/>
  <c r="Z72" i="11" s="1"/>
  <c r="W72" i="11"/>
  <c r="Y68" i="11"/>
  <c r="Z68" i="11" s="1"/>
  <c r="X68" i="11"/>
  <c r="W68" i="11"/>
  <c r="X71" i="11"/>
  <c r="Y71" i="11"/>
  <c r="Z71" i="11" s="1"/>
  <c r="W71" i="11"/>
  <c r="X70" i="11"/>
  <c r="Y70" i="11"/>
  <c r="Z70" i="11" s="1"/>
  <c r="W70" i="11"/>
  <c r="Y471" i="11"/>
  <c r="Z471" i="11" s="1"/>
  <c r="X471" i="11"/>
  <c r="W471" i="11"/>
  <c r="X468" i="11"/>
  <c r="Y468" i="11"/>
  <c r="Z468" i="11" s="1"/>
  <c r="W468" i="11"/>
  <c r="X467" i="11"/>
  <c r="Y467" i="11"/>
  <c r="Z467" i="11" s="1"/>
  <c r="W467" i="11"/>
  <c r="Y466" i="11"/>
  <c r="Z466" i="11" s="1"/>
  <c r="X466" i="11"/>
  <c r="W466" i="11"/>
  <c r="X473" i="11"/>
  <c r="Y473" i="11"/>
  <c r="Z473" i="11" s="1"/>
  <c r="W473" i="11"/>
  <c r="X470" i="11"/>
  <c r="Y470" i="11"/>
  <c r="Z470" i="11" s="1"/>
  <c r="W470" i="11"/>
  <c r="Y472" i="11"/>
  <c r="Z472" i="11" s="1"/>
  <c r="X472" i="11"/>
  <c r="W472" i="11"/>
  <c r="X469" i="11"/>
  <c r="Y469" i="11"/>
  <c r="Z469" i="11" s="1"/>
  <c r="W469" i="11"/>
  <c r="X474" i="11"/>
  <c r="Y474" i="11"/>
  <c r="Z474" i="11" s="1"/>
  <c r="W474" i="11"/>
  <c r="X55" i="11"/>
  <c r="Y55" i="11"/>
  <c r="Z55" i="11" s="1"/>
  <c r="W55" i="11"/>
  <c r="W58" i="11"/>
  <c r="Y54" i="11"/>
  <c r="X54" i="11"/>
  <c r="W54" i="11"/>
  <c r="W57" i="11"/>
  <c r="X56" i="11"/>
  <c r="Y56" i="11"/>
  <c r="Z56" i="11" s="1"/>
  <c r="W56" i="11"/>
  <c r="Y20" i="11"/>
  <c r="X20" i="11"/>
  <c r="W20" i="11"/>
  <c r="Y19" i="11"/>
  <c r="X19" i="11"/>
  <c r="W19" i="11"/>
  <c r="X18" i="11"/>
  <c r="Y18" i="11"/>
  <c r="Z18" i="11" s="1"/>
  <c r="Y189" i="11"/>
  <c r="Z189" i="11" s="1"/>
  <c r="X189" i="11"/>
  <c r="W189" i="11"/>
  <c r="X190" i="11"/>
  <c r="Y190" i="11"/>
  <c r="Z190" i="11" s="1"/>
  <c r="W190" i="11"/>
  <c r="X192" i="11"/>
  <c r="Y192" i="11"/>
  <c r="Z192" i="11" s="1"/>
  <c r="W192" i="11"/>
  <c r="X193" i="11"/>
  <c r="Y193" i="11"/>
  <c r="Z193" i="11" s="1"/>
  <c r="W193" i="11"/>
  <c r="X191" i="11"/>
  <c r="Y191" i="11"/>
  <c r="Z191" i="11" s="1"/>
  <c r="W191" i="11"/>
  <c r="Y277" i="11"/>
  <c r="Z277" i="11" s="1"/>
  <c r="X277" i="11"/>
  <c r="W277" i="11"/>
  <c r="X278" i="11"/>
  <c r="Y278" i="11"/>
  <c r="Z278" i="11" s="1"/>
  <c r="W278" i="11"/>
  <c r="Z249" i="11"/>
  <c r="Y113" i="11"/>
  <c r="X113" i="11"/>
  <c r="W113" i="11"/>
  <c r="X115" i="11"/>
  <c r="Y115" i="11"/>
  <c r="W115" i="11"/>
  <c r="X114" i="11"/>
  <c r="Y114" i="11"/>
  <c r="W114" i="11"/>
  <c r="Y526" i="11"/>
  <c r="BC526" i="11" s="1"/>
  <c r="Y528" i="11"/>
  <c r="BC528" i="11" s="1"/>
  <c r="Y419" i="11"/>
  <c r="BC419" i="11" s="1"/>
  <c r="Y452" i="11"/>
  <c r="Y385" i="11"/>
  <c r="BC385" i="11" s="1"/>
  <c r="Y409" i="11"/>
  <c r="Y384" i="11"/>
  <c r="BC384" i="11" s="1"/>
  <c r="Y358" i="11"/>
  <c r="Y417" i="11"/>
  <c r="BC417" i="11" s="1"/>
  <c r="Y421" i="11"/>
  <c r="BC421" i="11" s="1"/>
  <c r="Y375" i="11"/>
  <c r="Y484" i="11"/>
  <c r="Y314" i="11"/>
  <c r="Y174" i="11"/>
  <c r="Y139" i="11"/>
  <c r="BC139" i="11" s="1"/>
  <c r="Y236" i="11"/>
  <c r="Y130" i="11"/>
  <c r="Z130" i="11" s="1"/>
  <c r="Y151" i="11"/>
  <c r="Y253" i="11"/>
  <c r="BC253" i="11" s="1"/>
  <c r="Y218" i="11"/>
  <c r="BC218" i="11" s="1"/>
  <c r="Y127" i="11"/>
  <c r="Y294" i="11"/>
  <c r="Y329" i="11"/>
  <c r="BC329" i="11" s="1"/>
  <c r="Y240" i="11"/>
  <c r="Y412" i="11"/>
  <c r="Y268" i="11"/>
  <c r="BC268" i="11" s="1"/>
  <c r="Y422" i="11"/>
  <c r="BC422" i="11" s="1"/>
  <c r="Y479" i="11"/>
  <c r="BC479" i="11" s="1"/>
  <c r="Y332" i="11"/>
  <c r="Y287" i="11"/>
  <c r="BC287" i="11" s="1"/>
  <c r="Y201" i="11"/>
  <c r="BC201" i="11" s="1"/>
  <c r="Y535" i="11"/>
  <c r="Y482" i="11"/>
  <c r="Y325" i="11"/>
  <c r="BC325" i="11" s="1"/>
  <c r="Y217" i="11"/>
  <c r="BC217" i="11" s="1"/>
  <c r="Y171" i="11"/>
  <c r="BC171" i="11" s="1"/>
  <c r="Y142" i="11"/>
  <c r="BC142" i="11" s="1"/>
  <c r="Y77" i="11"/>
  <c r="BC77" i="11" s="1"/>
  <c r="Y446" i="11"/>
  <c r="BC446" i="11" s="1"/>
  <c r="Y202" i="11"/>
  <c r="BC202" i="11" s="1"/>
  <c r="Y259" i="11"/>
  <c r="Y220" i="11"/>
  <c r="Y439" i="11"/>
  <c r="BC439" i="11" s="1"/>
  <c r="Y313" i="11"/>
  <c r="Y90" i="11"/>
  <c r="BC90" i="11" s="1"/>
  <c r="Y106" i="11"/>
  <c r="BC106" i="11" s="1"/>
  <c r="Y104" i="11"/>
  <c r="BC104" i="11" s="1"/>
  <c r="Y17" i="11"/>
  <c r="Y97" i="11"/>
  <c r="Y121" i="11"/>
  <c r="BC121" i="11" s="1"/>
  <c r="Y374" i="11"/>
  <c r="Y65" i="11"/>
  <c r="Y401" i="11"/>
  <c r="BC401" i="11" s="1"/>
  <c r="Y30" i="11"/>
  <c r="BC30" i="11" s="1"/>
  <c r="Y10" i="11"/>
  <c r="BC10" i="11" s="1"/>
  <c r="Y197" i="11"/>
  <c r="BC197" i="11" s="1"/>
  <c r="Y49" i="11"/>
  <c r="Y81" i="11"/>
  <c r="Y496" i="11"/>
  <c r="Y267" i="11"/>
  <c r="BC267" i="11" s="1"/>
  <c r="Y75" i="11"/>
  <c r="BC75" i="11" s="1"/>
  <c r="Y74" i="11"/>
  <c r="BC74" i="11" s="1"/>
  <c r="Y66" i="11"/>
  <c r="Y67" i="11"/>
  <c r="Y204" i="11"/>
  <c r="Y350" i="11"/>
  <c r="Y83" i="11"/>
  <c r="Y393" i="11"/>
  <c r="Y359" i="11"/>
  <c r="Y500" i="11"/>
  <c r="Y144" i="11"/>
  <c r="BC144" i="11" s="1"/>
  <c r="Y271" i="11"/>
  <c r="BC271" i="11" s="1"/>
  <c r="Y145" i="11"/>
  <c r="BC145" i="11" s="1"/>
  <c r="Y327" i="11"/>
  <c r="BC327" i="11" s="1"/>
  <c r="Y76" i="11"/>
  <c r="BC76" i="11" s="1"/>
  <c r="Y438" i="11"/>
  <c r="BC438" i="11" s="1"/>
  <c r="Y331" i="11"/>
  <c r="Y46" i="11"/>
  <c r="BC46" i="11" s="1"/>
  <c r="Y92" i="11"/>
  <c r="BC92" i="11" s="1"/>
  <c r="Y273" i="11"/>
  <c r="Y29" i="11"/>
  <c r="BC29" i="11" s="1"/>
  <c r="Y169" i="11"/>
  <c r="BC169" i="11" s="1"/>
  <c r="Y91" i="11"/>
  <c r="BC91" i="11" s="1"/>
  <c r="Y79" i="11"/>
  <c r="Y149" i="11"/>
  <c r="Y448" i="11"/>
  <c r="Y38" i="11"/>
  <c r="Y234" i="11"/>
  <c r="BC234" i="11" s="1"/>
  <c r="Y291" i="11"/>
  <c r="BC291" i="11" s="1"/>
  <c r="Y168" i="11"/>
  <c r="BC168" i="11" s="1"/>
  <c r="Y394" i="11"/>
  <c r="Y403" i="11"/>
  <c r="BC403" i="11" s="1"/>
  <c r="Y255" i="11"/>
  <c r="BC255" i="11" s="1"/>
  <c r="Y164" i="11"/>
  <c r="BC164" i="11" s="1"/>
  <c r="Y391" i="11"/>
  <c r="Y89" i="11"/>
  <c r="BC89" i="11" s="1"/>
  <c r="Y346" i="11"/>
  <c r="BC346" i="11" s="1"/>
  <c r="Y295" i="11"/>
  <c r="Y110" i="11"/>
  <c r="BC110" i="11" s="1"/>
  <c r="Y105" i="11"/>
  <c r="BC105" i="11" s="1"/>
  <c r="Y260" i="11"/>
  <c r="Y308" i="11"/>
  <c r="BC308" i="11" s="1"/>
  <c r="Y219" i="11"/>
  <c r="BC219" i="11" s="1"/>
  <c r="Y276" i="11"/>
  <c r="Y36" i="11"/>
  <c r="Y493" i="11"/>
  <c r="BC493" i="11" s="1"/>
  <c r="Y536" i="11"/>
  <c r="Y440" i="11"/>
  <c r="Y344" i="11"/>
  <c r="BC344" i="11" s="1"/>
  <c r="Y109" i="11"/>
  <c r="BC109" i="11" s="1"/>
  <c r="Y223" i="11"/>
  <c r="Y475" i="11"/>
  <c r="BC475" i="11" s="1"/>
  <c r="Y342" i="11"/>
  <c r="BC342" i="11" s="1"/>
  <c r="Y494" i="11"/>
  <c r="BC494" i="11" s="1"/>
  <c r="Y40" i="11"/>
  <c r="Y483" i="11"/>
  <c r="Y199" i="11"/>
  <c r="BC199" i="11" s="1"/>
  <c r="Y289" i="11"/>
  <c r="BC289" i="11" s="1"/>
  <c r="Y389" i="11"/>
  <c r="BC389" i="11" s="1"/>
  <c r="Y407" i="11"/>
  <c r="Y481" i="11"/>
  <c r="BC481" i="11" s="1"/>
  <c r="Y388" i="11"/>
  <c r="BC388" i="11" s="1"/>
  <c r="Y123" i="11"/>
  <c r="BC123" i="11" s="1"/>
  <c r="Y495" i="11"/>
  <c r="BC495" i="11" s="1"/>
  <c r="Y166" i="11"/>
  <c r="BC166" i="11" s="1"/>
  <c r="Y257" i="11"/>
  <c r="Y226" i="11"/>
  <c r="Y366" i="11"/>
  <c r="Y410" i="11"/>
  <c r="Y11" i="11"/>
  <c r="BC11" i="11" s="1"/>
  <c r="Y124" i="11"/>
  <c r="BC124" i="11" s="1"/>
  <c r="Y370" i="11"/>
  <c r="BC370" i="11" s="1"/>
  <c r="Y420" i="11"/>
  <c r="BC420" i="11" s="1"/>
  <c r="Y441" i="11"/>
  <c r="Y198" i="11"/>
  <c r="BC198" i="11" s="1"/>
  <c r="Y377" i="11"/>
  <c r="Y239" i="11"/>
  <c r="Y170" i="11"/>
  <c r="BC170" i="11" s="1"/>
  <c r="Y323" i="11"/>
  <c r="BC323" i="11" s="1"/>
  <c r="Y330" i="11"/>
  <c r="Y126" i="11"/>
  <c r="Y250" i="11"/>
  <c r="BC250" i="11" s="1"/>
  <c r="Y444" i="11"/>
  <c r="BC444" i="11" s="1"/>
  <c r="Y357" i="11"/>
  <c r="Y132" i="11"/>
  <c r="Y39" i="11"/>
  <c r="Y445" i="11"/>
  <c r="BC445" i="11" s="1"/>
  <c r="Y167" i="11"/>
  <c r="BC167" i="11" s="1"/>
  <c r="Y345" i="11"/>
  <c r="BC345" i="11" s="1"/>
  <c r="Y311" i="11"/>
  <c r="BC311" i="11" s="1"/>
  <c r="Y224" i="11"/>
  <c r="Y426" i="11"/>
  <c r="Y478" i="11"/>
  <c r="BC478" i="11" s="1"/>
  <c r="Y52" i="11"/>
  <c r="Y125" i="11"/>
  <c r="BC125" i="11" s="1"/>
  <c r="Y140" i="11"/>
  <c r="BC140" i="11" s="1"/>
  <c r="Y48" i="11"/>
  <c r="BC48" i="11" s="1"/>
  <c r="Y270" i="11"/>
  <c r="BC270" i="11" s="1"/>
  <c r="Y15" i="11"/>
  <c r="BC15" i="11" s="1"/>
  <c r="Y392" i="11"/>
  <c r="Y31" i="11"/>
  <c r="BC31" i="11" s="1"/>
  <c r="Y256" i="11"/>
  <c r="BC256" i="11" s="1"/>
  <c r="Y172" i="11"/>
  <c r="BC172" i="11" s="1"/>
  <c r="Y362" i="11"/>
  <c r="Y98" i="11"/>
  <c r="Y175" i="11"/>
  <c r="Y387" i="11"/>
  <c r="BC387" i="11" s="1"/>
  <c r="Y361" i="11"/>
  <c r="Y248" i="11"/>
  <c r="BC248" i="11" s="1"/>
  <c r="Y214" i="11"/>
  <c r="BC214" i="11" s="1"/>
  <c r="Y480" i="11"/>
  <c r="BC480" i="11" s="1"/>
  <c r="Y288" i="11"/>
  <c r="BC288" i="11" s="1"/>
  <c r="Y235" i="11"/>
  <c r="Y390" i="11"/>
  <c r="BC390" i="11" s="1"/>
  <c r="Y47" i="11"/>
  <c r="BC47" i="11" s="1"/>
  <c r="Y230" i="11"/>
  <c r="BC230" i="11" s="1"/>
  <c r="Y285" i="11"/>
  <c r="BC285" i="11" s="1"/>
  <c r="Y152" i="11"/>
  <c r="Y450" i="11"/>
  <c r="Y425" i="11"/>
  <c r="Y534" i="11"/>
  <c r="Y476" i="11"/>
  <c r="BC476" i="11" s="1"/>
  <c r="Y94" i="11"/>
  <c r="Y326" i="11"/>
  <c r="BC326" i="11" s="1"/>
  <c r="Y128" i="11"/>
  <c r="Y78" i="11"/>
  <c r="BC78" i="11" s="1"/>
  <c r="Y485" i="11"/>
  <c r="Y207" i="11"/>
  <c r="Y324" i="11"/>
  <c r="BC324" i="11" s="1"/>
  <c r="Y275" i="11"/>
  <c r="Y93" i="11"/>
  <c r="BC93" i="11" s="1"/>
  <c r="Y141" i="11"/>
  <c r="BC141" i="11" s="1"/>
  <c r="Y405" i="11"/>
  <c r="BC405" i="11" s="1"/>
  <c r="Y146" i="11"/>
  <c r="Y498" i="11"/>
  <c r="Y365" i="11"/>
  <c r="Y143" i="11"/>
  <c r="BC143" i="11" s="1"/>
  <c r="Y176" i="11"/>
  <c r="Y360" i="11"/>
  <c r="Y14" i="11"/>
  <c r="BC14" i="11" s="1"/>
  <c r="Y16" i="11"/>
  <c r="Y292" i="11"/>
  <c r="Y32" i="11"/>
  <c r="BC32" i="11" s="1"/>
  <c r="Y33" i="11"/>
  <c r="BC33" i="11" s="1"/>
  <c r="Y367" i="11"/>
  <c r="BC367" i="11" s="1"/>
  <c r="Y402" i="11"/>
  <c r="BC402" i="11" s="1"/>
  <c r="Y343" i="11"/>
  <c r="BC343" i="11" s="1"/>
  <c r="Y173" i="11"/>
  <c r="Y95" i="11"/>
  <c r="Y82" i="11"/>
  <c r="Y232" i="11"/>
  <c r="BC232" i="11" s="1"/>
  <c r="Y263" i="11"/>
  <c r="Y497" i="11"/>
  <c r="Y418" i="11"/>
  <c r="BC418" i="11" s="1"/>
  <c r="Y368" i="11"/>
  <c r="BC368" i="11" s="1"/>
  <c r="Y386" i="11"/>
  <c r="BC386" i="11" s="1"/>
  <c r="Y188" i="11"/>
  <c r="Y216" i="11"/>
  <c r="BC216" i="11" s="1"/>
  <c r="Y351" i="11"/>
  <c r="Y37" i="11"/>
  <c r="Y122" i="11"/>
  <c r="BC122" i="11" s="1"/>
  <c r="Y262" i="11"/>
  <c r="Y12" i="11"/>
  <c r="BC12" i="11" s="1"/>
  <c r="Y369" i="11"/>
  <c r="BC369" i="11" s="1"/>
  <c r="Y492" i="11"/>
  <c r="BC492" i="11" s="1"/>
  <c r="Y53" i="11"/>
  <c r="Y315" i="11"/>
  <c r="Y424" i="11"/>
  <c r="Y328" i="11"/>
  <c r="BC328" i="11" s="1"/>
  <c r="Y205" i="11"/>
  <c r="Y286" i="11"/>
  <c r="BC286" i="11" s="1"/>
  <c r="Y237" i="11"/>
  <c r="Y443" i="11"/>
  <c r="BC443" i="11" s="1"/>
  <c r="Y251" i="11"/>
  <c r="BC251" i="11" s="1"/>
  <c r="Y531" i="11"/>
  <c r="BC531" i="11" s="1"/>
  <c r="Y96" i="11"/>
  <c r="Y186" i="11"/>
  <c r="BC186" i="11" s="1"/>
  <c r="Y51" i="11"/>
  <c r="Y309" i="11"/>
  <c r="BC309" i="11" s="1"/>
  <c r="Y150" i="11"/>
  <c r="Y477" i="11"/>
  <c r="BC477" i="11" s="1"/>
  <c r="Y373" i="11"/>
  <c r="BC373" i="11" s="1"/>
  <c r="Y364" i="11"/>
  <c r="Z364" i="11" s="1"/>
  <c r="Y238" i="11"/>
  <c r="Y261" i="11"/>
  <c r="Y148" i="11"/>
  <c r="Y50" i="11"/>
  <c r="Y310" i="11"/>
  <c r="BC310" i="11" s="1"/>
  <c r="Y269" i="11"/>
  <c r="BC269" i="11" s="1"/>
  <c r="Y416" i="11"/>
  <c r="BC416" i="11" s="1"/>
  <c r="Y341" i="11"/>
  <c r="BC341" i="11" s="1"/>
  <c r="Y404" i="11"/>
  <c r="BC404" i="11" s="1"/>
  <c r="Y258" i="11"/>
  <c r="Y316" i="11"/>
  <c r="Y274" i="11"/>
  <c r="BC274" i="11" s="1"/>
  <c r="Y530" i="11"/>
  <c r="BC530" i="11" s="1"/>
  <c r="Y206" i="11"/>
  <c r="Y442" i="11"/>
  <c r="Y112" i="11"/>
  <c r="Y108" i="11"/>
  <c r="BC108" i="11" s="1"/>
  <c r="Y35" i="11"/>
  <c r="BC35" i="11" s="1"/>
  <c r="Y371" i="11"/>
  <c r="BC371" i="11" s="1"/>
  <c r="Y107" i="11"/>
  <c r="BC107" i="11" s="1"/>
  <c r="Y131" i="11"/>
  <c r="Y406" i="11"/>
  <c r="Y347" i="11"/>
  <c r="Y187" i="11"/>
  <c r="Y340" i="11"/>
  <c r="BC340" i="11" s="1"/>
  <c r="Y449" i="11"/>
  <c r="Y293" i="11"/>
  <c r="Y203" i="11"/>
  <c r="BC203" i="11" s="1"/>
  <c r="Y233" i="11"/>
  <c r="BC233" i="11" s="1"/>
  <c r="Y333" i="11"/>
  <c r="Y363" i="11"/>
  <c r="Y129" i="11"/>
  <c r="Y447" i="11"/>
  <c r="BC447" i="11" s="1"/>
  <c r="Y215" i="11"/>
  <c r="BC215" i="11" s="1"/>
  <c r="Y411" i="11"/>
  <c r="Y499" i="11"/>
  <c r="Y527" i="11"/>
  <c r="BC527" i="11" s="1"/>
  <c r="Y34" i="11"/>
  <c r="BC34" i="11" s="1"/>
  <c r="Y200" i="11"/>
  <c r="BC200" i="11" s="1"/>
  <c r="Y290" i="11"/>
  <c r="BC290" i="11" s="1"/>
  <c r="Y222" i="11"/>
  <c r="Y80" i="11"/>
  <c r="Y221" i="11"/>
  <c r="Y147" i="11"/>
  <c r="Y408" i="11"/>
  <c r="Y231" i="11"/>
  <c r="BC231" i="11" s="1"/>
  <c r="Y423" i="11"/>
  <c r="Y225" i="11"/>
  <c r="Y165" i="11"/>
  <c r="BC165" i="11" s="1"/>
  <c r="Y13" i="11"/>
  <c r="BC13" i="11" s="1"/>
  <c r="Y241" i="11"/>
  <c r="Y451" i="11"/>
  <c r="Y376" i="11"/>
  <c r="Y501" i="11"/>
  <c r="Y312" i="11"/>
  <c r="BC312" i="11" s="1"/>
  <c r="Y252" i="11"/>
  <c r="BC252" i="11" s="1"/>
  <c r="Y254" i="11"/>
  <c r="BC254" i="11" s="1"/>
  <c r="Y372" i="11"/>
  <c r="BC372" i="11" s="1"/>
  <c r="Y349" i="11"/>
  <c r="Y272" i="11"/>
  <c r="BC272" i="11" s="1"/>
  <c r="Y111" i="11"/>
  <c r="W515" i="11"/>
  <c r="X48" i="11"/>
  <c r="W48" i="11"/>
  <c r="X175" i="11"/>
  <c r="W175" i="11"/>
  <c r="X387" i="11"/>
  <c r="W387" i="11"/>
  <c r="X248" i="11"/>
  <c r="W248" i="11"/>
  <c r="X480" i="11"/>
  <c r="W480" i="11"/>
  <c r="X288" i="11"/>
  <c r="W288" i="11"/>
  <c r="X235" i="11"/>
  <c r="W235" i="11"/>
  <c r="X390" i="11"/>
  <c r="W390" i="11"/>
  <c r="X47" i="11"/>
  <c r="W47" i="11"/>
  <c r="X230" i="11"/>
  <c r="W230" i="11"/>
  <c r="X285" i="11"/>
  <c r="W285" i="11"/>
  <c r="X152" i="11"/>
  <c r="W152" i="11"/>
  <c r="X450" i="11"/>
  <c r="W450" i="11"/>
  <c r="X10" i="11"/>
  <c r="W10" i="11"/>
  <c r="X419" i="11"/>
  <c r="W419" i="11"/>
  <c r="X526" i="11"/>
  <c r="W526" i="11"/>
  <c r="X97" i="11"/>
  <c r="W97" i="11"/>
  <c r="X253" i="11"/>
  <c r="W253" i="11"/>
  <c r="X452" i="11"/>
  <c r="W452" i="11"/>
  <c r="X314" i="11"/>
  <c r="W314" i="11"/>
  <c r="X218" i="11"/>
  <c r="W218" i="11"/>
  <c r="X358" i="11"/>
  <c r="W358" i="11"/>
  <c r="X75" i="11"/>
  <c r="W75" i="11"/>
  <c r="X417" i="11"/>
  <c r="W417" i="11"/>
  <c r="X409" i="11"/>
  <c r="W409" i="11"/>
  <c r="X123" i="11"/>
  <c r="W123" i="11"/>
  <c r="X361" i="11"/>
  <c r="W361" i="11"/>
  <c r="X176" i="11"/>
  <c r="W176" i="11"/>
  <c r="X14" i="11"/>
  <c r="W14" i="11"/>
  <c r="X292" i="11"/>
  <c r="W292" i="11"/>
  <c r="X384" i="11"/>
  <c r="W384" i="11"/>
  <c r="X385" i="11"/>
  <c r="W385" i="11"/>
  <c r="X236" i="11"/>
  <c r="W236" i="11"/>
  <c r="X130" i="11"/>
  <c r="W130" i="11"/>
  <c r="X329" i="11"/>
  <c r="W329" i="11"/>
  <c r="X106" i="11"/>
  <c r="W106" i="11"/>
  <c r="X268" i="11"/>
  <c r="W268" i="11"/>
  <c r="X479" i="11"/>
  <c r="W479" i="11"/>
  <c r="X287" i="11"/>
  <c r="W287" i="11"/>
  <c r="X535" i="11"/>
  <c r="W535" i="11"/>
  <c r="X440" i="11"/>
  <c r="W440" i="11"/>
  <c r="X78" i="11"/>
  <c r="W78" i="11"/>
  <c r="X207" i="11"/>
  <c r="W207" i="11"/>
  <c r="X275" i="11"/>
  <c r="W275" i="11"/>
  <c r="X141" i="11"/>
  <c r="W141" i="11"/>
  <c r="X405" i="11"/>
  <c r="W405" i="11"/>
  <c r="X146" i="11"/>
  <c r="W146" i="11"/>
  <c r="X365" i="11"/>
  <c r="W365" i="11"/>
  <c r="X143" i="11"/>
  <c r="W143" i="11"/>
  <c r="X174" i="11"/>
  <c r="W174" i="11"/>
  <c r="W510" i="11"/>
  <c r="X217" i="11"/>
  <c r="W217" i="11"/>
  <c r="X171" i="11"/>
  <c r="W171" i="11"/>
  <c r="X142" i="11"/>
  <c r="W142" i="11"/>
  <c r="X77" i="11"/>
  <c r="W77" i="11"/>
  <c r="X446" i="11"/>
  <c r="W446" i="11"/>
  <c r="X202" i="11"/>
  <c r="W202" i="11"/>
  <c r="X259" i="11"/>
  <c r="W259" i="11"/>
  <c r="X220" i="11"/>
  <c r="W220" i="11"/>
  <c r="X439" i="11"/>
  <c r="W439" i="11"/>
  <c r="X313" i="11"/>
  <c r="W313" i="11"/>
  <c r="X94" i="11"/>
  <c r="W94" i="11"/>
  <c r="X478" i="11"/>
  <c r="W478" i="11"/>
  <c r="X270" i="11"/>
  <c r="W270" i="11"/>
  <c r="X214" i="11"/>
  <c r="W214" i="11"/>
  <c r="X360" i="11"/>
  <c r="W360" i="11"/>
  <c r="X16" i="11"/>
  <c r="W16" i="11"/>
  <c r="W511" i="11"/>
  <c r="X121" i="11"/>
  <c r="W121" i="11"/>
  <c r="X139" i="11"/>
  <c r="W139" i="11"/>
  <c r="X528" i="11"/>
  <c r="W528" i="11"/>
  <c r="X151" i="11"/>
  <c r="W151" i="11"/>
  <c r="X240" i="11"/>
  <c r="W240" i="11"/>
  <c r="X412" i="11"/>
  <c r="W412" i="11"/>
  <c r="X422" i="11"/>
  <c r="W422" i="11"/>
  <c r="X332" i="11"/>
  <c r="W332" i="11"/>
  <c r="X201" i="11"/>
  <c r="W201" i="11"/>
  <c r="X128" i="11"/>
  <c r="W128" i="11"/>
  <c r="X485" i="11"/>
  <c r="W485" i="11"/>
  <c r="X324" i="11"/>
  <c r="W324" i="11"/>
  <c r="X93" i="11"/>
  <c r="W93" i="11"/>
  <c r="X498" i="11"/>
  <c r="W498" i="11"/>
  <c r="X166" i="11"/>
  <c r="W166" i="11"/>
  <c r="X311" i="11"/>
  <c r="W311" i="11"/>
  <c r="X31" i="11"/>
  <c r="W31" i="11"/>
  <c r="X497" i="11"/>
  <c r="W497" i="11"/>
  <c r="X83" i="11"/>
  <c r="W83" i="11"/>
  <c r="X359" i="11"/>
  <c r="W359" i="11"/>
  <c r="X144" i="11"/>
  <c r="W144" i="11"/>
  <c r="X145" i="11"/>
  <c r="W145" i="11"/>
  <c r="X327" i="11"/>
  <c r="W327" i="11"/>
  <c r="X438" i="11"/>
  <c r="W438" i="11"/>
  <c r="X331" i="11"/>
  <c r="W331" i="11"/>
  <c r="X46" i="11"/>
  <c r="W46" i="11"/>
  <c r="W508" i="11"/>
  <c r="X92" i="11"/>
  <c r="W92" i="11"/>
  <c r="X273" i="11"/>
  <c r="W273" i="11"/>
  <c r="X29" i="11"/>
  <c r="W29" i="11"/>
  <c r="X169" i="11"/>
  <c r="W169" i="11"/>
  <c r="X91" i="11"/>
  <c r="W91" i="11"/>
  <c r="X79" i="11"/>
  <c r="W79" i="11"/>
  <c r="X149" i="11"/>
  <c r="W149" i="11"/>
  <c r="X448" i="11"/>
  <c r="W448" i="11"/>
  <c r="X38" i="11"/>
  <c r="W38" i="11"/>
  <c r="X234" i="11"/>
  <c r="W234" i="11"/>
  <c r="X291" i="11"/>
  <c r="W291" i="11"/>
  <c r="X198" i="11"/>
  <c r="W198" i="11"/>
  <c r="X32" i="11"/>
  <c r="W32" i="11"/>
  <c r="X33" i="11"/>
  <c r="W33" i="11"/>
  <c r="X367" i="11"/>
  <c r="W367" i="11"/>
  <c r="X402" i="11"/>
  <c r="W402" i="11"/>
  <c r="X343" i="11"/>
  <c r="W343" i="11"/>
  <c r="X173" i="11"/>
  <c r="W173" i="11"/>
  <c r="X95" i="11"/>
  <c r="W95" i="11"/>
  <c r="X82" i="11"/>
  <c r="W82" i="11"/>
  <c r="X482" i="11"/>
  <c r="W482" i="11"/>
  <c r="X325" i="11"/>
  <c r="W325" i="11"/>
  <c r="X17" i="11"/>
  <c r="W17" i="11"/>
  <c r="X257" i="11"/>
  <c r="W257" i="11"/>
  <c r="X226" i="11"/>
  <c r="W226" i="11"/>
  <c r="X366" i="11"/>
  <c r="W366" i="11"/>
  <c r="X410" i="11"/>
  <c r="W410" i="11"/>
  <c r="X11" i="11"/>
  <c r="W11" i="11"/>
  <c r="X124" i="11"/>
  <c r="W124" i="11"/>
  <c r="X370" i="11"/>
  <c r="W370" i="11"/>
  <c r="X420" i="11"/>
  <c r="W420" i="11"/>
  <c r="X441" i="11"/>
  <c r="W441" i="11"/>
  <c r="X425" i="11"/>
  <c r="W425" i="11"/>
  <c r="X224" i="11"/>
  <c r="W224" i="11"/>
  <c r="X172" i="11"/>
  <c r="W172" i="11"/>
  <c r="X418" i="11"/>
  <c r="W418" i="11"/>
  <c r="X393" i="11"/>
  <c r="W393" i="11"/>
  <c r="X500" i="11"/>
  <c r="W500" i="11"/>
  <c r="X271" i="11"/>
  <c r="W271" i="11"/>
  <c r="X76" i="11"/>
  <c r="W76" i="11"/>
  <c r="X326" i="11"/>
  <c r="W326" i="11"/>
  <c r="X140" i="11"/>
  <c r="W140" i="11"/>
  <c r="X232" i="11"/>
  <c r="W232" i="11"/>
  <c r="X350" i="11"/>
  <c r="W350" i="11"/>
  <c r="X50" i="11"/>
  <c r="W50" i="11"/>
  <c r="X269" i="11"/>
  <c r="W269" i="11"/>
  <c r="X377" i="11"/>
  <c r="W377" i="11"/>
  <c r="X170" i="11"/>
  <c r="W170" i="11"/>
  <c r="X368" i="11"/>
  <c r="W368" i="11"/>
  <c r="X386" i="11"/>
  <c r="W386" i="11"/>
  <c r="X216" i="11"/>
  <c r="W216" i="11"/>
  <c r="X37" i="11"/>
  <c r="W37" i="11"/>
  <c r="X262" i="11"/>
  <c r="W262" i="11"/>
  <c r="X369" i="11"/>
  <c r="W369" i="11"/>
  <c r="X53" i="11"/>
  <c r="W53" i="11"/>
  <c r="X328" i="11"/>
  <c r="W328" i="11"/>
  <c r="X286" i="11"/>
  <c r="W286" i="11"/>
  <c r="X443" i="11"/>
  <c r="W443" i="11"/>
  <c r="X96" i="11"/>
  <c r="W96" i="11"/>
  <c r="X51" i="11"/>
  <c r="W51" i="11"/>
  <c r="X309" i="11"/>
  <c r="W309" i="11"/>
  <c r="X150" i="11"/>
  <c r="W150" i="11"/>
  <c r="X477" i="11"/>
  <c r="W477" i="11"/>
  <c r="X373" i="11"/>
  <c r="W373" i="11"/>
  <c r="X238" i="11"/>
  <c r="W238" i="11"/>
  <c r="X261" i="11"/>
  <c r="W261" i="11"/>
  <c r="X374" i="11"/>
  <c r="W374" i="11"/>
  <c r="X65" i="11"/>
  <c r="W65" i="11"/>
  <c r="X401" i="11"/>
  <c r="W401" i="11"/>
  <c r="X30" i="11"/>
  <c r="W30" i="11"/>
  <c r="X168" i="11"/>
  <c r="W168" i="11"/>
  <c r="X344" i="11"/>
  <c r="W344" i="11"/>
  <c r="X109" i="11"/>
  <c r="W109" i="11"/>
  <c r="X223" i="11"/>
  <c r="W223" i="11"/>
  <c r="X475" i="11"/>
  <c r="W475" i="11"/>
  <c r="X342" i="11"/>
  <c r="W342" i="11"/>
  <c r="X494" i="11"/>
  <c r="W494" i="11"/>
  <c r="X40" i="11"/>
  <c r="W40" i="11"/>
  <c r="X345" i="11"/>
  <c r="W345" i="11"/>
  <c r="X98" i="11"/>
  <c r="W98" i="11"/>
  <c r="W518" i="11"/>
  <c r="W513" i="11"/>
  <c r="X310" i="11"/>
  <c r="W310" i="11"/>
  <c r="X416" i="11"/>
  <c r="W416" i="11"/>
  <c r="X239" i="11"/>
  <c r="W239" i="11"/>
  <c r="X323" i="11"/>
  <c r="W323" i="11"/>
  <c r="X188" i="11"/>
  <c r="W188" i="11"/>
  <c r="X351" i="11"/>
  <c r="W351" i="11"/>
  <c r="X122" i="11"/>
  <c r="W122" i="11"/>
  <c r="X12" i="11"/>
  <c r="W12" i="11"/>
  <c r="X492" i="11"/>
  <c r="W492" i="11"/>
  <c r="X315" i="11"/>
  <c r="W315" i="11"/>
  <c r="X424" i="11"/>
  <c r="W424" i="11"/>
  <c r="X205" i="11"/>
  <c r="W205" i="11"/>
  <c r="X237" i="11"/>
  <c r="W237" i="11"/>
  <c r="X251" i="11"/>
  <c r="W251" i="11"/>
  <c r="X531" i="11"/>
  <c r="W531" i="11"/>
  <c r="X186" i="11"/>
  <c r="W186" i="11"/>
  <c r="X364" i="11"/>
  <c r="W364" i="11"/>
  <c r="X495" i="11"/>
  <c r="W495" i="11"/>
  <c r="X15" i="11"/>
  <c r="W15" i="11"/>
  <c r="X263" i="11"/>
  <c r="X204" i="11"/>
  <c r="W204" i="11"/>
  <c r="X347" i="11"/>
  <c r="W347" i="11"/>
  <c r="X340" i="11"/>
  <c r="W340" i="11"/>
  <c r="X293" i="11"/>
  <c r="W293" i="11"/>
  <c r="W517" i="11"/>
  <c r="X403" i="11"/>
  <c r="W403" i="11"/>
  <c r="X164" i="11"/>
  <c r="W164" i="11"/>
  <c r="X89" i="11"/>
  <c r="W89" i="11"/>
  <c r="X295" i="11"/>
  <c r="W295" i="11"/>
  <c r="X105" i="11"/>
  <c r="W105" i="11"/>
  <c r="X308" i="11"/>
  <c r="W308" i="11"/>
  <c r="X276" i="11"/>
  <c r="W276" i="11"/>
  <c r="X493" i="11"/>
  <c r="W493" i="11"/>
  <c r="X341" i="11"/>
  <c r="W341" i="11"/>
  <c r="X316" i="11"/>
  <c r="W316" i="11"/>
  <c r="X530" i="11"/>
  <c r="W530" i="11"/>
  <c r="X442" i="11"/>
  <c r="W442" i="11"/>
  <c r="W512" i="11"/>
  <c r="X108" i="11"/>
  <c r="W108" i="11"/>
  <c r="X35" i="11"/>
  <c r="W35" i="11"/>
  <c r="X371" i="11"/>
  <c r="W371" i="11"/>
  <c r="X131" i="11"/>
  <c r="W131" i="11"/>
  <c r="X406" i="11"/>
  <c r="W406" i="11"/>
  <c r="X532" i="11"/>
  <c r="W532" i="11"/>
  <c r="X197" i="11"/>
  <c r="W197" i="11"/>
  <c r="X49" i="11"/>
  <c r="W49" i="11"/>
  <c r="X81" i="11"/>
  <c r="W81" i="11"/>
  <c r="X496" i="11"/>
  <c r="W496" i="11"/>
  <c r="X267" i="11"/>
  <c r="X483" i="11"/>
  <c r="W483" i="11"/>
  <c r="W516" i="11"/>
  <c r="X199" i="11"/>
  <c r="W199" i="11"/>
  <c r="X289" i="11"/>
  <c r="W289" i="11"/>
  <c r="X389" i="11"/>
  <c r="W389" i="11"/>
  <c r="X407" i="11"/>
  <c r="W407" i="11"/>
  <c r="X481" i="11"/>
  <c r="W481" i="11"/>
  <c r="X388" i="11"/>
  <c r="W388" i="11"/>
  <c r="X125" i="11"/>
  <c r="W125" i="11"/>
  <c r="X362" i="11"/>
  <c r="W362" i="11"/>
  <c r="W514" i="11"/>
  <c r="X148" i="11"/>
  <c r="W148" i="11"/>
  <c r="X187" i="11"/>
  <c r="W187" i="11"/>
  <c r="X449" i="11"/>
  <c r="W449" i="11"/>
  <c r="X529" i="11"/>
  <c r="W529" i="11"/>
  <c r="X394" i="11"/>
  <c r="W394" i="11"/>
  <c r="W519" i="11"/>
  <c r="X255" i="11"/>
  <c r="W255" i="11"/>
  <c r="X391" i="11"/>
  <c r="W391" i="11"/>
  <c r="X346" i="11"/>
  <c r="W346" i="11"/>
  <c r="X110" i="11"/>
  <c r="W110" i="11"/>
  <c r="X260" i="11"/>
  <c r="W260" i="11"/>
  <c r="X219" i="11"/>
  <c r="W219" i="11"/>
  <c r="X36" i="11"/>
  <c r="W36" i="11"/>
  <c r="X536" i="11"/>
  <c r="W536" i="11"/>
  <c r="X404" i="11"/>
  <c r="W404" i="11"/>
  <c r="X258" i="11"/>
  <c r="W258" i="11"/>
  <c r="X274" i="11"/>
  <c r="W274" i="11"/>
  <c r="X206" i="11"/>
  <c r="W206" i="11"/>
  <c r="X112" i="11"/>
  <c r="W112" i="11"/>
  <c r="X107" i="11"/>
  <c r="W107" i="11"/>
  <c r="X534" i="11"/>
  <c r="W534" i="11"/>
  <c r="X426" i="11"/>
  <c r="W426" i="11"/>
  <c r="X392" i="11"/>
  <c r="W392" i="11"/>
  <c r="W509" i="11"/>
  <c r="X104" i="11"/>
  <c r="W104" i="11"/>
  <c r="X484" i="11"/>
  <c r="W484" i="11"/>
  <c r="X233" i="11"/>
  <c r="W233" i="11"/>
  <c r="X363" i="11"/>
  <c r="W363" i="11"/>
  <c r="X447" i="11"/>
  <c r="W447" i="11"/>
  <c r="X411" i="11"/>
  <c r="W411" i="11"/>
  <c r="X527" i="11"/>
  <c r="W527" i="11"/>
  <c r="X34" i="11"/>
  <c r="W34" i="11"/>
  <c r="X290" i="11"/>
  <c r="W290" i="11"/>
  <c r="X67" i="11"/>
  <c r="W67" i="11"/>
  <c r="X221" i="11"/>
  <c r="W221" i="11"/>
  <c r="X147" i="11"/>
  <c r="W147" i="11"/>
  <c r="X408" i="11"/>
  <c r="W408" i="11"/>
  <c r="X423" i="11"/>
  <c r="W423" i="11"/>
  <c r="X225" i="11"/>
  <c r="W225" i="11"/>
  <c r="X165" i="11"/>
  <c r="W165" i="11"/>
  <c r="X13" i="11"/>
  <c r="W13" i="11"/>
  <c r="X241" i="11"/>
  <c r="W241" i="11"/>
  <c r="X451" i="11"/>
  <c r="W451" i="11"/>
  <c r="X376" i="11"/>
  <c r="W376" i="11"/>
  <c r="X501" i="11"/>
  <c r="W501" i="11"/>
  <c r="X312" i="11"/>
  <c r="W312" i="11"/>
  <c r="X252" i="11"/>
  <c r="W252" i="11"/>
  <c r="X254" i="11"/>
  <c r="W254" i="11"/>
  <c r="X372" i="11"/>
  <c r="W372" i="11"/>
  <c r="X349" i="11"/>
  <c r="W349" i="11"/>
  <c r="X272" i="11"/>
  <c r="W272" i="11"/>
  <c r="X111" i="11"/>
  <c r="W111" i="11"/>
  <c r="X74" i="11"/>
  <c r="W74" i="11"/>
  <c r="X294" i="11"/>
  <c r="W294" i="11"/>
  <c r="X421" i="11"/>
  <c r="W421" i="11"/>
  <c r="X375" i="11"/>
  <c r="W375" i="11"/>
  <c r="X330" i="11"/>
  <c r="W330" i="11"/>
  <c r="X126" i="11"/>
  <c r="W126" i="11"/>
  <c r="X250" i="11"/>
  <c r="W250" i="11"/>
  <c r="X444" i="11"/>
  <c r="W444" i="11"/>
  <c r="X357" i="11"/>
  <c r="W357" i="11"/>
  <c r="X132" i="11"/>
  <c r="W132" i="11"/>
  <c r="X39" i="11"/>
  <c r="W39" i="11"/>
  <c r="X445" i="11"/>
  <c r="W445" i="11"/>
  <c r="X167" i="11"/>
  <c r="W167" i="11"/>
  <c r="X476" i="11"/>
  <c r="W476" i="11"/>
  <c r="X52" i="11"/>
  <c r="W52" i="11"/>
  <c r="X256" i="11"/>
  <c r="W256" i="11"/>
  <c r="X127" i="11"/>
  <c r="W127" i="11"/>
  <c r="X90" i="11"/>
  <c r="W90" i="11"/>
  <c r="X203" i="11"/>
  <c r="W203" i="11"/>
  <c r="X333" i="11"/>
  <c r="W333" i="11"/>
  <c r="X129" i="11"/>
  <c r="W129" i="11"/>
  <c r="X215" i="11"/>
  <c r="W215" i="11"/>
  <c r="X499" i="11"/>
  <c r="W499" i="11"/>
  <c r="X66" i="11"/>
  <c r="W66" i="11"/>
  <c r="X200" i="11"/>
  <c r="W200" i="11"/>
  <c r="X222" i="11"/>
  <c r="W222" i="11"/>
  <c r="X80" i="11"/>
  <c r="W80" i="11"/>
  <c r="X231" i="11"/>
  <c r="W231" i="11"/>
  <c r="F13" i="19"/>
  <c r="G13" i="19" s="1"/>
  <c r="F14" i="19"/>
  <c r="G14" i="19" s="1"/>
  <c r="F11" i="19"/>
  <c r="G11" i="19" s="1"/>
  <c r="E2" i="19"/>
  <c r="E7" i="19" s="1"/>
  <c r="F16" i="19"/>
  <c r="F12" i="19"/>
  <c r="G12" i="19" s="1"/>
  <c r="J16" i="19"/>
  <c r="K16" i="19" s="1"/>
  <c r="J14" i="19"/>
  <c r="K14" i="19" s="1"/>
  <c r="J11" i="19"/>
  <c r="K11" i="19" s="1"/>
  <c r="J13" i="19"/>
  <c r="K13" i="19" s="1"/>
  <c r="J15" i="19"/>
  <c r="K15" i="19" s="1"/>
  <c r="J12" i="19"/>
  <c r="K12" i="19" s="1"/>
  <c r="L12" i="19"/>
  <c r="M12" i="19" s="1"/>
  <c r="L13" i="19"/>
  <c r="M13" i="19" s="1"/>
  <c r="L14" i="19"/>
  <c r="M14" i="19" s="1"/>
  <c r="L15" i="19"/>
  <c r="M15" i="19" s="1"/>
  <c r="L16" i="19"/>
  <c r="M16" i="19" s="1"/>
  <c r="L11" i="19"/>
  <c r="M11" i="19" s="1"/>
  <c r="D12" i="19"/>
  <c r="E12" i="19" s="1"/>
  <c r="D13" i="19"/>
  <c r="E13" i="19" s="1"/>
  <c r="D15" i="19"/>
  <c r="E15" i="19" s="1"/>
  <c r="D14" i="19"/>
  <c r="E14" i="19" s="1"/>
  <c r="D16" i="19"/>
  <c r="E16" i="19" s="1"/>
  <c r="D11" i="19"/>
  <c r="E11" i="19" s="1"/>
  <c r="H16" i="19"/>
  <c r="I16" i="19" s="1"/>
  <c r="H11" i="19"/>
  <c r="I11" i="19" s="1"/>
  <c r="H12" i="19"/>
  <c r="I12" i="19" s="1"/>
  <c r="H13" i="19"/>
  <c r="I13" i="19" s="1"/>
  <c r="H14" i="19"/>
  <c r="I14" i="19" s="1"/>
  <c r="H15" i="19"/>
  <c r="I15" i="19" s="1"/>
  <c r="F11" i="18"/>
  <c r="G11" i="18" s="1"/>
  <c r="F10" i="18"/>
  <c r="G10" i="18" s="1"/>
  <c r="E10" i="18"/>
  <c r="AW521" i="11" l="1"/>
  <c r="Z229" i="11"/>
  <c r="AW229" i="11" s="1"/>
  <c r="Z228" i="11"/>
  <c r="AW228" i="11" s="1"/>
  <c r="Z227" i="11"/>
  <c r="AW227" i="11" s="1"/>
  <c r="Z432" i="11"/>
  <c r="AW432" i="11" s="1"/>
  <c r="Z430" i="11"/>
  <c r="AW430" i="11" s="1"/>
  <c r="Z431" i="11"/>
  <c r="AW431" i="11" s="1"/>
  <c r="Z415" i="11"/>
  <c r="AW415" i="11" s="1"/>
  <c r="Z414" i="11"/>
  <c r="AW414" i="11" s="1"/>
  <c r="Z413" i="11"/>
  <c r="AW413" i="11" s="1"/>
  <c r="Z400" i="11"/>
  <c r="AW400" i="11" s="1"/>
  <c r="Z398" i="11"/>
  <c r="AW398" i="11" s="1"/>
  <c r="Z399" i="11"/>
  <c r="AW399" i="11" s="1"/>
  <c r="Z87" i="11"/>
  <c r="AW87" i="11" s="1"/>
  <c r="AW88" i="11"/>
  <c r="Z86" i="11"/>
  <c r="AW86" i="11" s="1"/>
  <c r="Z264" i="11"/>
  <c r="AW264" i="11" s="1"/>
  <c r="Z266" i="11"/>
  <c r="AW266" i="11" s="1"/>
  <c r="AW265" i="11"/>
  <c r="AW502" i="11"/>
  <c r="Z507" i="11"/>
  <c r="AW507" i="11" s="1"/>
  <c r="AW505" i="11"/>
  <c r="Z504" i="11"/>
  <c r="AW504" i="11" s="1"/>
  <c r="Z506" i="11"/>
  <c r="AW506" i="11" s="1"/>
  <c r="Z503" i="11"/>
  <c r="AW503" i="11" s="1"/>
  <c r="AW154" i="11"/>
  <c r="Z153" i="11"/>
  <c r="AW153" i="11" s="1"/>
  <c r="Z158" i="11"/>
  <c r="AW158" i="11" s="1"/>
  <c r="AW156" i="11"/>
  <c r="Z157" i="11"/>
  <c r="AW157" i="11" s="1"/>
  <c r="Z155" i="11"/>
  <c r="AW155" i="11" s="1"/>
  <c r="AW23" i="11"/>
  <c r="Z24" i="11"/>
  <c r="AW24" i="11" s="1"/>
  <c r="AW25" i="11"/>
  <c r="AW26" i="11"/>
  <c r="Z28" i="11"/>
  <c r="AW28" i="11" s="1"/>
  <c r="Z27" i="11"/>
  <c r="AW27" i="11" s="1"/>
  <c r="AW242" i="11"/>
  <c r="Z243" i="11"/>
  <c r="AW243" i="11" s="1"/>
  <c r="Z244" i="11"/>
  <c r="AW244" i="11" s="1"/>
  <c r="Z246" i="11"/>
  <c r="AW246" i="11" s="1"/>
  <c r="AW245" i="11"/>
  <c r="Z247" i="11"/>
  <c r="AW247" i="11" s="1"/>
  <c r="AW133" i="11"/>
  <c r="Z138" i="11"/>
  <c r="AW138" i="11" s="1"/>
  <c r="Z134" i="11"/>
  <c r="AW134" i="11" s="1"/>
  <c r="Z136" i="11"/>
  <c r="AW136" i="11" s="1"/>
  <c r="Z137" i="11"/>
  <c r="AW137" i="11" s="1"/>
  <c r="Z135" i="11"/>
  <c r="AW135" i="11" s="1"/>
  <c r="C20" i="18"/>
  <c r="AW307" i="11"/>
  <c r="AW304" i="11"/>
  <c r="AW306" i="11"/>
  <c r="AW303" i="11"/>
  <c r="AW305" i="11"/>
  <c r="AW302" i="11"/>
  <c r="Z22" i="11"/>
  <c r="AW22" i="11" s="1"/>
  <c r="AW21" i="11"/>
  <c r="Z117" i="11"/>
  <c r="AW117" i="11" s="1"/>
  <c r="AW120" i="11"/>
  <c r="Z118" i="11"/>
  <c r="AW118" i="11" s="1"/>
  <c r="Z116" i="11"/>
  <c r="AW116" i="11" s="1"/>
  <c r="Z119" i="11"/>
  <c r="AW119" i="11" s="1"/>
  <c r="AW100" i="11"/>
  <c r="AW103" i="11"/>
  <c r="Z102" i="11"/>
  <c r="AW102" i="11" s="1"/>
  <c r="Z99" i="11"/>
  <c r="AW99" i="11" s="1"/>
  <c r="Z101" i="11"/>
  <c r="AW101" i="11" s="1"/>
  <c r="Z453" i="11"/>
  <c r="AW453" i="11" s="1"/>
  <c r="Z457" i="11"/>
  <c r="AW457" i="11" s="1"/>
  <c r="Z454" i="11"/>
  <c r="AW454" i="11" s="1"/>
  <c r="Z455" i="11"/>
  <c r="AW455" i="11" s="1"/>
  <c r="Z456" i="11"/>
  <c r="AW456" i="11" s="1"/>
  <c r="AW162" i="11"/>
  <c r="AW161" i="11"/>
  <c r="AW163" i="11"/>
  <c r="AW160" i="11"/>
  <c r="AW159" i="11"/>
  <c r="Z43" i="11"/>
  <c r="AW43" i="11" s="1"/>
  <c r="Z45" i="11"/>
  <c r="AW45" i="11" s="1"/>
  <c r="Z44" i="11"/>
  <c r="AW44" i="11" s="1"/>
  <c r="AW42" i="11"/>
  <c r="AW41" i="11"/>
  <c r="AW489" i="11"/>
  <c r="AW490" i="11"/>
  <c r="Z487" i="11"/>
  <c r="AW487" i="11" s="1"/>
  <c r="Z488" i="11"/>
  <c r="AW488" i="11" s="1"/>
  <c r="Z491" i="11"/>
  <c r="AW491" i="11" s="1"/>
  <c r="Z355" i="11"/>
  <c r="AW355" i="11" s="1"/>
  <c r="Z354" i="11"/>
  <c r="AW354" i="11" s="1"/>
  <c r="AW352" i="11"/>
  <c r="AW353" i="11"/>
  <c r="Z84" i="11"/>
  <c r="AW84" i="11" s="1"/>
  <c r="Z85" i="11"/>
  <c r="AW85" i="11" s="1"/>
  <c r="AW429" i="11"/>
  <c r="AW427" i="11"/>
  <c r="AW428" i="11"/>
  <c r="AW397" i="11"/>
  <c r="AW395" i="11"/>
  <c r="AW396" i="11"/>
  <c r="Z180" i="11"/>
  <c r="AW180" i="11" s="1"/>
  <c r="Z179" i="11"/>
  <c r="AW179" i="11" s="1"/>
  <c r="Z182" i="11"/>
  <c r="AW182" i="11" s="1"/>
  <c r="AW177" i="11"/>
  <c r="Z178" i="11"/>
  <c r="AW178" i="11" s="1"/>
  <c r="Z181" i="11"/>
  <c r="AW181" i="11" s="1"/>
  <c r="AW210" i="11"/>
  <c r="AW209" i="11"/>
  <c r="AW211" i="11"/>
  <c r="AW213" i="11"/>
  <c r="AW212" i="11"/>
  <c r="AW208" i="11"/>
  <c r="AW336" i="11"/>
  <c r="AW338" i="11"/>
  <c r="AW335" i="11"/>
  <c r="AW339" i="11"/>
  <c r="AW337" i="11"/>
  <c r="AW334" i="11"/>
  <c r="AW297" i="11"/>
  <c r="AW298" i="11"/>
  <c r="AW299" i="11"/>
  <c r="AW296" i="11"/>
  <c r="Z301" i="11"/>
  <c r="AW301" i="11" s="1"/>
  <c r="Z300" i="11"/>
  <c r="AW300" i="11" s="1"/>
  <c r="Z54" i="11"/>
  <c r="AW54" i="11" s="1"/>
  <c r="Z19" i="11"/>
  <c r="AW19" i="11" s="1"/>
  <c r="Z20" i="11"/>
  <c r="AW20" i="11" s="1"/>
  <c r="AW278" i="11"/>
  <c r="AW277" i="11"/>
  <c r="AW249" i="11"/>
  <c r="BD249" i="11"/>
  <c r="C25" i="18"/>
  <c r="Z129" i="11"/>
  <c r="Z128" i="11"/>
  <c r="Z483" i="11"/>
  <c r="Z412" i="11"/>
  <c r="Z221" i="11"/>
  <c r="Z371" i="11"/>
  <c r="Z341" i="11"/>
  <c r="Z328" i="11"/>
  <c r="Z188" i="11"/>
  <c r="Z173" i="11"/>
  <c r="Z365" i="11"/>
  <c r="Z326" i="11"/>
  <c r="Z288" i="11"/>
  <c r="Z392" i="11"/>
  <c r="Z166" i="11"/>
  <c r="Z40" i="11"/>
  <c r="Z219" i="11"/>
  <c r="Z403" i="11"/>
  <c r="Z169" i="11"/>
  <c r="Z144" i="11"/>
  <c r="Z496" i="11"/>
  <c r="Z104" i="11"/>
  <c r="Z217" i="11"/>
  <c r="Z240" i="11"/>
  <c r="Z484" i="11"/>
  <c r="AW511" i="11"/>
  <c r="Z501" i="11"/>
  <c r="Z80" i="11"/>
  <c r="Z333" i="11"/>
  <c r="Z35" i="11"/>
  <c r="Z416" i="11"/>
  <c r="Z309" i="11"/>
  <c r="Z424" i="11"/>
  <c r="Z386" i="11"/>
  <c r="Z343" i="11"/>
  <c r="Z498" i="11"/>
  <c r="Z94" i="11"/>
  <c r="Z480" i="11"/>
  <c r="Z15" i="11"/>
  <c r="Z167" i="11"/>
  <c r="Z377" i="11"/>
  <c r="Z495" i="11"/>
  <c r="Z494" i="11"/>
  <c r="Z308" i="11"/>
  <c r="Z394" i="11"/>
  <c r="Z29" i="11"/>
  <c r="Z500" i="11"/>
  <c r="Z81" i="11"/>
  <c r="Z106" i="11"/>
  <c r="AW510" i="11"/>
  <c r="Z329" i="11"/>
  <c r="AW509" i="11"/>
  <c r="Z526" i="11"/>
  <c r="Z276" i="11"/>
  <c r="Z312" i="11"/>
  <c r="Z345" i="11"/>
  <c r="Z376" i="11"/>
  <c r="Z222" i="11"/>
  <c r="Z233" i="11"/>
  <c r="Z108" i="11"/>
  <c r="Z269" i="11"/>
  <c r="Z51" i="11"/>
  <c r="Z315" i="11"/>
  <c r="Z368" i="11"/>
  <c r="Z402" i="11"/>
  <c r="Z146" i="11"/>
  <c r="Z476" i="11"/>
  <c r="Z214" i="11"/>
  <c r="Z270" i="11"/>
  <c r="Z445" i="11"/>
  <c r="Z198" i="11"/>
  <c r="AW515" i="11"/>
  <c r="Z342" i="11"/>
  <c r="Z260" i="11"/>
  <c r="AW517" i="11"/>
  <c r="Z273" i="11"/>
  <c r="Z359" i="11"/>
  <c r="Z49" i="11"/>
  <c r="Z90" i="11"/>
  <c r="Z325" i="11"/>
  <c r="Z294" i="11"/>
  <c r="Z375" i="11"/>
  <c r="Z205" i="11"/>
  <c r="Z170" i="11"/>
  <c r="Z267" i="11"/>
  <c r="Z363" i="11"/>
  <c r="Z150" i="11"/>
  <c r="Z239" i="11"/>
  <c r="Z451" i="11"/>
  <c r="Z290" i="11"/>
  <c r="Z203" i="11"/>
  <c r="AW512" i="11"/>
  <c r="Z310" i="11"/>
  <c r="Z186" i="11"/>
  <c r="Z53" i="11"/>
  <c r="AW514" i="11"/>
  <c r="Z367" i="11"/>
  <c r="Z405" i="11"/>
  <c r="Z534" i="11"/>
  <c r="Z248" i="11"/>
  <c r="Z48" i="11"/>
  <c r="Z39" i="11"/>
  <c r="Z441" i="11"/>
  <c r="Z123" i="11"/>
  <c r="Z475" i="11"/>
  <c r="Z105" i="11"/>
  <c r="Z168" i="11"/>
  <c r="Z92" i="11"/>
  <c r="Z393" i="11"/>
  <c r="Z197" i="11"/>
  <c r="Z313" i="11"/>
  <c r="Z482" i="11"/>
  <c r="Z127" i="11"/>
  <c r="Z421" i="11"/>
  <c r="Z114" i="11"/>
  <c r="Z404" i="11"/>
  <c r="Z235" i="11"/>
  <c r="Z91" i="11"/>
  <c r="Z241" i="11"/>
  <c r="Z200" i="11"/>
  <c r="Z293" i="11"/>
  <c r="Z112" i="11"/>
  <c r="Z50" i="11"/>
  <c r="Z96" i="11"/>
  <c r="Z492" i="11"/>
  <c r="AW518" i="11"/>
  <c r="Z33" i="11"/>
  <c r="Z141" i="11"/>
  <c r="Z425" i="11"/>
  <c r="Z361" i="11"/>
  <c r="Z140" i="11"/>
  <c r="Z132" i="11"/>
  <c r="Z420" i="11"/>
  <c r="Z388" i="11"/>
  <c r="Z223" i="11"/>
  <c r="Z110" i="11"/>
  <c r="Z291" i="11"/>
  <c r="AW508" i="11"/>
  <c r="Z83" i="11"/>
  <c r="Z10" i="11"/>
  <c r="Z439" i="11"/>
  <c r="Z535" i="11"/>
  <c r="Z218" i="11"/>
  <c r="Z417" i="11"/>
  <c r="AW519" i="11"/>
  <c r="Z13" i="11"/>
  <c r="Z34" i="11"/>
  <c r="Z449" i="11"/>
  <c r="Z442" i="11"/>
  <c r="AW513" i="11"/>
  <c r="Z531" i="11"/>
  <c r="Z369" i="11"/>
  <c r="Z418" i="11"/>
  <c r="Z32" i="11"/>
  <c r="Z93" i="11"/>
  <c r="Z450" i="11"/>
  <c r="Z387" i="11"/>
  <c r="Z357" i="11"/>
  <c r="Z370" i="11"/>
  <c r="Z481" i="11"/>
  <c r="Z109" i="11"/>
  <c r="Z295" i="11"/>
  <c r="Z234" i="11"/>
  <c r="Z46" i="11"/>
  <c r="Z350" i="11"/>
  <c r="Z30" i="11"/>
  <c r="Z220" i="11"/>
  <c r="Z201" i="11"/>
  <c r="Z253" i="11"/>
  <c r="Z358" i="11"/>
  <c r="Z528" i="11"/>
  <c r="Z111" i="11"/>
  <c r="Z165" i="11"/>
  <c r="Z527" i="11"/>
  <c r="Z340" i="11"/>
  <c r="BD340" i="11" s="1"/>
  <c r="Z206" i="11"/>
  <c r="Z148" i="11"/>
  <c r="Z12" i="11"/>
  <c r="Z497" i="11"/>
  <c r="Z292" i="11"/>
  <c r="Z275" i="11"/>
  <c r="Z152" i="11"/>
  <c r="Z175" i="11"/>
  <c r="Z125" i="11"/>
  <c r="Z444" i="11"/>
  <c r="Z124" i="11"/>
  <c r="Z407" i="11"/>
  <c r="Z344" i="11"/>
  <c r="Z346" i="11"/>
  <c r="Z38" i="11"/>
  <c r="Z331" i="11"/>
  <c r="Z204" i="11"/>
  <c r="Z401" i="11"/>
  <c r="Z259" i="11"/>
  <c r="Z287" i="11"/>
  <c r="Z151" i="11"/>
  <c r="Z384" i="11"/>
  <c r="Z115" i="11"/>
  <c r="Z147" i="11"/>
  <c r="Z216" i="11"/>
  <c r="Z257" i="11"/>
  <c r="Z314" i="11"/>
  <c r="Z272" i="11"/>
  <c r="Z225" i="11"/>
  <c r="Z499" i="11"/>
  <c r="Z187" i="11"/>
  <c r="Z530" i="11"/>
  <c r="Z261" i="11"/>
  <c r="Z251" i="11"/>
  <c r="Z262" i="11"/>
  <c r="Z263" i="11"/>
  <c r="Z16" i="11"/>
  <c r="Z324" i="11"/>
  <c r="Z285" i="11"/>
  <c r="Z98" i="11"/>
  <c r="Z52" i="11"/>
  <c r="Z250" i="11"/>
  <c r="Z11" i="11"/>
  <c r="Z389" i="11"/>
  <c r="Z440" i="11"/>
  <c r="Z89" i="11"/>
  <c r="Z448" i="11"/>
  <c r="Z438" i="11"/>
  <c r="Z67" i="11"/>
  <c r="Z65" i="11"/>
  <c r="Z202" i="11"/>
  <c r="Z332" i="11"/>
  <c r="Z409" i="11"/>
  <c r="Z107" i="11"/>
  <c r="Z31" i="11"/>
  <c r="Z17" i="11"/>
  <c r="Z349" i="11"/>
  <c r="Z423" i="11"/>
  <c r="Z411" i="11"/>
  <c r="Z347" i="11"/>
  <c r="Z274" i="11"/>
  <c r="Z238" i="11"/>
  <c r="Z443" i="11"/>
  <c r="Z122" i="11"/>
  <c r="Z232" i="11"/>
  <c r="Z14" i="11"/>
  <c r="Z207" i="11"/>
  <c r="Z230" i="11"/>
  <c r="Z362" i="11"/>
  <c r="Z478" i="11"/>
  <c r="Z126" i="11"/>
  <c r="Z410" i="11"/>
  <c r="Z289" i="11"/>
  <c r="Z536" i="11"/>
  <c r="Z391" i="11"/>
  <c r="Z149" i="11"/>
  <c r="Z76" i="11"/>
  <c r="Z66" i="11"/>
  <c r="Z374" i="11"/>
  <c r="Z446" i="11"/>
  <c r="Z479" i="11"/>
  <c r="Z236" i="11"/>
  <c r="Z385" i="11"/>
  <c r="Z477" i="11"/>
  <c r="Z311" i="11"/>
  <c r="Z271" i="11"/>
  <c r="Z372" i="11"/>
  <c r="Z231" i="11"/>
  <c r="Z215" i="11"/>
  <c r="Z406" i="11"/>
  <c r="Z316" i="11"/>
  <c r="Z237" i="11"/>
  <c r="Z37" i="11"/>
  <c r="Z82" i="11"/>
  <c r="Z360" i="11"/>
  <c r="Z485" i="11"/>
  <c r="Z47" i="11"/>
  <c r="Z172" i="11"/>
  <c r="Z426" i="11"/>
  <c r="Z330" i="11"/>
  <c r="Z366" i="11"/>
  <c r="AW366" i="11" s="1"/>
  <c r="Z199" i="11"/>
  <c r="Z493" i="11"/>
  <c r="Z164" i="11"/>
  <c r="Z79" i="11"/>
  <c r="Z327" i="11"/>
  <c r="Z74" i="11"/>
  <c r="Z121" i="11"/>
  <c r="Z77" i="11"/>
  <c r="Z422" i="11"/>
  <c r="Z139" i="11"/>
  <c r="Z452" i="11"/>
  <c r="Z252" i="11"/>
  <c r="Z143" i="11"/>
  <c r="Z171" i="11"/>
  <c r="Z254" i="11"/>
  <c r="Z408" i="11"/>
  <c r="Z447" i="11"/>
  <c r="Z131" i="11"/>
  <c r="Z258" i="11"/>
  <c r="Z373" i="11"/>
  <c r="Z286" i="11"/>
  <c r="Z351" i="11"/>
  <c r="Z95" i="11"/>
  <c r="Z176" i="11"/>
  <c r="Z78" i="11"/>
  <c r="Z390" i="11"/>
  <c r="Z256" i="11"/>
  <c r="Z224" i="11"/>
  <c r="Z323" i="11"/>
  <c r="Z226" i="11"/>
  <c r="AW516" i="11"/>
  <c r="Z36" i="11"/>
  <c r="Z255" i="11"/>
  <c r="Z145" i="11"/>
  <c r="Z75" i="11"/>
  <c r="Z97" i="11"/>
  <c r="Z142" i="11"/>
  <c r="Z268" i="11"/>
  <c r="Z174" i="11"/>
  <c r="Z419" i="11"/>
  <c r="Z113" i="11"/>
  <c r="G16" i="19"/>
  <c r="G20" i="19" s="1"/>
  <c r="G18" i="19"/>
  <c r="G19" i="19"/>
  <c r="K20" i="19"/>
  <c r="M20" i="19"/>
  <c r="I20" i="19"/>
  <c r="M19" i="19"/>
  <c r="I19" i="19"/>
  <c r="K19" i="19"/>
  <c r="M18" i="19"/>
  <c r="I18" i="19"/>
  <c r="K18" i="19"/>
  <c r="N14" i="19"/>
  <c r="N13" i="19"/>
  <c r="N12" i="19"/>
  <c r="N15" i="19"/>
  <c r="E20" i="19"/>
  <c r="N16" i="19"/>
  <c r="N11" i="19"/>
  <c r="AW258" i="11" l="1"/>
  <c r="AW289" i="11"/>
  <c r="BD289" i="11"/>
  <c r="AW346" i="11"/>
  <c r="BD346" i="11"/>
  <c r="AW132" i="11"/>
  <c r="AW240" i="11"/>
  <c r="AW74" i="11"/>
  <c r="BD74" i="11"/>
  <c r="AW410" i="11"/>
  <c r="AW344" i="11"/>
  <c r="BD344" i="11"/>
  <c r="AW140" i="11"/>
  <c r="BD140" i="11"/>
  <c r="AW53" i="11"/>
  <c r="AW500" i="11"/>
  <c r="AW323" i="11"/>
  <c r="BD323" i="11"/>
  <c r="AW385" i="11"/>
  <c r="BD385" i="11"/>
  <c r="AW438" i="11"/>
  <c r="BD438" i="11"/>
  <c r="AW407" i="11"/>
  <c r="AW361" i="11"/>
  <c r="AW445" i="11"/>
  <c r="BD445" i="11"/>
  <c r="AW104" i="11"/>
  <c r="BD104" i="11"/>
  <c r="AW79" i="11"/>
  <c r="AW423" i="11"/>
  <c r="AW115" i="11"/>
  <c r="AW418" i="11"/>
  <c r="BD418" i="11"/>
  <c r="AW475" i="11"/>
  <c r="BD475" i="11"/>
  <c r="AW376" i="11"/>
  <c r="AW394" i="11"/>
  <c r="AW256" i="11"/>
  <c r="BD256" i="11"/>
  <c r="AW479" i="11"/>
  <c r="BD479" i="11"/>
  <c r="AW251" i="11"/>
  <c r="BD251" i="11"/>
  <c r="AW234" i="11"/>
  <c r="BD234" i="11"/>
  <c r="AW123" i="11"/>
  <c r="BD123" i="11"/>
  <c r="AW345" i="11"/>
  <c r="BD345" i="11"/>
  <c r="AW144" i="11"/>
  <c r="BD144" i="11"/>
  <c r="AW171" i="11"/>
  <c r="BD171" i="11"/>
  <c r="AW230" i="11"/>
  <c r="BD230" i="11"/>
  <c r="AW151" i="11"/>
  <c r="AW531" i="11"/>
  <c r="BD531" i="11"/>
  <c r="AW441" i="11"/>
  <c r="AW312" i="11"/>
  <c r="BD312" i="11"/>
  <c r="AW341" i="11"/>
  <c r="BD341" i="11"/>
  <c r="AW199" i="11"/>
  <c r="BD199" i="11"/>
  <c r="AW31" i="11"/>
  <c r="BD31" i="11"/>
  <c r="AW111" i="11"/>
  <c r="AW421" i="11"/>
  <c r="BD421" i="11"/>
  <c r="AW146" i="11"/>
  <c r="AW371" i="11"/>
  <c r="BD371" i="11"/>
  <c r="AW252" i="11"/>
  <c r="BD252" i="11"/>
  <c r="AW66" i="11"/>
  <c r="AW107" i="11"/>
  <c r="BD107" i="11"/>
  <c r="AW259" i="11"/>
  <c r="AW481" i="11"/>
  <c r="BD481" i="11"/>
  <c r="AW291" i="11"/>
  <c r="BD291" i="11"/>
  <c r="AW48" i="11"/>
  <c r="BD48" i="11"/>
  <c r="AW526" i="11"/>
  <c r="BD526" i="11"/>
  <c r="AW221" i="11"/>
  <c r="AW145" i="11"/>
  <c r="BD145" i="11"/>
  <c r="AW330" i="11"/>
  <c r="AW232" i="11"/>
  <c r="BD232" i="11"/>
  <c r="AW499" i="11"/>
  <c r="AW275" i="11"/>
  <c r="AW449" i="11"/>
  <c r="AW482" i="11"/>
  <c r="AW368" i="11"/>
  <c r="BD368" i="11"/>
  <c r="AW351" i="11"/>
  <c r="AW139" i="11"/>
  <c r="BD139" i="11"/>
  <c r="AW231" i="11"/>
  <c r="BD231" i="11"/>
  <c r="AW122" i="11"/>
  <c r="BD122" i="11"/>
  <c r="AW130" i="11"/>
  <c r="AW225" i="11"/>
  <c r="AW204" i="11"/>
  <c r="AW358" i="11"/>
  <c r="AW357" i="11"/>
  <c r="AW223" i="11"/>
  <c r="AW534" i="11"/>
  <c r="AW255" i="11"/>
  <c r="BD255" i="11"/>
  <c r="AW286" i="11"/>
  <c r="BD286" i="11"/>
  <c r="AW422" i="11"/>
  <c r="BD422" i="11"/>
  <c r="AW172" i="11"/>
  <c r="BD172" i="11"/>
  <c r="AW372" i="11"/>
  <c r="BD372" i="11"/>
  <c r="AW391" i="11"/>
  <c r="AW443" i="11"/>
  <c r="BD443" i="11"/>
  <c r="AW332" i="11"/>
  <c r="AW98" i="11"/>
  <c r="AW272" i="11"/>
  <c r="BD272" i="11"/>
  <c r="AW331" i="11"/>
  <c r="AW497" i="11"/>
  <c r="AW253" i="11"/>
  <c r="BD253" i="11"/>
  <c r="AW13" i="11"/>
  <c r="BD13" i="11"/>
  <c r="AW388" i="11"/>
  <c r="BD388" i="11"/>
  <c r="AW112" i="11"/>
  <c r="AW197" i="11"/>
  <c r="BD197" i="11"/>
  <c r="AW405" i="11"/>
  <c r="BD405" i="11"/>
  <c r="AW363" i="11"/>
  <c r="AW260" i="11"/>
  <c r="AW51" i="11"/>
  <c r="AW480" i="11"/>
  <c r="BD480" i="11"/>
  <c r="AW392" i="11"/>
  <c r="AW128" i="11"/>
  <c r="AW485" i="11"/>
  <c r="AW324" i="11"/>
  <c r="BD324" i="11"/>
  <c r="AW450" i="11"/>
  <c r="AW170" i="11"/>
  <c r="BD170" i="11"/>
  <c r="AW498" i="11"/>
  <c r="AW131" i="11"/>
  <c r="AW477" i="11"/>
  <c r="BD477" i="11"/>
  <c r="AW216" i="11"/>
  <c r="BD216" i="11"/>
  <c r="AW93" i="11"/>
  <c r="BD93" i="11"/>
  <c r="AW205" i="11"/>
  <c r="AW217" i="11"/>
  <c r="BD217" i="11"/>
  <c r="AW82" i="11"/>
  <c r="AW263" i="11"/>
  <c r="AW350" i="11"/>
  <c r="AW91" i="11"/>
  <c r="BD91" i="11"/>
  <c r="AW375" i="11"/>
  <c r="AW29" i="11"/>
  <c r="BD29" i="11"/>
  <c r="AW174" i="11"/>
  <c r="AW37" i="11"/>
  <c r="AW448" i="11"/>
  <c r="AW124" i="11"/>
  <c r="BD124" i="11"/>
  <c r="AW439" i="11"/>
  <c r="BD439" i="11"/>
  <c r="AW310" i="11"/>
  <c r="BD310" i="11"/>
  <c r="AW188" i="11"/>
  <c r="AW164" i="11"/>
  <c r="BD164" i="11"/>
  <c r="AW349" i="11"/>
  <c r="AW444" i="11"/>
  <c r="BD444" i="11"/>
  <c r="AW10" i="11"/>
  <c r="BD10" i="11"/>
  <c r="AW325" i="11"/>
  <c r="BD325" i="11"/>
  <c r="AW308" i="11"/>
  <c r="BD308" i="11"/>
  <c r="AW142" i="11"/>
  <c r="BD142" i="11"/>
  <c r="AW493" i="11"/>
  <c r="BD493" i="11"/>
  <c r="AW17" i="11"/>
  <c r="AW125" i="11"/>
  <c r="BD125" i="11"/>
  <c r="AW83" i="11"/>
  <c r="AW203" i="11"/>
  <c r="BD203" i="11"/>
  <c r="AW416" i="11"/>
  <c r="BD416" i="11"/>
  <c r="AW78" i="11"/>
  <c r="BD78" i="11"/>
  <c r="AW374" i="11"/>
  <c r="AW530" i="11"/>
  <c r="BD530" i="11"/>
  <c r="AW109" i="11"/>
  <c r="BD109" i="11"/>
  <c r="AW495" i="11"/>
  <c r="BD495" i="11"/>
  <c r="AW36" i="11"/>
  <c r="AW373" i="11"/>
  <c r="BD373" i="11"/>
  <c r="AW77" i="11"/>
  <c r="BD77" i="11"/>
  <c r="AW47" i="11"/>
  <c r="BD47" i="11"/>
  <c r="AW271" i="11"/>
  <c r="BD271" i="11"/>
  <c r="AW536" i="11"/>
  <c r="AW238" i="11"/>
  <c r="AW202" i="11"/>
  <c r="BD202" i="11"/>
  <c r="AW285" i="11"/>
  <c r="BD285" i="11"/>
  <c r="AW314" i="11"/>
  <c r="AW38" i="11"/>
  <c r="AW12" i="11"/>
  <c r="BD12" i="11"/>
  <c r="AW201" i="11"/>
  <c r="BD201" i="11"/>
  <c r="AW387" i="11"/>
  <c r="BD387" i="11"/>
  <c r="AW420" i="11"/>
  <c r="BD420" i="11"/>
  <c r="AW293" i="11"/>
  <c r="AW393" i="11"/>
  <c r="AW367" i="11"/>
  <c r="BD367" i="11"/>
  <c r="AW267" i="11"/>
  <c r="BD267" i="11"/>
  <c r="AW342" i="11"/>
  <c r="BD342" i="11"/>
  <c r="AW269" i="11"/>
  <c r="BD269" i="11"/>
  <c r="AW106" i="11"/>
  <c r="BD106" i="11"/>
  <c r="AW94" i="11"/>
  <c r="AW484" i="11"/>
  <c r="AW288" i="11"/>
  <c r="BD288" i="11"/>
  <c r="AW129" i="11"/>
  <c r="AW311" i="11"/>
  <c r="BD311" i="11"/>
  <c r="AW257" i="11"/>
  <c r="AW417" i="11"/>
  <c r="BD417" i="11"/>
  <c r="AW108" i="11"/>
  <c r="BD108" i="11"/>
  <c r="AW226" i="11"/>
  <c r="AW218" i="11"/>
  <c r="BD218" i="11"/>
  <c r="AW233" i="11"/>
  <c r="BD233" i="11"/>
  <c r="AW419" i="11"/>
  <c r="BD419" i="11"/>
  <c r="AW32" i="11"/>
  <c r="BD32" i="11"/>
  <c r="AW121" i="11"/>
  <c r="BD121" i="11"/>
  <c r="AW65" i="11"/>
  <c r="AW220" i="11"/>
  <c r="AW200" i="11"/>
  <c r="BD200" i="11"/>
  <c r="AW81" i="11"/>
  <c r="AW113" i="11"/>
  <c r="AW148" i="11"/>
  <c r="AW241" i="11"/>
  <c r="AW198" i="11"/>
  <c r="BD198" i="11"/>
  <c r="AW365" i="11"/>
  <c r="AW327" i="11"/>
  <c r="BD327" i="11"/>
  <c r="AW411" i="11"/>
  <c r="AW206" i="11"/>
  <c r="AW105" i="11"/>
  <c r="BD105" i="11"/>
  <c r="AW222" i="11"/>
  <c r="AW173" i="11"/>
  <c r="AW408" i="11"/>
  <c r="AW236" i="11"/>
  <c r="AW262" i="11"/>
  <c r="AW46" i="11"/>
  <c r="BD46" i="11"/>
  <c r="AW235" i="11"/>
  <c r="AW294" i="11"/>
  <c r="AW424" i="11"/>
  <c r="AW268" i="11"/>
  <c r="BD268" i="11"/>
  <c r="AW237" i="11"/>
  <c r="AW89" i="11"/>
  <c r="BD89" i="11"/>
  <c r="AW527" i="11"/>
  <c r="BD527" i="11"/>
  <c r="AW141" i="11"/>
  <c r="BD141" i="11"/>
  <c r="AW214" i="11"/>
  <c r="BD214" i="11"/>
  <c r="AW309" i="11"/>
  <c r="BD309" i="11"/>
  <c r="AW390" i="11"/>
  <c r="BD390" i="11"/>
  <c r="AW446" i="11"/>
  <c r="BD446" i="11"/>
  <c r="AW440" i="11"/>
  <c r="AW295" i="11"/>
  <c r="AW114" i="11"/>
  <c r="AW476" i="11"/>
  <c r="BD476" i="11"/>
  <c r="AW169" i="11"/>
  <c r="BD169" i="11"/>
  <c r="AW97" i="11"/>
  <c r="AW316" i="11"/>
  <c r="AW389" i="11"/>
  <c r="BD389" i="11"/>
  <c r="AW175" i="11"/>
  <c r="AW39" i="11"/>
  <c r="AW49" i="11"/>
  <c r="AW35" i="11"/>
  <c r="BD35" i="11"/>
  <c r="AW176" i="11"/>
  <c r="AW406" i="11"/>
  <c r="AW11" i="11"/>
  <c r="BD11" i="11"/>
  <c r="AW152" i="11"/>
  <c r="AW442" i="11"/>
  <c r="AW127" i="11"/>
  <c r="AW359" i="11"/>
  <c r="AW377" i="11"/>
  <c r="AW333" i="11"/>
  <c r="AW215" i="11"/>
  <c r="BD215" i="11"/>
  <c r="AW409" i="11"/>
  <c r="AW18" i="11"/>
  <c r="AW110" i="11"/>
  <c r="BD110" i="11"/>
  <c r="AW248" i="11"/>
  <c r="BD248" i="11"/>
  <c r="AW273" i="11"/>
  <c r="AW167" i="11"/>
  <c r="BD167" i="11"/>
  <c r="AW80" i="11"/>
  <c r="AW40" i="11"/>
  <c r="AW412" i="11"/>
  <c r="AW274" i="11"/>
  <c r="BD274" i="11"/>
  <c r="AW92" i="11"/>
  <c r="BD92" i="11"/>
  <c r="AW326" i="11"/>
  <c r="BD326" i="11"/>
  <c r="AW360" i="11"/>
  <c r="AW67" i="11"/>
  <c r="AW30" i="11"/>
  <c r="BD30" i="11"/>
  <c r="AW168" i="11"/>
  <c r="BD168" i="11"/>
  <c r="AW343" i="11"/>
  <c r="BD343" i="11"/>
  <c r="AW447" i="11"/>
  <c r="BD447" i="11"/>
  <c r="AW126" i="11"/>
  <c r="AW147" i="11"/>
  <c r="AW535" i="11"/>
  <c r="AW186" i="11"/>
  <c r="BD186" i="11"/>
  <c r="AW386" i="11"/>
  <c r="BD386" i="11"/>
  <c r="AW224" i="11"/>
  <c r="AW478" i="11"/>
  <c r="BD478" i="11"/>
  <c r="AW425" i="11"/>
  <c r="AW270" i="11"/>
  <c r="BD270" i="11"/>
  <c r="AW496" i="11"/>
  <c r="AW254" i="11"/>
  <c r="BD254" i="11"/>
  <c r="AW362" i="11"/>
  <c r="AW384" i="11"/>
  <c r="BD384" i="11"/>
  <c r="AW369" i="11"/>
  <c r="BD369" i="11"/>
  <c r="AW404" i="11"/>
  <c r="BD404" i="11"/>
  <c r="AW328" i="11"/>
  <c r="BD328" i="11"/>
  <c r="AW364" i="11"/>
  <c r="AW261" i="11"/>
  <c r="AW165" i="11"/>
  <c r="BD165" i="11"/>
  <c r="AW33" i="11"/>
  <c r="BD33" i="11"/>
  <c r="AW90" i="11"/>
  <c r="BD90" i="11"/>
  <c r="AW494" i="11"/>
  <c r="BD494" i="11"/>
  <c r="AW143" i="11"/>
  <c r="BD143" i="11"/>
  <c r="AW207" i="11"/>
  <c r="AW287" i="11"/>
  <c r="BD287" i="11"/>
  <c r="AW290" i="11"/>
  <c r="BD290" i="11"/>
  <c r="AW276" i="11"/>
  <c r="AW403" i="11"/>
  <c r="BD403" i="11"/>
  <c r="AW75" i="11"/>
  <c r="BD75" i="11"/>
  <c r="AW14" i="11"/>
  <c r="BD14" i="11"/>
  <c r="AW187" i="11"/>
  <c r="AW528" i="11"/>
  <c r="BD528" i="11"/>
  <c r="AW492" i="11"/>
  <c r="BD492" i="11"/>
  <c r="AW451" i="11"/>
  <c r="AW402" i="11"/>
  <c r="BD402" i="11"/>
  <c r="AW219" i="11"/>
  <c r="BD219" i="11"/>
  <c r="AW95" i="11"/>
  <c r="AW452" i="11"/>
  <c r="AW76" i="11"/>
  <c r="BD76" i="11"/>
  <c r="AW250" i="11"/>
  <c r="BD250" i="11"/>
  <c r="AW401" i="11"/>
  <c r="BD401" i="11"/>
  <c r="AW370" i="11"/>
  <c r="BD370" i="11"/>
  <c r="AW96" i="11"/>
  <c r="AW239" i="11"/>
  <c r="AW426" i="11"/>
  <c r="AW149" i="11"/>
  <c r="AW52" i="11"/>
  <c r="AW292" i="11"/>
  <c r="AW34" i="11"/>
  <c r="BD34" i="11"/>
  <c r="AW50" i="11"/>
  <c r="AW313" i="11"/>
  <c r="AW150" i="11"/>
  <c r="AW315" i="11"/>
  <c r="AW329" i="11"/>
  <c r="BD329" i="11"/>
  <c r="AW15" i="11"/>
  <c r="BD15" i="11"/>
  <c r="AW501" i="11"/>
  <c r="AW166" i="11"/>
  <c r="BD166" i="11"/>
  <c r="AW483" i="11"/>
  <c r="AW347" i="11"/>
  <c r="AW340" i="11"/>
  <c r="AW16" i="11"/>
  <c r="E19" i="19"/>
  <c r="E18" i="19"/>
  <c r="N18" i="19"/>
  <c r="E7" i="18"/>
  <c r="F7" i="18" s="1"/>
  <c r="E6" i="18"/>
  <c r="F6" i="18" s="1"/>
  <c r="E5" i="18"/>
  <c r="F5" i="18" s="1"/>
  <c r="E4" i="18"/>
  <c r="G8" i="2"/>
  <c r="E8" i="2"/>
  <c r="F8" i="2" s="1"/>
  <c r="G7" i="2"/>
  <c r="E7" i="2"/>
  <c r="F7" i="2" s="1"/>
  <c r="G6" i="2"/>
  <c r="E6" i="2"/>
  <c r="F6" i="2" s="1"/>
  <c r="G5" i="2"/>
  <c r="E5" i="2"/>
  <c r="F5" i="2" s="1"/>
  <c r="E18" i="2"/>
  <c r="F18" i="2" s="1"/>
  <c r="G18" i="2"/>
  <c r="E19" i="2"/>
  <c r="F19" i="2" s="1"/>
  <c r="G19" i="2"/>
  <c r="E20" i="2"/>
  <c r="F20" i="2" s="1"/>
  <c r="G20" i="2"/>
  <c r="G17" i="2"/>
  <c r="E17" i="2"/>
  <c r="F17" i="2" s="1"/>
  <c r="E13" i="2"/>
  <c r="G13" i="2"/>
  <c r="E14" i="2"/>
  <c r="F14" i="2" s="1"/>
  <c r="G14" i="2"/>
  <c r="AJ9" i="11"/>
  <c r="F13" i="2" l="1"/>
  <c r="AR7" i="11"/>
  <c r="AR6" i="11"/>
  <c r="E9" i="11"/>
  <c r="F9" i="11" s="1"/>
  <c r="S9" i="11"/>
  <c r="T9" i="11" s="1"/>
  <c r="U9" i="11" s="1"/>
  <c r="Q9" i="11"/>
  <c r="AS9" i="11"/>
  <c r="H17" i="2"/>
  <c r="H19" i="2"/>
  <c r="H20" i="2"/>
  <c r="H18" i="2"/>
  <c r="F4" i="18"/>
  <c r="G4" i="18" s="1"/>
  <c r="G7" i="18"/>
  <c r="G6" i="18"/>
  <c r="G5" i="18"/>
  <c r="H14" i="2"/>
  <c r="AT9" i="11"/>
  <c r="H13" i="2" l="1"/>
  <c r="G9" i="11"/>
  <c r="V9" i="11"/>
  <c r="H8" i="2" l="1"/>
  <c r="H7" i="2"/>
  <c r="H6" i="2"/>
  <c r="H5" i="2"/>
  <c r="D9" i="2" l="1"/>
  <c r="J18" i="2" l="1"/>
  <c r="D25" i="2"/>
  <c r="L9" i="2"/>
  <c r="K8" i="2" l="1"/>
  <c r="O8" i="2" s="1"/>
  <c r="K7" i="2"/>
  <c r="K6" i="2"/>
  <c r="K5" i="2"/>
  <c r="K4" i="2"/>
  <c r="O4" i="2" s="1"/>
  <c r="M8" i="2" l="1"/>
  <c r="O4" i="13"/>
  <c r="O10"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3" i="13"/>
  <c r="AJ543" i="11"/>
  <c r="AJ544" i="11"/>
  <c r="AJ545" i="11"/>
  <c r="AJ546" i="11"/>
  <c r="AJ547" i="11"/>
  <c r="AJ548" i="11"/>
  <c r="AJ549" i="11"/>
  <c r="AJ550" i="11"/>
  <c r="AJ551" i="11"/>
  <c r="K3" i="13" l="1"/>
  <c r="AR553" i="11" l="1"/>
  <c r="K55" i="13" l="1"/>
  <c r="Y5" i="11" l="1"/>
  <c r="N8" i="2"/>
  <c r="P8" i="2" s="1"/>
  <c r="K15" i="2"/>
  <c r="K3" i="2"/>
  <c r="O3" i="2" l="1"/>
  <c r="M3" i="2"/>
  <c r="AA5" i="11"/>
  <c r="J14" i="2"/>
  <c r="J13" i="2"/>
  <c r="Z5" i="11" l="1"/>
  <c r="N3" i="2" l="1"/>
  <c r="P3" i="2" l="1"/>
  <c r="N9" i="11" l="1"/>
  <c r="B9" i="11" l="1"/>
  <c r="A9" i="11" s="1"/>
  <c r="Y9" i="11" l="1"/>
  <c r="BC9" i="11" s="1"/>
  <c r="W9" i="11"/>
  <c r="M4" i="2" l="1"/>
  <c r="N4" i="2" s="1"/>
  <c r="P4" i="2" s="1"/>
  <c r="Z9" i="11"/>
  <c r="BD9" i="11" s="1"/>
  <c r="X9" i="11"/>
  <c r="C21" i="18" s="1"/>
  <c r="AS529" i="11"/>
  <c r="AW9" i="11" l="1"/>
  <c r="V529" i="11"/>
  <c r="Y529" i="11" s="1"/>
  <c r="BC529" i="11" s="1"/>
  <c r="AS532" i="11"/>
  <c r="Z529" i="11" l="1"/>
  <c r="BD529" i="11" s="1"/>
  <c r="V532" i="11"/>
  <c r="AW529" i="11" l="1"/>
  <c r="Y532" i="11"/>
  <c r="BC532" i="11" s="1"/>
  <c r="BC553" i="11" s="1"/>
  <c r="Z532" i="11" l="1"/>
  <c r="BD532" i="11" s="1"/>
  <c r="BD553" i="11" s="1"/>
  <c r="BC555" i="11" s="1"/>
  <c r="AW532" i="11" l="1"/>
  <c r="AS533" i="11" l="1"/>
  <c r="F533" i="11"/>
  <c r="T533" i="11"/>
  <c r="U533" i="11" s="1"/>
  <c r="V533" i="11" l="1"/>
  <c r="B533" i="11"/>
  <c r="A533" i="11" s="1"/>
  <c r="X533" i="11" s="1"/>
  <c r="G533" i="11"/>
  <c r="Y533" i="11" l="1"/>
  <c r="Z533" i="11" s="1"/>
  <c r="W533" i="11"/>
  <c r="O5" i="2"/>
  <c r="C22" i="18"/>
  <c r="M5" i="2" l="1"/>
  <c r="N5" i="2" s="1"/>
  <c r="AW533" i="11"/>
  <c r="P5" i="2" l="1"/>
  <c r="AS348" i="11" l="1"/>
  <c r="Y4" i="11"/>
  <c r="F348" i="11"/>
  <c r="T348" i="11"/>
  <c r="U348" i="11" s="1"/>
  <c r="V348" i="11" l="1"/>
  <c r="B348" i="11"/>
  <c r="A348" i="11" s="1"/>
  <c r="G348" i="11"/>
  <c r="X348" i="11" l="1"/>
  <c r="W348" i="11"/>
  <c r="Y348" i="11"/>
  <c r="E15" i="2" l="1"/>
  <c r="M7" i="2"/>
  <c r="AA4" i="11"/>
  <c r="C24" i="18"/>
  <c r="Z4" i="11"/>
  <c r="G15" i="2"/>
  <c r="O7" i="2"/>
  <c r="Z348" i="11"/>
  <c r="E16" i="2" s="1"/>
  <c r="F16" i="2" s="1"/>
  <c r="N7" i="2" l="1"/>
  <c r="E22" i="2"/>
  <c r="F15" i="2"/>
  <c r="H15" i="2" s="1"/>
  <c r="G16" i="2"/>
  <c r="H16" i="2" s="1"/>
  <c r="AW348" i="11"/>
  <c r="P7" i="2" l="1"/>
  <c r="F22" i="2"/>
  <c r="L14" i="2"/>
  <c r="G22" i="2"/>
  <c r="M14" i="2" l="1"/>
  <c r="H22" i="2"/>
  <c r="O14" i="2" s="1"/>
  <c r="N14" i="2"/>
  <c r="AS553" i="11" l="1"/>
  <c r="AR5" i="11" s="1"/>
  <c r="AS6" i="11"/>
  <c r="AS486" i="11"/>
  <c r="AS7" i="11" s="1"/>
  <c r="Y3" i="11"/>
  <c r="F486" i="11"/>
  <c r="T486" i="11"/>
  <c r="U486" i="11" s="1"/>
  <c r="V486" i="11" l="1"/>
  <c r="B486" i="11"/>
  <c r="A486" i="11" s="1"/>
  <c r="X486" i="11" s="1"/>
  <c r="G486" i="11"/>
  <c r="Y486" i="11" l="1"/>
  <c r="W486" i="11"/>
  <c r="Z486" i="11" l="1"/>
  <c r="AW486" i="11" l="1"/>
  <c r="F458" i="11"/>
  <c r="G458" i="11" s="1"/>
  <c r="T458" i="11"/>
  <c r="U458" i="11" s="1"/>
  <c r="F459" i="11"/>
  <c r="G459" i="11" s="1"/>
  <c r="F460" i="11"/>
  <c r="G460" i="11" s="1"/>
  <c r="AN6" i="11"/>
  <c r="T460" i="11"/>
  <c r="U460" i="11" s="1"/>
  <c r="T459" i="11"/>
  <c r="U459" i="11" s="1"/>
  <c r="B458" i="11" l="1"/>
  <c r="A458" i="11" s="1"/>
  <c r="X458" i="11" s="1"/>
  <c r="V459" i="11"/>
  <c r="B459" i="11"/>
  <c r="A459" i="11" s="1"/>
  <c r="X459" i="11" s="1"/>
  <c r="B460" i="11"/>
  <c r="A460" i="11" s="1"/>
  <c r="X460" i="11" s="1"/>
  <c r="V460" i="11"/>
  <c r="B4" i="11"/>
  <c r="B3" i="11"/>
  <c r="V458" i="11"/>
  <c r="B5" i="11" l="1"/>
  <c r="Y458" i="11"/>
  <c r="Z458" i="11" s="1"/>
  <c r="M6" i="2" s="1"/>
  <c r="W458" i="11"/>
  <c r="E3" i="2"/>
  <c r="W460" i="11"/>
  <c r="Y460" i="11"/>
  <c r="Z460" i="11" s="1"/>
  <c r="C23" i="18"/>
  <c r="C26" i="18" s="1"/>
  <c r="X6" i="11"/>
  <c r="AA3" i="11"/>
  <c r="W459" i="11"/>
  <c r="Y459" i="11"/>
  <c r="Z459" i="11" s="1"/>
  <c r="G4" i="2" l="1"/>
  <c r="Z3" i="11"/>
  <c r="Z6" i="11"/>
  <c r="E4" i="2"/>
  <c r="F4" i="2" s="1"/>
  <c r="N6" i="2"/>
  <c r="M9" i="2"/>
  <c r="G3" i="2"/>
  <c r="O6" i="2"/>
  <c r="O9" i="2" s="1"/>
  <c r="Y6" i="11"/>
  <c r="F3" i="2"/>
  <c r="AA6" i="11" l="1"/>
  <c r="G9" i="2"/>
  <c r="G25" i="2" s="1"/>
  <c r="H4" i="2"/>
  <c r="E9" i="2"/>
  <c r="H3" i="2"/>
  <c r="F9" i="2"/>
  <c r="P6" i="2"/>
  <c r="P9" i="2" s="1"/>
  <c r="N9" i="2"/>
  <c r="N13" i="2" l="1"/>
  <c r="N15" i="2" s="1"/>
  <c r="H9" i="2"/>
  <c r="O13" i="2" s="1"/>
  <c r="O15" i="2" s="1"/>
  <c r="P15" i="2" s="1"/>
  <c r="M13" i="2"/>
  <c r="M15" i="2" s="1"/>
  <c r="F25" i="2"/>
  <c r="H25" i="2" s="1"/>
  <c r="E25" i="2"/>
  <c r="L13" i="2"/>
  <c r="L1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Gajdics Rita</author>
  </authors>
  <commentList>
    <comment ref="AM9" authorId="0" shapeId="0" xr:uid="{E0411D0B-2924-4589-B0C3-699AF5C36316}">
      <text>
        <r>
          <rPr>
            <b/>
            <sz val="9"/>
            <color indexed="81"/>
            <rFont val="Tahoma"/>
            <family val="2"/>
            <charset val="238"/>
          </rPr>
          <t>Gajdics Rita:</t>
        </r>
        <r>
          <rPr>
            <sz val="9"/>
            <color indexed="81"/>
            <rFont val="Tahoma"/>
            <family val="2"/>
            <charset val="238"/>
          </rPr>
          <t xml:space="preserve">
KDP projekt mitt
-200 000 Ft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<sst xmlns="http://schemas.openxmlformats.org/spreadsheetml/2006/main" count="16186" uniqueCount="4619">
  <si>
    <t>Fennmaradó 
egyenleg</t>
  </si>
  <si>
    <t>ÖSSZESEN</t>
  </si>
  <si>
    <t>Összeg</t>
  </si>
  <si>
    <t>Szállító</t>
  </si>
  <si>
    <t>Megnevezés</t>
  </si>
  <si>
    <t>Témaszám</t>
  </si>
  <si>
    <t>Költség típus</t>
  </si>
  <si>
    <t>Tény</t>
  </si>
  <si>
    <t>Köt. váll.</t>
  </si>
  <si>
    <t xml:space="preserve">Köt. váll. </t>
  </si>
  <si>
    <t>Köt. vállal terhelt egyenleg</t>
  </si>
  <si>
    <t>Megjegyzés</t>
  </si>
  <si>
    <t>Tény/Köt. váll.</t>
  </si>
  <si>
    <t>Kifizetési kérelem</t>
  </si>
  <si>
    <t>Felhasználás</t>
  </si>
  <si>
    <t>Mindösszesen</t>
  </si>
  <si>
    <t>Megrendelés/ szerződés száma</t>
  </si>
  <si>
    <t>SZERVEZETI EGYSÉGEK SZERINT</t>
  </si>
  <si>
    <t>Tevékenység neve</t>
  </si>
  <si>
    <t>Keret</t>
  </si>
  <si>
    <t>óra arány</t>
  </si>
  <si>
    <t>Szoc. Ho.</t>
  </si>
  <si>
    <t>Kutató</t>
  </si>
  <si>
    <t>Technikus</t>
  </si>
  <si>
    <t>Segédszemélyzet</t>
  </si>
  <si>
    <t>Projektmenedzser</t>
  </si>
  <si>
    <t>Munkabér</t>
  </si>
  <si>
    <t>3 tizedesre kerekített munkaidő%</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</si>
  <si>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</si>
  <si>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</si>
  <si>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</si>
  <si>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</si>
  <si>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</si>
  <si>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</si>
  <si>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</si>
  <si>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</si>
  <si>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</si>
  <si>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Elszámolás</t>
  </si>
  <si>
    <t>Foglalkoztatás típusa</t>
  </si>
  <si>
    <t>Célfeladat</t>
  </si>
  <si>
    <t>Megbízási szerződés</t>
  </si>
  <si>
    <t>Bruttó bér</t>
  </si>
  <si>
    <t>Bruttó járuléka</t>
  </si>
  <si>
    <t>Tevékenység szerinti költségsorok</t>
  </si>
  <si>
    <t xml:space="preserve">Projekt elszámolás szerinti </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</si>
  <si>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</si>
  <si>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</si>
  <si>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</si>
  <si>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</si>
  <si>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</si>
  <si>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</si>
  <si>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</si>
  <si>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</si>
  <si>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</si>
  <si>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</si>
  <si>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</si>
  <si>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</si>
  <si>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</si>
  <si>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Adott kolléga milyen munkakört tölt be a projektben (legördülő menüből választani)</t>
  </si>
  <si>
    <t>SZAKMAI KÖLTSÉGEK</t>
  </si>
  <si>
    <t>Időszak
(hónap)</t>
  </si>
  <si>
    <t>Tény/
Köt.váll</t>
  </si>
  <si>
    <t>Foglalkoztatás 
típusa</t>
  </si>
  <si>
    <t>Munkában  
töltött
óra</t>
  </si>
  <si>
    <t>Projekten
elszámolt 
óra</t>
  </si>
  <si>
    <t>Projektre 
elszámolt
bér</t>
  </si>
  <si>
    <t>Projektre 
elszámolt
járulék</t>
  </si>
  <si>
    <t>Szakmai költségsorok</t>
  </si>
  <si>
    <t>Utazási költség</t>
  </si>
  <si>
    <t>Szállásköltség</t>
  </si>
  <si>
    <t>Napidíj</t>
  </si>
  <si>
    <t>Konferencia regisztrációs díj</t>
  </si>
  <si>
    <t>Anyagbeszerzés költségei</t>
  </si>
  <si>
    <t>Immateriális javak (Windows szoftverek)</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</si>
  <si>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</si>
  <si>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</si>
  <si>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</si>
  <si>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</si>
  <si>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</si>
  <si>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</si>
  <si>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</si>
  <si>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</si>
  <si>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Szakmai megvalósításban közreműködő munkatársak költségei</t>
  </si>
  <si>
    <t>Személyi jellegű költség, bérköltség
 (technikus,segédszemélyzet)</t>
  </si>
  <si>
    <t>Szakmai megvalósításhoz kapcsolódó útiköltség, kiküldetési költség</t>
  </si>
  <si>
    <t>Szakmai tevékenységekhez kapcsolódó szolgáltatások költségei</t>
  </si>
  <si>
    <t>Szakmai megvalósításhoz kapcsolódó egyéb költségek</t>
  </si>
  <si>
    <t>Beruházáshoz kapcsolódó költségek</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</si>
  <si>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</si>
  <si>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</si>
  <si>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</si>
  <si>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</si>
  <si>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</si>
  <si>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</si>
  <si>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</si>
  <si>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</si>
  <si>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Menedzsemt Utazási költség</t>
  </si>
  <si>
    <t>Projektmenedzsment személyi jellegű költség, bérköltség</t>
  </si>
  <si>
    <t>Mérföldkő nyitó dátum ellenőrzés</t>
  </si>
  <si>
    <t>2. mérföldkő</t>
  </si>
  <si>
    <t>3. mérföldkő</t>
  </si>
  <si>
    <t>4. mérföldkő</t>
  </si>
  <si>
    <t>5. mérföldkő</t>
  </si>
  <si>
    <t>Költségsor</t>
  </si>
  <si>
    <t>Mérföldkő száma</t>
  </si>
  <si>
    <t>Méröldkő száma</t>
  </si>
  <si>
    <t>Úti költéség és konferenica esetében kérjük a konferencia nevét, időpontját feltüntetni illetve az útiköltség esetében is hogy melyik konferenciához kívánjuk elszámolni a felmerülő költséget, résztvevők nevei.</t>
  </si>
  <si>
    <t>Pataki Zsolt</t>
  </si>
  <si>
    <t>Megvalósításban 
közreműködő 
munkatárs neve</t>
  </si>
  <si>
    <t>Pénzügyi
központ 
(terhelés)</t>
  </si>
  <si>
    <t>Pénzügyi
központ 
(számfejtés)</t>
  </si>
  <si>
    <t>Adóazonósító szám</t>
  </si>
  <si>
    <t>Nettó</t>
  </si>
  <si>
    <t>Teljesítés hónapja</t>
  </si>
  <si>
    <t>ÁFA</t>
  </si>
  <si>
    <t>Dr. Kovács Zsófia</t>
  </si>
  <si>
    <t>Dr. Sebestyén Viktor</t>
  </si>
  <si>
    <t>Dr. Selmeczy Géza</t>
  </si>
  <si>
    <t>Dr. Németh Sándor</t>
  </si>
  <si>
    <t>C017000143</t>
  </si>
  <si>
    <t>C017000144</t>
  </si>
  <si>
    <t>C017000145</t>
  </si>
  <si>
    <t>Szolgáltatás költségek (Szakértői)</t>
  </si>
  <si>
    <t>Eszközköltségek</t>
  </si>
  <si>
    <t>C017000154</t>
  </si>
  <si>
    <t>K037000146</t>
  </si>
  <si>
    <t>M217000147</t>
  </si>
  <si>
    <t>Hubai Katalin Eszter</t>
  </si>
  <si>
    <t>C241100000</t>
  </si>
  <si>
    <t>Költség elem</t>
  </si>
  <si>
    <r>
      <t xml:space="preserve">Tevékenység -
</t>
    </r>
    <r>
      <rPr>
        <b/>
        <u/>
        <sz val="14"/>
        <rFont val="Times New Roman"/>
        <family val="1"/>
        <charset val="238"/>
      </rPr>
      <t>Költségelem</t>
    </r>
    <r>
      <rPr>
        <b/>
        <sz val="14"/>
        <rFont val="Times New Roman"/>
        <family val="1"/>
        <charset val="238"/>
      </rPr>
      <t xml:space="preserve">
neve</t>
    </r>
  </si>
  <si>
    <t xml:space="preserve">Személyi jellegű költség, bérköltség </t>
  </si>
  <si>
    <t>Anyagbeszerzés</t>
  </si>
  <si>
    <t>Szakértői díjak, tanácsadási költségek</t>
  </si>
  <si>
    <t>Eszközbeszerzés</t>
  </si>
  <si>
    <t>Költség kategória</t>
  </si>
  <si>
    <t>Egyéb szakértői szolgáltatás költségei</t>
  </si>
  <si>
    <t>Eszközbeszerzés költségei</t>
  </si>
  <si>
    <t>Lengyel Edina</t>
  </si>
  <si>
    <t>2B, 2C</t>
  </si>
  <si>
    <t>Padisák Judit</t>
  </si>
  <si>
    <t>2A., 2B., 2C., 2D</t>
  </si>
  <si>
    <t xml:space="preserve">2A, 2B, 2C, 2D  </t>
  </si>
  <si>
    <t>Stenger-Kovács Csilla</t>
  </si>
  <si>
    <t>2A, 2B, 2C, 2D</t>
  </si>
  <si>
    <t>SAP</t>
  </si>
  <si>
    <t>Alprojekt</t>
  </si>
  <si>
    <t>Zsuga-Biró Rita</t>
  </si>
  <si>
    <t>C241110000</t>
  </si>
  <si>
    <t>Király Edit</t>
  </si>
  <si>
    <t>Gerencsérné Dr. Berta Renáta</t>
  </si>
  <si>
    <t>Témavezető</t>
  </si>
  <si>
    <t>Zadravecz Renáta</t>
  </si>
  <si>
    <t>K011110000</t>
  </si>
  <si>
    <t>nem releváns</t>
  </si>
  <si>
    <t>Vezető kutató</t>
  </si>
  <si>
    <t>Kovács Zsófia</t>
  </si>
  <si>
    <t>C211100000</t>
  </si>
  <si>
    <t>Fiatal kutató</t>
  </si>
  <si>
    <t>Selmeczy Géza Balázs</t>
  </si>
  <si>
    <t>Farsang Róbert</t>
  </si>
  <si>
    <t>C201110000</t>
  </si>
  <si>
    <t>2. I</t>
  </si>
  <si>
    <t>K011100000</t>
  </si>
  <si>
    <t>Török Rebeka</t>
  </si>
  <si>
    <t>2B</t>
  </si>
  <si>
    <t>Auer Felícia</t>
  </si>
  <si>
    <t>Patkósné Böle Renáta</t>
  </si>
  <si>
    <t>Projektasszisztens</t>
  </si>
  <si>
    <t xml:space="preserve">10048005-00003324-01020034 </t>
  </si>
  <si>
    <t>RRF-2.3.1-21-2022-00008 bankszámlaszám:</t>
  </si>
  <si>
    <t>2022.06.29 e-mail</t>
  </si>
  <si>
    <t>Abonyi János</t>
  </si>
  <si>
    <t>2E</t>
  </si>
  <si>
    <t>2022.06.28. e-mail alapján 2E</t>
  </si>
  <si>
    <r>
      <t xml:space="preserve">Szakmai megvalósításban közreműködő munkatársak költségei </t>
    </r>
    <r>
      <rPr>
        <b/>
        <u/>
        <sz val="18"/>
        <color theme="1"/>
        <rFont val="Times New Roman"/>
        <family val="1"/>
        <charset val="238"/>
      </rPr>
      <t>járulék</t>
    </r>
  </si>
  <si>
    <r>
      <t>Szakmai megvalósításhoz kapcsolódó személyi jellegű ráfordítás</t>
    </r>
    <r>
      <rPr>
        <u/>
        <sz val="18"/>
        <color theme="1"/>
        <rFont val="Times New Roman"/>
        <family val="1"/>
        <charset val="238"/>
      </rPr>
      <t xml:space="preserve"> </t>
    </r>
    <r>
      <rPr>
        <b/>
        <u/>
        <sz val="18"/>
        <color theme="1"/>
        <rFont val="Times New Roman"/>
        <family val="1"/>
        <charset val="238"/>
      </rPr>
      <t>járulék</t>
    </r>
  </si>
  <si>
    <t>Sebestyén Viktor</t>
  </si>
  <si>
    <t>2 E</t>
  </si>
  <si>
    <t>450 000 Ft - 800 000 Ft</t>
  </si>
  <si>
    <t>310 000 Ft - 400 000 Ft</t>
  </si>
  <si>
    <t>Technikus/segéd</t>
  </si>
  <si>
    <t>170 000 Ft - 350 000 Ft</t>
  </si>
  <si>
    <t>750 000 Ft - 1000 000 Ft</t>
  </si>
  <si>
    <t>PhD fokozat megszerzésén túl max. 7 éven belüli</t>
  </si>
  <si>
    <t>bér + járulék</t>
  </si>
  <si>
    <t>EPTK személyi bér részletezés szerint</t>
  </si>
  <si>
    <t>Szakmai vezető helyettes (Vezető kutató)</t>
  </si>
  <si>
    <t>2022. július</t>
  </si>
  <si>
    <t>1. mérföldkő</t>
  </si>
  <si>
    <t>Kovács Barbara</t>
  </si>
  <si>
    <t>K031110000</t>
  </si>
  <si>
    <t>6. B</t>
  </si>
  <si>
    <t>Kovács Nikoletta</t>
  </si>
  <si>
    <t>K031100000</t>
  </si>
  <si>
    <t>Eltérés</t>
  </si>
  <si>
    <t>Kucserka Tamás</t>
  </si>
  <si>
    <t>2.I</t>
  </si>
  <si>
    <t>Közbeszerzési tanácsadói feladatok ellátása</t>
  </si>
  <si>
    <t>PP EXPERTS Kft.</t>
  </si>
  <si>
    <t>Gerencsér Attiláné</t>
  </si>
  <si>
    <t>6.B</t>
  </si>
  <si>
    <t>Nagy Gábor</t>
  </si>
  <si>
    <t>Szerényi Dóra</t>
  </si>
  <si>
    <t>Pék Dorottya</t>
  </si>
  <si>
    <t>M211120000</t>
  </si>
  <si>
    <t>Bevétel érkezett</t>
  </si>
  <si>
    <t>Somogyi Viola</t>
  </si>
  <si>
    <t>2.E</t>
  </si>
  <si>
    <t>2022. augusztus</t>
  </si>
  <si>
    <t>Dr. Meiczinger Mónika</t>
  </si>
  <si>
    <t>2022 0.931 Renivel egyeztetve Fiatal Kutató, indikátor miatt, 2022. 08.30 -email</t>
  </si>
  <si>
    <t>700 000
Elszámolásban lejavítani</t>
  </si>
  <si>
    <t>szochó kedvezmény</t>
  </si>
  <si>
    <t>Dr. Tóth-Farsang Evelin</t>
  </si>
  <si>
    <t>PP-2022-38</t>
  </si>
  <si>
    <t>400000 Ft a keret</t>
  </si>
  <si>
    <t>Lengyel E.</t>
  </si>
  <si>
    <t>2022. szeptember</t>
  </si>
  <si>
    <t>130 órás</t>
  </si>
  <si>
    <t>kutató</t>
  </si>
  <si>
    <t>segéd</t>
  </si>
  <si>
    <t>Harasztiné Hargitai Réka</t>
  </si>
  <si>
    <t>Selmeczy Géza</t>
  </si>
  <si>
    <t>C211110000</t>
  </si>
  <si>
    <t xml:space="preserve">2.I </t>
  </si>
  <si>
    <t>Bíró Ildikó</t>
  </si>
  <si>
    <t>5100008322/2022</t>
  </si>
  <si>
    <t>2022. október</t>
  </si>
  <si>
    <t>az új keret 1000 000</t>
  </si>
  <si>
    <t>PP-2022-42</t>
  </si>
  <si>
    <t>5100008862/2022</t>
  </si>
  <si>
    <t>járulék</t>
  </si>
  <si>
    <t>bér</t>
  </si>
  <si>
    <t>Trájer Attila János</t>
  </si>
  <si>
    <r>
      <t>Szakmai megvalósításhoz kapcsolódó személyi jellegű ráfordítás</t>
    </r>
    <r>
      <rPr>
        <u/>
        <sz val="10"/>
        <color theme="1"/>
        <rFont val="Times New Roman"/>
        <family val="1"/>
        <charset val="238"/>
      </rPr>
      <t xml:space="preserve"> </t>
    </r>
    <r>
      <rPr>
        <b/>
        <u/>
        <sz val="10"/>
        <color theme="1"/>
        <rFont val="Times New Roman"/>
        <family val="1"/>
        <charset val="238"/>
      </rPr>
      <t>járulék</t>
    </r>
  </si>
  <si>
    <t>2023 évre terv</t>
  </si>
  <si>
    <t>személyi</t>
  </si>
  <si>
    <t>anyagjellegű</t>
  </si>
  <si>
    <t>Eszköz</t>
  </si>
  <si>
    <t>M maradvány</t>
  </si>
  <si>
    <t>Tervezés</t>
  </si>
  <si>
    <t>Átalány tervezés</t>
  </si>
  <si>
    <t>M átalány</t>
  </si>
  <si>
    <t>41 hónap</t>
  </si>
  <si>
    <t>Szépvölgyi Réka Katherine</t>
  </si>
  <si>
    <t>C011110000</t>
  </si>
  <si>
    <t>PP-2022-50</t>
  </si>
  <si>
    <t>5100009640/2022</t>
  </si>
  <si>
    <t>2.B</t>
  </si>
  <si>
    <t>2 B</t>
  </si>
  <si>
    <t>2022. november</t>
  </si>
  <si>
    <t>visszavont</t>
  </si>
  <si>
    <t>alap 1050000</t>
  </si>
  <si>
    <t>alap 1050001</t>
  </si>
  <si>
    <t>alap 1050002</t>
  </si>
  <si>
    <t>alap 1050003</t>
  </si>
  <si>
    <t>alap 1050004</t>
  </si>
  <si>
    <t>Juzsakova Tatjána</t>
  </si>
  <si>
    <t> 2.I</t>
  </si>
  <si>
    <t>2022. december</t>
  </si>
  <si>
    <t>Kulcsár Gvendolin</t>
  </si>
  <si>
    <t>2023. január</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</si>
  <si>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</si>
  <si>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</si>
  <si>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</si>
  <si>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</si>
  <si>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</si>
  <si>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</si>
  <si>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</si>
  <si>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</si>
  <si>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</si>
  <si>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</si>
  <si>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</si>
  <si>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</si>
  <si>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</si>
  <si>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</si>
  <si>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</si>
  <si>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</si>
  <si>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</si>
  <si>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</si>
  <si>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</si>
  <si>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</si>
  <si>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</si>
  <si>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</si>
  <si>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</si>
  <si>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</si>
  <si>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</si>
  <si>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</si>
  <si>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</si>
  <si>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</si>
  <si>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</si>
  <si>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</si>
  <si>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</si>
  <si>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</si>
  <si>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</si>
  <si>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</si>
  <si>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</si>
  <si>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</si>
  <si>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</si>
  <si>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</si>
  <si>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</si>
  <si>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</si>
  <si>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</si>
  <si>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</si>
  <si>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</si>
  <si>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</si>
  <si>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</si>
  <si>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</si>
  <si>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</si>
  <si>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</si>
  <si>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</si>
  <si>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</si>
  <si>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</si>
  <si>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</si>
  <si>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</si>
  <si>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</si>
  <si>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</si>
  <si>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</si>
  <si>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</si>
  <si>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</si>
  <si>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</si>
  <si>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</si>
  <si>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</si>
  <si>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</si>
  <si>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</si>
  <si>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</si>
  <si>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</si>
  <si>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</si>
  <si>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</si>
  <si>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</si>
  <si>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</si>
  <si>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</si>
  <si>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</si>
  <si>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</si>
  <si>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</si>
  <si>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</si>
  <si>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</si>
  <si>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</si>
  <si>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</si>
  <si>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</si>
  <si>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</si>
  <si>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</si>
  <si>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</si>
  <si>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</si>
  <si>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</si>
  <si>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</si>
  <si>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</si>
  <si>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</si>
  <si>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</si>
  <si>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</si>
  <si>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</si>
  <si>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</si>
  <si>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</si>
  <si>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</si>
  <si>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</si>
  <si>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</si>
  <si>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</si>
  <si>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</si>
  <si>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</si>
  <si>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</si>
  <si>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</si>
  <si>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</si>
  <si>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</si>
  <si>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</si>
  <si>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</si>
  <si>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</si>
  <si>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</si>
  <si>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</si>
  <si>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</si>
  <si>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</si>
  <si>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</si>
  <si>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</si>
  <si>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</si>
  <si>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</si>
  <si>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</si>
  <si>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</si>
  <si>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</si>
  <si>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</si>
  <si>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</si>
  <si>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</si>
  <si>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</si>
  <si>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</si>
  <si>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</si>
  <si>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</si>
  <si>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</si>
  <si>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</si>
  <si>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</si>
  <si>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</si>
  <si>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</si>
  <si>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</si>
  <si>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</si>
  <si>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</si>
  <si>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</si>
  <si>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</si>
  <si>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</si>
  <si>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</si>
  <si>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</si>
  <si>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</si>
  <si>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</si>
  <si>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</si>
  <si>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</si>
  <si>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</si>
  <si>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</si>
  <si>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</si>
  <si>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</si>
  <si>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</si>
  <si>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</si>
  <si>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</si>
  <si>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</si>
  <si>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</si>
  <si>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</si>
  <si>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</si>
  <si>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</si>
  <si>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</si>
  <si>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</si>
  <si>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</si>
  <si>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</si>
  <si>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</si>
  <si>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</si>
  <si>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</si>
  <si>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</si>
  <si>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</si>
  <si>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</si>
  <si>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</si>
  <si>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</si>
  <si>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</si>
  <si>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</si>
  <si>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</si>
  <si>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</si>
  <si>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</si>
  <si>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</si>
  <si>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</si>
  <si>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</si>
  <si>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</si>
  <si>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</si>
  <si>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</si>
  <si>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</si>
  <si>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</si>
  <si>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</si>
  <si>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</si>
  <si>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</si>
  <si>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</si>
  <si>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</si>
  <si>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</si>
  <si>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</si>
  <si>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</si>
  <si>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</si>
  <si>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</si>
  <si>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</si>
  <si>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</si>
  <si>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</si>
  <si>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</si>
  <si>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</si>
  <si>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</si>
  <si>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</si>
  <si>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</si>
  <si>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</si>
  <si>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</si>
  <si>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</si>
  <si>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</si>
  <si>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</si>
  <si>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</si>
  <si>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</si>
  <si>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</si>
  <si>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</si>
  <si>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</si>
  <si>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</si>
  <si>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</si>
  <si>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</si>
  <si>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</si>
  <si>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</si>
  <si>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</si>
  <si>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</si>
  <si>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</si>
  <si>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</si>
  <si>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</si>
  <si>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</si>
  <si>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</si>
  <si>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</si>
  <si>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</si>
  <si>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</si>
  <si>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</si>
  <si>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</si>
  <si>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</si>
  <si>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</si>
  <si>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</si>
  <si>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</si>
  <si>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</si>
  <si>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</si>
  <si>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</si>
  <si>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</si>
  <si>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</si>
  <si>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</si>
  <si>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</si>
  <si>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</si>
  <si>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</si>
  <si>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</si>
  <si>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</si>
  <si>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</si>
  <si>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</si>
  <si>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</si>
  <si>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</si>
  <si>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</si>
  <si>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</si>
  <si>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</si>
  <si>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</si>
  <si>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</si>
  <si>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</si>
  <si>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</si>
  <si>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</si>
  <si>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</si>
  <si>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</si>
  <si>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</si>
  <si>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</si>
  <si>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</si>
  <si>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</si>
  <si>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</si>
  <si>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</si>
  <si>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</si>
  <si>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</si>
  <si>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</si>
  <si>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</si>
  <si>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</si>
  <si>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</si>
  <si>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</si>
  <si>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</si>
  <si>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</si>
  <si>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</si>
  <si>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</si>
  <si>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</si>
  <si>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</si>
  <si>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</si>
  <si>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</si>
  <si>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</si>
  <si>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</si>
  <si>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</si>
  <si>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</si>
  <si>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</si>
  <si>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</si>
  <si>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</si>
  <si>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</si>
  <si>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</si>
  <si>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</si>
  <si>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</si>
  <si>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</si>
  <si>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</si>
  <si>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</si>
  <si>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</si>
  <si>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</si>
  <si>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</si>
  <si>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</si>
  <si>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</si>
  <si>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</si>
  <si>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</si>
  <si>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</si>
  <si>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</si>
  <si>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</si>
  <si>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</si>
  <si>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</si>
  <si>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</si>
  <si>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</si>
  <si>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</si>
  <si>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</si>
  <si>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</si>
  <si>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</si>
  <si>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</si>
  <si>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</si>
  <si>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</si>
  <si>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</si>
  <si>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</si>
  <si>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</si>
  <si>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</si>
  <si>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</si>
  <si>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</si>
  <si>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</si>
  <si>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</si>
  <si>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</si>
  <si>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</si>
  <si>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</si>
  <si>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</si>
  <si>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</si>
  <si>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</si>
  <si>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</si>
  <si>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</si>
  <si>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</si>
  <si>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</si>
  <si>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</si>
  <si>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</si>
  <si>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</si>
  <si>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</si>
  <si>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</si>
  <si>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</si>
  <si>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</si>
  <si>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</si>
  <si>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</si>
  <si>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</si>
  <si>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</si>
  <si>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</si>
  <si>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</si>
  <si>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</si>
  <si>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</si>
  <si>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</si>
  <si>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</si>
  <si>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</si>
  <si>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</si>
  <si>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</si>
  <si>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</si>
  <si>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</si>
  <si>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</si>
  <si>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</si>
  <si>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</si>
  <si>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</si>
  <si>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</si>
  <si>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</si>
  <si>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</si>
  <si>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</si>
  <si>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</si>
  <si>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</si>
  <si>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</si>
  <si>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</si>
  <si>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</si>
  <si>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</si>
  <si>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</si>
  <si>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</si>
  <si>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</si>
  <si>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</si>
  <si>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</si>
  <si>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</si>
  <si>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</si>
  <si>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</si>
  <si>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</si>
  <si>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</si>
  <si>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</si>
  <si>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</si>
  <si>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</si>
  <si>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</si>
  <si>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</si>
  <si>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</si>
  <si>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</si>
  <si>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</si>
  <si>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</si>
  <si>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</si>
  <si>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</si>
  <si>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</si>
  <si>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</si>
  <si>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</si>
  <si>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</si>
  <si>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</si>
  <si>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</si>
  <si>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</si>
  <si>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</si>
  <si>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</si>
  <si>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</si>
  <si>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</si>
  <si>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</si>
  <si>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</si>
  <si>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</si>
  <si>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</si>
  <si>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</si>
  <si>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</si>
  <si>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</si>
  <si>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</si>
  <si>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</si>
  <si>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</si>
  <si>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</si>
  <si>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</si>
  <si>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</si>
  <si>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</si>
  <si>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</si>
  <si>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</si>
  <si>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</si>
  <si>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</si>
  <si>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</si>
  <si>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</si>
  <si>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</si>
  <si>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</si>
  <si>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</si>
  <si>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</si>
  <si>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</si>
  <si>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</si>
  <si>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</si>
  <si>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</si>
  <si>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</si>
  <si>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</si>
  <si>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</si>
  <si>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</si>
  <si>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</si>
  <si>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</si>
  <si>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</si>
  <si>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</si>
  <si>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</si>
  <si>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</si>
  <si>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</si>
  <si>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</si>
  <si>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</si>
  <si>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</si>
  <si>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</si>
  <si>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</si>
  <si>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</si>
  <si>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</si>
  <si>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</si>
  <si>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</si>
  <si>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</si>
  <si>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</si>
  <si>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</si>
  <si>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</si>
  <si>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</si>
  <si>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</si>
  <si>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</si>
  <si>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</si>
  <si>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</si>
  <si>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</si>
  <si>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</si>
  <si>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</si>
  <si>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</si>
  <si>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</si>
  <si>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</si>
  <si>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</si>
  <si>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</si>
  <si>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</si>
  <si>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</si>
  <si>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</si>
  <si>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</si>
  <si>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</si>
  <si>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</si>
  <si>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</si>
  <si>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</si>
  <si>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</si>
  <si>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</si>
  <si>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</si>
  <si>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</si>
  <si>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</si>
  <si>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</si>
  <si>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</si>
  <si>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</si>
  <si>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</si>
  <si>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</si>
  <si>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</si>
  <si>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</si>
  <si>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</si>
  <si>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</si>
  <si>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</si>
  <si>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</si>
  <si>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</si>
  <si>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</si>
  <si>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</si>
  <si>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</si>
  <si>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</si>
  <si>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</si>
  <si>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</si>
  <si>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</si>
  <si>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</si>
  <si>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</si>
  <si>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</si>
  <si>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</si>
  <si>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</si>
  <si>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</si>
  <si>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</si>
  <si>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</si>
  <si>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</si>
  <si>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</si>
  <si>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</si>
  <si>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</si>
  <si>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</si>
  <si>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</si>
  <si>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</si>
  <si>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</si>
  <si>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</si>
  <si>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</si>
  <si>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</si>
  <si>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</si>
  <si>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</si>
  <si>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</si>
  <si>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</si>
  <si>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</si>
  <si>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</si>
  <si>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</si>
  <si>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</si>
  <si>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</si>
  <si>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</si>
  <si>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</si>
  <si>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</si>
  <si>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</si>
  <si>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</si>
  <si>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</si>
  <si>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</si>
  <si>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</si>
  <si>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</si>
  <si>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</si>
  <si>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</si>
  <si>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</si>
  <si>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</si>
  <si>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</si>
  <si>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</si>
  <si>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</si>
  <si>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</si>
  <si>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</si>
  <si>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</si>
  <si>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</si>
  <si>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</si>
  <si>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</si>
  <si>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</si>
  <si>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</si>
  <si>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</si>
  <si>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</si>
  <si>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</si>
  <si>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</si>
  <si>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</si>
  <si>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</si>
  <si>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</si>
  <si>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</si>
  <si>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</si>
  <si>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</si>
  <si>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</si>
  <si>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</si>
  <si>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</si>
  <si>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</si>
  <si>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</si>
  <si>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</si>
  <si>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</si>
  <si>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</si>
  <si>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</si>
  <si>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</si>
  <si>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</si>
  <si>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</si>
  <si>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</si>
  <si>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</si>
  <si>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</si>
  <si>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</si>
  <si>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</si>
  <si>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</si>
  <si>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</si>
  <si>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</si>
  <si>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</si>
  <si>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</si>
  <si>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</si>
  <si>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</si>
  <si>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</si>
  <si>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</si>
  <si>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</si>
  <si>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</si>
  <si>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</si>
  <si>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</si>
  <si>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</si>
  <si>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</si>
  <si>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</si>
  <si>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</si>
  <si>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</si>
  <si>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</si>
  <si>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</si>
  <si>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</si>
  <si>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</si>
  <si>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</si>
  <si>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</si>
  <si>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</si>
  <si>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</si>
  <si>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</si>
  <si>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</si>
  <si>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</si>
  <si>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</si>
  <si>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</si>
  <si>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</si>
  <si>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</si>
  <si>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</si>
  <si>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</si>
  <si>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</si>
  <si>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Hegedűsné Dr. Baranyai Nóra</t>
  </si>
  <si>
    <t>K03</t>
  </si>
  <si>
    <t>Soós Ernő Víztechnológiai</t>
  </si>
  <si>
    <t>Dr. Hodai Zoltán</t>
  </si>
  <si>
    <t>Holczinger Tibor</t>
  </si>
  <si>
    <t>Dr. Hortobágyi Ildikó</t>
  </si>
  <si>
    <t>Dr. Klie-Horváth Eszter</t>
  </si>
  <si>
    <t>Horváth Krisztián</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</si>
  <si>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</si>
  <si>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</si>
  <si>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</si>
  <si>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</si>
  <si>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</si>
  <si>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</si>
  <si>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</si>
  <si>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</si>
  <si>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</si>
  <si>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</si>
  <si>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</si>
  <si>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</si>
  <si>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</si>
  <si>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</si>
  <si>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</si>
  <si>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</si>
  <si>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</si>
  <si>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</si>
  <si>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</si>
  <si>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</si>
  <si>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</si>
  <si>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</si>
  <si>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</si>
  <si>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</si>
  <si>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</si>
  <si>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</si>
  <si>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</si>
  <si>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</si>
  <si>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</si>
  <si>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</si>
  <si>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</si>
  <si>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</si>
  <si>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</si>
  <si>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</si>
  <si>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</si>
  <si>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</si>
  <si>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</si>
  <si>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</si>
  <si>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</si>
  <si>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</si>
  <si>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</si>
  <si>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</si>
  <si>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</si>
  <si>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</si>
  <si>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</si>
  <si>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</si>
  <si>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</si>
  <si>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</si>
  <si>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</si>
  <si>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</si>
  <si>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</si>
  <si>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</si>
  <si>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</si>
  <si>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</si>
  <si>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</si>
  <si>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</si>
  <si>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</si>
  <si>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</si>
  <si>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</si>
  <si>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</si>
  <si>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</si>
  <si>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</si>
  <si>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</si>
  <si>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</si>
  <si>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</si>
  <si>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</si>
  <si>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</si>
  <si>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</si>
  <si>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</si>
  <si>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</si>
  <si>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</si>
  <si>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</si>
  <si>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</si>
  <si>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</si>
  <si>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</si>
  <si>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</si>
  <si>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</si>
  <si>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</si>
  <si>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</si>
  <si>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</si>
  <si>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</si>
  <si>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</si>
  <si>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</si>
  <si>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</si>
  <si>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</si>
  <si>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Skodáné Dr. Földes Rita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</si>
  <si>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</si>
  <si>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</si>
  <si>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</si>
  <si>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</si>
  <si>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</si>
  <si>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</si>
  <si>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</si>
  <si>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</si>
  <si>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</si>
  <si>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</si>
  <si>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</si>
  <si>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</si>
  <si>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</si>
  <si>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</si>
  <si>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</si>
  <si>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</si>
  <si>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</si>
  <si>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</si>
  <si>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</si>
  <si>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</si>
  <si>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</si>
  <si>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</si>
  <si>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</si>
  <si>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</si>
  <si>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</si>
  <si>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</si>
  <si>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</si>
  <si>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</si>
  <si>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</si>
  <si>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</si>
  <si>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</si>
  <si>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</si>
  <si>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</si>
  <si>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</si>
  <si>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</si>
  <si>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</si>
  <si>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</si>
  <si>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</si>
  <si>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</si>
  <si>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</si>
  <si>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</si>
  <si>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</si>
  <si>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</si>
  <si>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</si>
  <si>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</si>
  <si>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Bakonyi Péter</t>
  </si>
  <si>
    <t>Dr. Baumgartner János</t>
  </si>
  <si>
    <t>Dr. Egedy Attila</t>
  </si>
  <si>
    <t>Eller Zoltán</t>
  </si>
  <si>
    <t>Dr. Enisz Krisztián</t>
  </si>
  <si>
    <t>Dr. Galambos Ildikó</t>
  </si>
  <si>
    <t>Dr. Hajba László</t>
  </si>
  <si>
    <t>Halász László</t>
  </si>
  <si>
    <t>ügyvivő szakértő</t>
  </si>
  <si>
    <t>Hargitai Dávid Máté</t>
  </si>
  <si>
    <t>Horváth Barnabás</t>
  </si>
  <si>
    <t>Dr. Kósa István</t>
  </si>
  <si>
    <t>Lipovits Ágnes</t>
  </si>
  <si>
    <t>Dr. Nagy Roland</t>
  </si>
  <si>
    <t>Dr. Pribojszki-Németh Anikó</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</si>
  <si>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</si>
  <si>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</si>
  <si>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</si>
  <si>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</si>
  <si>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</si>
  <si>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</si>
  <si>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</si>
  <si>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</si>
  <si>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</si>
  <si>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</si>
  <si>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</si>
  <si>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</si>
  <si>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</si>
  <si>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</si>
  <si>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</si>
  <si>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</si>
  <si>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</si>
  <si>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</si>
  <si>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</si>
  <si>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</si>
  <si>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</si>
  <si>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</si>
  <si>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</si>
  <si>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</si>
  <si>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</si>
  <si>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</si>
  <si>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</si>
  <si>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</si>
  <si>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</si>
  <si>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</si>
  <si>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</si>
  <si>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</si>
  <si>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</si>
  <si>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</si>
  <si>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</si>
  <si>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</si>
  <si>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</si>
  <si>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</si>
  <si>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</si>
  <si>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</si>
  <si>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</si>
  <si>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</si>
  <si>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</si>
  <si>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</si>
  <si>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</si>
  <si>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</si>
  <si>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</si>
  <si>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</si>
  <si>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</si>
  <si>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</si>
  <si>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</si>
  <si>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</si>
  <si>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</si>
  <si>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</si>
  <si>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</si>
  <si>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</si>
  <si>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</si>
  <si>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</si>
  <si>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</si>
  <si>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</si>
  <si>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Bucsky Anikó</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</si>
  <si>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</si>
  <si>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</si>
  <si>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</si>
  <si>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</si>
  <si>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</si>
  <si>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</si>
  <si>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</si>
  <si>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</si>
  <si>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</si>
  <si>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</si>
  <si>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</si>
  <si>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</si>
  <si>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</si>
  <si>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</si>
  <si>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</si>
  <si>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</si>
  <si>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</si>
  <si>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</si>
  <si>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</si>
  <si>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</si>
  <si>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</si>
  <si>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</si>
  <si>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</si>
  <si>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</si>
  <si>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Takácsné Ferenczik Brigitta</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</si>
  <si>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</si>
  <si>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</si>
  <si>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</si>
  <si>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</si>
  <si>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</si>
  <si>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</si>
  <si>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</si>
  <si>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</si>
  <si>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</si>
  <si>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</si>
  <si>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</si>
  <si>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</si>
  <si>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</si>
  <si>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</si>
  <si>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</si>
  <si>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</si>
  <si>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</si>
  <si>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</si>
  <si>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</si>
  <si>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</si>
  <si>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</si>
  <si>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</si>
  <si>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</si>
  <si>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</si>
  <si>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</si>
  <si>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</si>
  <si>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</si>
  <si>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</si>
  <si>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</si>
  <si>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</si>
  <si>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</si>
  <si>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</si>
  <si>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</si>
  <si>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</si>
  <si>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</si>
  <si>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</si>
  <si>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</si>
  <si>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</si>
  <si>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</si>
  <si>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</si>
  <si>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</si>
  <si>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</si>
  <si>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</si>
  <si>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</si>
  <si>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</si>
  <si>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</si>
  <si>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</si>
  <si>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</si>
  <si>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</si>
  <si>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</si>
  <si>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</si>
  <si>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</si>
  <si>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</si>
  <si>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</si>
  <si>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</si>
  <si>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</si>
  <si>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</si>
  <si>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</si>
  <si>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</si>
  <si>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</si>
  <si>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</si>
  <si>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</si>
  <si>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</si>
  <si>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</si>
  <si>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</si>
  <si>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</si>
  <si>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</si>
  <si>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</si>
  <si>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</si>
  <si>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</si>
  <si>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</si>
  <si>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</si>
  <si>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</si>
  <si>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</si>
  <si>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</si>
  <si>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</si>
  <si>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</si>
  <si>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</si>
  <si>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</si>
  <si>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</si>
  <si>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</si>
  <si>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</si>
  <si>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</si>
  <si>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</si>
  <si>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</si>
  <si>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</si>
  <si>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</si>
  <si>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</si>
  <si>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</si>
  <si>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</si>
  <si>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</si>
  <si>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</si>
  <si>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</si>
  <si>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</si>
  <si>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</si>
  <si>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</si>
  <si>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</si>
  <si>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</si>
  <si>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</si>
  <si>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</si>
  <si>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</si>
  <si>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</si>
  <si>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</si>
  <si>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</si>
  <si>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</si>
  <si>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</si>
  <si>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</si>
  <si>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</si>
  <si>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</si>
  <si>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</si>
  <si>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</si>
  <si>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</si>
  <si>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</si>
  <si>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</si>
  <si>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</si>
  <si>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</si>
  <si>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Siki Andrea</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</si>
  <si>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</si>
  <si>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</si>
  <si>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</si>
  <si>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</si>
  <si>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</si>
  <si>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</si>
  <si>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</si>
  <si>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</si>
  <si>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</si>
  <si>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</si>
  <si>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</si>
  <si>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</si>
  <si>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</si>
  <si>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</si>
  <si>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</si>
  <si>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</si>
  <si>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</si>
  <si>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</si>
  <si>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</si>
  <si>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</si>
  <si>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</si>
  <si>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</si>
  <si>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 Gábor</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</si>
  <si>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</si>
  <si>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</si>
  <si>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</si>
  <si>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</si>
  <si>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</si>
  <si>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</si>
  <si>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</si>
  <si>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</si>
  <si>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</si>
  <si>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</si>
  <si>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</si>
  <si>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</si>
  <si>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</si>
  <si>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</si>
  <si>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</si>
  <si>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</si>
  <si>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</si>
  <si>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</si>
  <si>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</si>
  <si>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</si>
  <si>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Pekárdy Milán Péter</t>
  </si>
  <si>
    <t>Soósné Dr. Balczár Ida Anna</t>
  </si>
  <si>
    <t>Dr. Kovács András</t>
  </si>
  <si>
    <t>Cseh Balázs</t>
  </si>
  <si>
    <t>Holéczy Gergely</t>
  </si>
  <si>
    <t>Koczka-Barabás Enikő</t>
  </si>
  <si>
    <t>Dr. Tomasek Szabina</t>
  </si>
  <si>
    <t>Dr. Eller-Tóth Orsolya</t>
  </si>
  <si>
    <t>Pados Alexandra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</si>
  <si>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</si>
  <si>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</si>
  <si>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</si>
  <si>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</si>
  <si>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</si>
  <si>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</si>
  <si>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</si>
  <si>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</si>
  <si>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</si>
  <si>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</si>
  <si>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</si>
  <si>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</si>
  <si>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</si>
  <si>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</si>
  <si>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</si>
  <si>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</si>
  <si>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</si>
  <si>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</si>
  <si>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</si>
  <si>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</si>
  <si>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</si>
  <si>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</si>
  <si>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</si>
  <si>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</si>
  <si>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</si>
  <si>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</si>
  <si>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</si>
  <si>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</si>
  <si>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</si>
  <si>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</si>
  <si>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</si>
  <si>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</si>
  <si>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</si>
  <si>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</si>
  <si>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</si>
  <si>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Rózsenberszki Tamás</t>
  </si>
  <si>
    <t>Deér Loránd</t>
  </si>
  <si>
    <t>Márton Zoltán</t>
  </si>
  <si>
    <t>Ivanics Liliána</t>
  </si>
  <si>
    <t>Zima Andrea</t>
  </si>
  <si>
    <t>Rappné Tóth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</si>
  <si>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</si>
  <si>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</si>
  <si>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</si>
  <si>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</si>
  <si>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</si>
  <si>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</si>
  <si>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</si>
  <si>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</si>
  <si>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</si>
  <si>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</si>
  <si>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</si>
  <si>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</si>
  <si>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</si>
  <si>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</si>
  <si>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</si>
  <si>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</si>
  <si>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</si>
  <si>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</si>
  <si>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</si>
  <si>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</si>
  <si>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</si>
  <si>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</si>
  <si>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</si>
  <si>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</si>
  <si>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</si>
  <si>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</si>
  <si>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</si>
  <si>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</si>
  <si>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</si>
  <si>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</si>
  <si>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</si>
  <si>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</si>
  <si>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</si>
  <si>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</si>
  <si>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</si>
  <si>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</si>
  <si>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</si>
  <si>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</si>
  <si>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</si>
  <si>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</si>
  <si>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</si>
  <si>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</si>
  <si>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</si>
  <si>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</si>
  <si>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</si>
  <si>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</si>
  <si>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</si>
  <si>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</si>
  <si>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</si>
  <si>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</si>
  <si>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</si>
  <si>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</si>
  <si>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</si>
  <si>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</si>
  <si>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</si>
  <si>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</si>
  <si>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</si>
  <si>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</si>
  <si>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</si>
  <si>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</si>
  <si>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</si>
  <si>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</si>
  <si>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</si>
  <si>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</si>
  <si>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</si>
  <si>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</si>
  <si>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</si>
  <si>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</si>
  <si>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</si>
  <si>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</si>
  <si>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</si>
  <si>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</si>
  <si>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</si>
  <si>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</si>
  <si>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</si>
  <si>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</si>
  <si>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</si>
  <si>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</si>
  <si>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</si>
  <si>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</si>
  <si>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</si>
  <si>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</si>
  <si>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Juvanziczné Zsovár Viktória</t>
  </si>
  <si>
    <t>Zsinka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</si>
  <si>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</si>
  <si>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</si>
  <si>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</si>
  <si>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</si>
  <si>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</si>
  <si>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</si>
  <si>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</si>
  <si>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</si>
  <si>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</si>
  <si>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</si>
  <si>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</si>
  <si>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</si>
  <si>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</si>
  <si>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Gácsi Eszter</t>
  </si>
  <si>
    <t>Szakonyi Benedek</t>
  </si>
  <si>
    <t>Kovács Róbert</t>
  </si>
  <si>
    <t>Juhász Judit</t>
  </si>
  <si>
    <t>Szűcs Attila</t>
  </si>
  <si>
    <t>Dr. Morva Péter</t>
  </si>
  <si>
    <t>Cseh Gréta</t>
  </si>
  <si>
    <t>J41</t>
  </si>
  <si>
    <t>Duális Képzési Központ</t>
  </si>
  <si>
    <t>Fülöp Tamás</t>
  </si>
  <si>
    <t>Dr. Ruppert Tamás</t>
  </si>
  <si>
    <t>Horváth Dominik</t>
  </si>
  <si>
    <t>Korpáczi Eszter</t>
  </si>
  <si>
    <t>Dr. Lengyel Edina</t>
  </si>
  <si>
    <t>Éles Barna Attila</t>
  </si>
  <si>
    <t>Bertók Martin</t>
  </si>
  <si>
    <t>Kiglics Norbert</t>
  </si>
  <si>
    <t>Lukács Diána</t>
  </si>
  <si>
    <t>Tóth Renáta</t>
  </si>
  <si>
    <t>Béresné Béndek Zsuzsanna</t>
  </si>
  <si>
    <t>Papirovnyik Mónika Mária</t>
  </si>
  <si>
    <t>Csalódi Róbert</t>
  </si>
  <si>
    <t>Bartos Adrián</t>
  </si>
  <si>
    <t>Csányi Boldizsár</t>
  </si>
  <si>
    <t>Bambek Magdolna</t>
  </si>
  <si>
    <t>Balogh Diána</t>
  </si>
  <si>
    <t>Hülberné Beyer Éva Anna</t>
  </si>
  <si>
    <t>Fitosné Boros Adrienn</t>
  </si>
  <si>
    <t>Kocsisné Pfeifer Éva</t>
  </si>
  <si>
    <t>Németh Péter</t>
  </si>
  <si>
    <t>Kertai László</t>
  </si>
  <si>
    <t>Szolga Szilárd</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</si>
  <si>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</si>
  <si>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</si>
  <si>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</si>
  <si>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</si>
  <si>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</si>
  <si>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</si>
  <si>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</si>
  <si>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</si>
  <si>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</si>
  <si>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</si>
  <si>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</si>
  <si>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</si>
  <si>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</si>
  <si>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</si>
  <si>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</si>
  <si>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</si>
  <si>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</si>
  <si>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</si>
  <si>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</si>
  <si>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</si>
  <si>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</si>
  <si>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</si>
  <si>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</si>
  <si>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</si>
  <si>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</si>
  <si>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</si>
  <si>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</si>
  <si>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</si>
  <si>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</si>
  <si>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</si>
  <si>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</si>
  <si>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</si>
  <si>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</si>
  <si>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</si>
  <si>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</si>
  <si>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</si>
  <si>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</si>
  <si>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</si>
  <si>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</si>
  <si>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</si>
  <si>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</si>
  <si>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</si>
  <si>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</si>
  <si>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</si>
  <si>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</si>
  <si>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</si>
  <si>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</si>
  <si>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</si>
  <si>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</si>
  <si>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</si>
  <si>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</si>
  <si>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</si>
  <si>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</si>
  <si>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</si>
  <si>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</si>
  <si>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</si>
  <si>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</si>
  <si>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</si>
  <si>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</si>
  <si>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</si>
  <si>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</si>
  <si>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</si>
  <si>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</si>
  <si>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</si>
  <si>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</si>
  <si>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</si>
  <si>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</si>
  <si>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</si>
  <si>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</si>
  <si>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</si>
  <si>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</si>
  <si>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</si>
  <si>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</si>
  <si>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Hőke Ferenc</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</si>
  <si>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</si>
  <si>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</si>
  <si>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</si>
  <si>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</si>
  <si>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</si>
  <si>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</si>
  <si>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</si>
  <si>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</si>
  <si>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</si>
  <si>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</si>
  <si>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</si>
  <si>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</si>
  <si>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</si>
  <si>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</si>
  <si>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</si>
  <si>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</si>
  <si>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</si>
  <si>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</si>
  <si>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</si>
  <si>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</si>
  <si>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</si>
  <si>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</si>
  <si>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</si>
  <si>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</si>
  <si>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</si>
  <si>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</si>
  <si>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</si>
  <si>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</si>
  <si>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</si>
  <si>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</si>
  <si>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</si>
  <si>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</si>
  <si>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</si>
  <si>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</si>
  <si>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</si>
  <si>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</si>
  <si>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</si>
  <si>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</si>
  <si>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</si>
  <si>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</si>
  <si>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</si>
  <si>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</si>
  <si>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</si>
  <si>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</si>
  <si>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</si>
  <si>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</si>
  <si>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</si>
  <si>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</si>
  <si>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</si>
  <si>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</si>
  <si>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</si>
  <si>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</si>
  <si>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</si>
  <si>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</si>
  <si>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</si>
  <si>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</si>
  <si>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</si>
  <si>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</si>
  <si>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</si>
  <si>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</si>
  <si>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</si>
  <si>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</si>
  <si>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</si>
  <si>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</si>
  <si>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</si>
  <si>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</si>
  <si>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</si>
  <si>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</si>
  <si>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</si>
  <si>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</si>
  <si>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</si>
  <si>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</si>
  <si>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</si>
  <si>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</si>
  <si>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</si>
  <si>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</si>
  <si>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</si>
  <si>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</si>
  <si>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</si>
  <si>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</si>
  <si>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</si>
  <si>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</si>
  <si>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</si>
  <si>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</si>
  <si>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</si>
  <si>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</si>
  <si>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</si>
  <si>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</si>
  <si>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</si>
  <si>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</si>
  <si>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</si>
  <si>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</si>
  <si>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</si>
  <si>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</si>
  <si>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</si>
  <si>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</si>
  <si>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</si>
  <si>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</si>
  <si>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</si>
  <si>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</si>
  <si>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</si>
  <si>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</si>
  <si>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</si>
  <si>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</si>
  <si>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</si>
  <si>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</si>
  <si>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</si>
  <si>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</si>
  <si>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</si>
  <si>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</si>
  <si>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</si>
  <si>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</si>
  <si>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Pekárik Dávid</t>
  </si>
  <si>
    <t>Bella Dániel</t>
  </si>
  <si>
    <t>Tóth Bernadett</t>
  </si>
  <si>
    <t>Dr. Farkas Péter</t>
  </si>
  <si>
    <t>Kerekesné Csordás Eszter</t>
  </si>
  <si>
    <t>Szakács Szabolcs</t>
  </si>
  <si>
    <t>Kaszáné Csehi Diána</t>
  </si>
  <si>
    <t>Martinecz Réka</t>
  </si>
  <si>
    <t>Auer Róbert</t>
  </si>
  <si>
    <t>Fodor Sándor</t>
  </si>
  <si>
    <t>Balog Annamária</t>
  </si>
  <si>
    <t>Dr. Vonderviszt Lajos</t>
  </si>
  <si>
    <t>Varga Kende Lőrinc</t>
  </si>
  <si>
    <t>Fehér Norbert</t>
  </si>
  <si>
    <t>Mihalik Bendegúz</t>
  </si>
  <si>
    <t>Rádli Richárd Bence</t>
  </si>
  <si>
    <t>Varga Ákos</t>
  </si>
  <si>
    <t>Csima-Ihász Tímea</t>
  </si>
  <si>
    <t>Dr. Józsa László</t>
  </si>
  <si>
    <t>Jakab Bálint</t>
  </si>
  <si>
    <t>Leveles László</t>
  </si>
  <si>
    <t>Gál Henrietta</t>
  </si>
  <si>
    <t>Kovács Bálint</t>
  </si>
  <si>
    <t>Darányi András Pál</t>
  </si>
  <si>
    <t>Anga Gergely Máté</t>
  </si>
  <si>
    <t>Csányi Szilvia</t>
  </si>
  <si>
    <t>Zsiborács Henrik</t>
  </si>
  <si>
    <t>Szecsődi-Guti Mária</t>
  </si>
  <si>
    <t>Dr. Tóth Benedek</t>
  </si>
  <si>
    <t>Dr. Strack Flórián</t>
  </si>
  <si>
    <t>Dr. Kántor Szilvia</t>
  </si>
  <si>
    <t>Csrepka Máté Barnabás</t>
  </si>
  <si>
    <t>Czene Adrienn</t>
  </si>
  <si>
    <t>Kátai Gyöngyvér</t>
  </si>
  <si>
    <t>Dr. Kucserka Tamás</t>
  </si>
  <si>
    <t>Kis-Simon Tünde</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</si>
  <si>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</si>
  <si>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</si>
  <si>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</si>
  <si>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</si>
  <si>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</si>
  <si>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</si>
  <si>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</si>
  <si>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</si>
  <si>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</si>
  <si>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</si>
  <si>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</si>
  <si>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</si>
  <si>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</si>
  <si>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</si>
  <si>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</si>
  <si>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</si>
  <si>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</si>
  <si>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</si>
  <si>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Komáromy Péter</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</si>
  <si>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</si>
  <si>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</si>
  <si>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</si>
  <si>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</si>
  <si>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</si>
  <si>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</si>
  <si>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</si>
  <si>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</si>
  <si>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</si>
  <si>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</si>
  <si>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</si>
  <si>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</si>
  <si>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</si>
  <si>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</si>
  <si>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</si>
  <si>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</si>
  <si>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</si>
  <si>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</si>
  <si>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</si>
  <si>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</si>
  <si>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</si>
  <si>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</si>
  <si>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</si>
  <si>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</si>
  <si>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</si>
  <si>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</si>
  <si>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</si>
  <si>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</si>
  <si>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</si>
  <si>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</si>
  <si>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</si>
  <si>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</si>
  <si>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</si>
  <si>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Koók László</t>
  </si>
  <si>
    <t>Bátor Franciska</t>
  </si>
  <si>
    <t>Dr. Kovács Melinda</t>
  </si>
  <si>
    <t>Dr. Kovács-Németh Lilla</t>
  </si>
  <si>
    <t>Nagy Zsuzsanna</t>
  </si>
  <si>
    <t>Bereczki Péter Gábor</t>
  </si>
  <si>
    <t>Balog Andrea</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</si>
  <si>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</si>
  <si>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</si>
  <si>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</si>
  <si>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</si>
  <si>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</si>
  <si>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</si>
  <si>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</si>
  <si>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</si>
  <si>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</si>
  <si>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</si>
  <si>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</si>
  <si>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</si>
  <si>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</si>
  <si>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</si>
  <si>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</si>
  <si>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</si>
  <si>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</si>
  <si>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</si>
  <si>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</si>
  <si>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</si>
  <si>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</si>
  <si>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</si>
  <si>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</si>
  <si>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</si>
  <si>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</si>
  <si>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</si>
  <si>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</si>
  <si>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</si>
  <si>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</si>
  <si>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</si>
  <si>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</si>
  <si>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</si>
  <si>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</si>
  <si>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</si>
  <si>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</si>
  <si>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</si>
  <si>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</si>
  <si>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</si>
  <si>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</si>
  <si>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</si>
  <si>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</si>
  <si>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</si>
  <si>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</si>
  <si>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</si>
  <si>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</si>
  <si>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</si>
  <si>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</si>
  <si>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</si>
  <si>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</si>
  <si>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</si>
  <si>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</si>
  <si>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</si>
  <si>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</si>
  <si>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</si>
  <si>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</si>
  <si>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</si>
  <si>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</si>
  <si>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</si>
  <si>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</si>
  <si>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</si>
  <si>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</si>
  <si>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</si>
  <si>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</si>
  <si>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</si>
  <si>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</si>
  <si>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</si>
  <si>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</si>
  <si>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</si>
  <si>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</si>
  <si>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</si>
  <si>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</si>
  <si>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</si>
  <si>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</si>
  <si>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</si>
  <si>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</si>
  <si>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</si>
  <si>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</si>
  <si>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</si>
  <si>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</si>
  <si>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</si>
  <si>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</si>
  <si>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</si>
  <si>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</si>
  <si>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</si>
  <si>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</si>
  <si>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</si>
  <si>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</si>
  <si>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</si>
  <si>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</si>
  <si>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</si>
  <si>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</si>
  <si>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</si>
  <si>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</si>
  <si>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</si>
  <si>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</si>
  <si>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</si>
  <si>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</si>
  <si>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</si>
  <si>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</si>
  <si>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</si>
  <si>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</si>
  <si>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</si>
  <si>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</si>
  <si>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</si>
  <si>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</si>
  <si>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</si>
  <si>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</si>
  <si>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</si>
  <si>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Földháziné Császár Edit</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</si>
  <si>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</si>
  <si>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</si>
  <si>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</si>
  <si>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</si>
  <si>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</si>
  <si>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</si>
  <si>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</si>
  <si>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</si>
  <si>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</si>
  <si>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</si>
  <si>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</si>
  <si>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</si>
  <si>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</si>
  <si>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</si>
  <si>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</si>
  <si>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</si>
  <si>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</si>
  <si>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</si>
  <si>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</si>
  <si>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</si>
  <si>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</si>
  <si>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</si>
  <si>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</si>
  <si>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</si>
  <si>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</si>
  <si>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</si>
  <si>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</si>
  <si>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</si>
  <si>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</si>
  <si>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</si>
  <si>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Varga-Szabó Szilvia</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</si>
  <si>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</si>
  <si>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</si>
  <si>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</si>
  <si>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</si>
  <si>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</si>
  <si>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</si>
  <si>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</si>
  <si>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</si>
  <si>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</si>
  <si>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</si>
  <si>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</si>
  <si>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</si>
  <si>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</si>
  <si>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</si>
  <si>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</si>
  <si>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Makida László</t>
  </si>
  <si>
    <t>Klein Alex</t>
  </si>
  <si>
    <t>Nagyné Balázs Adrienn Erzsébet</t>
  </si>
  <si>
    <t>Bényász Gábor</t>
  </si>
  <si>
    <t>Varga Noémi</t>
  </si>
  <si>
    <t>Csutorás Beatrix</t>
  </si>
  <si>
    <t>Czikkelyné Dr. Ágh Nóra</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</si>
  <si>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</si>
  <si>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</si>
  <si>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</si>
  <si>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</si>
  <si>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</si>
  <si>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</si>
  <si>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</si>
  <si>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</si>
  <si>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</si>
  <si>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</si>
  <si>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</si>
  <si>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</si>
  <si>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</si>
  <si>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</si>
  <si>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</si>
  <si>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</si>
  <si>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</si>
  <si>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</si>
  <si>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</si>
  <si>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Molnár Nikoletta</t>
  </si>
  <si>
    <t>Dr. Kádár Judit Ágnes</t>
  </si>
  <si>
    <t>Nagy Levente Antal</t>
  </si>
  <si>
    <t>Szabó Zoltán</t>
  </si>
  <si>
    <t>Cseh András</t>
  </si>
  <si>
    <t>Molnárné Lakics Eszter</t>
  </si>
  <si>
    <t>Szabó-Hren Judit</t>
  </si>
  <si>
    <t>Darabos Kíra</t>
  </si>
  <si>
    <t>Kocsis Ferenc Bence</t>
  </si>
  <si>
    <t>Grebely Gergely</t>
  </si>
  <si>
    <t>Szijártó Áron</t>
  </si>
  <si>
    <t>Medgyes Krisztián</t>
  </si>
  <si>
    <t>Kiss Gábor Antal</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</si>
  <si>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</si>
  <si>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</si>
  <si>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</si>
  <si>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</si>
  <si>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</si>
  <si>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</si>
  <si>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</si>
  <si>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</si>
  <si>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</si>
  <si>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</si>
  <si>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</si>
  <si>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</si>
  <si>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</si>
  <si>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</si>
  <si>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</si>
  <si>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</si>
  <si>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</si>
  <si>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</si>
  <si>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</si>
  <si>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</si>
  <si>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</si>
  <si>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</si>
  <si>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</si>
  <si>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</si>
  <si>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</si>
  <si>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</si>
  <si>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</si>
  <si>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</si>
  <si>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</si>
  <si>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</si>
  <si>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</si>
  <si>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</si>
  <si>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</si>
  <si>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</si>
  <si>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</si>
  <si>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</si>
  <si>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</si>
  <si>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</si>
  <si>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</si>
  <si>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</si>
  <si>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</si>
  <si>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</si>
  <si>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</si>
  <si>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</si>
  <si>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</si>
  <si>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</si>
  <si>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</si>
  <si>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</si>
  <si>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</si>
  <si>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</si>
  <si>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</si>
  <si>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</si>
  <si>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</si>
  <si>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</si>
  <si>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</si>
  <si>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</si>
  <si>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</si>
  <si>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</si>
  <si>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</si>
  <si>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</si>
  <si>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</si>
  <si>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</si>
  <si>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</si>
  <si>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</si>
  <si>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</si>
  <si>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</si>
  <si>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</si>
  <si>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</si>
  <si>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</si>
  <si>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</si>
  <si>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</si>
  <si>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</si>
  <si>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</si>
  <si>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</si>
  <si>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</si>
  <si>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</si>
  <si>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</si>
  <si>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</si>
  <si>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</si>
  <si>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</si>
  <si>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</si>
  <si>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</si>
  <si>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</si>
  <si>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</si>
  <si>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</si>
  <si>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</si>
  <si>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</si>
  <si>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</si>
  <si>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</si>
  <si>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</si>
  <si>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</si>
  <si>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</si>
  <si>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</si>
  <si>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Adószám</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</si>
  <si>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</si>
  <si>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</si>
  <si>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</si>
  <si>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</si>
  <si>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</si>
  <si>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</si>
  <si>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</si>
  <si>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</si>
  <si>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</si>
  <si>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</si>
  <si>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</si>
  <si>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</si>
  <si>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</si>
  <si>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</si>
  <si>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</si>
  <si>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</si>
  <si>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</si>
  <si>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</si>
  <si>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</si>
  <si>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</si>
  <si>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</si>
  <si>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</si>
  <si>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</si>
  <si>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</si>
  <si>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</si>
  <si>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</si>
  <si>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</si>
  <si>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</si>
  <si>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</si>
  <si>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</si>
  <si>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</si>
  <si>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</si>
  <si>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</si>
  <si>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</si>
  <si>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</si>
  <si>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</si>
  <si>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</si>
  <si>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</si>
  <si>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</si>
  <si>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</si>
  <si>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</si>
  <si>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</si>
  <si>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</si>
  <si>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</si>
  <si>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</si>
  <si>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</si>
  <si>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</si>
  <si>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</si>
  <si>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</si>
  <si>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</si>
  <si>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</si>
  <si>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</si>
  <si>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</si>
  <si>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</si>
  <si>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</si>
  <si>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</si>
  <si>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</si>
  <si>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</si>
  <si>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</si>
  <si>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</si>
  <si>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</si>
  <si>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</si>
  <si>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</si>
  <si>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</si>
  <si>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</si>
  <si>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</si>
  <si>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</si>
  <si>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</si>
  <si>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</si>
  <si>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</si>
  <si>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</si>
  <si>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</si>
  <si>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</si>
  <si>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</si>
  <si>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</si>
  <si>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</si>
  <si>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</si>
  <si>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</si>
  <si>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</si>
  <si>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</si>
  <si>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</si>
  <si>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</si>
  <si>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</si>
  <si>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</si>
  <si>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</si>
  <si>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</si>
  <si>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</si>
  <si>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</si>
  <si>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</si>
  <si>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</si>
  <si>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</si>
  <si>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</si>
  <si>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</si>
  <si>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</si>
  <si>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</si>
  <si>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</si>
  <si>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</si>
  <si>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</si>
  <si>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</si>
  <si>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</si>
  <si>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</si>
  <si>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</si>
  <si>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</si>
  <si>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</si>
  <si>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</si>
  <si>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</si>
  <si>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</si>
  <si>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</si>
  <si>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</si>
  <si>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</si>
  <si>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</si>
  <si>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</si>
  <si>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</si>
  <si>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</si>
  <si>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</si>
  <si>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</si>
  <si>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</si>
  <si>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</si>
  <si>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</si>
  <si>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</si>
  <si>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</si>
  <si>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</si>
  <si>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</si>
  <si>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</si>
  <si>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</si>
  <si>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</si>
  <si>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</si>
  <si>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</si>
  <si>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</si>
  <si>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</si>
  <si>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</si>
  <si>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</si>
  <si>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</si>
  <si>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</si>
  <si>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</si>
  <si>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</si>
  <si>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</si>
  <si>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</si>
  <si>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</si>
  <si>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</si>
  <si>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</si>
  <si>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</si>
  <si>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</si>
  <si>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</si>
  <si>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</si>
  <si>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</si>
  <si>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</si>
  <si>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</si>
  <si>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</si>
  <si>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</si>
  <si>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</si>
  <si>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</si>
  <si>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</si>
  <si>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</si>
  <si>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</si>
  <si>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</si>
  <si>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</si>
  <si>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</si>
  <si>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</si>
  <si>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</si>
  <si>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</si>
  <si>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</si>
  <si>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</si>
  <si>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</si>
  <si>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</si>
  <si>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</si>
  <si>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</si>
  <si>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</si>
  <si>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</si>
  <si>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</si>
  <si>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</si>
  <si>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</si>
  <si>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</si>
  <si>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</si>
  <si>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</si>
  <si>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</si>
  <si>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</si>
  <si>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</si>
  <si>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</si>
  <si>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</si>
  <si>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</si>
  <si>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</si>
  <si>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</si>
  <si>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</si>
  <si>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</si>
  <si>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</si>
  <si>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</si>
  <si>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</si>
  <si>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</si>
  <si>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</si>
  <si>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</si>
  <si>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</si>
  <si>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</si>
  <si>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</si>
  <si>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</si>
  <si>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</si>
  <si>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</si>
  <si>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</si>
  <si>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</si>
  <si>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</si>
  <si>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</si>
  <si>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</si>
  <si>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</si>
  <si>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</si>
  <si>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</si>
  <si>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</si>
  <si>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</si>
  <si>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</si>
  <si>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</si>
  <si>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</si>
  <si>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</si>
  <si>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</si>
  <si>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</si>
  <si>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</si>
  <si>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</si>
  <si>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</si>
  <si>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</si>
  <si>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</si>
  <si>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</si>
  <si>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</si>
  <si>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</si>
  <si>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</si>
  <si>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</si>
  <si>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</si>
  <si>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</si>
  <si>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</si>
  <si>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</si>
  <si>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</si>
  <si>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</si>
  <si>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</si>
  <si>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</si>
  <si>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</si>
  <si>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</si>
  <si>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</si>
  <si>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</si>
  <si>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</si>
  <si>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</si>
  <si>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</si>
  <si>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</si>
  <si>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</si>
  <si>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</si>
  <si>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</si>
  <si>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</si>
  <si>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</si>
  <si>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</si>
  <si>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</si>
  <si>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</si>
  <si>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</si>
  <si>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</si>
  <si>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</si>
  <si>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</si>
  <si>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</si>
  <si>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</si>
  <si>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</si>
  <si>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</si>
  <si>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</si>
  <si>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</si>
  <si>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</si>
  <si>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</si>
  <si>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</si>
  <si>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</si>
  <si>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</si>
  <si>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</si>
  <si>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</si>
  <si>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</si>
  <si>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</si>
  <si>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</si>
  <si>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</si>
  <si>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</si>
  <si>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</si>
  <si>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</si>
  <si>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</si>
  <si>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</si>
  <si>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</si>
  <si>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</si>
  <si>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</si>
  <si>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</si>
  <si>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</si>
  <si>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</si>
  <si>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</si>
  <si>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</si>
  <si>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</si>
  <si>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</si>
  <si>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</si>
  <si>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</si>
  <si>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</si>
  <si>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</si>
  <si>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</si>
  <si>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</si>
  <si>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</si>
  <si>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</si>
  <si>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</si>
  <si>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</si>
  <si>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</si>
  <si>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</si>
  <si>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</si>
  <si>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</si>
  <si>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</si>
  <si>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</si>
  <si>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</si>
  <si>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</si>
  <si>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</si>
  <si>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</si>
  <si>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</si>
  <si>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</si>
  <si>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</si>
  <si>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</si>
  <si>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</si>
  <si>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</si>
  <si>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</si>
  <si>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</si>
  <si>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</si>
  <si>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</si>
  <si>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</si>
  <si>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</si>
  <si>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</si>
  <si>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</si>
  <si>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</si>
  <si>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</si>
  <si>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</si>
  <si>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</si>
  <si>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</si>
  <si>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</si>
  <si>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</si>
  <si>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</si>
  <si>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</si>
  <si>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</si>
  <si>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</si>
  <si>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</si>
  <si>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</si>
  <si>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</si>
  <si>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</si>
  <si>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</si>
  <si>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</si>
  <si>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</si>
  <si>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</si>
  <si>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</si>
  <si>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</si>
  <si>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</si>
  <si>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</si>
  <si>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</si>
  <si>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</si>
  <si>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</si>
  <si>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</si>
  <si>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</si>
  <si>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</si>
  <si>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</si>
  <si>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</si>
  <si>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</si>
  <si>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</si>
  <si>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</si>
  <si>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</si>
  <si>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</si>
  <si>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</si>
  <si>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</si>
  <si>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</si>
  <si>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</si>
  <si>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</si>
  <si>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</si>
  <si>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</si>
  <si>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</si>
  <si>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</si>
  <si>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</si>
  <si>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</si>
  <si>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</si>
  <si>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</si>
  <si>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</si>
  <si>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</si>
  <si>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</si>
  <si>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</si>
  <si>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</si>
  <si>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</si>
  <si>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</si>
  <si>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</si>
  <si>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</si>
  <si>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</si>
  <si>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</si>
  <si>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</si>
  <si>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</si>
  <si>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</si>
  <si>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</si>
  <si>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</si>
  <si>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</si>
  <si>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</si>
  <si>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</si>
  <si>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</si>
  <si>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</si>
  <si>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</si>
  <si>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</si>
  <si>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</si>
  <si>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</si>
  <si>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</si>
  <si>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</si>
  <si>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</si>
  <si>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</si>
  <si>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</si>
  <si>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</si>
  <si>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</si>
  <si>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</si>
  <si>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</si>
  <si>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</si>
  <si>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</si>
  <si>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</si>
  <si>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</si>
  <si>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</si>
  <si>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</si>
  <si>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</si>
  <si>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</si>
  <si>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</si>
  <si>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</si>
  <si>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</si>
  <si>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</si>
  <si>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</si>
  <si>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</si>
  <si>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</si>
  <si>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</si>
  <si>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</si>
  <si>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</si>
  <si>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</si>
  <si>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</si>
  <si>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</si>
  <si>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</si>
  <si>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</si>
  <si>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</si>
  <si>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</si>
  <si>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</si>
  <si>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</si>
  <si>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</si>
  <si>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</si>
  <si>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</si>
  <si>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</si>
  <si>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</si>
  <si>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</si>
  <si>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</si>
  <si>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</si>
  <si>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</si>
  <si>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</si>
  <si>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</si>
  <si>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</si>
  <si>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</si>
  <si>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</si>
  <si>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</si>
  <si>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</si>
  <si>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</si>
  <si>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</si>
  <si>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</si>
  <si>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</si>
  <si>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</si>
  <si>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</si>
  <si>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</si>
  <si>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</si>
  <si>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</si>
  <si>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</si>
  <si>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</si>
  <si>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</si>
  <si>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</si>
  <si>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</si>
  <si>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</si>
  <si>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</si>
  <si>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</si>
  <si>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</si>
  <si>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</si>
  <si>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r>
      <t xml:space="preserve">Projektre </t>
    </r>
    <r>
      <rPr>
        <b/>
        <sz val="12"/>
        <color rgb="FFFF0000"/>
        <rFont val="Calibri"/>
        <family val="2"/>
        <charset val="238"/>
        <scheme val="minor"/>
      </rPr>
      <t>EL NEM</t>
    </r>
    <r>
      <rPr>
        <sz val="11"/>
        <color theme="1"/>
        <rFont val="Calibri"/>
        <family val="2"/>
        <charset val="238"/>
        <scheme val="minor"/>
      </rPr>
      <t xml:space="preserve"> számolható bérköltség</t>
    </r>
  </si>
  <si>
    <t>FEOR</t>
  </si>
  <si>
    <t>HISTORIKUS</t>
  </si>
  <si>
    <r>
      <t xml:space="preserve">El nem számolható bérek/
</t>
    </r>
    <r>
      <rPr>
        <sz val="14"/>
        <color theme="1"/>
        <rFont val="Calibri"/>
        <family val="2"/>
        <charset val="238"/>
        <scheme val="minor"/>
      </rPr>
      <t>betervezett bérek</t>
    </r>
  </si>
  <si>
    <t>RRF VÁLASZTOTT BÉRELSZÁMOLÁSI MÓDSZER</t>
  </si>
  <si>
    <t>MELYIK A JOBB?</t>
  </si>
  <si>
    <t>Hathavi átlagbér alapján az egy havi teljes bruttó átlagbér Ft/hó</t>
  </si>
  <si>
    <t>HISTORIKUS módszer alapján a beállított munkaidőre elszámolható bruttó Ft</t>
  </si>
  <si>
    <t>Elszámolni kívánt bruttó Ft/hó</t>
  </si>
  <si>
    <t>HISTORIKUS mószerrel a beállított munkaidőre EL NEM SZÁMOLHATÓ szuperbruttó FT/hó</t>
  </si>
  <si>
    <t>HISTORIKUS mószerrel a beállított munkaidőre ELSZÁMOLHATÓ 
szuperbruttó FT/hó</t>
  </si>
  <si>
    <t>FEOR
KÓD</t>
  </si>
  <si>
    <t>KOR</t>
  </si>
  <si>
    <t>FEOR
KORCSOPORT</t>
  </si>
  <si>
    <t>FEOR megnevezése</t>
  </si>
  <si>
    <r>
      <t xml:space="preserve">FEOR alapján </t>
    </r>
    <r>
      <rPr>
        <b/>
        <u/>
        <sz val="11"/>
        <rFont val="Times New Roman"/>
        <family val="1"/>
        <charset val="238"/>
      </rPr>
      <t>teljes</t>
    </r>
    <r>
      <rPr>
        <b/>
        <sz val="11"/>
        <rFont val="Times New Roman"/>
        <family val="1"/>
        <charset val="238"/>
      </rPr>
      <t xml:space="preserve"> munkaidőre INDOKLÁS NÉLKÜL elszámolható bruttó FT/hó (1x)</t>
    </r>
  </si>
  <si>
    <r>
      <t xml:space="preserve">FEOR alapján </t>
    </r>
    <r>
      <rPr>
        <b/>
        <u/>
        <sz val="11"/>
        <rFont val="Times New Roman"/>
        <family val="1"/>
        <charset val="238"/>
      </rPr>
      <t>teljes</t>
    </r>
    <r>
      <rPr>
        <b/>
        <sz val="11"/>
        <rFont val="Times New Roman"/>
        <family val="1"/>
        <charset val="238"/>
      </rPr>
      <t xml:space="preserve"> munkaidőre, INDOKLÁSSAL elszámolható bruttó FT/hó (1,5x)</t>
    </r>
  </si>
  <si>
    <r>
      <t xml:space="preserve">FEOR alapján a </t>
    </r>
    <r>
      <rPr>
        <b/>
        <u/>
        <sz val="11"/>
        <rFont val="Times New Roman"/>
        <family val="1"/>
        <charset val="238"/>
      </rPr>
      <t>beállított</t>
    </r>
    <r>
      <rPr>
        <b/>
        <sz val="11"/>
        <rFont val="Times New Roman"/>
        <family val="1"/>
        <charset val="238"/>
      </rPr>
      <t xml:space="preserve"> munkaidőre elszámolható max bruttó FT/hó (1,5x)</t>
    </r>
  </si>
  <si>
    <t>Elszámolni kívánt bruttó Ft/hó2</t>
  </si>
  <si>
    <t>Elszámolni kívánt munkaidő %</t>
  </si>
  <si>
    <r>
      <t xml:space="preserve">FEOR alapján a </t>
    </r>
    <r>
      <rPr>
        <b/>
        <u/>
        <sz val="11"/>
        <rFont val="Times New Roman"/>
        <family val="1"/>
        <charset val="238"/>
      </rPr>
      <t>beállított</t>
    </r>
    <r>
      <rPr>
        <b/>
        <sz val="11"/>
        <rFont val="Times New Roman"/>
        <family val="1"/>
        <charset val="238"/>
      </rPr>
      <t xml:space="preserve"> munkaidőre EL NEM SZÁMOLHATÓ bruttó FT/hó</t>
    </r>
  </si>
  <si>
    <r>
      <t xml:space="preserve">FEOR alapján a </t>
    </r>
    <r>
      <rPr>
        <b/>
        <u/>
        <sz val="11"/>
        <rFont val="Times New Roman"/>
        <family val="1"/>
        <charset val="238"/>
      </rPr>
      <t>beállított</t>
    </r>
    <r>
      <rPr>
        <b/>
        <sz val="11"/>
        <rFont val="Times New Roman"/>
        <family val="1"/>
        <charset val="238"/>
      </rPr>
      <t xml:space="preserve"> munkaidőre EL NEM SZÁMOLHATÓ járulék FT/hó</t>
    </r>
  </si>
  <si>
    <r>
      <t xml:space="preserve">FEOR alapján a </t>
    </r>
    <r>
      <rPr>
        <b/>
        <u/>
        <sz val="11"/>
        <rFont val="Times New Roman"/>
        <family val="1"/>
        <charset val="238"/>
      </rPr>
      <t>beállított</t>
    </r>
    <r>
      <rPr>
        <b/>
        <sz val="11"/>
        <rFont val="Times New Roman"/>
        <family val="1"/>
        <charset val="238"/>
      </rPr>
      <t xml:space="preserve"> munkaidőre EL NEM SZÁMOLHATÓ szuperbruttó FT/hó</t>
    </r>
  </si>
  <si>
    <r>
      <t xml:space="preserve">FEOR alapján a </t>
    </r>
    <r>
      <rPr>
        <b/>
        <u/>
        <sz val="11"/>
        <rFont val="Times New Roman"/>
        <family val="1"/>
        <charset val="238"/>
      </rPr>
      <t>beállított</t>
    </r>
    <r>
      <rPr>
        <b/>
        <sz val="11"/>
        <rFont val="Times New Roman"/>
        <family val="1"/>
        <charset val="238"/>
      </rPr>
      <t xml:space="preserve"> munkaidőre ELSZÁMOLHATÓ szuperbruttó FT/hó</t>
    </r>
  </si>
  <si>
    <t>INDOKLÁS</t>
  </si>
  <si>
    <t>Sorcímkék</t>
  </si>
  <si>
    <t>Végösszeg</t>
  </si>
  <si>
    <t>Összeg / Projektre 
elszámolt
bér</t>
  </si>
  <si>
    <t>Összeg / Projektre 
elszámolt
járulék</t>
  </si>
  <si>
    <t>FEOR %</t>
  </si>
  <si>
    <t>EREDMÉNY</t>
  </si>
  <si>
    <t>FEOR/HISTORIKUS alapján  elszámolható bruttó bér:</t>
  </si>
  <si>
    <t>FEOR/HISTORIKUS alapján elszámolható járulék:</t>
  </si>
  <si>
    <t>FEOR/HISTORIKUS alapján nem elszámolható rész:</t>
  </si>
  <si>
    <t>Betervezett bérköltség</t>
  </si>
  <si>
    <t>Elszámolható bérköltség</t>
  </si>
  <si>
    <t>El nem számolható</t>
  </si>
  <si>
    <t>FPI</t>
  </si>
  <si>
    <t>MK</t>
  </si>
  <si>
    <t>Nagykanizsa</t>
  </si>
  <si>
    <t>K041100000</t>
  </si>
  <si>
    <t>2022. február</t>
  </si>
  <si>
    <t> 2. és a 6. pilléren belül a 2.I alprojekt szakmai vezetését, valamint a 6.E alprojekt szakmai megvalósítását végzi.</t>
  </si>
  <si>
    <t>Adóazonosító jel</t>
  </si>
  <si>
    <t>Családnév</t>
  </si>
  <si>
    <t>8392423828</t>
  </si>
  <si>
    <t>10000002</t>
  </si>
  <si>
    <t>8329823474</t>
  </si>
  <si>
    <t>10000003</t>
  </si>
  <si>
    <t>Agg Zoltán</t>
  </si>
  <si>
    <t>8352710532</t>
  </si>
  <si>
    <t>10000007</t>
  </si>
  <si>
    <t>András Ferenc</t>
  </si>
  <si>
    <t>8424680057</t>
  </si>
  <si>
    <t>10000015</t>
  </si>
  <si>
    <t>8390681331</t>
  </si>
  <si>
    <t>10000017</t>
  </si>
  <si>
    <t>8432804142</t>
  </si>
  <si>
    <t>10000020</t>
  </si>
  <si>
    <t>Bátyi Szilvia</t>
  </si>
  <si>
    <t>8346442386</t>
  </si>
  <si>
    <t>10000021</t>
  </si>
  <si>
    <t>8399633682</t>
  </si>
  <si>
    <t>10000027</t>
  </si>
  <si>
    <t>Bertók Ákos Botond</t>
  </si>
  <si>
    <t>8322883846</t>
  </si>
  <si>
    <t>10000028</t>
  </si>
  <si>
    <t>Bezdek Károly</t>
  </si>
  <si>
    <t>8382052894</t>
  </si>
  <si>
    <t>10000030</t>
  </si>
  <si>
    <t>Birkner Zoltán</t>
  </si>
  <si>
    <t>8417011455</t>
  </si>
  <si>
    <t>10000032</t>
  </si>
  <si>
    <t>Bocsi Róbert</t>
  </si>
  <si>
    <t>8368763134</t>
  </si>
  <si>
    <t>10000033</t>
  </si>
  <si>
    <t>8432490555</t>
  </si>
  <si>
    <t>10000035</t>
  </si>
  <si>
    <t>Bogdány Eszter</t>
  </si>
  <si>
    <t>8357612733</t>
  </si>
  <si>
    <t>10000040</t>
  </si>
  <si>
    <t>Bujtás Csilla</t>
  </si>
  <si>
    <t>8363523275</t>
  </si>
  <si>
    <t>10000041</t>
  </si>
  <si>
    <t>Bús Éva Zsuzsanna</t>
  </si>
  <si>
    <t>8374362774</t>
  </si>
  <si>
    <t>10000045</t>
  </si>
  <si>
    <t>Czeglédi Sándor</t>
  </si>
  <si>
    <t>8386912812</t>
  </si>
  <si>
    <t>10000047</t>
  </si>
  <si>
    <t>Czúni László</t>
  </si>
  <si>
    <t>8419020923</t>
  </si>
  <si>
    <t>10000052</t>
  </si>
  <si>
    <t>8413122988</t>
  </si>
  <si>
    <t>10000053</t>
  </si>
  <si>
    <t>Cserháti Gabriella</t>
  </si>
  <si>
    <t>8387294322</t>
  </si>
  <si>
    <t>10000054</t>
  </si>
  <si>
    <t>8396640823</t>
  </si>
  <si>
    <t>10000056</t>
  </si>
  <si>
    <t>Csizmadia Tibor Gábor</t>
  </si>
  <si>
    <t>8397652094</t>
  </si>
  <si>
    <t>10000057</t>
  </si>
  <si>
    <t>8403740913</t>
  </si>
  <si>
    <t>10000061</t>
  </si>
  <si>
    <t>Dávid Ákos</t>
  </si>
  <si>
    <t>8393082064</t>
  </si>
  <si>
    <t>10000064</t>
  </si>
  <si>
    <t>Domokos Endre Gábor</t>
  </si>
  <si>
    <t>8352592858</t>
  </si>
  <si>
    <t>10000065</t>
  </si>
  <si>
    <t>Dósa György</t>
  </si>
  <si>
    <t>8409231832</t>
  </si>
  <si>
    <t>10000067</t>
  </si>
  <si>
    <t>8377123479</t>
  </si>
  <si>
    <t>10000070</t>
  </si>
  <si>
    <t>8405063064</t>
  </si>
  <si>
    <t>10000072</t>
  </si>
  <si>
    <t>Ernszt Ildikó</t>
  </si>
  <si>
    <t>8333893694</t>
  </si>
  <si>
    <t>10000073</t>
  </si>
  <si>
    <t>Fábián Gyöngyi</t>
  </si>
  <si>
    <t>8438023282</t>
  </si>
  <si>
    <t>10000074</t>
  </si>
  <si>
    <t>Farkas Gergely</t>
  </si>
  <si>
    <t>8346201834</t>
  </si>
  <si>
    <t>10000075</t>
  </si>
  <si>
    <t>Pintér Márta</t>
  </si>
  <si>
    <t>8399753726</t>
  </si>
  <si>
    <t>10000078</t>
  </si>
  <si>
    <t>Fehér Helga</t>
  </si>
  <si>
    <t>8398703792</t>
  </si>
  <si>
    <t>10000079</t>
  </si>
  <si>
    <t>Fehérvölgyi Beáta</t>
  </si>
  <si>
    <t>8391122948</t>
  </si>
  <si>
    <t>10000080</t>
  </si>
  <si>
    <t>8399783617</t>
  </si>
  <si>
    <t>10000081</t>
  </si>
  <si>
    <t>Fekete-Berzsenyi Hajnalka</t>
  </si>
  <si>
    <t>8409541254</t>
  </si>
  <si>
    <t>10000082</t>
  </si>
  <si>
    <t>Fodor Attila</t>
  </si>
  <si>
    <t>8380183029</t>
  </si>
  <si>
    <t>10000084</t>
  </si>
  <si>
    <t>8389220210</t>
  </si>
  <si>
    <t>10000086</t>
  </si>
  <si>
    <t>Fogarassyné Dr. Vathy Ágnes</t>
  </si>
  <si>
    <t>8361012761</t>
  </si>
  <si>
    <t>10000087</t>
  </si>
  <si>
    <t>Forintos Éva Erzsébet</t>
  </si>
  <si>
    <t>8333952534</t>
  </si>
  <si>
    <t>10000088</t>
  </si>
  <si>
    <t>Földes Csaba János</t>
  </si>
  <si>
    <t>8363972193</t>
  </si>
  <si>
    <t>10000092</t>
  </si>
  <si>
    <t>Gelencsér András</t>
  </si>
  <si>
    <t>8340202553</t>
  </si>
  <si>
    <t>10000093</t>
  </si>
  <si>
    <t>Gerzson Miklós</t>
  </si>
  <si>
    <t>8357833284</t>
  </si>
  <si>
    <t>10000095</t>
  </si>
  <si>
    <t>Göllei Attila</t>
  </si>
  <si>
    <t>8385173412</t>
  </si>
  <si>
    <t>10000096</t>
  </si>
  <si>
    <t>Görbe Péter</t>
  </si>
  <si>
    <t>8358022476</t>
  </si>
  <si>
    <t>10000098</t>
  </si>
  <si>
    <t>8381280249</t>
  </si>
  <si>
    <t>10000099</t>
  </si>
  <si>
    <t>8320030072</t>
  </si>
  <si>
    <t>10000100</t>
  </si>
  <si>
    <t>Guttman András</t>
  </si>
  <si>
    <t>8330322432</t>
  </si>
  <si>
    <t>10000101</t>
  </si>
  <si>
    <t>Györe Géza</t>
  </si>
  <si>
    <t>8422122847</t>
  </si>
  <si>
    <t>10000102</t>
  </si>
  <si>
    <t>8422031841</t>
  </si>
  <si>
    <t>10000103</t>
  </si>
  <si>
    <t>Gyurika István Gábor</t>
  </si>
  <si>
    <t>8348530169</t>
  </si>
  <si>
    <t>10000109</t>
  </si>
  <si>
    <t>Hartung Ferenc</t>
  </si>
  <si>
    <t>8400900790</t>
  </si>
  <si>
    <t>10000110</t>
  </si>
  <si>
    <t>Heckl István</t>
  </si>
  <si>
    <t>8432052701</t>
  </si>
  <si>
    <t>10000111</t>
  </si>
  <si>
    <t>8405671307</t>
  </si>
  <si>
    <t>10000113</t>
  </si>
  <si>
    <t>8423011275</t>
  </si>
  <si>
    <t>10000115</t>
  </si>
  <si>
    <t>Hodai Zoltán</t>
  </si>
  <si>
    <t>8388423770</t>
  </si>
  <si>
    <t>10000117</t>
  </si>
  <si>
    <t>8341024020</t>
  </si>
  <si>
    <t>10000120</t>
  </si>
  <si>
    <t>Hortobágyi Ildikó</t>
  </si>
  <si>
    <t>8407181587</t>
  </si>
  <si>
    <t>10000124</t>
  </si>
  <si>
    <t>8337772778</t>
  </si>
  <si>
    <t>10000125</t>
  </si>
  <si>
    <t>8332743370</t>
  </si>
  <si>
    <t>10000126</t>
  </si>
  <si>
    <t>Horváth Ottó</t>
  </si>
  <si>
    <t>8432360317</t>
  </si>
  <si>
    <t>10000130</t>
  </si>
  <si>
    <t>8392552407</t>
  </si>
  <si>
    <t>10000131</t>
  </si>
  <si>
    <t>8411063054</t>
  </si>
  <si>
    <t>10000132</t>
  </si>
  <si>
    <t>Jaskó Szilárd</t>
  </si>
  <si>
    <t>8323705771</t>
  </si>
  <si>
    <t>10000133</t>
  </si>
  <si>
    <t>8341254700</t>
  </si>
  <si>
    <t>10000134</t>
  </si>
  <si>
    <t>Jessner-Schmid Ulrike</t>
  </si>
  <si>
    <t>8359470707</t>
  </si>
  <si>
    <t>10000135</t>
  </si>
  <si>
    <t>Juhász Zoltán</t>
  </si>
  <si>
    <t>8403195265</t>
  </si>
  <si>
    <t>10000136</t>
  </si>
  <si>
    <t>8368651034</t>
  </si>
  <si>
    <t>10000137</t>
  </si>
  <si>
    <t>Kaizer József</t>
  </si>
  <si>
    <t>8365062305</t>
  </si>
  <si>
    <t>10000138</t>
  </si>
  <si>
    <t>Kalmár Zoltán</t>
  </si>
  <si>
    <t>8369201563</t>
  </si>
  <si>
    <t>10000139</t>
  </si>
  <si>
    <t>8373761691</t>
  </si>
  <si>
    <t>10000142</t>
  </si>
  <si>
    <t>Kiss Károly Miklós</t>
  </si>
  <si>
    <t>8395304986</t>
  </si>
  <si>
    <t>10000143</t>
  </si>
  <si>
    <t>8401964733</t>
  </si>
  <si>
    <t>10000144</t>
  </si>
  <si>
    <t>8408294245</t>
  </si>
  <si>
    <t>10000145</t>
  </si>
  <si>
    <t>8349432063</t>
  </si>
  <si>
    <t>10000150</t>
  </si>
  <si>
    <t>Korim Tamás</t>
  </si>
  <si>
    <t>8404621748</t>
  </si>
  <si>
    <t>10000152</t>
  </si>
  <si>
    <t>Kosztyán Zsolt Tibor</t>
  </si>
  <si>
    <t>8413511798</t>
  </si>
  <si>
    <t>10000156</t>
  </si>
  <si>
    <t>8400442539</t>
  </si>
  <si>
    <t>10000160</t>
  </si>
  <si>
    <t>Kovács Margit</t>
  </si>
  <si>
    <t>8372881383</t>
  </si>
  <si>
    <t>10000163</t>
  </si>
  <si>
    <t>Kovács Tibor János</t>
  </si>
  <si>
    <t>8324893164</t>
  </si>
  <si>
    <t>10000164</t>
  </si>
  <si>
    <t>8417671102</t>
  </si>
  <si>
    <t>10000165</t>
  </si>
  <si>
    <t>8354973050</t>
  </si>
  <si>
    <t>10000166</t>
  </si>
  <si>
    <t>Kovács Nóra Julianna</t>
  </si>
  <si>
    <t>8393305691</t>
  </si>
  <si>
    <t>10000168</t>
  </si>
  <si>
    <t>Kővári Edit Mária</t>
  </si>
  <si>
    <t>8390182424</t>
  </si>
  <si>
    <t>10000169</t>
  </si>
  <si>
    <t>Krasznai Beáta</t>
  </si>
  <si>
    <t>8350662190</t>
  </si>
  <si>
    <t>10000172</t>
  </si>
  <si>
    <t>Kristóf Tamás</t>
  </si>
  <si>
    <t>8363851310</t>
  </si>
  <si>
    <t>10000173</t>
  </si>
  <si>
    <t>Kristófné Dr Makó Éva Mária</t>
  </si>
  <si>
    <t>8422512769</t>
  </si>
  <si>
    <t>10000174</t>
  </si>
  <si>
    <t>Kubinger-Pillmann Judit</t>
  </si>
  <si>
    <t>8395913354</t>
  </si>
  <si>
    <t>10000176</t>
  </si>
  <si>
    <t>8353533073</t>
  </si>
  <si>
    <t>10000177</t>
  </si>
  <si>
    <t>Ladányi István</t>
  </si>
  <si>
    <t>8393375789</t>
  </si>
  <si>
    <t>10000178</t>
  </si>
  <si>
    <t>Lagzi Gábor Zoltán</t>
  </si>
  <si>
    <t>8439630735</t>
  </si>
  <si>
    <t>10000180</t>
  </si>
  <si>
    <t>Lakk-Bogáth Dóra</t>
  </si>
  <si>
    <t>8344203074</t>
  </si>
  <si>
    <t>10000182</t>
  </si>
  <si>
    <t>Leitold Adrien Ilona</t>
  </si>
  <si>
    <t>8324113819</t>
  </si>
  <si>
    <t>10000183</t>
  </si>
  <si>
    <t>Lendvay György</t>
  </si>
  <si>
    <t>8360760632</t>
  </si>
  <si>
    <t>10000184</t>
  </si>
  <si>
    <t>Liker András</t>
  </si>
  <si>
    <t>8384390509</t>
  </si>
  <si>
    <t>10000187</t>
  </si>
  <si>
    <t>Lőrincz Katalin</t>
  </si>
  <si>
    <t>8414223338</t>
  </si>
  <si>
    <t>10000188</t>
  </si>
  <si>
    <t>Lukács Attila</t>
  </si>
  <si>
    <t>8402144543</t>
  </si>
  <si>
    <t>10000190</t>
  </si>
  <si>
    <t>Madarász Eszter</t>
  </si>
  <si>
    <t>8412140524</t>
  </si>
  <si>
    <t>10000191</t>
  </si>
  <si>
    <t>Magyar Attila</t>
  </si>
  <si>
    <t>8433111051</t>
  </si>
  <si>
    <t>10000195</t>
  </si>
  <si>
    <t>Medvegy Tibor</t>
  </si>
  <si>
    <t>8440682115</t>
  </si>
  <si>
    <t>10000197</t>
  </si>
  <si>
    <t>8349842210</t>
  </si>
  <si>
    <t>10000198</t>
  </si>
  <si>
    <t>Mihálykó Lajos Csaba</t>
  </si>
  <si>
    <t>8356021898</t>
  </si>
  <si>
    <t>10000199</t>
  </si>
  <si>
    <t>Mihálykóné Dr. Orbán Éva</t>
  </si>
  <si>
    <t>8405472754</t>
  </si>
  <si>
    <t>10000200</t>
  </si>
  <si>
    <t>Miskolczi Norbert</t>
  </si>
  <si>
    <t>8319363632</t>
  </si>
  <si>
    <t>10000201</t>
  </si>
  <si>
    <t>Miszlivetz Ferenc József</t>
  </si>
  <si>
    <t>8356902746</t>
  </si>
  <si>
    <t>10000202</t>
  </si>
  <si>
    <t>Molnár Tamás</t>
  </si>
  <si>
    <t>8407302430</t>
  </si>
  <si>
    <t>10000203</t>
  </si>
  <si>
    <t>Molnárné Dr. Barna Katalin</t>
  </si>
  <si>
    <t>8326653225</t>
  </si>
  <si>
    <t>10000207</t>
  </si>
  <si>
    <t>Nagy András</t>
  </si>
  <si>
    <t>8440712316</t>
  </si>
  <si>
    <t>10000208</t>
  </si>
  <si>
    <t>Tóth-Nagy Georgina</t>
  </si>
  <si>
    <t>8348782737</t>
  </si>
  <si>
    <t>10000209</t>
  </si>
  <si>
    <t>8341813394</t>
  </si>
  <si>
    <t>10000213</t>
  </si>
  <si>
    <t>Navracsics Judit</t>
  </si>
  <si>
    <t>8399760935</t>
  </si>
  <si>
    <t>10000214</t>
  </si>
  <si>
    <t>Nemestóthy Béla Nándor</t>
  </si>
  <si>
    <t>8352692267</t>
  </si>
  <si>
    <t>10000215</t>
  </si>
  <si>
    <t>Németh Csaba</t>
  </si>
  <si>
    <t>8415163150</t>
  </si>
  <si>
    <t>10000216</t>
  </si>
  <si>
    <t>Németh Kornél</t>
  </si>
  <si>
    <t>8353332485</t>
  </si>
  <si>
    <t>10000217</t>
  </si>
  <si>
    <t>Németh Sándor</t>
  </si>
  <si>
    <t>8362763639</t>
  </si>
  <si>
    <t>10000220</t>
  </si>
  <si>
    <t>8403762941</t>
  </si>
  <si>
    <t>10000221</t>
  </si>
  <si>
    <t>Obermayer Nóra</t>
  </si>
  <si>
    <t>8342323544</t>
  </si>
  <si>
    <t>10000222</t>
  </si>
  <si>
    <t>Ortutay Katalin Ágota</t>
  </si>
  <si>
    <t>8324144846</t>
  </si>
  <si>
    <t>10000223</t>
  </si>
  <si>
    <t>8403181604</t>
  </si>
  <si>
    <t>10000226</t>
  </si>
  <si>
    <t>Papp Zsófia Márta</t>
  </si>
  <si>
    <t>8410460823</t>
  </si>
  <si>
    <t>10000228</t>
  </si>
  <si>
    <t>Péter Erzsébet</t>
  </si>
  <si>
    <t>8421732463</t>
  </si>
  <si>
    <t>10000230</t>
  </si>
  <si>
    <t>Pintér Gábor</t>
  </si>
  <si>
    <t>8350062770</t>
  </si>
  <si>
    <t>10000231</t>
  </si>
  <si>
    <t>Pituk Mihály</t>
  </si>
  <si>
    <t>8351710237</t>
  </si>
  <si>
    <t>10000236</t>
  </si>
  <si>
    <t>8395470916</t>
  </si>
  <si>
    <t>10000237</t>
  </si>
  <si>
    <t>8400144694</t>
  </si>
  <si>
    <t>10000240</t>
  </si>
  <si>
    <t>8395384386</t>
  </si>
  <si>
    <t>10000241</t>
  </si>
  <si>
    <t>Raffay-Danyi Ágnes Nóra</t>
  </si>
  <si>
    <t>8424470087</t>
  </si>
  <si>
    <t>10000242</t>
  </si>
  <si>
    <t>Pethő Dóra</t>
  </si>
  <si>
    <t>8361703136</t>
  </si>
  <si>
    <t>10000243</t>
  </si>
  <si>
    <t>8342612481</t>
  </si>
  <si>
    <t>10000244</t>
  </si>
  <si>
    <t>8418752394</t>
  </si>
  <si>
    <t>10000245</t>
  </si>
  <si>
    <t>Rostási Ágnes</t>
  </si>
  <si>
    <t>8382142222</t>
  </si>
  <si>
    <t>10000248</t>
  </si>
  <si>
    <t>8414102573</t>
  </si>
  <si>
    <t>10000250</t>
  </si>
  <si>
    <t>8438311180</t>
  </si>
  <si>
    <t>10000251</t>
  </si>
  <si>
    <t>8338001759</t>
  </si>
  <si>
    <t>10000253</t>
  </si>
  <si>
    <t>8353562642</t>
  </si>
  <si>
    <t>10000258</t>
  </si>
  <si>
    <t>8410920832</t>
  </si>
  <si>
    <t>10000261</t>
  </si>
  <si>
    <t>8411262855</t>
  </si>
  <si>
    <t>10000262</t>
  </si>
  <si>
    <t>8354942813</t>
  </si>
  <si>
    <t>10000266</t>
  </si>
  <si>
    <t>8411312577</t>
  </si>
  <si>
    <t>10000267</t>
  </si>
  <si>
    <t>8405474196</t>
  </si>
  <si>
    <t>10000268</t>
  </si>
  <si>
    <t>Sulyok Márta Judit</t>
  </si>
  <si>
    <t>8413880491</t>
  </si>
  <si>
    <t>10000269</t>
  </si>
  <si>
    <t>Süle Zoltán</t>
  </si>
  <si>
    <t>8382493424</t>
  </si>
  <si>
    <t>10000270</t>
  </si>
  <si>
    <t>Szabó Andrea</t>
  </si>
  <si>
    <t>8349921730</t>
  </si>
  <si>
    <t>10000276</t>
  </si>
  <si>
    <t>8325913762</t>
  </si>
  <si>
    <t>10000279</t>
  </si>
  <si>
    <t>Szalai István</t>
  </si>
  <si>
    <t>8341372746</t>
  </si>
  <si>
    <t>10000281</t>
  </si>
  <si>
    <t>Szalkai István</t>
  </si>
  <si>
    <t>8371460325</t>
  </si>
  <si>
    <t>10000283</t>
  </si>
  <si>
    <t>Szávai Dorottya Anna</t>
  </si>
  <si>
    <t>8381323010</t>
  </si>
  <si>
    <t>10000285</t>
  </si>
  <si>
    <t>Szentgyörgyi Szilárd Sándor</t>
  </si>
  <si>
    <t>8396600406</t>
  </si>
  <si>
    <t>10000286</t>
  </si>
  <si>
    <t>Szikszai Szabolcs</t>
  </si>
  <si>
    <t>8386243686</t>
  </si>
  <si>
    <t>10000290</t>
  </si>
  <si>
    <t>Szücs Veronika</t>
  </si>
  <si>
    <t>8439201346</t>
  </si>
  <si>
    <t>10000292</t>
  </si>
  <si>
    <t>Takács-Bárkányi Ágnes</t>
  </si>
  <si>
    <t>8403263651</t>
  </si>
  <si>
    <t>10000294</t>
  </si>
  <si>
    <t>Tarczali Tünde Tímea</t>
  </si>
  <si>
    <t>8325703113</t>
  </si>
  <si>
    <t>10000296</t>
  </si>
  <si>
    <t>Telcs András</t>
  </si>
  <si>
    <t>8310853262</t>
  </si>
  <si>
    <t>10000299</t>
  </si>
  <si>
    <t>Timár Imre</t>
  </si>
  <si>
    <t>8350671920</t>
  </si>
  <si>
    <t>10000303</t>
  </si>
  <si>
    <t>Tóth József Péter</t>
  </si>
  <si>
    <t>8408031821</t>
  </si>
  <si>
    <t>10000305</t>
  </si>
  <si>
    <t>Tóth-Bodrogi Edit</t>
  </si>
  <si>
    <t>8438731872</t>
  </si>
  <si>
    <t>10000306</t>
  </si>
  <si>
    <t>Kaszás Nikoletta</t>
  </si>
  <si>
    <t>8316733579</t>
  </si>
  <si>
    <t>10000309</t>
  </si>
  <si>
    <t>Tuza Zsolt László</t>
  </si>
  <si>
    <t>8364652524</t>
  </si>
  <si>
    <t>10000310</t>
  </si>
  <si>
    <t>Ulbert Zsolt</t>
  </si>
  <si>
    <t>8369293506</t>
  </si>
  <si>
    <t>10000312</t>
  </si>
  <si>
    <t>V Szabó László</t>
  </si>
  <si>
    <t>8410933446</t>
  </si>
  <si>
    <t>10000313</t>
  </si>
  <si>
    <t>8412803434</t>
  </si>
  <si>
    <t>10000315</t>
  </si>
  <si>
    <t>Valicsek Zsolt</t>
  </si>
  <si>
    <t>8397553649</t>
  </si>
  <si>
    <t>10000316</t>
  </si>
  <si>
    <t>Valiskó Mónika</t>
  </si>
  <si>
    <t>8423011763</t>
  </si>
  <si>
    <t>10000319</t>
  </si>
  <si>
    <t>Varga Csilla</t>
  </si>
  <si>
    <t>8387271209</t>
  </si>
  <si>
    <t>10000320</t>
  </si>
  <si>
    <t>8416043760</t>
  </si>
  <si>
    <t>10000321</t>
  </si>
  <si>
    <t>8374654287</t>
  </si>
  <si>
    <t>10000323</t>
  </si>
  <si>
    <t>Vassányi István</t>
  </si>
  <si>
    <t>8315302531</t>
  </si>
  <si>
    <t>10000325</t>
  </si>
  <si>
    <t>Veres Zoltán</t>
  </si>
  <si>
    <t>8393730538</t>
  </si>
  <si>
    <t>10000327</t>
  </si>
  <si>
    <t>Vigh-Szabó Melinda Erzsébet</t>
  </si>
  <si>
    <t>8334552580</t>
  </si>
  <si>
    <t>10000328</t>
  </si>
  <si>
    <t>Vonderviszt Ferenc</t>
  </si>
  <si>
    <t>8409140497</t>
  </si>
  <si>
    <t>10000329</t>
  </si>
  <si>
    <t>Vörösházi Zsolt</t>
  </si>
  <si>
    <t>8365743329</t>
  </si>
  <si>
    <t>10000334</t>
  </si>
  <si>
    <t>Zsigmond Anikó</t>
  </si>
  <si>
    <t>8433500570</t>
  </si>
  <si>
    <t>10000335</t>
  </si>
  <si>
    <t>8433880187</t>
  </si>
  <si>
    <t>10000336</t>
  </si>
  <si>
    <t>Baumgartner János</t>
  </si>
  <si>
    <t>8439610572</t>
  </si>
  <si>
    <t>10000340</t>
  </si>
  <si>
    <t>Egedy Attila</t>
  </si>
  <si>
    <t>8406163348</t>
  </si>
  <si>
    <t>10000343</t>
  </si>
  <si>
    <t>Galambos Ildikó</t>
  </si>
  <si>
    <t>8407900273</t>
  </si>
  <si>
    <t>10000344</t>
  </si>
  <si>
    <t>8396661065</t>
  </si>
  <si>
    <t>10000346</t>
  </si>
  <si>
    <t>Hajba László</t>
  </si>
  <si>
    <t>8355472470</t>
  </si>
  <si>
    <t>10000347</t>
  </si>
  <si>
    <t>8440643195</t>
  </si>
  <si>
    <t>10000348</t>
  </si>
  <si>
    <t>8410220024</t>
  </si>
  <si>
    <t>10000350</t>
  </si>
  <si>
    <t>8348102639</t>
  </si>
  <si>
    <t>10000353</t>
  </si>
  <si>
    <t>Kósa István</t>
  </si>
  <si>
    <t>8376711709</t>
  </si>
  <si>
    <t>10000355</t>
  </si>
  <si>
    <t>8416232512</t>
  </si>
  <si>
    <t>10000357</t>
  </si>
  <si>
    <t>8426141927</t>
  </si>
  <si>
    <t>10000358</t>
  </si>
  <si>
    <t>Pribojszki-Németh Anikó</t>
  </si>
  <si>
    <t>8442983112</t>
  </si>
  <si>
    <t>10000360</t>
  </si>
  <si>
    <t>8424702352</t>
  </si>
  <si>
    <t>10000361</t>
  </si>
  <si>
    <t>8426142613</t>
  </si>
  <si>
    <t>10000366</t>
  </si>
  <si>
    <t>8376941402</t>
  </si>
  <si>
    <t>10000368</t>
  </si>
  <si>
    <t>8405303510</t>
  </si>
  <si>
    <t>10000371</t>
  </si>
  <si>
    <t>Dániel Zoltán András</t>
  </si>
  <si>
    <t>8338103594</t>
  </si>
  <si>
    <t>10000372</t>
  </si>
  <si>
    <t>8412822315</t>
  </si>
  <si>
    <t>10000383</t>
  </si>
  <si>
    <t>8371831331</t>
  </si>
  <si>
    <t>10000384</t>
  </si>
  <si>
    <t>8402301541</t>
  </si>
  <si>
    <t>10000385</t>
  </si>
  <si>
    <t>8372793190</t>
  </si>
  <si>
    <t>10000386</t>
  </si>
  <si>
    <t>Vincze András</t>
  </si>
  <si>
    <t>8415210264</t>
  </si>
  <si>
    <t>10000388</t>
  </si>
  <si>
    <t>8351102644</t>
  </si>
  <si>
    <t>10000394</t>
  </si>
  <si>
    <t>8350062436</t>
  </si>
  <si>
    <t>10000395</t>
  </si>
  <si>
    <t>8387944947</t>
  </si>
  <si>
    <t>10000396</t>
  </si>
  <si>
    <t>8393403200</t>
  </si>
  <si>
    <t>10000407</t>
  </si>
  <si>
    <t>8406592389</t>
  </si>
  <si>
    <t>10000408</t>
  </si>
  <si>
    <t>8396515204</t>
  </si>
  <si>
    <t>10000409</t>
  </si>
  <si>
    <t>8403482019</t>
  </si>
  <si>
    <t>10000410</t>
  </si>
  <si>
    <t>8363372080</t>
  </si>
  <si>
    <t>10000411</t>
  </si>
  <si>
    <t>8449900085</t>
  </si>
  <si>
    <t>10000412</t>
  </si>
  <si>
    <t>8352431714</t>
  </si>
  <si>
    <t>10000416</t>
  </si>
  <si>
    <t>8370861563</t>
  </si>
  <si>
    <t>10000418</t>
  </si>
  <si>
    <t>Bede András Lajosné</t>
  </si>
  <si>
    <t>8375151610</t>
  </si>
  <si>
    <t>10000422</t>
  </si>
  <si>
    <t>8371162944</t>
  </si>
  <si>
    <t>10000423</t>
  </si>
  <si>
    <t>8405784101</t>
  </si>
  <si>
    <t>10000428</t>
  </si>
  <si>
    <t>Rodek Nóra</t>
  </si>
  <si>
    <t>8388711881</t>
  </si>
  <si>
    <t>10000430</t>
  </si>
  <si>
    <t>8398384042</t>
  </si>
  <si>
    <t>10000432</t>
  </si>
  <si>
    <t>8415712928</t>
  </si>
  <si>
    <t>10000433</t>
  </si>
  <si>
    <t>8334653166</t>
  </si>
  <si>
    <t>10000435</t>
  </si>
  <si>
    <t>Bognárné Sabjanics Angéla</t>
  </si>
  <si>
    <t>8399050482</t>
  </si>
  <si>
    <t>10000437</t>
  </si>
  <si>
    <t>8374741791</t>
  </si>
  <si>
    <t>10000438</t>
  </si>
  <si>
    <t>8375791911</t>
  </si>
  <si>
    <t>10000439</t>
  </si>
  <si>
    <t>8391703703</t>
  </si>
  <si>
    <t>10000441</t>
  </si>
  <si>
    <t>8340680668</t>
  </si>
  <si>
    <t>10000443</t>
  </si>
  <si>
    <t>8351583782</t>
  </si>
  <si>
    <t>10000451</t>
  </si>
  <si>
    <t>8419450189</t>
  </si>
  <si>
    <t>10000457</t>
  </si>
  <si>
    <t>8375073423</t>
  </si>
  <si>
    <t>10000460</t>
  </si>
  <si>
    <t>8437650712</t>
  </si>
  <si>
    <t>10000461</t>
  </si>
  <si>
    <t>8369322778</t>
  </si>
  <si>
    <t>10000463</t>
  </si>
  <si>
    <t>8375183237</t>
  </si>
  <si>
    <t>10000469</t>
  </si>
  <si>
    <t>8427102364</t>
  </si>
  <si>
    <t>10000470</t>
  </si>
  <si>
    <t>8331781015</t>
  </si>
  <si>
    <t>10000482</t>
  </si>
  <si>
    <t>8425041317</t>
  </si>
  <si>
    <t>10000483</t>
  </si>
  <si>
    <t>8332283086</t>
  </si>
  <si>
    <t>10000485</t>
  </si>
  <si>
    <t>8404800294</t>
  </si>
  <si>
    <t>10000487</t>
  </si>
  <si>
    <t>8372712697</t>
  </si>
  <si>
    <t>10000492</t>
  </si>
  <si>
    <t>8426023649</t>
  </si>
  <si>
    <t>10000493</t>
  </si>
  <si>
    <t>Feilné Kulcsár Eszter</t>
  </si>
  <si>
    <t>8404622922</t>
  </si>
  <si>
    <t>10000495</t>
  </si>
  <si>
    <t>8416410135</t>
  </si>
  <si>
    <t>10000496</t>
  </si>
  <si>
    <t>8430941800</t>
  </si>
  <si>
    <t>10000500</t>
  </si>
  <si>
    <t>8390261707</t>
  </si>
  <si>
    <t>10000501</t>
  </si>
  <si>
    <t>8394864074</t>
  </si>
  <si>
    <t>10000503</t>
  </si>
  <si>
    <t>8438500706</t>
  </si>
  <si>
    <t>10000506</t>
  </si>
  <si>
    <t>8374913193</t>
  </si>
  <si>
    <t>10000508</t>
  </si>
  <si>
    <t>8400004086</t>
  </si>
  <si>
    <t>10000509</t>
  </si>
  <si>
    <t>8385343660</t>
  </si>
  <si>
    <t>10000511</t>
  </si>
  <si>
    <t>8335073988</t>
  </si>
  <si>
    <t>10000512</t>
  </si>
  <si>
    <t>8351692085</t>
  </si>
  <si>
    <t>10000514</t>
  </si>
  <si>
    <t>8366163326</t>
  </si>
  <si>
    <t>10000517</t>
  </si>
  <si>
    <t>8411441628</t>
  </si>
  <si>
    <t>10000519</t>
  </si>
  <si>
    <t>8392893409</t>
  </si>
  <si>
    <t>10000523</t>
  </si>
  <si>
    <t>8350002298</t>
  </si>
  <si>
    <t>10000525</t>
  </si>
  <si>
    <t>8425662095</t>
  </si>
  <si>
    <t>10000526</t>
  </si>
  <si>
    <t>8406802103</t>
  </si>
  <si>
    <t>10000527</t>
  </si>
  <si>
    <t>8418630426</t>
  </si>
  <si>
    <t>10000529</t>
  </si>
  <si>
    <t>Hansági-Haydn Nóra</t>
  </si>
  <si>
    <t>8411391213</t>
  </si>
  <si>
    <t>10000530</t>
  </si>
  <si>
    <t>8354340740</t>
  </si>
  <si>
    <t>10000533</t>
  </si>
  <si>
    <t>8431040599</t>
  </si>
  <si>
    <t>10000534</t>
  </si>
  <si>
    <t>Ható Zoltán</t>
  </si>
  <si>
    <t>8374392681</t>
  </si>
  <si>
    <t>10000535</t>
  </si>
  <si>
    <t>8423350061</t>
  </si>
  <si>
    <t>10000538</t>
  </si>
  <si>
    <t>8419652113</t>
  </si>
  <si>
    <t>10000539</t>
  </si>
  <si>
    <t>8357052797</t>
  </si>
  <si>
    <t>10000541</t>
  </si>
  <si>
    <t>8357452329</t>
  </si>
  <si>
    <t>10000548</t>
  </si>
  <si>
    <t>8447411184</t>
  </si>
  <si>
    <t>10000549</t>
  </si>
  <si>
    <t>8395674600</t>
  </si>
  <si>
    <t>10000550</t>
  </si>
  <si>
    <t>8409311364</t>
  </si>
  <si>
    <t>10000557</t>
  </si>
  <si>
    <t>8344550599</t>
  </si>
  <si>
    <t>10000558</t>
  </si>
  <si>
    <t>8432772577</t>
  </si>
  <si>
    <t>10000559</t>
  </si>
  <si>
    <t>8389142244</t>
  </si>
  <si>
    <t>10000565</t>
  </si>
  <si>
    <t>8429343245</t>
  </si>
  <si>
    <t>10000567</t>
  </si>
  <si>
    <t>8378563758</t>
  </si>
  <si>
    <t>10000569</t>
  </si>
  <si>
    <t>8426803148</t>
  </si>
  <si>
    <t>10000571</t>
  </si>
  <si>
    <t>8365790491</t>
  </si>
  <si>
    <t>10000574</t>
  </si>
  <si>
    <t>8387393045</t>
  </si>
  <si>
    <t>10000575</t>
  </si>
  <si>
    <t>Jaraba János</t>
  </si>
  <si>
    <t>8433331655</t>
  </si>
  <si>
    <t>10000581</t>
  </si>
  <si>
    <t>Kakasi Balázs</t>
  </si>
  <si>
    <t>8342722945</t>
  </si>
  <si>
    <t>10000585</t>
  </si>
  <si>
    <t>8363351288</t>
  </si>
  <si>
    <t>10000587</t>
  </si>
  <si>
    <t>8341952432</t>
  </si>
  <si>
    <t>10000588</t>
  </si>
  <si>
    <t>8424630238</t>
  </si>
  <si>
    <t>10000589</t>
  </si>
  <si>
    <t>8447171132</t>
  </si>
  <si>
    <t>10000591</t>
  </si>
  <si>
    <t>8391860450</t>
  </si>
  <si>
    <t>10000593</t>
  </si>
  <si>
    <t>8405334394</t>
  </si>
  <si>
    <t>10000598</t>
  </si>
  <si>
    <t>8414452523</t>
  </si>
  <si>
    <t>10000606</t>
  </si>
  <si>
    <t>8377802570</t>
  </si>
  <si>
    <t>10000607</t>
  </si>
  <si>
    <t>8398461780</t>
  </si>
  <si>
    <t>10000608</t>
  </si>
  <si>
    <t>8418113154</t>
  </si>
  <si>
    <t>10000612</t>
  </si>
  <si>
    <t>8401062608</t>
  </si>
  <si>
    <t>10000615</t>
  </si>
  <si>
    <t>8423762033</t>
  </si>
  <si>
    <t>10000616</t>
  </si>
  <si>
    <t>8408832921</t>
  </si>
  <si>
    <t>10000620</t>
  </si>
  <si>
    <t>8437361664</t>
  </si>
  <si>
    <t>10000621</t>
  </si>
  <si>
    <t>8409091712</t>
  </si>
  <si>
    <t>10000626</t>
  </si>
  <si>
    <t>8396595097</t>
  </si>
  <si>
    <t>10000627</t>
  </si>
  <si>
    <t>Ködmönné Pethő Henrietta</t>
  </si>
  <si>
    <t>8331833333</t>
  </si>
  <si>
    <t>10000629</t>
  </si>
  <si>
    <t>8415300794</t>
  </si>
  <si>
    <t>10000630</t>
  </si>
  <si>
    <t>8407251070</t>
  </si>
  <si>
    <t>10000631</t>
  </si>
  <si>
    <t>8409820269</t>
  </si>
  <si>
    <t>10000636</t>
  </si>
  <si>
    <t>8371473184</t>
  </si>
  <si>
    <t>10000638</t>
  </si>
  <si>
    <t>8401773423</t>
  </si>
  <si>
    <t>10000643</t>
  </si>
  <si>
    <t>8351943541</t>
  </si>
  <si>
    <t>10000648</t>
  </si>
  <si>
    <t>8429101519</t>
  </si>
  <si>
    <t>10000657</t>
  </si>
  <si>
    <t>8398613750</t>
  </si>
  <si>
    <t>10000660</t>
  </si>
  <si>
    <t>8385382259</t>
  </si>
  <si>
    <t>10000661</t>
  </si>
  <si>
    <t>8414503373</t>
  </si>
  <si>
    <t>10000663</t>
  </si>
  <si>
    <t>8424730070</t>
  </si>
  <si>
    <t>10000665</t>
  </si>
  <si>
    <t>8381490405</t>
  </si>
  <si>
    <t>10000666</t>
  </si>
  <si>
    <t>8381124921</t>
  </si>
  <si>
    <t>10000670</t>
  </si>
  <si>
    <t>8432950068</t>
  </si>
  <si>
    <t>10000671</t>
  </si>
  <si>
    <t>8396281300</t>
  </si>
  <si>
    <t>10000677</t>
  </si>
  <si>
    <t>8439813473</t>
  </si>
  <si>
    <t>10000682</t>
  </si>
  <si>
    <t>8370633390</t>
  </si>
  <si>
    <t>10000698</t>
  </si>
  <si>
    <t>8338131113</t>
  </si>
  <si>
    <t>10000700</t>
  </si>
  <si>
    <t>8389222558</t>
  </si>
  <si>
    <t>10000705</t>
  </si>
  <si>
    <t>8455730277</t>
  </si>
  <si>
    <t>10000717</t>
  </si>
  <si>
    <t>8375521736</t>
  </si>
  <si>
    <t>10000718</t>
  </si>
  <si>
    <t>8397461884</t>
  </si>
  <si>
    <t>10000719</t>
  </si>
  <si>
    <t>8336301208</t>
  </si>
  <si>
    <t>10000720</t>
  </si>
  <si>
    <t>8366942589</t>
  </si>
  <si>
    <t>10000721</t>
  </si>
  <si>
    <t>8444583421</t>
  </si>
  <si>
    <t>10000724</t>
  </si>
  <si>
    <t>8361522107</t>
  </si>
  <si>
    <t>10000728</t>
  </si>
  <si>
    <t>8344491819</t>
  </si>
  <si>
    <t>10000729</t>
  </si>
  <si>
    <t>8396223912</t>
  </si>
  <si>
    <t>10000732</t>
  </si>
  <si>
    <t>8377274515</t>
  </si>
  <si>
    <t>10000734</t>
  </si>
  <si>
    <t>8357370659</t>
  </si>
  <si>
    <t>10000735</t>
  </si>
  <si>
    <t>8412333799</t>
  </si>
  <si>
    <t>10000739</t>
  </si>
  <si>
    <t>8380810767</t>
  </si>
  <si>
    <t>10000741</t>
  </si>
  <si>
    <t>8389022850</t>
  </si>
  <si>
    <t>10000742</t>
  </si>
  <si>
    <t>8403093829</t>
  </si>
  <si>
    <t>10000743</t>
  </si>
  <si>
    <t>8393080924</t>
  </si>
  <si>
    <t>10000744</t>
  </si>
  <si>
    <t>8399231932</t>
  </si>
  <si>
    <t>10000747</t>
  </si>
  <si>
    <t>8393854040</t>
  </si>
  <si>
    <t>10000751</t>
  </si>
  <si>
    <t>8363721875</t>
  </si>
  <si>
    <t>10000752</t>
  </si>
  <si>
    <t>8373452354</t>
  </si>
  <si>
    <t>10000756</t>
  </si>
  <si>
    <t>8427040342</t>
  </si>
  <si>
    <t>10000757</t>
  </si>
  <si>
    <t>8421160273</t>
  </si>
  <si>
    <t>10000758</t>
  </si>
  <si>
    <t>8409473887</t>
  </si>
  <si>
    <t>10000761</t>
  </si>
  <si>
    <t>8338512761</t>
  </si>
  <si>
    <t>10000762</t>
  </si>
  <si>
    <t>8417004319</t>
  </si>
  <si>
    <t>10000766</t>
  </si>
  <si>
    <t>8415041640</t>
  </si>
  <si>
    <t>10000767</t>
  </si>
  <si>
    <t>8355040880</t>
  </si>
  <si>
    <t>10000768</t>
  </si>
  <si>
    <t>8418862165</t>
  </si>
  <si>
    <t>10000778</t>
  </si>
  <si>
    <t>8375633437</t>
  </si>
  <si>
    <t>10000781</t>
  </si>
  <si>
    <t>8396416036</t>
  </si>
  <si>
    <t>10000784</t>
  </si>
  <si>
    <t>8404371083</t>
  </si>
  <si>
    <t>10000785</t>
  </si>
  <si>
    <t>8421461990</t>
  </si>
  <si>
    <t>10000788</t>
  </si>
  <si>
    <t>8397324542</t>
  </si>
  <si>
    <t>10000797</t>
  </si>
  <si>
    <t>8408180045</t>
  </si>
  <si>
    <t>10000798</t>
  </si>
  <si>
    <t>8374203714</t>
  </si>
  <si>
    <t>10000801</t>
  </si>
  <si>
    <t>8426450946</t>
  </si>
  <si>
    <t>10000802</t>
  </si>
  <si>
    <t>8379480910</t>
  </si>
  <si>
    <t>10000803</t>
  </si>
  <si>
    <t>8401873142</t>
  </si>
  <si>
    <t>10000806</t>
  </si>
  <si>
    <t>8357793207</t>
  </si>
  <si>
    <t>10000811</t>
  </si>
  <si>
    <t>8414381804</t>
  </si>
  <si>
    <t>10000813</t>
  </si>
  <si>
    <t>8419842826</t>
  </si>
  <si>
    <t>10000814</t>
  </si>
  <si>
    <t>8393701074</t>
  </si>
  <si>
    <t>10000819</t>
  </si>
  <si>
    <t>8400535464</t>
  </si>
  <si>
    <t>10000820</t>
  </si>
  <si>
    <t>8386094052</t>
  </si>
  <si>
    <t>10000830</t>
  </si>
  <si>
    <t>8422492644</t>
  </si>
  <si>
    <t>10000831</t>
  </si>
  <si>
    <t>8416513058</t>
  </si>
  <si>
    <t>10000832</t>
  </si>
  <si>
    <t>8380550846</t>
  </si>
  <si>
    <t>10000833</t>
  </si>
  <si>
    <t>8397945369</t>
  </si>
  <si>
    <t>10000840</t>
  </si>
  <si>
    <t>8375101591</t>
  </si>
  <si>
    <t>10000845</t>
  </si>
  <si>
    <t>8434440679</t>
  </si>
  <si>
    <t>10000846</t>
  </si>
  <si>
    <t>8413841763</t>
  </si>
  <si>
    <t>10000847</t>
  </si>
  <si>
    <t>8337512741</t>
  </si>
  <si>
    <t>10000849</t>
  </si>
  <si>
    <t>Zsilák Zoltán</t>
  </si>
  <si>
    <t>8439131399</t>
  </si>
  <si>
    <t>10000850</t>
  </si>
  <si>
    <t>Zsirka Balázs</t>
  </si>
  <si>
    <t>8441412952</t>
  </si>
  <si>
    <t>10000866</t>
  </si>
  <si>
    <t>Csordás Anita</t>
  </si>
  <si>
    <t>8408953524</t>
  </si>
  <si>
    <t>10000868</t>
  </si>
  <si>
    <t>8412171462</t>
  </si>
  <si>
    <t>10000872</t>
  </si>
  <si>
    <t>Meiczinger Mónika</t>
  </si>
  <si>
    <t>8443330120</t>
  </si>
  <si>
    <t>10000875</t>
  </si>
  <si>
    <t>8447501310</t>
  </si>
  <si>
    <t>10000885</t>
  </si>
  <si>
    <t>8447570010</t>
  </si>
  <si>
    <t>10000886</t>
  </si>
  <si>
    <t>Kovács András</t>
  </si>
  <si>
    <t>8446380846</t>
  </si>
  <si>
    <t>10000890</t>
  </si>
  <si>
    <t>8450063418</t>
  </si>
  <si>
    <t>10000891</t>
  </si>
  <si>
    <t>Tomasek Szabina</t>
  </si>
  <si>
    <t>8409494051</t>
  </si>
  <si>
    <t>10000901</t>
  </si>
  <si>
    <t>8437401119</t>
  </si>
  <si>
    <t>10000902</t>
  </si>
  <si>
    <t>8457461427</t>
  </si>
  <si>
    <t>10000903</t>
  </si>
  <si>
    <t>8395305044</t>
  </si>
  <si>
    <t>10000906</t>
  </si>
  <si>
    <t>8392843355</t>
  </si>
  <si>
    <t>10000917</t>
  </si>
  <si>
    <t>8433380907</t>
  </si>
  <si>
    <t>10000919</t>
  </si>
  <si>
    <t>Nagy Andrea Magda</t>
  </si>
  <si>
    <t>8451322220</t>
  </si>
  <si>
    <t>10000920</t>
  </si>
  <si>
    <t>8406634006</t>
  </si>
  <si>
    <t>10000925</t>
  </si>
  <si>
    <t>8443570865</t>
  </si>
  <si>
    <t>10000927</t>
  </si>
  <si>
    <t>8455343222</t>
  </si>
  <si>
    <t>10000939</t>
  </si>
  <si>
    <t>8339973762</t>
  </si>
  <si>
    <t>10000940</t>
  </si>
  <si>
    <t>8432843334</t>
  </si>
  <si>
    <t>10000945</t>
  </si>
  <si>
    <t>8455681152</t>
  </si>
  <si>
    <t>10000956</t>
  </si>
  <si>
    <t>8479172010</t>
  </si>
  <si>
    <t>10000960</t>
  </si>
  <si>
    <t>8448060083</t>
  </si>
  <si>
    <t>10000961</t>
  </si>
  <si>
    <t>8440460899</t>
  </si>
  <si>
    <t>10000963</t>
  </si>
  <si>
    <t>8418110333</t>
  </si>
  <si>
    <t>10000965</t>
  </si>
  <si>
    <t>8450130646</t>
  </si>
  <si>
    <t>10000967</t>
  </si>
  <si>
    <t>8460780449</t>
  </si>
  <si>
    <t>10000977</t>
  </si>
  <si>
    <t>8428810354</t>
  </si>
  <si>
    <t>10000978</t>
  </si>
  <si>
    <t>8419021393</t>
  </si>
  <si>
    <t>10000988</t>
  </si>
  <si>
    <t>8399020796</t>
  </si>
  <si>
    <t>10000989</t>
  </si>
  <si>
    <t>8447580458</t>
  </si>
  <si>
    <t>10000993</t>
  </si>
  <si>
    <t>8458760452</t>
  </si>
  <si>
    <t>10000999</t>
  </si>
  <si>
    <t>8431812710</t>
  </si>
  <si>
    <t>10001007</t>
  </si>
  <si>
    <t>8433111434</t>
  </si>
  <si>
    <t>10001008</t>
  </si>
  <si>
    <t>8442990062</t>
  </si>
  <si>
    <t>10001009</t>
  </si>
  <si>
    <t>8452690312</t>
  </si>
  <si>
    <t>10001010</t>
  </si>
  <si>
    <t>8427202695</t>
  </si>
  <si>
    <t>10001011</t>
  </si>
  <si>
    <t>8394092071</t>
  </si>
  <si>
    <t>10001017</t>
  </si>
  <si>
    <t>8424091655</t>
  </si>
  <si>
    <t>10001018</t>
  </si>
  <si>
    <t>8351331759</t>
  </si>
  <si>
    <t>10001022</t>
  </si>
  <si>
    <t>8440551258</t>
  </si>
  <si>
    <t>10001025</t>
  </si>
  <si>
    <t>8366723038</t>
  </si>
  <si>
    <t>10001026</t>
  </si>
  <si>
    <t>8443481749</t>
  </si>
  <si>
    <t>10001033</t>
  </si>
  <si>
    <t>8422871416</t>
  </si>
  <si>
    <t>10001035</t>
  </si>
  <si>
    <t>Járvás Gábor</t>
  </si>
  <si>
    <t>8425711185</t>
  </si>
  <si>
    <t>10001036</t>
  </si>
  <si>
    <t>8454831525</t>
  </si>
  <si>
    <t>10001037</t>
  </si>
  <si>
    <t>8451860338</t>
  </si>
  <si>
    <t>10001038</t>
  </si>
  <si>
    <t>Leitold Dániel</t>
  </si>
  <si>
    <t>8457261002</t>
  </si>
  <si>
    <t>10001039</t>
  </si>
  <si>
    <t>Pózna Anna Ibolya</t>
  </si>
  <si>
    <t>8448900545</t>
  </si>
  <si>
    <t>10001040</t>
  </si>
  <si>
    <t>Bálint Roland</t>
  </si>
  <si>
    <t>8446950472</t>
  </si>
  <si>
    <t>10001041</t>
  </si>
  <si>
    <t>8388983024</t>
  </si>
  <si>
    <t>10001042</t>
  </si>
  <si>
    <t>8446483645</t>
  </si>
  <si>
    <t>10001050</t>
  </si>
  <si>
    <t>8419653322</t>
  </si>
  <si>
    <t>10001051</t>
  </si>
  <si>
    <t>8442600442</t>
  </si>
  <si>
    <t>10001052</t>
  </si>
  <si>
    <t>Guba Sándor</t>
  </si>
  <si>
    <t>8448413687</t>
  </si>
  <si>
    <t>10001053</t>
  </si>
  <si>
    <t>Zsirkáné Dr.Fónagy Orsolya</t>
  </si>
  <si>
    <t>8431303115</t>
  </si>
  <si>
    <t>10001054</t>
  </si>
  <si>
    <t>8452020228</t>
  </si>
  <si>
    <t>10001059</t>
  </si>
  <si>
    <t>8433700847</t>
  </si>
  <si>
    <t>10001062</t>
  </si>
  <si>
    <t>8444651087</t>
  </si>
  <si>
    <t>10001066</t>
  </si>
  <si>
    <t>8396574812</t>
  </si>
  <si>
    <t>10001074</t>
  </si>
  <si>
    <t>Ollé János</t>
  </si>
  <si>
    <t>8426440355</t>
  </si>
  <si>
    <t>10001075</t>
  </si>
  <si>
    <t>8409092557</t>
  </si>
  <si>
    <t>10001077</t>
  </si>
  <si>
    <t>8335673411</t>
  </si>
  <si>
    <t>10001092</t>
  </si>
  <si>
    <t>8418640162</t>
  </si>
  <si>
    <t>10001093</t>
  </si>
  <si>
    <t>8450390338</t>
  </si>
  <si>
    <t>10001094</t>
  </si>
  <si>
    <t>8461870093</t>
  </si>
  <si>
    <t>10001101</t>
  </si>
  <si>
    <t>8407742120</t>
  </si>
  <si>
    <t>10001118</t>
  </si>
  <si>
    <t>Imre Kornélia</t>
  </si>
  <si>
    <t>8334462786</t>
  </si>
  <si>
    <t>10001124</t>
  </si>
  <si>
    <t>8424450205</t>
  </si>
  <si>
    <t>10001125</t>
  </si>
  <si>
    <t>8462721202</t>
  </si>
  <si>
    <t>10001130</t>
  </si>
  <si>
    <t>8442692398</t>
  </si>
  <si>
    <t>10001131</t>
  </si>
  <si>
    <t>Simon József</t>
  </si>
  <si>
    <t>8429333843</t>
  </si>
  <si>
    <t>10001133</t>
  </si>
  <si>
    <t>8441310858</t>
  </si>
  <si>
    <t>10001134</t>
  </si>
  <si>
    <t>Kiss Zsolt László</t>
  </si>
  <si>
    <t>8396360162</t>
  </si>
  <si>
    <t>10001136</t>
  </si>
  <si>
    <t>8426043291</t>
  </si>
  <si>
    <t>10001138</t>
  </si>
  <si>
    <t>Hajba-Horváth Eszter</t>
  </si>
  <si>
    <t>8420632767</t>
  </si>
  <si>
    <t>10001139</t>
  </si>
  <si>
    <t>8459230287</t>
  </si>
  <si>
    <t>10001143</t>
  </si>
  <si>
    <t>8436690672</t>
  </si>
  <si>
    <t>10001146</t>
  </si>
  <si>
    <t>Parapatics Andrea</t>
  </si>
  <si>
    <t>8452590628</t>
  </si>
  <si>
    <t>10001147</t>
  </si>
  <si>
    <t>8411173119</t>
  </si>
  <si>
    <t>10001149</t>
  </si>
  <si>
    <t>8433840320</t>
  </si>
  <si>
    <t>10001156</t>
  </si>
  <si>
    <t>Jancsek-Turóczi Beatrix</t>
  </si>
  <si>
    <t>8455030704</t>
  </si>
  <si>
    <t>10001157</t>
  </si>
  <si>
    <t>8452330308</t>
  </si>
  <si>
    <t>10001160</t>
  </si>
  <si>
    <t>Simon-Stőger Lilla Rita</t>
  </si>
  <si>
    <t>8420711640</t>
  </si>
  <si>
    <t>10001165</t>
  </si>
  <si>
    <t>8456232890</t>
  </si>
  <si>
    <t>10001166</t>
  </si>
  <si>
    <t>8379181603</t>
  </si>
  <si>
    <t>10001167</t>
  </si>
  <si>
    <t>8445951254</t>
  </si>
  <si>
    <t>10001170</t>
  </si>
  <si>
    <t>8440181078</t>
  </si>
  <si>
    <t>10001171</t>
  </si>
  <si>
    <t>8415171048</t>
  </si>
  <si>
    <t>10001177</t>
  </si>
  <si>
    <t>8425000386</t>
  </si>
  <si>
    <t>10001179</t>
  </si>
  <si>
    <t>8440692994</t>
  </si>
  <si>
    <t>10001182</t>
  </si>
  <si>
    <t>8430420215</t>
  </si>
  <si>
    <t>10001183</t>
  </si>
  <si>
    <t>8433713434</t>
  </si>
  <si>
    <t>10001188</t>
  </si>
  <si>
    <t>8454431039</t>
  </si>
  <si>
    <t>10001231</t>
  </si>
  <si>
    <t>8438912923</t>
  </si>
  <si>
    <t>10001232</t>
  </si>
  <si>
    <t>8408011464</t>
  </si>
  <si>
    <t>10001235</t>
  </si>
  <si>
    <t>8418153059</t>
  </si>
  <si>
    <t>10001259</t>
  </si>
  <si>
    <t>8431123648</t>
  </si>
  <si>
    <t>10001262</t>
  </si>
  <si>
    <t>8459141144</t>
  </si>
  <si>
    <t>10001274</t>
  </si>
  <si>
    <t>8452830645</t>
  </si>
  <si>
    <t>10001275</t>
  </si>
  <si>
    <t>Bobek-Nagy Janka</t>
  </si>
  <si>
    <t>8473392310</t>
  </si>
  <si>
    <t>10001280</t>
  </si>
  <si>
    <t>8464480210</t>
  </si>
  <si>
    <t>10001287</t>
  </si>
  <si>
    <t>8469560212</t>
  </si>
  <si>
    <t>10001288</t>
  </si>
  <si>
    <t>8442631402</t>
  </si>
  <si>
    <t>10001295</t>
  </si>
  <si>
    <t>8435565130</t>
  </si>
  <si>
    <t>10001297</t>
  </si>
  <si>
    <t>8348612807</t>
  </si>
  <si>
    <t>10001300</t>
  </si>
  <si>
    <t>8467980052</t>
  </si>
  <si>
    <t>10001303</t>
  </si>
  <si>
    <t>8446200813</t>
  </si>
  <si>
    <t>10001310</t>
  </si>
  <si>
    <t>8469970453</t>
  </si>
  <si>
    <t>10001311</t>
  </si>
  <si>
    <t>8388803441</t>
  </si>
  <si>
    <t>10001316</t>
  </si>
  <si>
    <t>8440150547</t>
  </si>
  <si>
    <t>10001317</t>
  </si>
  <si>
    <t>8413364175</t>
  </si>
  <si>
    <t>10001324</t>
  </si>
  <si>
    <t>Szilágyi Péter Ferenc</t>
  </si>
  <si>
    <t>8399790605</t>
  </si>
  <si>
    <t>10001327</t>
  </si>
  <si>
    <t>Arany Zsuzsanna</t>
  </si>
  <si>
    <t>8452442041</t>
  </si>
  <si>
    <t>10001329</t>
  </si>
  <si>
    <t>8390823888</t>
  </si>
  <si>
    <t>10001337</t>
  </si>
  <si>
    <t>8432463973</t>
  </si>
  <si>
    <t>10001342</t>
  </si>
  <si>
    <t>Tóth Ádám</t>
  </si>
  <si>
    <t>8442834311</t>
  </si>
  <si>
    <t>10001343</t>
  </si>
  <si>
    <t>8476922108</t>
  </si>
  <si>
    <t>10001351</t>
  </si>
  <si>
    <t>8404660271</t>
  </si>
  <si>
    <t>10001352</t>
  </si>
  <si>
    <t>8460541932</t>
  </si>
  <si>
    <t>10001357</t>
  </si>
  <si>
    <t>8458270471</t>
  </si>
  <si>
    <t>10001384</t>
  </si>
  <si>
    <t>8404433356</t>
  </si>
  <si>
    <t>10001385</t>
  </si>
  <si>
    <t>8470592335</t>
  </si>
  <si>
    <t>10001390</t>
  </si>
  <si>
    <t>8388380893</t>
  </si>
  <si>
    <t>10001394</t>
  </si>
  <si>
    <t>8396640327</t>
  </si>
  <si>
    <t>10001396</t>
  </si>
  <si>
    <t>Morva Péter</t>
  </si>
  <si>
    <t>8460153053</t>
  </si>
  <si>
    <t>10001399</t>
  </si>
  <si>
    <t>8422620510</t>
  </si>
  <si>
    <t>10001406</t>
  </si>
  <si>
    <t>8445023675</t>
  </si>
  <si>
    <t>10001408</t>
  </si>
  <si>
    <t>Ruppert Tamás</t>
  </si>
  <si>
    <t>8476162324</t>
  </si>
  <si>
    <t>10001410</t>
  </si>
  <si>
    <t>8408352725</t>
  </si>
  <si>
    <t>10001411</t>
  </si>
  <si>
    <t>8434153491</t>
  </si>
  <si>
    <t>10001417</t>
  </si>
  <si>
    <t>8359032394</t>
  </si>
  <si>
    <t>10001419</t>
  </si>
  <si>
    <t>8482470434</t>
  </si>
  <si>
    <t>10001424</t>
  </si>
  <si>
    <t>8460750965</t>
  </si>
  <si>
    <t>10001425</t>
  </si>
  <si>
    <t>8444752533</t>
  </si>
  <si>
    <t>10001431</t>
  </si>
  <si>
    <t>8408962612</t>
  </si>
  <si>
    <t>10001432</t>
  </si>
  <si>
    <t>8454831045</t>
  </si>
  <si>
    <t>10001433</t>
  </si>
  <si>
    <t>8376974440</t>
  </si>
  <si>
    <t>10001434</t>
  </si>
  <si>
    <t>8472241629</t>
  </si>
  <si>
    <t>10001443</t>
  </si>
  <si>
    <t>8446302802</t>
  </si>
  <si>
    <t>10001447</t>
  </si>
  <si>
    <t>8426341128</t>
  </si>
  <si>
    <t>10001448</t>
  </si>
  <si>
    <t>8408103296</t>
  </si>
  <si>
    <t>10001449</t>
  </si>
  <si>
    <t>8427353219</t>
  </si>
  <si>
    <t>10001452</t>
  </si>
  <si>
    <t>8457050281</t>
  </si>
  <si>
    <t>10001453</t>
  </si>
  <si>
    <t>8411870324</t>
  </si>
  <si>
    <t>10001456</t>
  </si>
  <si>
    <t>8405600728</t>
  </si>
  <si>
    <t>10001460</t>
  </si>
  <si>
    <t>8408141996</t>
  </si>
  <si>
    <t>10001462</t>
  </si>
  <si>
    <t>8437320062</t>
  </si>
  <si>
    <t>10001463</t>
  </si>
  <si>
    <t>8355271106</t>
  </si>
  <si>
    <t>10001464</t>
  </si>
  <si>
    <t>8462260035</t>
  </si>
  <si>
    <t>10001467</t>
  </si>
  <si>
    <t>8377610388</t>
  </si>
  <si>
    <t>10001469</t>
  </si>
  <si>
    <t>8389152959</t>
  </si>
  <si>
    <t>10001477</t>
  </si>
  <si>
    <t>Formádi Katalin Klaudia</t>
  </si>
  <si>
    <t>8326124451</t>
  </si>
  <si>
    <t>10001478</t>
  </si>
  <si>
    <t>Bencsik Andrea</t>
  </si>
  <si>
    <t>8421612808</t>
  </si>
  <si>
    <t>10001481</t>
  </si>
  <si>
    <t>8437130026</t>
  </si>
  <si>
    <t>10001482</t>
  </si>
  <si>
    <t>8450852021</t>
  </si>
  <si>
    <t>10001486</t>
  </si>
  <si>
    <t>8361092331</t>
  </si>
  <si>
    <t>10001490</t>
  </si>
  <si>
    <t>8380433149</t>
  </si>
  <si>
    <t>10001491</t>
  </si>
  <si>
    <t>Lukács Pál Zoltán</t>
  </si>
  <si>
    <t>8417951342</t>
  </si>
  <si>
    <t>10001505</t>
  </si>
  <si>
    <t>8464910525</t>
  </si>
  <si>
    <t>10001518</t>
  </si>
  <si>
    <t>8416001936</t>
  </si>
  <si>
    <t>10001532</t>
  </si>
  <si>
    <t>8363194034</t>
  </si>
  <si>
    <t>10001535</t>
  </si>
  <si>
    <t>8348242694</t>
  </si>
  <si>
    <t>10001538</t>
  </si>
  <si>
    <t>8366333868</t>
  </si>
  <si>
    <t>10001539</t>
  </si>
  <si>
    <t>8469202529</t>
  </si>
  <si>
    <t>10001540</t>
  </si>
  <si>
    <t>8364533339</t>
  </si>
  <si>
    <t>10001544</t>
  </si>
  <si>
    <t>8471310406</t>
  </si>
  <si>
    <t>10001557</t>
  </si>
  <si>
    <t>8403794029</t>
  </si>
  <si>
    <t>10001560</t>
  </si>
  <si>
    <t>8372591652</t>
  </si>
  <si>
    <t>10001564</t>
  </si>
  <si>
    <t>Herzog Csilla</t>
  </si>
  <si>
    <t>8421062379</t>
  </si>
  <si>
    <t>10001566</t>
  </si>
  <si>
    <t>8476222777</t>
  </si>
  <si>
    <t>10001569</t>
  </si>
  <si>
    <t>8391050157</t>
  </si>
  <si>
    <t>10001572</t>
  </si>
  <si>
    <t>8415246099</t>
  </si>
  <si>
    <t>10001577</t>
  </si>
  <si>
    <t>8404111863</t>
  </si>
  <si>
    <t>10001578</t>
  </si>
  <si>
    <t>8440864078</t>
  </si>
  <si>
    <t>10001583</t>
  </si>
  <si>
    <t>8393461960</t>
  </si>
  <si>
    <t>10001585</t>
  </si>
  <si>
    <t>Máhr Tivadar</t>
  </si>
  <si>
    <t>8469240358</t>
  </si>
  <si>
    <t>10001586</t>
  </si>
  <si>
    <t>8401883954</t>
  </si>
  <si>
    <t>10001607</t>
  </si>
  <si>
    <t>8384883114</t>
  </si>
  <si>
    <t>10001610</t>
  </si>
  <si>
    <t>Mészáros Attila</t>
  </si>
  <si>
    <t>8418112433</t>
  </si>
  <si>
    <t>10001612</t>
  </si>
  <si>
    <t>8457292900</t>
  </si>
  <si>
    <t>10001615</t>
  </si>
  <si>
    <t>8310892233</t>
  </si>
  <si>
    <t>10001621</t>
  </si>
  <si>
    <t>8468030554</t>
  </si>
  <si>
    <t>10001622</t>
  </si>
  <si>
    <t>8461011201</t>
  </si>
  <si>
    <t>10001624</t>
  </si>
  <si>
    <t>8468170232</t>
  </si>
  <si>
    <t>10001626</t>
  </si>
  <si>
    <t>8471840170</t>
  </si>
  <si>
    <t>10001629</t>
  </si>
  <si>
    <t>8401243130</t>
  </si>
  <si>
    <t>10001634</t>
  </si>
  <si>
    <t>8394663109</t>
  </si>
  <si>
    <t>10001637</t>
  </si>
  <si>
    <t>8445181513</t>
  </si>
  <si>
    <t>10001638</t>
  </si>
  <si>
    <t>8361864555</t>
  </si>
  <si>
    <t>10001639</t>
  </si>
  <si>
    <t>8450532272</t>
  </si>
  <si>
    <t>10001640</t>
  </si>
  <si>
    <t>8398334916</t>
  </si>
  <si>
    <t>10001642</t>
  </si>
  <si>
    <t>8434592517</t>
  </si>
  <si>
    <t>10001646</t>
  </si>
  <si>
    <t>8437330769</t>
  </si>
  <si>
    <t>10001648</t>
  </si>
  <si>
    <t>8472250296</t>
  </si>
  <si>
    <t>10001649</t>
  </si>
  <si>
    <t>8376733702</t>
  </si>
  <si>
    <t>10001651</t>
  </si>
  <si>
    <t>8460271463</t>
  </si>
  <si>
    <t>10001652</t>
  </si>
  <si>
    <t>Zsargó Adrienn</t>
  </si>
  <si>
    <t>8461383214</t>
  </si>
  <si>
    <t>10001654</t>
  </si>
  <si>
    <t>8471932784</t>
  </si>
  <si>
    <t>10001655</t>
  </si>
  <si>
    <t>8424970721</t>
  </si>
  <si>
    <t>10001660</t>
  </si>
  <si>
    <t>8378913287</t>
  </si>
  <si>
    <t>10001666</t>
  </si>
  <si>
    <t>8473390040</t>
  </si>
  <si>
    <t>10001667</t>
  </si>
  <si>
    <t>8386143789</t>
  </si>
  <si>
    <t>10001674</t>
  </si>
  <si>
    <t>8466610820</t>
  </si>
  <si>
    <t>10001675</t>
  </si>
  <si>
    <t>8457891952</t>
  </si>
  <si>
    <t>10001679</t>
  </si>
  <si>
    <t>8456941492</t>
  </si>
  <si>
    <t>10001680</t>
  </si>
  <si>
    <t>8392221095</t>
  </si>
  <si>
    <t>10001685</t>
  </si>
  <si>
    <t>8399572616</t>
  </si>
  <si>
    <t>10001686</t>
  </si>
  <si>
    <t>8459031489</t>
  </si>
  <si>
    <t>10001690</t>
  </si>
  <si>
    <t>8407774197</t>
  </si>
  <si>
    <t>10001693</t>
  </si>
  <si>
    <t>8329223957</t>
  </si>
  <si>
    <t>10001700</t>
  </si>
  <si>
    <t>Csanádi Ágnes</t>
  </si>
  <si>
    <t>8331062841</t>
  </si>
  <si>
    <t>10001702</t>
  </si>
  <si>
    <t>8334263570</t>
  </si>
  <si>
    <t>10001704</t>
  </si>
  <si>
    <t>8335033226</t>
  </si>
  <si>
    <t>10001705</t>
  </si>
  <si>
    <t>8340433393</t>
  </si>
  <si>
    <t>10001706</t>
  </si>
  <si>
    <t>8346702302</t>
  </si>
  <si>
    <t>10001707</t>
  </si>
  <si>
    <t>8347162905</t>
  </si>
  <si>
    <t>10001708</t>
  </si>
  <si>
    <t>8347962146</t>
  </si>
  <si>
    <t>10001710</t>
  </si>
  <si>
    <t>8355333578</t>
  </si>
  <si>
    <t>10001712</t>
  </si>
  <si>
    <t>8355642937</t>
  </si>
  <si>
    <t>10001714</t>
  </si>
  <si>
    <t>Bérces Edit</t>
  </si>
  <si>
    <t>8360023166</t>
  </si>
  <si>
    <t>10001718</t>
  </si>
  <si>
    <t>Palányi Ildikó</t>
  </si>
  <si>
    <t>8360112924</t>
  </si>
  <si>
    <t>10001719</t>
  </si>
  <si>
    <t>Vadvári Tibor</t>
  </si>
  <si>
    <t>8361381112</t>
  </si>
  <si>
    <t>10001720</t>
  </si>
  <si>
    <t>8362422726</t>
  </si>
  <si>
    <t>10001721</t>
  </si>
  <si>
    <t>8362921579</t>
  </si>
  <si>
    <t>10001722</t>
  </si>
  <si>
    <t>8363643505</t>
  </si>
  <si>
    <t>10001723</t>
  </si>
  <si>
    <t>8366693341</t>
  </si>
  <si>
    <t>10001724</t>
  </si>
  <si>
    <t>8368910234</t>
  </si>
  <si>
    <t>10001726</t>
  </si>
  <si>
    <t>8373774033</t>
  </si>
  <si>
    <t>10001727</t>
  </si>
  <si>
    <t>8387024724</t>
  </si>
  <si>
    <t>10001731</t>
  </si>
  <si>
    <t>8401914213</t>
  </si>
  <si>
    <t>10001733</t>
  </si>
  <si>
    <t>Antal Anita</t>
  </si>
  <si>
    <t>8406992026</t>
  </si>
  <si>
    <t>10001736</t>
  </si>
  <si>
    <t>8407780618</t>
  </si>
  <si>
    <t>10001737</t>
  </si>
  <si>
    <t>8411453715</t>
  </si>
  <si>
    <t>10001738</t>
  </si>
  <si>
    <t>8411521834</t>
  </si>
  <si>
    <t>10001739</t>
  </si>
  <si>
    <t>8417903070</t>
  </si>
  <si>
    <t>10001740</t>
  </si>
  <si>
    <t>8418523018</t>
  </si>
  <si>
    <t>10001741</t>
  </si>
  <si>
    <t>8420351687</t>
  </si>
  <si>
    <t>10001742</t>
  </si>
  <si>
    <t>8432283533</t>
  </si>
  <si>
    <t>10001743</t>
  </si>
  <si>
    <t>8438330428</t>
  </si>
  <si>
    <t>10001744</t>
  </si>
  <si>
    <t>8441091919</t>
  </si>
  <si>
    <t>10001745</t>
  </si>
  <si>
    <t>8442761829</t>
  </si>
  <si>
    <t>10001746</t>
  </si>
  <si>
    <t>8446122928</t>
  </si>
  <si>
    <t>10001748</t>
  </si>
  <si>
    <t>8446882825</t>
  </si>
  <si>
    <t>10001749</t>
  </si>
  <si>
    <t>8449600928</t>
  </si>
  <si>
    <t>10001750</t>
  </si>
  <si>
    <t>8453751919</t>
  </si>
  <si>
    <t>10001751</t>
  </si>
  <si>
    <t>8365902559</t>
  </si>
  <si>
    <t>10001753</t>
  </si>
  <si>
    <t>8446400413</t>
  </si>
  <si>
    <t>10001754</t>
  </si>
  <si>
    <t>8474010640</t>
  </si>
  <si>
    <t>10001755</t>
  </si>
  <si>
    <t>8390832461</t>
  </si>
  <si>
    <t>10001756</t>
  </si>
  <si>
    <t>8367553926</t>
  </si>
  <si>
    <t>10001757</t>
  </si>
  <si>
    <t>8360630372</t>
  </si>
  <si>
    <t>10001758</t>
  </si>
  <si>
    <t>8459483118</t>
  </si>
  <si>
    <t>10001761</t>
  </si>
  <si>
    <t>8396663947</t>
  </si>
  <si>
    <t>10001763</t>
  </si>
  <si>
    <t>8382191150</t>
  </si>
  <si>
    <t>10001766</t>
  </si>
  <si>
    <t>Németh István</t>
  </si>
  <si>
    <t>8363073083</t>
  </si>
  <si>
    <t>10001773</t>
  </si>
  <si>
    <t>8477853010</t>
  </si>
  <si>
    <t>10001779</t>
  </si>
  <si>
    <t>8449770939</t>
  </si>
  <si>
    <t>10001780</t>
  </si>
  <si>
    <t>Katona Attila Imre</t>
  </si>
  <si>
    <t>8456630403</t>
  </si>
  <si>
    <t>10001782</t>
  </si>
  <si>
    <t>Liska Fanny</t>
  </si>
  <si>
    <t>8439851952</t>
  </si>
  <si>
    <t>10001791</t>
  </si>
  <si>
    <t>Szokoli Kitti</t>
  </si>
  <si>
    <t>8429253254</t>
  </si>
  <si>
    <t>10001792</t>
  </si>
  <si>
    <t>8437480957</t>
  </si>
  <si>
    <t>10001793</t>
  </si>
  <si>
    <t>Maász Gábor</t>
  </si>
  <si>
    <t>8442082794</t>
  </si>
  <si>
    <t>10001794</t>
  </si>
  <si>
    <t>Maászné Zrínyi Zita</t>
  </si>
  <si>
    <t>8447772748</t>
  </si>
  <si>
    <t>10001795</t>
  </si>
  <si>
    <t>Tóth-Farsang Evelin</t>
  </si>
  <si>
    <t>8415300263</t>
  </si>
  <si>
    <t>10001800</t>
  </si>
  <si>
    <t>8391833836</t>
  </si>
  <si>
    <t>10001804</t>
  </si>
  <si>
    <t>Imre Nóra</t>
  </si>
  <si>
    <t>8464342063</t>
  </si>
  <si>
    <t>10001805</t>
  </si>
  <si>
    <t>8382053971</t>
  </si>
  <si>
    <t>10001806</t>
  </si>
  <si>
    <t>8360241228</t>
  </si>
  <si>
    <t>10001807</t>
  </si>
  <si>
    <t>8381284139</t>
  </si>
  <si>
    <t>10001808</t>
  </si>
  <si>
    <t>8435150860</t>
  </si>
  <si>
    <t>10001811</t>
  </si>
  <si>
    <t>8453283079</t>
  </si>
  <si>
    <t>10001813</t>
  </si>
  <si>
    <t>Kozma Dorottya Edina</t>
  </si>
  <si>
    <t>8387485616</t>
  </si>
  <si>
    <t>10001814</t>
  </si>
  <si>
    <t>8468362336</t>
  </si>
  <si>
    <t>10001815</t>
  </si>
  <si>
    <t>8465090238</t>
  </si>
  <si>
    <t>10001816</t>
  </si>
  <si>
    <t>8459273199</t>
  </si>
  <si>
    <t>10001818</t>
  </si>
  <si>
    <t>8452851529</t>
  </si>
  <si>
    <t>10001823</t>
  </si>
  <si>
    <t>8400125053</t>
  </si>
  <si>
    <t>10001829</t>
  </si>
  <si>
    <t>Farkas Péter</t>
  </si>
  <si>
    <t>8447572374</t>
  </si>
  <si>
    <t>10001830</t>
  </si>
  <si>
    <t>8447632261</t>
  </si>
  <si>
    <t>10001832</t>
  </si>
  <si>
    <t>8397883924</t>
  </si>
  <si>
    <t>10001835</t>
  </si>
  <si>
    <t>8354930351</t>
  </si>
  <si>
    <t>10001838</t>
  </si>
  <si>
    <t>8470832808</t>
  </si>
  <si>
    <t>10001851</t>
  </si>
  <si>
    <t>8463041248</t>
  </si>
  <si>
    <t>10001854</t>
  </si>
  <si>
    <t>8347262403</t>
  </si>
  <si>
    <t>10001857</t>
  </si>
  <si>
    <t>Vonderviszt Lajos</t>
  </si>
  <si>
    <t>8443273798</t>
  </si>
  <si>
    <t>10001859</t>
  </si>
  <si>
    <t>8392061268</t>
  </si>
  <si>
    <t>10001861</t>
  </si>
  <si>
    <t>8451324509</t>
  </si>
  <si>
    <t>10001863</t>
  </si>
  <si>
    <t>8463660355</t>
  </si>
  <si>
    <t>10001871</t>
  </si>
  <si>
    <t>8474940427</t>
  </si>
  <si>
    <t>10001877</t>
  </si>
  <si>
    <t>8412103416</t>
  </si>
  <si>
    <t>10001878</t>
  </si>
  <si>
    <t>8341603020</t>
  </si>
  <si>
    <t>10001879</t>
  </si>
  <si>
    <t>Józsa László</t>
  </si>
  <si>
    <t>8462701147</t>
  </si>
  <si>
    <t>10001887</t>
  </si>
  <si>
    <t>8384415307</t>
  </si>
  <si>
    <t>10001888</t>
  </si>
  <si>
    <t>8476082037</t>
  </si>
  <si>
    <t>10001889</t>
  </si>
  <si>
    <t>8461660684</t>
  </si>
  <si>
    <t>10001891</t>
  </si>
  <si>
    <t>8332374189</t>
  </si>
  <si>
    <t>10001894</t>
  </si>
  <si>
    <t>8441923213</t>
  </si>
  <si>
    <t>10001895</t>
  </si>
  <si>
    <t>8401954231</t>
  </si>
  <si>
    <t>10001896</t>
  </si>
  <si>
    <t>Tóth Benedek</t>
  </si>
  <si>
    <t>8456510645</t>
  </si>
  <si>
    <t>10001897</t>
  </si>
  <si>
    <t>8456992658</t>
  </si>
  <si>
    <t>10001898</t>
  </si>
  <si>
    <t>8469340409</t>
  </si>
  <si>
    <t>10001900</t>
  </si>
  <si>
    <t>8425661145</t>
  </si>
  <si>
    <t>10001905</t>
  </si>
  <si>
    <t>8430140549</t>
  </si>
  <si>
    <t>10001907</t>
  </si>
  <si>
    <t>8427861834</t>
  </si>
  <si>
    <t>10001919</t>
  </si>
  <si>
    <t>8392460766</t>
  </si>
  <si>
    <t>10001922</t>
  </si>
  <si>
    <t>8443541296</t>
  </si>
  <si>
    <t>10001923</t>
  </si>
  <si>
    <t>8395723636</t>
  </si>
  <si>
    <t>10001924</t>
  </si>
  <si>
    <t>Darida Zsuzsa</t>
  </si>
  <si>
    <t>8399494542</t>
  </si>
  <si>
    <t>10001928</t>
  </si>
  <si>
    <t>8486570808</t>
  </si>
  <si>
    <t>10001931</t>
  </si>
  <si>
    <t>8431501502</t>
  </si>
  <si>
    <t>10001940</t>
  </si>
  <si>
    <t>8470952773</t>
  </si>
  <si>
    <t>10001942</t>
  </si>
  <si>
    <t>8479830956</t>
  </si>
  <si>
    <t>10001945</t>
  </si>
  <si>
    <t>8353902435</t>
  </si>
  <si>
    <t>10001946</t>
  </si>
  <si>
    <t>8447622487</t>
  </si>
  <si>
    <t>10001951</t>
  </si>
  <si>
    <t>8429410953</t>
  </si>
  <si>
    <t>10001958</t>
  </si>
  <si>
    <t>8440121865</t>
  </si>
  <si>
    <t>10001959</t>
  </si>
  <si>
    <t>8386020911</t>
  </si>
  <si>
    <t>10001964</t>
  </si>
  <si>
    <t>Kesserű Péter</t>
  </si>
  <si>
    <t>8470991035</t>
  </si>
  <si>
    <t>10001965</t>
  </si>
  <si>
    <t>8461583191</t>
  </si>
  <si>
    <t>10001966</t>
  </si>
  <si>
    <t>8424321014</t>
  </si>
  <si>
    <t>10001970</t>
  </si>
  <si>
    <t>8445893076</t>
  </si>
  <si>
    <t>10001971</t>
  </si>
  <si>
    <t>8462731127</t>
  </si>
  <si>
    <t>10001972</t>
  </si>
  <si>
    <t>8472472035</t>
  </si>
  <si>
    <t>10001973</t>
  </si>
  <si>
    <t>8457043838</t>
  </si>
  <si>
    <t>10001974</t>
  </si>
  <si>
    <t>8400143507</t>
  </si>
  <si>
    <t>10001976</t>
  </si>
  <si>
    <t>8479521163</t>
  </si>
  <si>
    <t>10001977</t>
  </si>
  <si>
    <t>8404893268</t>
  </si>
  <si>
    <t>10001978</t>
  </si>
  <si>
    <t>Szili-Fodor Dóra</t>
  </si>
  <si>
    <t>8405900829</t>
  </si>
  <si>
    <t>10001979</t>
  </si>
  <si>
    <t>8415364997</t>
  </si>
  <si>
    <t>10001980</t>
  </si>
  <si>
    <t>8371850115</t>
  </si>
  <si>
    <t>10001981</t>
  </si>
  <si>
    <t>8450030404</t>
  </si>
  <si>
    <t>10001982</t>
  </si>
  <si>
    <t>8439382790</t>
  </si>
  <si>
    <t>10001986</t>
  </si>
  <si>
    <t>8401383412</t>
  </si>
  <si>
    <t>10001987</t>
  </si>
  <si>
    <t>8332495547</t>
  </si>
  <si>
    <t>10001997</t>
  </si>
  <si>
    <t>8412310314</t>
  </si>
  <si>
    <t>10001998</t>
  </si>
  <si>
    <t>8454981969</t>
  </si>
  <si>
    <t>10001999</t>
  </si>
  <si>
    <t>8401664799</t>
  </si>
  <si>
    <t>10002001</t>
  </si>
  <si>
    <t>Kovács Melinda</t>
  </si>
  <si>
    <t>8442550232</t>
  </si>
  <si>
    <t>10002002</t>
  </si>
  <si>
    <t>Kovács-Németh Lilla</t>
  </si>
  <si>
    <t>8419890081</t>
  </si>
  <si>
    <t>10002004</t>
  </si>
  <si>
    <t>8400614186</t>
  </si>
  <si>
    <t>10002005</t>
  </si>
  <si>
    <t>8303113313</t>
  </si>
  <si>
    <t>10002007</t>
  </si>
  <si>
    <t>Szabóné Dr. Ravasz Bernadett</t>
  </si>
  <si>
    <t>8450163250</t>
  </si>
  <si>
    <t>10002008</t>
  </si>
  <si>
    <t>8456000604</t>
  </si>
  <si>
    <t>10002009</t>
  </si>
  <si>
    <t>Guzsvinecz Tibor</t>
  </si>
  <si>
    <t>8456852562</t>
  </si>
  <si>
    <t>10002010</t>
  </si>
  <si>
    <t>Szűcs Judit</t>
  </si>
  <si>
    <t>8477941602</t>
  </si>
  <si>
    <t>10002012</t>
  </si>
  <si>
    <t>8422550644</t>
  </si>
  <si>
    <t>10002013</t>
  </si>
  <si>
    <t>8471190532</t>
  </si>
  <si>
    <t>10002014</t>
  </si>
  <si>
    <t>8430310738</t>
  </si>
  <si>
    <t>10002016</t>
  </si>
  <si>
    <t>8473952286</t>
  </si>
  <si>
    <t>10002017</t>
  </si>
  <si>
    <t>8355672534</t>
  </si>
  <si>
    <t>10002018</t>
  </si>
  <si>
    <t>8479450444</t>
  </si>
  <si>
    <t>10002021</t>
  </si>
  <si>
    <t>8365593564</t>
  </si>
  <si>
    <t>10002022</t>
  </si>
  <si>
    <t>8350852550</t>
  </si>
  <si>
    <t>10002023</t>
  </si>
  <si>
    <t>8353391902</t>
  </si>
  <si>
    <t>10002024</t>
  </si>
  <si>
    <t>8443042931</t>
  </si>
  <si>
    <t>10002025</t>
  </si>
  <si>
    <t>8453660115</t>
  </si>
  <si>
    <t>10002026</t>
  </si>
  <si>
    <t>8449114357</t>
  </si>
  <si>
    <t>10002027</t>
  </si>
  <si>
    <t>8428730148</t>
  </si>
  <si>
    <t>10002028</t>
  </si>
  <si>
    <t>8439311400</t>
  </si>
  <si>
    <t>10002029</t>
  </si>
  <si>
    <t>8388670670</t>
  </si>
  <si>
    <t>10002030</t>
  </si>
  <si>
    <t>8377233223</t>
  </si>
  <si>
    <t>10002031</t>
  </si>
  <si>
    <t>8375352837</t>
  </si>
  <si>
    <t>10002033</t>
  </si>
  <si>
    <t>8358032285</t>
  </si>
  <si>
    <t>10002034</t>
  </si>
  <si>
    <t>8436493206</t>
  </si>
  <si>
    <t>10002035</t>
  </si>
  <si>
    <t>8440502516</t>
  </si>
  <si>
    <t>10002036</t>
  </si>
  <si>
    <t>8397073647</t>
  </si>
  <si>
    <t>10002037</t>
  </si>
  <si>
    <t>8451490050</t>
  </si>
  <si>
    <t>10002038</t>
  </si>
  <si>
    <t>8438973132</t>
  </si>
  <si>
    <t>10002039</t>
  </si>
  <si>
    <t>8434170299</t>
  </si>
  <si>
    <t>10002040</t>
  </si>
  <si>
    <t>Király András</t>
  </si>
  <si>
    <t>8377113341</t>
  </si>
  <si>
    <t>10002043</t>
  </si>
  <si>
    <t>8378243737</t>
  </si>
  <si>
    <t>10002044</t>
  </si>
  <si>
    <t>8465163111</t>
  </si>
  <si>
    <t>10002045</t>
  </si>
  <si>
    <t>8318834208</t>
  </si>
  <si>
    <t>10002046</t>
  </si>
  <si>
    <t>8309423470</t>
  </si>
  <si>
    <t>10002048</t>
  </si>
  <si>
    <t>8484210146</t>
  </si>
  <si>
    <t>10002050</t>
  </si>
  <si>
    <t>8464521502</t>
  </si>
  <si>
    <t>10002051</t>
  </si>
  <si>
    <t>8459943798</t>
  </si>
  <si>
    <t>10002052</t>
  </si>
  <si>
    <t>8481051845</t>
  </si>
  <si>
    <t>10002056</t>
  </si>
  <si>
    <t>8465210845</t>
  </si>
  <si>
    <t>10002058</t>
  </si>
  <si>
    <t>8358303319</t>
  </si>
  <si>
    <t>10002059</t>
  </si>
  <si>
    <t>8466090657</t>
  </si>
  <si>
    <t>10002060</t>
  </si>
  <si>
    <t>8442350756</t>
  </si>
  <si>
    <t>10002061</t>
  </si>
  <si>
    <t>8367733835</t>
  </si>
  <si>
    <t>10002063</t>
  </si>
  <si>
    <t>8422850095</t>
  </si>
  <si>
    <t>10002064</t>
  </si>
  <si>
    <t>8392743369</t>
  </si>
  <si>
    <t>10002065</t>
  </si>
  <si>
    <t>8446450216</t>
  </si>
  <si>
    <t>10002066</t>
  </si>
  <si>
    <t>8474110068</t>
  </si>
  <si>
    <t>10002067</t>
  </si>
  <si>
    <t>8462660505</t>
  </si>
  <si>
    <t>10002068</t>
  </si>
  <si>
    <t>8457462482</t>
  </si>
  <si>
    <t>10002069</t>
  </si>
  <si>
    <t>8341122936</t>
  </si>
  <si>
    <t>10002070</t>
  </si>
  <si>
    <t>8464281692</t>
  </si>
  <si>
    <t>10002071</t>
  </si>
  <si>
    <t>8462140455</t>
  </si>
  <si>
    <t>10002072</t>
  </si>
  <si>
    <t>8374523034</t>
  </si>
  <si>
    <t>10002073</t>
  </si>
  <si>
    <t>8469820931</t>
  </si>
  <si>
    <t>10002074</t>
  </si>
  <si>
    <t>8488690673</t>
  </si>
  <si>
    <t>10002075</t>
  </si>
  <si>
    <t>8448150856</t>
  </si>
  <si>
    <t>10002076</t>
  </si>
  <si>
    <t>8411764036</t>
  </si>
  <si>
    <t>10002077</t>
  </si>
  <si>
    <t>Sántha-Malomsoki Ágnes</t>
  </si>
  <si>
    <t>8464484135</t>
  </si>
  <si>
    <t>10002078</t>
  </si>
  <si>
    <t>8427273789</t>
  </si>
  <si>
    <t>10002079</t>
  </si>
  <si>
    <t>8427800118</t>
  </si>
  <si>
    <t>10002080</t>
  </si>
  <si>
    <t>8459391582</t>
  </si>
  <si>
    <t>10002081</t>
  </si>
  <si>
    <t>8396355045</t>
  </si>
  <si>
    <t>10002083</t>
  </si>
  <si>
    <t>8484400956</t>
  </si>
  <si>
    <t>10002084</t>
  </si>
  <si>
    <t>8477182833</t>
  </si>
  <si>
    <t>10002086</t>
  </si>
  <si>
    <t>8423311996</t>
  </si>
  <si>
    <t>10002087</t>
  </si>
  <si>
    <t>8463713424</t>
  </si>
  <si>
    <t>10002088</t>
  </si>
  <si>
    <t>8453561745</t>
  </si>
  <si>
    <t>10002089</t>
  </si>
  <si>
    <t>8427691262</t>
  </si>
  <si>
    <t>10002090</t>
  </si>
  <si>
    <t>Joó István</t>
  </si>
  <si>
    <t>8356123089</t>
  </si>
  <si>
    <t>10002091</t>
  </si>
  <si>
    <t>Katits Etelka Éva</t>
  </si>
  <si>
    <t>8336430938</t>
  </si>
  <si>
    <t>10002092</t>
  </si>
  <si>
    <t>8361542329</t>
  </si>
  <si>
    <t>10002093</t>
  </si>
  <si>
    <t>Kopházi-Molnár Erzsébet</t>
  </si>
  <si>
    <t>8488731965</t>
  </si>
  <si>
    <t>10002094</t>
  </si>
  <si>
    <t>8462144000</t>
  </si>
  <si>
    <t>10002095</t>
  </si>
  <si>
    <t>8376910663</t>
  </si>
  <si>
    <t>10002099</t>
  </si>
  <si>
    <t>8388700855</t>
  </si>
  <si>
    <t>10002104</t>
  </si>
  <si>
    <t>8409362279</t>
  </si>
  <si>
    <t>10002105</t>
  </si>
  <si>
    <t>8459972100</t>
  </si>
  <si>
    <t>10002107</t>
  </si>
  <si>
    <t>8484211363</t>
  </si>
  <si>
    <t>10002108</t>
  </si>
  <si>
    <t>8354163245</t>
  </si>
  <si>
    <t>10002110</t>
  </si>
  <si>
    <t>8486210135</t>
  </si>
  <si>
    <t>10002113</t>
  </si>
  <si>
    <t>8396372314</t>
  </si>
  <si>
    <t>10002115</t>
  </si>
  <si>
    <t>Fehér Balázs</t>
  </si>
  <si>
    <t>8445122509</t>
  </si>
  <si>
    <t>10002116</t>
  </si>
  <si>
    <t>8383022344</t>
  </si>
  <si>
    <t>10002117</t>
  </si>
  <si>
    <t>8424651286</t>
  </si>
  <si>
    <t>10002118</t>
  </si>
  <si>
    <t>8347131562</t>
  </si>
  <si>
    <t>10002119</t>
  </si>
  <si>
    <t>8439431996</t>
  </si>
  <si>
    <t>10002120</t>
  </si>
  <si>
    <t>8405152067</t>
  </si>
  <si>
    <t>10002121</t>
  </si>
  <si>
    <t>8375201448</t>
  </si>
  <si>
    <t>10002122</t>
  </si>
  <si>
    <t>8419883549</t>
  </si>
  <si>
    <t>10002123</t>
  </si>
  <si>
    <t>8438460151</t>
  </si>
  <si>
    <t>10002125</t>
  </si>
  <si>
    <t>8463240089</t>
  </si>
  <si>
    <t>10002126</t>
  </si>
  <si>
    <t>8396230846</t>
  </si>
  <si>
    <t>10002127</t>
  </si>
  <si>
    <t>8350332492</t>
  </si>
  <si>
    <t>10002128</t>
  </si>
  <si>
    <t>8386391111</t>
  </si>
  <si>
    <t>10002132</t>
  </si>
  <si>
    <t>Pálfi Géza</t>
  </si>
  <si>
    <t>8455631996</t>
  </si>
  <si>
    <t>10002133</t>
  </si>
  <si>
    <t>8386874112</t>
  </si>
  <si>
    <t>10002134</t>
  </si>
  <si>
    <t>8403497016</t>
  </si>
  <si>
    <t>10002135</t>
  </si>
  <si>
    <t>8398834293</t>
  </si>
  <si>
    <t>10002136</t>
  </si>
  <si>
    <t>8453170231</t>
  </si>
  <si>
    <t>10002137</t>
  </si>
  <si>
    <t>8404423393</t>
  </si>
  <si>
    <t>10002139</t>
  </si>
  <si>
    <t>8423111202</t>
  </si>
  <si>
    <t>10002142</t>
  </si>
  <si>
    <t>8473223225</t>
  </si>
  <si>
    <t>10002143</t>
  </si>
  <si>
    <t>8408270109</t>
  </si>
  <si>
    <t>10002144</t>
  </si>
  <si>
    <t>8406632178</t>
  </si>
  <si>
    <t>10002145</t>
  </si>
  <si>
    <t>8450510813</t>
  </si>
  <si>
    <t>10002146</t>
  </si>
  <si>
    <t>8420560138</t>
  </si>
  <si>
    <t>10002147</t>
  </si>
  <si>
    <t>8474341183</t>
  </si>
  <si>
    <t>10002148</t>
  </si>
  <si>
    <t>8428023395</t>
  </si>
  <si>
    <t>10002149</t>
  </si>
  <si>
    <t>8477071462</t>
  </si>
  <si>
    <t>10002150</t>
  </si>
  <si>
    <t>8477230684</t>
  </si>
  <si>
    <t>10002151</t>
  </si>
  <si>
    <t>8427710135</t>
  </si>
  <si>
    <t>10002153</t>
  </si>
  <si>
    <t>8418461764</t>
  </si>
  <si>
    <t>10002154</t>
  </si>
  <si>
    <t>8437704251</t>
  </si>
  <si>
    <t>10002155</t>
  </si>
  <si>
    <t>8422403099</t>
  </si>
  <si>
    <t>10002156</t>
  </si>
  <si>
    <t>8490422486</t>
  </si>
  <si>
    <t>10002157</t>
  </si>
  <si>
    <t>8412820428</t>
  </si>
  <si>
    <t>10002158</t>
  </si>
  <si>
    <t>8438901476</t>
  </si>
  <si>
    <t>10002159</t>
  </si>
  <si>
    <t>8490251584</t>
  </si>
  <si>
    <t>10002160</t>
  </si>
  <si>
    <t>8437290244</t>
  </si>
  <si>
    <t>10002162</t>
  </si>
  <si>
    <t>8491580409</t>
  </si>
  <si>
    <t>10002164</t>
  </si>
  <si>
    <t>8439390491</t>
  </si>
  <si>
    <t>10002165</t>
  </si>
  <si>
    <t>8408291289</t>
  </si>
  <si>
    <t>10002166</t>
  </si>
  <si>
    <t>8476102356</t>
  </si>
  <si>
    <t>10002167</t>
  </si>
  <si>
    <t>8413223210</t>
  </si>
  <si>
    <t>10002168</t>
  </si>
  <si>
    <t>8494880098</t>
  </si>
  <si>
    <t>10002169</t>
  </si>
  <si>
    <t>8349722673</t>
  </si>
  <si>
    <t>10002171</t>
  </si>
  <si>
    <t>Molnár Ágnes</t>
  </si>
  <si>
    <t>8451441513</t>
  </si>
  <si>
    <t>10002172</t>
  </si>
  <si>
    <t>8420512370</t>
  </si>
  <si>
    <t>10002173</t>
  </si>
  <si>
    <t>Nyirő-Kósa Ilona</t>
  </si>
  <si>
    <t>8399513814</t>
  </si>
  <si>
    <t>10002174</t>
  </si>
  <si>
    <t>Hoffer András</t>
  </si>
  <si>
    <t>8402940218</t>
  </si>
  <si>
    <t>10002175</t>
  </si>
  <si>
    <t>8476082282</t>
  </si>
  <si>
    <t>10002176</t>
  </si>
  <si>
    <t>8472050033</t>
  </si>
  <si>
    <t>10002177</t>
  </si>
  <si>
    <t>8412650174</t>
  </si>
  <si>
    <t>10002178</t>
  </si>
  <si>
    <t>8463320732</t>
  </si>
  <si>
    <t>10002179</t>
  </si>
  <si>
    <t>8452993811</t>
  </si>
  <si>
    <t>10002180</t>
  </si>
  <si>
    <t>8394030483</t>
  </si>
  <si>
    <t>10002181</t>
  </si>
  <si>
    <t>8359472858</t>
  </si>
  <si>
    <t>10002182</t>
  </si>
  <si>
    <t>Perjés István András</t>
  </si>
  <si>
    <t>8403430604</t>
  </si>
  <si>
    <t>10002183</t>
  </si>
  <si>
    <t>8390771837</t>
  </si>
  <si>
    <t>10002184</t>
  </si>
  <si>
    <t>8475032443</t>
  </si>
  <si>
    <t>10002185</t>
  </si>
  <si>
    <t>8385943714</t>
  </si>
  <si>
    <t>10002186</t>
  </si>
  <si>
    <t>8320203163</t>
  </si>
  <si>
    <t>10002187</t>
  </si>
  <si>
    <t>Bari Ferenc</t>
  </si>
  <si>
    <t>8470681206</t>
  </si>
  <si>
    <t>10002188</t>
  </si>
  <si>
    <t>8354561240</t>
  </si>
  <si>
    <t>10002190</t>
  </si>
  <si>
    <t>8456720208</t>
  </si>
  <si>
    <t>10002191</t>
  </si>
  <si>
    <t>8368811929</t>
  </si>
  <si>
    <t>10002192</t>
  </si>
  <si>
    <t>Kádár Judit Ágnes</t>
  </si>
  <si>
    <t>8470432028</t>
  </si>
  <si>
    <t>10002193</t>
  </si>
  <si>
    <t>8428693250</t>
  </si>
  <si>
    <t>10002194</t>
  </si>
  <si>
    <t>8420971286</t>
  </si>
  <si>
    <t>10002195</t>
  </si>
  <si>
    <t>8430180605</t>
  </si>
  <si>
    <t>10002196</t>
  </si>
  <si>
    <t>8426710921</t>
  </si>
  <si>
    <t>10002197</t>
  </si>
  <si>
    <t>8460470792</t>
  </si>
  <si>
    <t>10002198</t>
  </si>
  <si>
    <t>8481950971</t>
  </si>
  <si>
    <t>10002199</t>
  </si>
  <si>
    <t>8450510597</t>
  </si>
  <si>
    <t>10002200</t>
  </si>
  <si>
    <t>8480502614</t>
  </si>
  <si>
    <t>10002201</t>
  </si>
  <si>
    <t>8431133368</t>
  </si>
  <si>
    <t>10002202</t>
  </si>
  <si>
    <t>8463030467</t>
  </si>
  <si>
    <t>10002203</t>
  </si>
  <si>
    <t>8419321990</t>
  </si>
  <si>
    <t>10002204</t>
  </si>
  <si>
    <t>8410762048</t>
  </si>
  <si>
    <t>10002205</t>
  </si>
  <si>
    <t>8421490664</t>
  </si>
  <si>
    <t>10002206</t>
  </si>
  <si>
    <t>8347313725</t>
  </si>
  <si>
    <t>10002207</t>
  </si>
  <si>
    <t>8466444890</t>
  </si>
  <si>
    <t>10002209</t>
  </si>
  <si>
    <t>8351943711</t>
  </si>
  <si>
    <t>10002211</t>
  </si>
  <si>
    <t>8343912519</t>
  </si>
  <si>
    <t>10002212</t>
  </si>
  <si>
    <t>Kulcsár Tamás Jenő</t>
  </si>
  <si>
    <t>8388883704</t>
  </si>
  <si>
    <t>10002213</t>
  </si>
  <si>
    <t>8400542681</t>
  </si>
  <si>
    <t>10002214</t>
  </si>
  <si>
    <t>8458452669</t>
  </si>
  <si>
    <t>10002215</t>
  </si>
  <si>
    <t>8469850865</t>
  </si>
  <si>
    <t>10002216</t>
  </si>
  <si>
    <t>8453471932</t>
  </si>
  <si>
    <t>10002217</t>
  </si>
  <si>
    <t>8455371226</t>
  </si>
  <si>
    <t>10002219</t>
  </si>
  <si>
    <t>8461551931</t>
  </si>
  <si>
    <t>10002220</t>
  </si>
  <si>
    <t>8442950087</t>
  </si>
  <si>
    <t>10002221</t>
  </si>
  <si>
    <t>8486551374</t>
  </si>
  <si>
    <t>10002222</t>
  </si>
  <si>
    <t>8495413558</t>
  </si>
  <si>
    <t>10002223</t>
  </si>
  <si>
    <t>8447040690</t>
  </si>
  <si>
    <t>10002224</t>
  </si>
  <si>
    <t>8469944800</t>
  </si>
  <si>
    <t>10002225</t>
  </si>
  <si>
    <t>8479381701</t>
  </si>
  <si>
    <t>10002226</t>
  </si>
  <si>
    <t>8413776155</t>
  </si>
  <si>
    <t>10002227</t>
  </si>
  <si>
    <t>8406323299</t>
  </si>
  <si>
    <t>10002228</t>
  </si>
  <si>
    <t>8313412607</t>
  </si>
  <si>
    <t>10002229</t>
  </si>
  <si>
    <t>Török Ádám</t>
  </si>
  <si>
    <t>8408982311</t>
  </si>
  <si>
    <t>10002230</t>
  </si>
  <si>
    <t>8431623594</t>
  </si>
  <si>
    <t>10002231</t>
  </si>
  <si>
    <t>8364962566</t>
  </si>
  <si>
    <t>10002232</t>
  </si>
  <si>
    <t>Kiss Gyula</t>
  </si>
  <si>
    <t>8447262901</t>
  </si>
  <si>
    <t>10002233</t>
  </si>
  <si>
    <t>8425542162</t>
  </si>
  <si>
    <t>10002234</t>
  </si>
  <si>
    <t>8405792082</t>
  </si>
  <si>
    <t>10002235</t>
  </si>
  <si>
    <t>8451130208</t>
  </si>
  <si>
    <t>10002236</t>
  </si>
  <si>
    <t>8388331809</t>
  </si>
  <si>
    <t>10002237</t>
  </si>
  <si>
    <t>8445211609</t>
  </si>
  <si>
    <t>10002240</t>
  </si>
  <si>
    <t>8478392939</t>
  </si>
  <si>
    <t>40001982</t>
  </si>
  <si>
    <t>8469983482</t>
  </si>
  <si>
    <t>40001985</t>
  </si>
  <si>
    <t>8483760827</t>
  </si>
  <si>
    <t>40001994</t>
  </si>
  <si>
    <t>8423862720</t>
  </si>
  <si>
    <t>40001999</t>
  </si>
  <si>
    <t>8483771608</t>
  </si>
  <si>
    <t>40002004</t>
  </si>
  <si>
    <t>8492451181</t>
  </si>
  <si>
    <t>40002005</t>
  </si>
  <si>
    <t>8485702417</t>
  </si>
  <si>
    <t>40002012</t>
  </si>
  <si>
    <t>8486631289</t>
  </si>
  <si>
    <t>40002013</t>
  </si>
  <si>
    <t>8467950226</t>
  </si>
  <si>
    <t>40002014</t>
  </si>
  <si>
    <t>8482040391</t>
  </si>
  <si>
    <t>40002015</t>
  </si>
  <si>
    <t>8485391136</t>
  </si>
  <si>
    <t>40002016</t>
  </si>
  <si>
    <t>8485451619</t>
  </si>
  <si>
    <t>40002017</t>
  </si>
  <si>
    <t>8485500210</t>
  </si>
  <si>
    <t>40002018</t>
  </si>
  <si>
    <t>8488862237</t>
  </si>
  <si>
    <t>40002019</t>
  </si>
  <si>
    <t>8486171679</t>
  </si>
  <si>
    <t>40002020</t>
  </si>
  <si>
    <t>8486560063</t>
  </si>
  <si>
    <t>40002021</t>
  </si>
  <si>
    <t>?</t>
  </si>
  <si>
    <t>Balog Andrea (FPI)</t>
  </si>
  <si>
    <t>Törzsszám</t>
  </si>
  <si>
    <t>Összesen</t>
  </si>
  <si>
    <t>NEM elszámolható rész</t>
  </si>
  <si>
    <t>2. elszámolás</t>
  </si>
  <si>
    <t>Átalány 15%</t>
  </si>
  <si>
    <t>Szakmai bér</t>
  </si>
  <si>
    <t>Összesen:</t>
  </si>
  <si>
    <t>2/átalány</t>
  </si>
  <si>
    <t>2022.09.22 válasze-mail</t>
  </si>
  <si>
    <t>Elszámolható -SAP bér</t>
  </si>
  <si>
    <t>Elszámolható -SAP járulék</t>
  </si>
  <si>
    <t>SAP könyvelt BÉR</t>
  </si>
  <si>
    <t>SAP könyvelt járulék</t>
  </si>
  <si>
    <t>2023. március</t>
  </si>
  <si>
    <t>2022.11.22. e-mail szerint a 143 a 144rőlas témaszámra menjen, 2022. októbert korrekciózni kell</t>
  </si>
  <si>
    <t>2023. 03.16. Kovács Zsófia  e-maile alapján Farsang Róbert bére a 154 témaszámra kerül</t>
  </si>
  <si>
    <t>M211130000</t>
  </si>
  <si>
    <t>2023. április</t>
  </si>
  <si>
    <t>A HR-IT alaplevélhez az alábbi szöveget írjuk átmenetileg:</t>
  </si>
  <si>
    <t>" Az RRF-2.3.1-21-2022-....... sz. projektre elszámolható bér az átlagbér/FEOR vizsgálat, illetve a Támogató béremelkedésre vonatkozó ellenőrzésének megfelelően változhat"</t>
  </si>
  <si>
    <t>2023.04.12. e- mail alapján alaplevél szöveg</t>
  </si>
  <si>
    <t>EPTK elszámolt átalány maradvány</t>
  </si>
  <si>
    <t>1-2/átalány</t>
  </si>
  <si>
    <t>Csizmadiáné Dr. Czuppon Viktória</t>
  </si>
  <si>
    <t>A031100000</t>
  </si>
  <si>
    <t>nem volt megadva</t>
  </si>
  <si>
    <t>PP-2023-18</t>
  </si>
  <si>
    <t>5100013875</t>
  </si>
  <si>
    <t>K021110000</t>
  </si>
  <si>
    <t>Adóazonosító</t>
  </si>
  <si>
    <t>Név</t>
  </si>
  <si>
    <t>Terhelés</t>
  </si>
  <si>
    <t>Számfejtés</t>
  </si>
  <si>
    <t>Hónap</t>
  </si>
  <si>
    <t>Bér</t>
  </si>
  <si>
    <t>Járulék</t>
  </si>
  <si>
    <t>Kihagyás</t>
  </si>
  <si>
    <t>2023. május</t>
  </si>
  <si>
    <t>PP-2023-25</t>
  </si>
  <si>
    <t>5100014383</t>
  </si>
  <si>
    <t>400000 Ft a keret (2022.10.13. email alapján)</t>
  </si>
  <si>
    <t>az új keret 1000 000 2013.10.13.</t>
  </si>
  <si>
    <t>az új keret öszeg nettó 1 500 000 Ft 2023.05.16 e-mail</t>
  </si>
  <si>
    <t>Deák-Söröző Kft.</t>
  </si>
  <si>
    <t>BZX00046/2023</t>
  </si>
  <si>
    <t>5100014800/2023</t>
  </si>
  <si>
    <t>Juhász Csenge</t>
  </si>
  <si>
    <t>6.E</t>
  </si>
  <si>
    <t>PAPÍROS ALAPLEVÉL, hallgatói</t>
  </si>
  <si>
    <t>Tarcsay Bálint</t>
  </si>
  <si>
    <t>2023.06.06 Klein Mónika e-mail alapján</t>
  </si>
  <si>
    <t>Korrekciózni a járulékot</t>
  </si>
  <si>
    <t>2023. június</t>
  </si>
  <si>
    <t>kilépett</t>
  </si>
  <si>
    <t>kihagyás</t>
  </si>
  <si>
    <t>C201100000</t>
  </si>
  <si>
    <t>PP-2023-33</t>
  </si>
  <si>
    <t>5100015281/2023</t>
  </si>
  <si>
    <t>PP-2023-40</t>
  </si>
  <si>
    <t>5100016172/2023</t>
  </si>
  <si>
    <t>az új keret öszeg nettó 3000 000 Ft 2023.07.14. e-mail</t>
  </si>
  <si>
    <t>MÁK</t>
  </si>
  <si>
    <t>2023. július</t>
  </si>
  <si>
    <t>Hiánypótlás</t>
  </si>
  <si>
    <t>K témaszámhoz tartozik, Utazási költség</t>
  </si>
  <si>
    <t>2022.09.28-30</t>
  </si>
  <si>
    <t>2023. augusztus</t>
  </si>
  <si>
    <t>PP-2023-53</t>
  </si>
  <si>
    <t>5100016838/2023</t>
  </si>
  <si>
    <t>2023. szeptember</t>
  </si>
  <si>
    <t>PP-2023-59</t>
  </si>
  <si>
    <t>5100017575/2023</t>
  </si>
  <si>
    <t>Catering (2023.05.22.)
Sajtó tájékoztatóval egybekötött magas szintű szakmai egyeztetés</t>
  </si>
  <si>
    <t>A041100000</t>
  </si>
  <si>
    <t>2023. október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</si>
</sst>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7" formatCode="#,##0.00\ &quot;Ft&quot;;\-#,##0.00\ &quot;Ft&quot;"/>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0\ _F_t_-;\-* #,##0.000\ _F_t_-;_-* &quot;-&quot;??\ _F_t_-;_-@_-"/>
    <numFmt numFmtId="173" formatCode="_-* #,##0.000\ _F_t_-;\-* #,##0.000\ _F_t_-;_-* &quot;-&quot;???\ _F_t_-;_-@_-"/>
    <numFmt numFmtId="174" formatCode="_-* #,##0.0\ _F_t_-;\-* #,##0.0\ _F_t_-;_-* &quot;-&quot;??\ _F_t_-;_-@_-"/>
    <numFmt numFmtId="175" formatCode="_-* #,##0.0\ _F_t_-;\-* #,##0.0\ _F_t_-;_-* &quot;-&quot;?\ _F_t_-;_-@_-"/>
    <numFmt numFmtId="176" formatCode="_-* #,##0_-;\-* #,##0_-;_-* &quot;-&quot;??_-;_-@_-"/>
    <numFmt numFmtId="177" formatCode="_-* #,##0.00\ [$Ft-40E]_-;\-* #,##0.00\ [$Ft-40E]_-;_-* &quot;-&quot;??\ [$Ft-40E]_-;_-@_-"/>
    <numFmt numFmtId="178" formatCode="#,##0.00\ _F_t"/>
    <numFmt numFmtId="179" formatCode="0.0%"/>
    <numFmt numFmtId="180" formatCode="_-* #,##0.00000\ &quot;Ft&quot;_-;\-* #,##0.00000\ &quot;Ft&quot;_-;_-* &quot;-&quot;??\ &quot;Ft&quot;_-;_-@_-"/>
    <numFmt numFmtId="181" formatCode="_-* #,##0.0000\ &quot;Ft&quot;_-;\-* #,##0.0000\ &quot;Ft&quot;_-;_-* &quot;-&quot;??\ &quot;Ft&quot;_-;_-@_-"/>
    <numFmt numFmtId="182" formatCode="#,##0.00\ &quot;Ft&quot;"/>
    <numFmt numFmtId="183" formatCode="#,##0.0000"/>
    <numFmt numFmtId="184" formatCode="0.0000%"/>
    <numFmt numFmtId="185" formatCode="_-* #,##0.000\ &quot;Ft&quot;_-;\-* #,##0.000\ &quot;Ft&quot;_-;_-* &quot;-&quot;??\ &quot;Ft&quot;_-;_-@_-"/>
    <numFmt numFmtId="186" formatCode="#,##0.000\ &quot;Ft&quot;"/>
  </numFmts>
  <fonts count="95"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b/>
      <sz val="14"/>
      <name val="Times New Roman"/>
      <family val="1"/>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sz val="14"/>
      <name val="Times New Roman"/>
      <family val="1"/>
      <charset val="238"/>
    </font>
    <font>
      <b/>
      <sz val="12"/>
      <color theme="1"/>
      <name val="Calibri"/>
      <family val="2"/>
      <charset val="238"/>
      <scheme val="minor"/>
    </font>
    <font>
      <b/>
      <sz val="14"/>
      <color indexed="8"/>
      <name val="Times New Roman"/>
      <family val="1"/>
      <charset val="238"/>
    </font>
    <font>
      <sz val="14"/>
      <color indexed="8"/>
      <name val="Times New Roman"/>
      <family val="1"/>
      <charset val="238"/>
    </font>
    <font>
      <sz val="14"/>
      <color theme="1"/>
      <name val="Calibri"/>
      <family val="2"/>
      <charset val="238"/>
      <scheme val="minor"/>
    </font>
    <font>
      <sz val="11"/>
      <color theme="1"/>
      <name val="Times New Roman"/>
      <family val="1"/>
      <charset val="238"/>
    </font>
    <font>
      <sz val="12"/>
      <name val="Times New Roman"/>
      <family val="1"/>
      <charset val="238"/>
    </font>
    <font>
      <sz val="12"/>
      <color theme="1"/>
      <name val="Times New Roman"/>
      <family val="1"/>
      <charset val="238"/>
    </font>
    <font>
      <b/>
      <sz val="11"/>
      <color rgb="FFFF0000"/>
      <name val="Times New Roman"/>
      <family val="1"/>
      <charset val="238"/>
    </font>
    <font>
      <sz val="14"/>
      <color theme="1"/>
      <name val="Times New Roman"/>
      <family val="1"/>
      <charset val="238"/>
    </font>
    <font>
      <b/>
      <sz val="12"/>
      <name val="Times New Roman"/>
      <family val="1"/>
      <charset val="238"/>
    </font>
    <font>
      <b/>
      <sz val="14"/>
      <color theme="1"/>
      <name val="Times New Roman"/>
      <family val="1"/>
      <charset val="238"/>
    </font>
    <font>
      <sz val="8"/>
      <name val="Calibri"/>
      <family val="2"/>
      <charset val="238"/>
      <scheme val="minor"/>
    </font>
    <font>
      <b/>
      <u/>
      <sz val="14"/>
      <name val="Times New Roman"/>
      <family val="1"/>
      <charset val="238"/>
    </font>
    <font>
      <sz val="14"/>
      <name val="Calibri"/>
      <family val="2"/>
      <charset val="238"/>
      <scheme val="minor"/>
    </font>
    <font>
      <sz val="12"/>
      <color indexed="8"/>
      <name val="Times New Roman"/>
      <family val="1"/>
      <charset val="238"/>
    </font>
    <font>
      <sz val="18"/>
      <color theme="1"/>
      <name val="Times New Roman"/>
      <family val="1"/>
      <charset val="238"/>
    </font>
    <font>
      <b/>
      <sz val="18"/>
      <color theme="1"/>
      <name val="Times New Roman"/>
      <family val="1"/>
      <charset val="238"/>
    </font>
    <font>
      <b/>
      <sz val="18"/>
      <name val="Times New Roman"/>
      <family val="1"/>
      <charset val="238"/>
    </font>
    <font>
      <sz val="18"/>
      <name val="Times New Roman"/>
      <family val="1"/>
      <charset val="238"/>
    </font>
    <font>
      <b/>
      <u/>
      <sz val="18"/>
      <color theme="1"/>
      <name val="Times New Roman"/>
      <family val="1"/>
      <charset val="238"/>
    </font>
    <font>
      <u/>
      <sz val="18"/>
      <color theme="1"/>
      <name val="Times New Roman"/>
      <family val="1"/>
      <charset val="238"/>
    </font>
    <font>
      <b/>
      <sz val="28"/>
      <color theme="1"/>
      <name val="Times New Roman"/>
      <family val="1"/>
      <charset val="238"/>
    </font>
    <font>
      <sz val="12"/>
      <color rgb="FFFF0000"/>
      <name val="Times New Roman"/>
      <family val="1"/>
      <charset val="238"/>
    </font>
    <font>
      <b/>
      <sz val="12"/>
      <color rgb="FFFF0000"/>
      <name val="Times New Roman"/>
      <family val="1"/>
      <charset val="238"/>
    </font>
    <font>
      <b/>
      <sz val="12"/>
      <color theme="1"/>
      <name val="Times New Roman"/>
      <family val="1"/>
      <charset val="238"/>
    </font>
    <font>
      <sz val="10"/>
      <color theme="1"/>
      <name val="Times New Roman"/>
      <family val="1"/>
      <charset val="238"/>
    </font>
    <font>
      <b/>
      <sz val="10"/>
      <color theme="1"/>
      <name val="Times New Roman"/>
      <family val="1"/>
      <charset val="238"/>
    </font>
    <font>
      <u/>
      <sz val="10"/>
      <color theme="1"/>
      <name val="Times New Roman"/>
      <family val="1"/>
      <charset val="238"/>
    </font>
    <font>
      <b/>
      <u/>
      <sz val="10"/>
      <color theme="1"/>
      <name val="Times New Roman"/>
      <family val="1"/>
      <charset val="238"/>
    </font>
    <font>
      <sz val="11"/>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12"/>
      <color rgb="FFFF0000"/>
      <name val="Calibri"/>
      <family val="2"/>
      <charset val="238"/>
      <scheme val="minor"/>
    </font>
    <font>
      <b/>
      <sz val="14"/>
      <color theme="1"/>
      <name val="Calibri"/>
      <family val="2"/>
      <charset val="238"/>
      <scheme val="minor"/>
    </font>
    <font>
      <sz val="14"/>
      <color rgb="FF000000"/>
      <name val="Calibri"/>
      <family val="2"/>
      <charset val="238"/>
    </font>
    <font>
      <b/>
      <sz val="14"/>
      <color rgb="FF000000"/>
      <name val="Calibri"/>
      <family val="2"/>
      <charset val="238"/>
    </font>
    <font>
      <i/>
      <sz val="12"/>
      <color theme="1"/>
      <name val="Calibri"/>
      <family val="2"/>
      <charset val="238"/>
      <scheme val="minor"/>
    </font>
    <font>
      <b/>
      <i/>
      <sz val="12"/>
      <color theme="1"/>
      <name val="Calibri"/>
      <family val="2"/>
      <charset val="238"/>
      <scheme val="minor"/>
    </font>
    <font>
      <b/>
      <u/>
      <sz val="11"/>
      <name val="Times New Roman"/>
      <family val="1"/>
      <charset val="238"/>
    </font>
    <font>
      <sz val="11"/>
      <color rgb="FF00B050"/>
      <name val="Calibri"/>
      <family val="2"/>
      <charset val="238"/>
      <scheme val="minor"/>
    </font>
    <font>
      <b/>
      <sz val="11"/>
      <color rgb="FFFF0000"/>
      <name val="Calibri"/>
      <family val="2"/>
      <charset val="238"/>
      <scheme val="minor"/>
    </font>
    <font>
      <b/>
      <sz val="11"/>
      <name val="Calibri"/>
      <family val="2"/>
      <charset val="238"/>
      <scheme val="minor"/>
    </font>
    <font>
      <sz val="9"/>
      <color indexed="81"/>
      <name val="Tahoma"/>
      <family val="2"/>
      <charset val="238"/>
    </font>
    <font>
      <b/>
      <sz val="9"/>
      <color indexed="81"/>
      <name val="Tahoma"/>
      <family val="2"/>
      <charset val="238"/>
    </font>
    <font>
      <b/>
      <sz val="20"/>
      <color theme="1"/>
      <name val="Calibri"/>
      <family val="2"/>
      <charset val="238"/>
      <scheme val="minor"/>
    </font>
    <font>
      <b/>
      <sz val="14"/>
      <color rgb="FFFF0000"/>
      <name val="Times New Roman"/>
      <family val="1"/>
      <charset val="238"/>
    </font>
    <font>
      <sz val="12"/>
      <color theme="1"/>
      <name val="Calibri"/>
      <family val="2"/>
      <charset val="238"/>
      <scheme val="minor"/>
    </font>
    <font>
      <b/>
      <sz val="18"/>
      <color theme="1"/>
      <name val="Calibri"/>
      <family val="2"/>
      <charset val="238"/>
      <scheme val="minor"/>
    </font>
    <font>
      <i/>
      <sz val="11"/>
      <color rgb="FF0070C0"/>
      <name val="Times New Roman"/>
      <family val="1"/>
      <charset val="238"/>
    </font>
  </fonts>
  <fills count="61">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rgb="FFFFFFCC"/>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6" tint="0.59999389629810485"/>
        <bgColor indexed="64"/>
      </patternFill>
    </fill>
  </fills>
  <borders count="10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diagonalUp="1">
      <left style="medium">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medium">
        <color indexed="64"/>
      </top>
      <bottom style="thin">
        <color indexed="64"/>
      </bottom>
      <diagonal style="thin">
        <color indexed="64"/>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diagonalUp="1">
      <left style="thin">
        <color indexed="64"/>
      </left>
      <right/>
      <top style="medium">
        <color indexed="64"/>
      </top>
      <bottom style="thin">
        <color indexed="64"/>
      </bottom>
      <diagonal style="thin">
        <color indexed="64"/>
      </diagonal>
    </border>
    <border>
      <left style="thin">
        <color indexed="64"/>
      </left>
      <right/>
      <top style="thin">
        <color indexed="64"/>
      </top>
      <bottom style="medium">
        <color indexed="64"/>
      </bottom>
      <diagonal/>
    </border>
    <border diagonalUp="1">
      <left/>
      <right style="thin">
        <color indexed="64"/>
      </right>
      <top style="medium">
        <color indexed="64"/>
      </top>
      <bottom style="thin">
        <color indexed="64"/>
      </bottom>
      <diagonal style="thin">
        <color indexed="64"/>
      </diagonal>
    </border>
    <border diagonalUp="1">
      <left style="medium">
        <color indexed="64"/>
      </left>
      <right style="medium">
        <color indexed="64"/>
      </right>
      <top style="medium">
        <color indexed="64"/>
      </top>
      <bottom style="thin">
        <color indexed="64"/>
      </bottom>
      <diagonal style="thin">
        <color indexed="64"/>
      </diagonal>
    </border>
    <border>
      <left/>
      <right/>
      <top style="medium">
        <color indexed="64"/>
      </top>
      <bottom/>
      <diagonal/>
    </border>
    <border diagonalUp="1">
      <left style="thin">
        <color indexed="64"/>
      </left>
      <right style="thin">
        <color indexed="64"/>
      </right>
      <top/>
      <bottom style="thin">
        <color indexed="64"/>
      </bottom>
      <diagonal style="thin">
        <color indexed="64"/>
      </diagonal>
    </border>
    <border>
      <left/>
      <right style="thin">
        <color indexed="64"/>
      </right>
      <top style="medium">
        <color indexed="64"/>
      </top>
      <bottom style="thin">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diagonalUp="1">
      <left style="thin">
        <color indexed="64"/>
      </left>
      <right style="thin">
        <color indexed="64"/>
      </right>
      <top style="medium">
        <color indexed="64"/>
      </top>
      <bottom/>
      <diagonal style="thin">
        <color indexed="64"/>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right style="thin">
        <color indexed="64"/>
      </right>
      <top style="medium">
        <color indexed="64"/>
      </top>
      <bottom/>
      <diagonal/>
    </border>
    <border>
      <left style="thin">
        <color indexed="64"/>
      </left>
      <right/>
      <top/>
      <bottom style="thin">
        <color theme="4" tint="0.39997558519241921"/>
      </bottom>
      <diagonal/>
    </border>
    <border>
      <left style="thin">
        <color indexed="64"/>
      </left>
      <right style="thin">
        <color indexed="64"/>
      </right>
      <top/>
      <bottom style="thin">
        <color theme="4" tint="0.39997558519241921"/>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diagonalUp="1">
      <left style="medium">
        <color indexed="64"/>
      </left>
      <right style="medium">
        <color indexed="64"/>
      </right>
      <top style="thin">
        <color indexed="64"/>
      </top>
      <bottom style="medium">
        <color indexed="64"/>
      </bottom>
      <diagonal style="thin">
        <color indexed="64"/>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right/>
      <top style="thin">
        <color indexed="64"/>
      </top>
      <bottom/>
      <diagonal/>
    </border>
  </borders>
  <cellStyleXfs count="150">
    <xf numFmtId="0" fontId="0" fillId="0" borderId="0"/>
    <xf numFmtId="0" fontId="10" fillId="2" borderId="7"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10" applyNumberFormat="0" applyFill="0" applyAlignment="0" applyProtection="0"/>
    <xf numFmtId="0" fontId="19" fillId="0" borderId="11" applyNumberFormat="0" applyFill="0" applyAlignment="0" applyProtection="0"/>
    <xf numFmtId="0" fontId="19" fillId="0" borderId="0" applyNumberFormat="0" applyFill="0" applyBorder="0" applyAlignment="0" applyProtection="0"/>
    <xf numFmtId="0" fontId="20" fillId="20"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1" fillId="21" borderId="14"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5" applyNumberFormat="0" applyAlignment="0" applyProtection="0"/>
    <xf numFmtId="0" fontId="25" fillId="0" borderId="0" applyNumberFormat="0" applyFill="0" applyBorder="0" applyAlignment="0" applyProtection="0"/>
    <xf numFmtId="0" fontId="4" fillId="0" borderId="16"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8"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8" applyNumberFormat="0" applyAlignment="0" applyProtection="0"/>
    <xf numFmtId="0" fontId="1" fillId="21" borderId="14" applyNumberFormat="0" applyFont="0" applyAlignment="0" applyProtection="0"/>
    <xf numFmtId="0" fontId="24" fillId="26" borderId="15" applyNumberFormat="0" applyAlignment="0" applyProtection="0"/>
    <xf numFmtId="0" fontId="4" fillId="0" borderId="16" applyNumberFormat="0" applyFill="0" applyAlignment="0" applyProtection="0"/>
    <xf numFmtId="0" fontId="28" fillId="26" borderId="8"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5" applyNumberFormat="0" applyAlignment="0" applyProtection="0"/>
    <xf numFmtId="0" fontId="1" fillId="21" borderId="14" applyNumberFormat="0" applyFont="0" applyAlignment="0" applyProtection="0"/>
    <xf numFmtId="0" fontId="4" fillId="0" borderId="16" applyNumberFormat="0" applyFill="0" applyAlignment="0" applyProtection="0"/>
    <xf numFmtId="0" fontId="24" fillId="26" borderId="15" applyNumberFormat="0" applyAlignment="0" applyProtection="0"/>
    <xf numFmtId="0" fontId="28" fillId="26" borderId="8" applyNumberFormat="0" applyAlignment="0" applyProtection="0"/>
    <xf numFmtId="0" fontId="4" fillId="0" borderId="16" applyNumberFormat="0" applyFill="0" applyAlignment="0" applyProtection="0"/>
    <xf numFmtId="0" fontId="24" fillId="26" borderId="15" applyNumberFormat="0" applyAlignment="0" applyProtection="0"/>
    <xf numFmtId="0" fontId="1" fillId="21" borderId="14" applyNumberFormat="0" applyFont="0" applyAlignment="0" applyProtection="0"/>
    <xf numFmtId="0" fontId="15" fillId="11" borderId="8" applyNumberFormat="0" applyAlignment="0" applyProtection="0"/>
    <xf numFmtId="0" fontId="1" fillId="21" borderId="14" applyNumberFormat="0" applyFont="0" applyAlignment="0" applyProtection="0"/>
    <xf numFmtId="0" fontId="1" fillId="21" borderId="14" applyNumberFormat="0" applyFont="0" applyAlignment="0" applyProtection="0"/>
    <xf numFmtId="0" fontId="15" fillId="11" borderId="8" applyNumberFormat="0" applyAlignment="0" applyProtection="0"/>
    <xf numFmtId="0" fontId="24" fillId="26" borderId="15" applyNumberFormat="0" applyAlignment="0" applyProtection="0"/>
    <xf numFmtId="0" fontId="4" fillId="0" borderId="16" applyNumberFormat="0" applyFill="0" applyAlignment="0" applyProtection="0"/>
    <xf numFmtId="0" fontId="28" fillId="26" borderId="8" applyNumberFormat="0" applyAlignment="0" applyProtection="0"/>
    <xf numFmtId="0" fontId="28" fillId="26" borderId="8" applyNumberFormat="0" applyAlignment="0" applyProtection="0"/>
    <xf numFmtId="0" fontId="15" fillId="11" borderId="8"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5" applyNumberFormat="0" applyAlignment="0" applyProtection="0"/>
    <xf numFmtId="0" fontId="1" fillId="21" borderId="14" applyNumberFormat="0" applyFont="0" applyAlignment="0" applyProtection="0"/>
    <xf numFmtId="0" fontId="15" fillId="11" borderId="8" applyNumberFormat="0" applyAlignment="0" applyProtection="0"/>
    <xf numFmtId="0" fontId="28" fillId="26" borderId="8" applyNumberFormat="0" applyAlignment="0" applyProtection="0"/>
    <xf numFmtId="0" fontId="28" fillId="26" borderId="8" applyNumberFormat="0" applyAlignment="0" applyProtection="0"/>
    <xf numFmtId="0" fontId="4" fillId="0" borderId="16" applyNumberFormat="0" applyFill="0" applyAlignment="0" applyProtection="0"/>
    <xf numFmtId="0" fontId="15" fillId="11" borderId="8" applyNumberFormat="0" applyAlignment="0" applyProtection="0"/>
    <xf numFmtId="0" fontId="28" fillId="26" borderId="8" applyNumberFormat="0" applyAlignment="0" applyProtection="0"/>
    <xf numFmtId="0" fontId="4" fillId="0" borderId="16" applyNumberFormat="0" applyFill="0" applyAlignment="0" applyProtection="0"/>
    <xf numFmtId="0" fontId="4" fillId="0" borderId="16" applyNumberFormat="0" applyFill="0" applyAlignment="0" applyProtection="0"/>
    <xf numFmtId="0" fontId="24" fillId="26" borderId="15" applyNumberFormat="0" applyAlignment="0" applyProtection="0"/>
    <xf numFmtId="0" fontId="1" fillId="21" borderId="14" applyNumberFormat="0" applyFont="0" applyAlignment="0" applyProtection="0"/>
    <xf numFmtId="0" fontId="15" fillId="11" borderId="8" applyNumberFormat="0" applyAlignment="0" applyProtection="0"/>
    <xf numFmtId="0" fontId="28" fillId="26" borderId="8" applyNumberFormat="0" applyAlignment="0" applyProtection="0"/>
    <xf numFmtId="0" fontId="4" fillId="0" borderId="16" applyNumberFormat="0" applyFill="0" applyAlignment="0" applyProtection="0"/>
    <xf numFmtId="0" fontId="24" fillId="26" borderId="15" applyNumberFormat="0" applyAlignment="0" applyProtection="0"/>
    <xf numFmtId="0" fontId="1" fillId="21" borderId="14" applyNumberFormat="0" applyFont="0" applyAlignment="0" applyProtection="0"/>
    <xf numFmtId="0" fontId="15" fillId="11" borderId="8"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69" fillId="0" borderId="0"/>
    <xf numFmtId="0" fontId="12" fillId="0" borderId="0"/>
    <xf numFmtId="43" fontId="9" fillId="0" borderId="0" applyFont="0" applyFill="0" applyBorder="0" applyAlignment="0" applyProtection="0"/>
  </cellStyleXfs>
  <cellXfs count="953">
    <xf numFmtId="0" fontId="0" fillId="0" borderId="0" xfId="0"/>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7" fontId="11" fillId="0" borderId="0" xfId="0" applyNumberFormat="1" applyFont="1"/>
    <xf numFmtId="3" fontId="0" fillId="0" borderId="0" xfId="0" applyNumberFormat="1"/>
    <xf numFmtId="165" fontId="0" fillId="0" borderId="0" xfId="0" applyNumberForma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9" xfId="0" applyBorder="1" applyAlignment="1">
      <alignment horizontal="center" vertical="center"/>
    </xf>
    <xf numFmtId="168" fontId="0" fillId="0" borderId="0" xfId="0" applyNumberFormat="1"/>
    <xf numFmtId="168" fontId="0" fillId="0" borderId="0" xfId="0" applyNumberFormat="1" applyAlignment="1">
      <alignment horizontal="left"/>
    </xf>
    <xf numFmtId="0" fontId="0" fillId="37" borderId="1" xfId="0" applyFill="1"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3" fontId="2" fillId="37" borderId="5" xfId="0" applyNumberFormat="1" applyFont="1" applyFill="1" applyBorder="1" applyAlignment="1">
      <alignment horizontal="center" vertical="center"/>
    </xf>
    <xf numFmtId="3" fontId="2" fillId="37" borderId="31" xfId="0" applyNumberFormat="1" applyFont="1" applyFill="1" applyBorder="1" applyAlignment="1">
      <alignment horizontal="center" vertical="center" wrapText="1"/>
    </xf>
    <xf numFmtId="0" fontId="0" fillId="36" borderId="36" xfId="0" applyFill="1" applyBorder="1" applyAlignment="1">
      <alignment horizontal="center" vertical="center"/>
    </xf>
    <xf numFmtId="0" fontId="0" fillId="0" borderId="48" xfId="0" applyBorder="1" applyAlignment="1">
      <alignment horizontal="center" vertical="center"/>
    </xf>
    <xf numFmtId="0" fontId="0" fillId="36" borderId="27" xfId="0" applyFill="1" applyBorder="1" applyAlignment="1">
      <alignment horizontal="center" vertical="center"/>
    </xf>
    <xf numFmtId="0" fontId="0" fillId="0" borderId="32" xfId="0" applyBorder="1" applyAlignment="1">
      <alignment horizontal="center"/>
    </xf>
    <xf numFmtId="0" fontId="0" fillId="0" borderId="33" xfId="0" applyBorder="1" applyAlignment="1">
      <alignment horizontal="center"/>
    </xf>
    <xf numFmtId="0" fontId="0" fillId="36" borderId="19" xfId="0" applyFill="1" applyBorder="1" applyAlignment="1">
      <alignment horizontal="center" vertical="center"/>
    </xf>
    <xf numFmtId="0" fontId="0" fillId="0" borderId="34" xfId="0" applyBorder="1" applyAlignment="1">
      <alignment vertical="center"/>
    </xf>
    <xf numFmtId="0" fontId="0" fillId="0" borderId="34" xfId="0" applyBorder="1"/>
    <xf numFmtId="0" fontId="0" fillId="0" borderId="35" xfId="0" applyBorder="1"/>
    <xf numFmtId="0" fontId="0" fillId="36" borderId="47" xfId="0" applyFill="1" applyBorder="1" applyAlignment="1">
      <alignment horizontal="center" vertical="center"/>
    </xf>
    <xf numFmtId="0" fontId="0" fillId="0" borderId="47"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32" xfId="0" applyBorder="1" applyAlignment="1">
      <alignment horizontal="center" vertical="center" wrapText="1"/>
    </xf>
    <xf numFmtId="0" fontId="0" fillId="0" borderId="38" xfId="0" applyBorder="1" applyAlignment="1">
      <alignment horizontal="center" vertical="center"/>
    </xf>
    <xf numFmtId="0" fontId="0" fillId="0" borderId="31" xfId="0" applyBorder="1" applyAlignment="1">
      <alignment horizontal="center" vertical="center"/>
    </xf>
    <xf numFmtId="0" fontId="0" fillId="0" borderId="55" xfId="0" applyBorder="1" applyAlignment="1">
      <alignment horizontal="center" vertical="center" wrapText="1"/>
    </xf>
    <xf numFmtId="49" fontId="0" fillId="0" borderId="56" xfId="0" applyNumberFormat="1" applyBorder="1" applyAlignment="1">
      <alignment horizontal="center" vertical="center" wrapText="1"/>
    </xf>
    <xf numFmtId="0" fontId="0" fillId="0" borderId="56" xfId="0" applyBorder="1" applyAlignment="1">
      <alignment vertical="center" wrapText="1"/>
    </xf>
    <xf numFmtId="0" fontId="0" fillId="0" borderId="56" xfId="0" applyBorder="1" applyAlignment="1">
      <alignment horizontal="center" vertical="center" wrapText="1"/>
    </xf>
    <xf numFmtId="0" fontId="0" fillId="0" borderId="57" xfId="0" applyBorder="1" applyAlignment="1">
      <alignment vertical="center"/>
    </xf>
    <xf numFmtId="44" fontId="39" fillId="3" borderId="31" xfId="146" applyFont="1" applyFill="1" applyBorder="1"/>
    <xf numFmtId="0" fontId="0" fillId="0" borderId="34" xfId="0" applyBorder="1" applyAlignment="1">
      <alignment horizontal="center" vertical="center" wrapText="1"/>
    </xf>
    <xf numFmtId="0" fontId="8" fillId="0" borderId="22" xfId="0" applyFont="1" applyBorder="1"/>
    <xf numFmtId="0" fontId="0" fillId="36" borderId="42" xfId="0" applyFill="1" applyBorder="1" applyAlignment="1">
      <alignment horizontal="center"/>
    </xf>
    <xf numFmtId="0" fontId="0" fillId="36" borderId="43" xfId="0" applyFill="1" applyBorder="1" applyAlignment="1">
      <alignment horizontal="center"/>
    </xf>
    <xf numFmtId="0" fontId="0" fillId="36" borderId="44" xfId="0" applyFill="1" applyBorder="1" applyAlignment="1">
      <alignment horizontal="center"/>
    </xf>
    <xf numFmtId="168" fontId="0" fillId="0" borderId="25" xfId="0" applyNumberFormat="1" applyBorder="1" applyAlignment="1">
      <alignment horizontal="center" wrapText="1"/>
    </xf>
    <xf numFmtId="168" fontId="0" fillId="0" borderId="5" xfId="0" applyNumberFormat="1" applyBorder="1" applyAlignment="1">
      <alignment horizontal="center" wrapText="1"/>
    </xf>
    <xf numFmtId="168" fontId="0" fillId="0" borderId="26" xfId="0" applyNumberFormat="1" applyBorder="1" applyAlignment="1">
      <alignment horizontal="center"/>
    </xf>
    <xf numFmtId="168" fontId="0" fillId="0" borderId="20" xfId="0" applyNumberFormat="1" applyBorder="1" applyAlignment="1">
      <alignment horizontal="center" wrapText="1"/>
    </xf>
    <xf numFmtId="168" fontId="0" fillId="0" borderId="1" xfId="0" applyNumberFormat="1" applyBorder="1" applyAlignment="1">
      <alignment horizontal="center" wrapText="1"/>
    </xf>
    <xf numFmtId="168" fontId="0" fillId="0" borderId="21" xfId="0" applyNumberFormat="1" applyBorder="1" applyAlignment="1">
      <alignment horizontal="center"/>
    </xf>
    <xf numFmtId="168" fontId="0" fillId="0" borderId="20" xfId="0" applyNumberFormat="1" applyBorder="1" applyAlignment="1">
      <alignment horizontal="center"/>
    </xf>
    <xf numFmtId="168" fontId="0" fillId="0" borderId="53" xfId="0" applyNumberFormat="1" applyBorder="1" applyAlignment="1">
      <alignment horizontal="center"/>
    </xf>
    <xf numFmtId="168" fontId="0" fillId="0" borderId="22" xfId="0" applyNumberFormat="1" applyBorder="1" applyAlignment="1">
      <alignment horizontal="center" wrapText="1"/>
    </xf>
    <xf numFmtId="168" fontId="0" fillId="0" borderId="23" xfId="0" applyNumberFormat="1" applyBorder="1" applyAlignment="1">
      <alignment horizontal="center"/>
    </xf>
    <xf numFmtId="0" fontId="0" fillId="0" borderId="64" xfId="0" applyBorder="1" applyAlignment="1">
      <alignment horizontal="center" vertical="center" wrapText="1"/>
    </xf>
    <xf numFmtId="0" fontId="0" fillId="0" borderId="65" xfId="0" applyBorder="1" applyAlignment="1">
      <alignment horizontal="center" vertical="center" wrapText="1"/>
    </xf>
    <xf numFmtId="49" fontId="0" fillId="0" borderId="5" xfId="0" applyNumberFormat="1" applyBorder="1" applyAlignment="1">
      <alignment horizontal="center" vertical="center" wrapText="1"/>
    </xf>
    <xf numFmtId="0" fontId="0" fillId="3" borderId="5" xfId="0" applyFill="1" applyBorder="1" applyAlignment="1">
      <alignment vertical="center" wrapText="1"/>
    </xf>
    <xf numFmtId="0" fontId="0" fillId="3" borderId="5" xfId="0" applyFill="1" applyBorder="1" applyAlignment="1">
      <alignment horizontal="center" vertical="center" wrapText="1"/>
    </xf>
    <xf numFmtId="0" fontId="0" fillId="0" borderId="5" xfId="0" applyBorder="1" applyAlignment="1">
      <alignment horizontal="center" vertical="center" wrapText="1"/>
    </xf>
    <xf numFmtId="0" fontId="0" fillId="35" borderId="5" xfId="0" applyFill="1" applyBorder="1" applyAlignment="1">
      <alignment vertical="center" wrapText="1"/>
    </xf>
    <xf numFmtId="0" fontId="34" fillId="0" borderId="27" xfId="0" applyFont="1" applyBorder="1" applyAlignment="1">
      <alignment horizontal="center" vertical="center" wrapText="1"/>
    </xf>
    <xf numFmtId="0" fontId="34" fillId="0" borderId="66" xfId="0" applyFont="1" applyBorder="1" applyAlignment="1">
      <alignment horizontal="center" vertical="center" wrapText="1"/>
    </xf>
    <xf numFmtId="0" fontId="34" fillId="3" borderId="43" xfId="0" applyFont="1" applyFill="1" applyBorder="1" applyAlignment="1">
      <alignment horizontal="center" vertical="center"/>
    </xf>
    <xf numFmtId="0" fontId="34" fillId="0" borderId="43" xfId="0" applyFont="1" applyBorder="1" applyAlignment="1">
      <alignment horizontal="center" vertical="center"/>
    </xf>
    <xf numFmtId="0" fontId="34" fillId="0" borderId="43" xfId="0" applyFont="1" applyBorder="1" applyAlignment="1">
      <alignment horizontal="center" vertical="center" wrapText="1"/>
    </xf>
    <xf numFmtId="165" fontId="34" fillId="0" borderId="43" xfId="2" applyNumberFormat="1" applyFont="1" applyFill="1" applyBorder="1" applyAlignment="1">
      <alignment horizontal="center" vertical="center"/>
    </xf>
    <xf numFmtId="0" fontId="34" fillId="0" borderId="44" xfId="0" applyFont="1" applyBorder="1" applyAlignment="1">
      <alignment horizontal="center" vertical="center"/>
    </xf>
    <xf numFmtId="0" fontId="34" fillId="0" borderId="67" xfId="0" applyFont="1" applyBorder="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xf>
    <xf numFmtId="10" fontId="0" fillId="0" borderId="0" xfId="0" applyNumberFormat="1" applyAlignment="1">
      <alignment horizontal="center"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0" fontId="0" fillId="0" borderId="28" xfId="0" applyBorder="1" applyAlignment="1">
      <alignment horizontal="center"/>
    </xf>
    <xf numFmtId="168" fontId="0" fillId="0" borderId="5" xfId="0" applyNumberFormat="1" applyBorder="1" applyAlignment="1">
      <alignment horizontal="center" vertical="center" wrapText="1"/>
    </xf>
    <xf numFmtId="7" fontId="0" fillId="3" borderId="5" xfId="146" applyNumberFormat="1" applyFont="1" applyFill="1" applyBorder="1" applyAlignment="1">
      <alignment horizontal="center" vertical="center" wrapText="1"/>
    </xf>
    <xf numFmtId="7" fontId="0" fillId="0" borderId="1" xfId="146" applyNumberFormat="1" applyFont="1" applyFill="1" applyBorder="1" applyAlignment="1">
      <alignment horizontal="center" vertical="center" wrapText="1"/>
    </xf>
    <xf numFmtId="168" fontId="0" fillId="0" borderId="1" xfId="0" applyNumberFormat="1" applyBorder="1" applyAlignment="1">
      <alignment horizontal="center" vertical="center" wrapText="1"/>
    </xf>
    <xf numFmtId="0" fontId="0" fillId="38" borderId="27" xfId="0" applyFill="1" applyBorder="1" applyAlignment="1">
      <alignment horizontal="center"/>
    </xf>
    <xf numFmtId="0" fontId="0" fillId="38" borderId="28" xfId="0" applyFill="1" applyBorder="1" applyAlignment="1">
      <alignment horizontal="center"/>
    </xf>
    <xf numFmtId="0" fontId="0" fillId="38" borderId="29" xfId="0" applyFill="1" applyBorder="1" applyAlignment="1">
      <alignment horizontal="center"/>
    </xf>
    <xf numFmtId="0" fontId="43" fillId="0" borderId="0" xfId="0" applyFont="1"/>
    <xf numFmtId="0" fontId="43" fillId="0" borderId="0" xfId="0" applyFont="1" applyAlignment="1">
      <alignment horizontal="center"/>
    </xf>
    <xf numFmtId="3" fontId="46" fillId="0" borderId="0" xfId="0" applyNumberFormat="1" applyFont="1" applyAlignment="1">
      <alignment horizontal="center" vertical="center"/>
    </xf>
    <xf numFmtId="9" fontId="43" fillId="0" borderId="0" xfId="0" applyNumberFormat="1" applyFont="1" applyAlignment="1">
      <alignment horizontal="center" vertical="center"/>
    </xf>
    <xf numFmtId="0" fontId="47" fillId="0" borderId="0" xfId="0" applyFont="1" applyAlignment="1">
      <alignment vertical="center"/>
    </xf>
    <xf numFmtId="3" fontId="36" fillId="0" borderId="22" xfId="1" applyNumberFormat="1" applyFont="1" applyFill="1" applyBorder="1" applyAlignment="1" applyProtection="1">
      <alignment wrapText="1"/>
      <protection locked="0"/>
    </xf>
    <xf numFmtId="3" fontId="36" fillId="0" borderId="69" xfId="1" applyNumberFormat="1" applyFont="1" applyFill="1" applyBorder="1" applyAlignment="1" applyProtection="1">
      <alignment wrapText="1"/>
      <protection locked="0"/>
    </xf>
    <xf numFmtId="3" fontId="36" fillId="0" borderId="33" xfId="1" applyNumberFormat="1" applyFont="1" applyFill="1" applyBorder="1" applyAlignment="1" applyProtection="1">
      <alignment horizontal="center" wrapText="1"/>
      <protection locked="0"/>
    </xf>
    <xf numFmtId="3" fontId="36" fillId="0" borderId="41" xfId="1" applyNumberFormat="1" applyFont="1" applyFill="1" applyBorder="1" applyAlignment="1" applyProtection="1">
      <alignment horizontal="center" wrapText="1"/>
      <protection locked="0"/>
    </xf>
    <xf numFmtId="9" fontId="36" fillId="0" borderId="22" xfId="0" applyNumberFormat="1" applyFont="1" applyBorder="1" applyAlignment="1">
      <alignment horizontal="center" vertical="center" wrapText="1"/>
    </xf>
    <xf numFmtId="3" fontId="44" fillId="0" borderId="1" xfId="1" applyNumberFormat="1" applyFont="1" applyFill="1" applyBorder="1" applyAlignment="1" applyProtection="1">
      <alignment horizontal="center" vertical="center" wrapText="1"/>
      <protection locked="0"/>
    </xf>
    <xf numFmtId="0" fontId="44" fillId="0" borderId="1" xfId="1" applyNumberFormat="1" applyFont="1" applyFill="1" applyBorder="1" applyAlignment="1" applyProtection="1">
      <alignment horizontal="center" vertical="center" wrapText="1"/>
      <protection locked="0"/>
    </xf>
    <xf numFmtId="0" fontId="44" fillId="0" borderId="1" xfId="0" applyFont="1" applyBorder="1" applyAlignment="1">
      <alignment horizontal="center" vertical="center" wrapText="1"/>
    </xf>
    <xf numFmtId="10" fontId="44" fillId="0" borderId="1" xfId="138" applyNumberFormat="1" applyFont="1" applyFill="1" applyBorder="1" applyAlignment="1">
      <alignment horizontal="center" vertical="center" wrapText="1"/>
    </xf>
    <xf numFmtId="3" fontId="44" fillId="40" borderId="5" xfId="1" applyNumberFormat="1" applyFont="1" applyFill="1" applyBorder="1" applyAlignment="1" applyProtection="1">
      <alignment horizontal="center" vertical="center" wrapText="1"/>
      <protection locked="0"/>
    </xf>
    <xf numFmtId="3" fontId="44" fillId="40" borderId="1" xfId="0" applyNumberFormat="1" applyFont="1" applyFill="1" applyBorder="1" applyAlignment="1">
      <alignment horizontal="left" vertical="center" wrapText="1"/>
    </xf>
    <xf numFmtId="0" fontId="44" fillId="40" borderId="1" xfId="1" applyNumberFormat="1" applyFont="1" applyFill="1" applyBorder="1" applyAlignment="1" applyProtection="1">
      <alignment horizontal="center" vertical="center" wrapText="1"/>
      <protection locked="0"/>
    </xf>
    <xf numFmtId="0" fontId="44" fillId="40" borderId="1" xfId="0" applyFont="1" applyFill="1" applyBorder="1" applyAlignment="1">
      <alignment horizontal="center" vertical="center" wrapText="1"/>
    </xf>
    <xf numFmtId="0" fontId="34" fillId="0" borderId="0" xfId="0" applyFont="1" applyAlignment="1">
      <alignment horizontal="center"/>
    </xf>
    <xf numFmtId="0" fontId="8" fillId="0" borderId="22" xfId="0" applyFont="1" applyBorder="1" applyAlignment="1">
      <alignment horizontal="center" vertical="center" wrapText="1"/>
    </xf>
    <xf numFmtId="49" fontId="34" fillId="0" borderId="0" xfId="0" applyNumberFormat="1" applyFont="1" applyAlignment="1">
      <alignment horizontal="center" vertical="center"/>
    </xf>
    <xf numFmtId="0" fontId="36" fillId="0" borderId="22" xfId="0" applyFont="1" applyBorder="1" applyAlignment="1">
      <alignment horizontal="center"/>
    </xf>
    <xf numFmtId="0" fontId="48" fillId="0" borderId="1" xfId="0" applyFont="1" applyBorder="1" applyAlignment="1">
      <alignment horizontal="center" vertical="center" wrapText="1"/>
    </xf>
    <xf numFmtId="0" fontId="44" fillId="0" borderId="45" xfId="0" applyFont="1" applyBorder="1" applyAlignment="1">
      <alignment vertical="center"/>
    </xf>
    <xf numFmtId="0" fontId="44" fillId="37" borderId="32" xfId="0" applyFont="1" applyFill="1" applyBorder="1" applyAlignment="1">
      <alignment horizontal="center" vertical="center"/>
    </xf>
    <xf numFmtId="3" fontId="48" fillId="0" borderId="1" xfId="0" applyNumberFormat="1" applyFont="1" applyBorder="1" applyAlignment="1">
      <alignment horizontal="center" vertical="center"/>
    </xf>
    <xf numFmtId="0" fontId="44" fillId="0" borderId="1" xfId="0" applyFont="1" applyBorder="1" applyAlignment="1">
      <alignment horizontal="center" vertical="center"/>
    </xf>
    <xf numFmtId="9" fontId="44" fillId="0" borderId="1" xfId="0" applyNumberFormat="1" applyFont="1" applyBorder="1" applyAlignment="1">
      <alignment horizontal="center" vertical="center"/>
    </xf>
    <xf numFmtId="0" fontId="44" fillId="0" borderId="0" xfId="0" applyFont="1" applyAlignment="1">
      <alignment vertical="center"/>
    </xf>
    <xf numFmtId="0" fontId="44" fillId="0" borderId="45" xfId="0" applyFont="1" applyBorder="1"/>
    <xf numFmtId="0" fontId="44" fillId="37" borderId="32" xfId="0" applyFont="1" applyFill="1" applyBorder="1" applyAlignment="1">
      <alignment horizontal="center"/>
    </xf>
    <xf numFmtId="3" fontId="44" fillId="0" borderId="1" xfId="1" applyNumberFormat="1" applyFont="1" applyFill="1" applyBorder="1" applyAlignment="1" applyProtection="1">
      <alignment horizontal="center" wrapText="1"/>
      <protection locked="0"/>
    </xf>
    <xf numFmtId="0" fontId="44" fillId="0" borderId="1" xfId="1" applyNumberFormat="1" applyFont="1" applyFill="1" applyBorder="1" applyAlignment="1" applyProtection="1">
      <alignment horizontal="center" wrapText="1"/>
      <protection locked="0"/>
    </xf>
    <xf numFmtId="3" fontId="48" fillId="0" borderId="1" xfId="0" applyNumberFormat="1" applyFont="1" applyBorder="1" applyAlignment="1">
      <alignment horizontal="center"/>
    </xf>
    <xf numFmtId="0" fontId="44" fillId="0" borderId="1" xfId="0" applyFont="1" applyBorder="1" applyAlignment="1">
      <alignment horizontal="center"/>
    </xf>
    <xf numFmtId="0" fontId="44" fillId="0" borderId="0" xfId="0" applyFont="1"/>
    <xf numFmtId="0" fontId="44" fillId="0" borderId="59" xfId="0" applyFont="1" applyBorder="1"/>
    <xf numFmtId="3" fontId="44" fillId="0" borderId="22" xfId="1" applyNumberFormat="1" applyFont="1" applyFill="1" applyBorder="1" applyAlignment="1" applyProtection="1">
      <alignment horizontal="center" wrapText="1"/>
      <protection locked="0"/>
    </xf>
    <xf numFmtId="3" fontId="44" fillId="0" borderId="3" xfId="1" applyNumberFormat="1" applyFont="1" applyFill="1" applyBorder="1" applyAlignment="1" applyProtection="1">
      <alignment horizontal="center" wrapText="1"/>
      <protection locked="0"/>
    </xf>
    <xf numFmtId="0" fontId="44" fillId="0" borderId="3" xfId="1" applyNumberFormat="1" applyFont="1" applyFill="1" applyBorder="1" applyAlignment="1" applyProtection="1">
      <alignment horizontal="center" wrapText="1"/>
      <protection locked="0"/>
    </xf>
    <xf numFmtId="3" fontId="48" fillId="0" borderId="3" xfId="0" applyNumberFormat="1" applyFont="1" applyBorder="1" applyAlignment="1">
      <alignment horizontal="center"/>
    </xf>
    <xf numFmtId="0" fontId="44" fillId="0" borderId="3" xfId="0" applyFont="1" applyBorder="1" applyAlignment="1">
      <alignment horizontal="center"/>
    </xf>
    <xf numFmtId="0" fontId="44" fillId="0" borderId="3" xfId="0" applyFont="1" applyBorder="1" applyAlignment="1">
      <alignment horizontal="center" vertical="center" wrapText="1"/>
    </xf>
    <xf numFmtId="0" fontId="48" fillId="0" borderId="3" xfId="0" applyFont="1" applyBorder="1" applyAlignment="1">
      <alignment horizontal="center" vertical="center" wrapText="1"/>
    </xf>
    <xf numFmtId="9" fontId="44" fillId="0" borderId="3" xfId="0" applyNumberFormat="1" applyFont="1" applyBorder="1" applyAlignment="1">
      <alignment horizontal="center" vertical="center" wrapText="1"/>
    </xf>
    <xf numFmtId="0" fontId="45" fillId="0" borderId="0" xfId="0" applyFont="1"/>
    <xf numFmtId="0" fontId="47" fillId="0" borderId="0" xfId="0" applyFont="1" applyAlignment="1">
      <alignment horizontal="center" vertical="center"/>
    </xf>
    <xf numFmtId="0" fontId="47" fillId="0" borderId="0" xfId="0" applyFont="1"/>
    <xf numFmtId="3" fontId="47" fillId="0" borderId="0" xfId="0" applyNumberFormat="1" applyFont="1"/>
    <xf numFmtId="167" fontId="38" fillId="0" borderId="0" xfId="0" applyNumberFormat="1" applyFont="1"/>
    <xf numFmtId="0" fontId="47" fillId="0" borderId="0" xfId="0" applyFont="1" applyAlignment="1">
      <alignment horizontal="center"/>
    </xf>
    <xf numFmtId="0" fontId="42" fillId="0" borderId="0" xfId="0" applyFont="1"/>
    <xf numFmtId="3" fontId="42" fillId="0" borderId="0" xfId="0" applyNumberFormat="1" applyFont="1"/>
    <xf numFmtId="167" fontId="52" fillId="0" borderId="0" xfId="0" applyNumberFormat="1" applyFont="1"/>
    <xf numFmtId="0" fontId="44" fillId="0" borderId="46" xfId="0" applyFont="1" applyBorder="1" applyAlignment="1">
      <alignment horizontal="center" vertical="center"/>
    </xf>
    <xf numFmtId="0" fontId="44" fillId="0" borderId="46" xfId="0" applyFont="1" applyBorder="1" applyAlignment="1">
      <alignment horizontal="center"/>
    </xf>
    <xf numFmtId="0" fontId="44" fillId="0" borderId="61" xfId="0" applyFont="1" applyBorder="1" applyAlignment="1">
      <alignment horizontal="center"/>
    </xf>
    <xf numFmtId="0" fontId="44" fillId="0" borderId="45" xfId="0" applyFont="1" applyBorder="1" applyAlignment="1">
      <alignment horizontal="center" vertical="center"/>
    </xf>
    <xf numFmtId="0" fontId="44" fillId="0" borderId="45" xfId="0" applyFont="1" applyBorder="1" applyAlignment="1">
      <alignment horizontal="center"/>
    </xf>
    <xf numFmtId="0" fontId="45" fillId="0" borderId="59" xfId="0" applyFont="1" applyBorder="1" applyAlignment="1">
      <alignment horizontal="center"/>
    </xf>
    <xf numFmtId="0" fontId="43" fillId="0" borderId="41" xfId="0" applyFont="1" applyBorder="1" applyAlignment="1">
      <alignment horizontal="center"/>
    </xf>
    <xf numFmtId="14" fontId="44" fillId="0" borderId="45" xfId="0" applyNumberFormat="1" applyFont="1" applyBorder="1" applyAlignment="1">
      <alignment horizontal="center" vertical="center"/>
    </xf>
    <xf numFmtId="14" fontId="44" fillId="0" borderId="45" xfId="0" applyNumberFormat="1" applyFont="1" applyBorder="1" applyAlignment="1">
      <alignment horizontal="center"/>
    </xf>
    <xf numFmtId="0" fontId="44" fillId="0" borderId="59" xfId="0" applyFont="1" applyBorder="1" applyAlignment="1">
      <alignment horizontal="center"/>
    </xf>
    <xf numFmtId="168" fontId="44" fillId="40" borderId="1" xfId="1" applyNumberFormat="1" applyFont="1" applyFill="1" applyBorder="1" applyAlignment="1" applyProtection="1">
      <alignment horizontal="left" vertical="center" wrapText="1"/>
      <protection locked="0"/>
    </xf>
    <xf numFmtId="168" fontId="44" fillId="0" borderId="1" xfId="1" applyNumberFormat="1" applyFont="1" applyFill="1" applyBorder="1" applyAlignment="1" applyProtection="1">
      <alignment horizontal="left" vertical="center" wrapText="1"/>
      <protection locked="0"/>
    </xf>
    <xf numFmtId="168" fontId="44" fillId="0" borderId="1" xfId="1" applyNumberFormat="1" applyFont="1" applyFill="1" applyBorder="1" applyAlignment="1" applyProtection="1">
      <alignment horizontal="left" wrapText="1"/>
      <protection locked="0"/>
    </xf>
    <xf numFmtId="168" fontId="44" fillId="0" borderId="3" xfId="1" applyNumberFormat="1" applyFont="1" applyFill="1" applyBorder="1" applyAlignment="1" applyProtection="1">
      <alignment horizontal="left" wrapText="1"/>
      <protection locked="0"/>
    </xf>
    <xf numFmtId="0" fontId="0" fillId="0" borderId="19" xfId="0" applyBorder="1" applyAlignment="1">
      <alignment horizontal="center" vertical="center"/>
    </xf>
    <xf numFmtId="0" fontId="34" fillId="0" borderId="0" xfId="0" applyFont="1"/>
    <xf numFmtId="169" fontId="56" fillId="31" borderId="47" xfId="0" applyNumberFormat="1" applyFont="1" applyFill="1" applyBorder="1" applyAlignment="1">
      <alignment horizontal="center" vertical="center" wrapText="1"/>
    </xf>
    <xf numFmtId="170" fontId="57" fillId="0" borderId="74" xfId="146" applyNumberFormat="1" applyFont="1" applyBorder="1" applyAlignment="1">
      <alignment horizontal="center" vertical="center" wrapText="1"/>
    </xf>
    <xf numFmtId="170" fontId="57" fillId="0" borderId="51" xfId="146" applyNumberFormat="1" applyFont="1" applyBorder="1" applyAlignment="1">
      <alignment horizontal="center" vertical="center" wrapText="1"/>
    </xf>
    <xf numFmtId="170" fontId="57" fillId="0" borderId="17" xfId="146" applyNumberFormat="1" applyFont="1" applyBorder="1" applyAlignment="1">
      <alignment horizontal="center" vertical="center" wrapText="1"/>
    </xf>
    <xf numFmtId="170" fontId="57" fillId="0" borderId="52" xfId="146" applyNumberFormat="1" applyFont="1" applyBorder="1" applyAlignment="1">
      <alignment horizontal="center" vertical="center" wrapText="1"/>
    </xf>
    <xf numFmtId="0" fontId="54" fillId="35" borderId="20" xfId="0" applyFont="1" applyFill="1" applyBorder="1" applyAlignment="1">
      <alignment horizontal="left" vertical="center" wrapText="1"/>
    </xf>
    <xf numFmtId="0" fontId="54" fillId="35" borderId="1" xfId="0" applyFont="1" applyFill="1" applyBorder="1" applyAlignment="1">
      <alignment horizontal="left" vertical="center" wrapText="1"/>
    </xf>
    <xf numFmtId="0" fontId="55" fillId="0" borderId="45" xfId="0" applyFont="1" applyBorder="1" applyAlignment="1">
      <alignment horizontal="center" vertical="center" wrapText="1"/>
    </xf>
    <xf numFmtId="169" fontId="56" fillId="31" borderId="32" xfId="0" applyNumberFormat="1" applyFont="1" applyFill="1" applyBorder="1" applyAlignment="1">
      <alignment horizontal="center" vertical="center" wrapText="1"/>
    </xf>
    <xf numFmtId="170" fontId="57" fillId="0" borderId="46" xfId="146" applyNumberFormat="1" applyFont="1" applyBorder="1" applyAlignment="1">
      <alignment horizontal="center" vertical="center" wrapText="1"/>
    </xf>
    <xf numFmtId="170" fontId="57" fillId="0" borderId="1" xfId="146" applyNumberFormat="1" applyFont="1" applyBorder="1" applyAlignment="1">
      <alignment horizontal="center" vertical="center" wrapText="1"/>
    </xf>
    <xf numFmtId="170" fontId="57" fillId="0" borderId="21" xfId="146" applyNumberFormat="1" applyFont="1" applyBorder="1" applyAlignment="1">
      <alignment horizontal="center" vertical="center" wrapText="1"/>
    </xf>
    <xf numFmtId="3" fontId="56" fillId="0" borderId="45" xfId="0" applyNumberFormat="1" applyFont="1" applyBorder="1" applyAlignment="1">
      <alignment horizontal="center" vertical="center" wrapText="1"/>
    </xf>
    <xf numFmtId="0" fontId="54" fillId="0" borderId="20" xfId="0" applyFont="1" applyBorder="1" applyAlignment="1">
      <alignment vertical="center" wrapText="1"/>
    </xf>
    <xf numFmtId="0" fontId="54" fillId="0" borderId="1" xfId="0" applyFont="1" applyBorder="1" applyAlignment="1">
      <alignment vertical="center" wrapText="1"/>
    </xf>
    <xf numFmtId="0" fontId="55" fillId="0" borderId="59" xfId="0" applyFont="1" applyBorder="1" applyAlignment="1">
      <alignment horizontal="center" vertical="center" wrapText="1"/>
    </xf>
    <xf numFmtId="169" fontId="56" fillId="31" borderId="33" xfId="0" applyNumberFormat="1" applyFont="1" applyFill="1" applyBorder="1" applyAlignment="1">
      <alignment horizontal="center" vertical="center" wrapText="1"/>
    </xf>
    <xf numFmtId="170" fontId="57" fillId="0" borderId="3" xfId="146" applyNumberFormat="1" applyFont="1" applyBorder="1" applyAlignment="1">
      <alignment horizontal="center" vertical="center" wrapText="1"/>
    </xf>
    <xf numFmtId="170" fontId="57" fillId="0" borderId="30" xfId="146" applyNumberFormat="1" applyFont="1" applyBorder="1" applyAlignment="1">
      <alignment horizontal="center" vertical="center" wrapText="1"/>
    </xf>
    <xf numFmtId="0" fontId="54" fillId="0" borderId="0" xfId="0" applyFont="1" applyAlignment="1">
      <alignment horizontal="center" vertical="center"/>
    </xf>
    <xf numFmtId="3" fontId="56" fillId="0" borderId="18" xfId="0" applyNumberFormat="1" applyFont="1" applyBorder="1" applyAlignment="1">
      <alignment horizontal="center" vertical="center" wrapText="1"/>
    </xf>
    <xf numFmtId="3" fontId="56" fillId="32" borderId="18" xfId="0" applyNumberFormat="1" applyFont="1" applyFill="1" applyBorder="1" applyAlignment="1">
      <alignment horizontal="center" vertical="center" wrapText="1"/>
    </xf>
    <xf numFmtId="0" fontId="54" fillId="0" borderId="0" xfId="0" applyFont="1"/>
    <xf numFmtId="167" fontId="56" fillId="0" borderId="42" xfId="0" applyNumberFormat="1" applyFont="1" applyBorder="1" applyAlignment="1">
      <alignment horizontal="center" vertical="center" wrapText="1"/>
    </xf>
    <xf numFmtId="167" fontId="56" fillId="0" borderId="43" xfId="0" applyNumberFormat="1" applyFont="1" applyBorder="1" applyAlignment="1">
      <alignment horizontal="center" vertical="center" wrapText="1"/>
    </xf>
    <xf numFmtId="167" fontId="56" fillId="32" borderId="43" xfId="0" applyNumberFormat="1" applyFont="1" applyFill="1" applyBorder="1" applyAlignment="1">
      <alignment horizontal="center" vertical="center" wrapText="1"/>
    </xf>
    <xf numFmtId="170" fontId="56" fillId="31" borderId="47" xfId="146" applyNumberFormat="1" applyFont="1" applyFill="1" applyBorder="1" applyAlignment="1">
      <alignment vertical="center"/>
    </xf>
    <xf numFmtId="170" fontId="57" fillId="0" borderId="65" xfId="146" applyNumberFormat="1" applyFont="1" applyBorder="1" applyAlignment="1">
      <alignment vertical="center"/>
    </xf>
    <xf numFmtId="170" fontId="57" fillId="0" borderId="5" xfId="146" applyNumberFormat="1" applyFont="1" applyBorder="1" applyAlignment="1">
      <alignment vertical="center"/>
    </xf>
    <xf numFmtId="170" fontId="56" fillId="31" borderId="32" xfId="146" applyNumberFormat="1" applyFont="1" applyFill="1" applyBorder="1" applyAlignment="1">
      <alignment vertical="center"/>
    </xf>
    <xf numFmtId="170" fontId="57" fillId="0" borderId="46" xfId="146" applyNumberFormat="1" applyFont="1" applyBorder="1" applyAlignment="1">
      <alignment vertical="center"/>
    </xf>
    <xf numFmtId="170" fontId="56" fillId="31" borderId="60" xfId="146" applyNumberFormat="1" applyFont="1" applyFill="1" applyBorder="1" applyAlignment="1">
      <alignment vertical="center"/>
    </xf>
    <xf numFmtId="0" fontId="54" fillId="0" borderId="24" xfId="0" applyFont="1" applyBorder="1" applyAlignment="1">
      <alignment horizontal="center" vertical="center"/>
    </xf>
    <xf numFmtId="0" fontId="55" fillId="0" borderId="6" xfId="0" applyFont="1" applyBorder="1" applyAlignment="1">
      <alignment horizontal="center" vertical="center"/>
    </xf>
    <xf numFmtId="170" fontId="56" fillId="31" borderId="33" xfId="146" applyNumberFormat="1" applyFont="1" applyFill="1" applyBorder="1" applyAlignment="1">
      <alignment vertical="center"/>
    </xf>
    <xf numFmtId="0" fontId="54" fillId="0" borderId="0" xfId="0" applyFont="1" applyAlignment="1">
      <alignment wrapText="1"/>
    </xf>
    <xf numFmtId="0" fontId="54" fillId="0" borderId="0" xfId="0" applyFont="1" applyAlignment="1">
      <alignment vertical="center" wrapText="1"/>
    </xf>
    <xf numFmtId="0" fontId="55" fillId="30" borderId="31" xfId="0" applyFont="1" applyFill="1" applyBorder="1" applyAlignment="1">
      <alignment horizontal="center" vertical="center"/>
    </xf>
    <xf numFmtId="170" fontId="55" fillId="30" borderId="66" xfId="146" applyNumberFormat="1" applyFont="1" applyFill="1" applyBorder="1" applyAlignment="1">
      <alignment vertical="center"/>
    </xf>
    <xf numFmtId="170" fontId="55" fillId="30" borderId="29" xfId="146" applyNumberFormat="1" applyFont="1" applyFill="1" applyBorder="1" applyAlignment="1">
      <alignment vertical="center"/>
    </xf>
    <xf numFmtId="170" fontId="55" fillId="30" borderId="43" xfId="146" applyNumberFormat="1" applyFont="1" applyFill="1" applyBorder="1" applyAlignment="1">
      <alignment horizontal="center" vertical="center"/>
    </xf>
    <xf numFmtId="3" fontId="54" fillId="0" borderId="0" xfId="0" applyNumberFormat="1" applyFont="1"/>
    <xf numFmtId="167" fontId="57" fillId="0" borderId="0" xfId="0" applyNumberFormat="1" applyFont="1"/>
    <xf numFmtId="165" fontId="54" fillId="0" borderId="0" xfId="2" applyNumberFormat="1" applyFont="1" applyAlignment="1">
      <alignment horizontal="center"/>
    </xf>
    <xf numFmtId="0" fontId="54" fillId="0" borderId="0" xfId="0" applyFont="1" applyAlignment="1">
      <alignment vertical="center"/>
    </xf>
    <xf numFmtId="167" fontId="56" fillId="0" borderId="40" xfId="0" applyNumberFormat="1" applyFont="1" applyBorder="1" applyAlignment="1">
      <alignment horizontal="center" vertical="center" wrapText="1"/>
    </xf>
    <xf numFmtId="167" fontId="56" fillId="32" borderId="4" xfId="0" applyNumberFormat="1" applyFont="1" applyFill="1" applyBorder="1" applyAlignment="1">
      <alignment horizontal="center" vertical="center" wrapText="1"/>
    </xf>
    <xf numFmtId="167" fontId="56" fillId="0" borderId="4" xfId="0" applyNumberFormat="1" applyFont="1" applyBorder="1" applyAlignment="1">
      <alignment horizontal="center" vertical="center" wrapText="1"/>
    </xf>
    <xf numFmtId="167" fontId="56" fillId="0" borderId="54" xfId="0" applyNumberFormat="1" applyFont="1" applyBorder="1" applyAlignment="1">
      <alignment horizontal="center" vertical="center" wrapText="1"/>
    </xf>
    <xf numFmtId="0" fontId="54" fillId="0" borderId="50" xfId="0" applyFont="1" applyBorder="1" applyAlignment="1">
      <alignment horizontal="left" vertical="center" wrapText="1"/>
    </xf>
    <xf numFmtId="0" fontId="54" fillId="0" borderId="51" xfId="0" applyFont="1" applyBorder="1" applyAlignment="1">
      <alignment horizontal="left" vertical="center" wrapText="1"/>
    </xf>
    <xf numFmtId="0" fontId="56" fillId="0" borderId="27" xfId="0" applyFont="1" applyBorder="1" applyAlignment="1">
      <alignment horizontal="center" vertical="center"/>
    </xf>
    <xf numFmtId="170" fontId="57" fillId="0" borderId="31" xfId="146" applyNumberFormat="1" applyFont="1" applyFill="1" applyBorder="1" applyAlignment="1">
      <alignment horizontal="center" vertical="center"/>
    </xf>
    <xf numFmtId="170" fontId="57" fillId="0" borderId="66" xfId="146" applyNumberFormat="1" applyFont="1" applyFill="1" applyBorder="1" applyAlignment="1">
      <alignment horizontal="center" vertical="center"/>
    </xf>
    <xf numFmtId="170" fontId="57" fillId="0" borderId="43" xfId="146" applyNumberFormat="1" applyFont="1" applyFill="1" applyBorder="1" applyAlignment="1">
      <alignment horizontal="center" vertical="center"/>
    </xf>
    <xf numFmtId="170" fontId="57" fillId="0" borderId="44" xfId="146" applyNumberFormat="1" applyFont="1" applyFill="1" applyBorder="1" applyAlignment="1">
      <alignment horizontal="center" vertical="center"/>
    </xf>
    <xf numFmtId="0" fontId="54" fillId="0" borderId="20" xfId="0" applyFont="1" applyBorder="1" applyAlignment="1">
      <alignment horizontal="left" vertical="center" wrapText="1"/>
    </xf>
    <xf numFmtId="0" fontId="54" fillId="0" borderId="1" xfId="0" applyFont="1" applyBorder="1" applyAlignment="1">
      <alignment horizontal="left" vertical="center" wrapText="1"/>
    </xf>
    <xf numFmtId="0" fontId="54" fillId="0" borderId="0" xfId="0" applyFont="1" applyAlignment="1">
      <alignment horizontal="center"/>
    </xf>
    <xf numFmtId="0" fontId="55" fillId="36" borderId="75" xfId="0" applyFont="1" applyFill="1" applyBorder="1" applyAlignment="1">
      <alignment horizontal="center" vertical="center"/>
    </xf>
    <xf numFmtId="170" fontId="57" fillId="36" borderId="38" xfId="146" applyNumberFormat="1" applyFont="1" applyFill="1" applyBorder="1" applyAlignment="1">
      <alignment vertical="center"/>
    </xf>
    <xf numFmtId="170" fontId="57" fillId="36" borderId="2" xfId="146" applyNumberFormat="1" applyFont="1" applyFill="1" applyBorder="1" applyAlignment="1">
      <alignment vertical="center"/>
    </xf>
    <xf numFmtId="170" fontId="57" fillId="36" borderId="4" xfId="146" applyNumberFormat="1" applyFont="1" applyFill="1" applyBorder="1" applyAlignment="1">
      <alignment vertical="center"/>
    </xf>
    <xf numFmtId="170" fontId="57" fillId="36" borderId="54" xfId="146" applyNumberFormat="1" applyFont="1" applyFill="1" applyBorder="1" applyAlignment="1">
      <alignment vertical="center"/>
    </xf>
    <xf numFmtId="0" fontId="55" fillId="30" borderId="42" xfId="0" applyFont="1" applyFill="1" applyBorder="1" applyAlignment="1">
      <alignment horizontal="center" vertical="center"/>
    </xf>
    <xf numFmtId="170" fontId="55" fillId="30" borderId="43" xfId="0" applyNumberFormat="1" applyFont="1" applyFill="1" applyBorder="1" applyAlignment="1">
      <alignment vertical="center"/>
    </xf>
    <xf numFmtId="44" fontId="55" fillId="30" borderId="43" xfId="146" applyFont="1" applyFill="1" applyBorder="1" applyAlignment="1">
      <alignment horizontal="center" vertical="center"/>
    </xf>
    <xf numFmtId="0" fontId="54" fillId="0" borderId="53" xfId="0" applyFont="1" applyBorder="1" applyAlignment="1">
      <alignment horizontal="left" vertical="center" wrapText="1"/>
    </xf>
    <xf numFmtId="0" fontId="54" fillId="0" borderId="22" xfId="0" applyFont="1" applyBorder="1" applyAlignment="1">
      <alignment horizontal="left" vertical="center" wrapText="1"/>
    </xf>
    <xf numFmtId="0" fontId="54" fillId="0" borderId="3" xfId="0" applyFont="1" applyBorder="1" applyAlignment="1">
      <alignment horizontal="left" vertical="center" wrapText="1"/>
    </xf>
    <xf numFmtId="0" fontId="54" fillId="0" borderId="25" xfId="0" applyFont="1" applyBorder="1" applyAlignment="1">
      <alignment horizontal="left" vertical="center" wrapText="1"/>
    </xf>
    <xf numFmtId="0" fontId="54" fillId="0" borderId="5" xfId="0" applyFont="1" applyBorder="1" applyAlignment="1">
      <alignment horizontal="left" vertical="center" wrapText="1"/>
    </xf>
    <xf numFmtId="170" fontId="57" fillId="0" borderId="5" xfId="146" applyNumberFormat="1" applyFont="1" applyBorder="1" applyAlignment="1">
      <alignment horizontal="center" vertical="center" wrapText="1"/>
    </xf>
    <xf numFmtId="170" fontId="57" fillId="0" borderId="26" xfId="146" applyNumberFormat="1" applyFont="1" applyBorder="1" applyAlignment="1">
      <alignment horizontal="center" vertical="center" wrapText="1"/>
    </xf>
    <xf numFmtId="3" fontId="56" fillId="0" borderId="42" xfId="0" applyNumberFormat="1" applyFont="1" applyBorder="1" applyAlignment="1">
      <alignment horizontal="center" vertical="center" wrapText="1"/>
    </xf>
    <xf numFmtId="3" fontId="56" fillId="32" borderId="42" xfId="0" applyNumberFormat="1" applyFont="1" applyFill="1" applyBorder="1" applyAlignment="1">
      <alignment horizontal="center" vertical="center" wrapText="1"/>
    </xf>
    <xf numFmtId="3" fontId="56" fillId="0" borderId="31" xfId="0" applyNumberFormat="1" applyFont="1" applyBorder="1" applyAlignment="1">
      <alignment horizontal="center" vertical="center" wrapText="1"/>
    </xf>
    <xf numFmtId="0" fontId="54" fillId="0" borderId="24" xfId="0" applyFont="1" applyBorder="1" applyAlignment="1">
      <alignment horizontal="left" vertical="center" wrapText="1"/>
    </xf>
    <xf numFmtId="167" fontId="57" fillId="0" borderId="51" xfId="0" applyNumberFormat="1" applyFont="1" applyBorder="1" applyAlignment="1">
      <alignment horizontal="center" vertical="center" wrapText="1"/>
    </xf>
    <xf numFmtId="167" fontId="57" fillId="0" borderId="22" xfId="0" applyNumberFormat="1" applyFont="1" applyBorder="1" applyAlignment="1">
      <alignment horizontal="center" vertical="center" wrapText="1"/>
    </xf>
    <xf numFmtId="170" fontId="57" fillId="0" borderId="22" xfId="146" applyNumberFormat="1" applyFont="1" applyBorder="1" applyAlignment="1">
      <alignment horizontal="center" vertical="center" wrapText="1"/>
    </xf>
    <xf numFmtId="170" fontId="57" fillId="0" borderId="23" xfId="146" applyNumberFormat="1" applyFont="1" applyBorder="1" applyAlignment="1">
      <alignment horizontal="center" vertical="center" wrapText="1"/>
    </xf>
    <xf numFmtId="170" fontId="55" fillId="3" borderId="29" xfId="146" applyNumberFormat="1" applyFont="1" applyFill="1" applyBorder="1" applyAlignment="1">
      <alignment vertical="center"/>
    </xf>
    <xf numFmtId="170" fontId="55" fillId="3" borderId="44" xfId="146" applyNumberFormat="1" applyFont="1" applyFill="1" applyBorder="1" applyAlignment="1">
      <alignment horizontal="center" vertical="center"/>
    </xf>
    <xf numFmtId="44" fontId="55" fillId="3" borderId="44" xfId="146" applyFont="1" applyFill="1" applyBorder="1" applyAlignment="1">
      <alignment horizontal="center" vertical="center"/>
    </xf>
    <xf numFmtId="0" fontId="0" fillId="0" borderId="1" xfId="0" applyBorder="1"/>
    <xf numFmtId="0" fontId="0" fillId="0" borderId="5" xfId="0" applyBorder="1"/>
    <xf numFmtId="0" fontId="34" fillId="0" borderId="31" xfId="0" applyFont="1" applyBorder="1"/>
    <xf numFmtId="3" fontId="44" fillId="0" borderId="5" xfId="1" applyNumberFormat="1" applyFont="1" applyFill="1" applyBorder="1" applyAlignment="1" applyProtection="1">
      <alignment horizontal="center" vertical="center" wrapText="1"/>
      <protection locked="0"/>
    </xf>
    <xf numFmtId="44" fontId="60" fillId="0" borderId="0" xfId="0" applyNumberFormat="1" applyFont="1" applyAlignment="1">
      <alignment horizontal="center" vertical="center"/>
    </xf>
    <xf numFmtId="0" fontId="44" fillId="40" borderId="64" xfId="0" applyFont="1" applyFill="1" applyBorder="1" applyAlignment="1">
      <alignment horizontal="center" vertical="center" wrapText="1"/>
    </xf>
    <xf numFmtId="165" fontId="34" fillId="0" borderId="0" xfId="2" applyNumberFormat="1" applyFont="1" applyFill="1"/>
    <xf numFmtId="165" fontId="34" fillId="0" borderId="5" xfId="2" applyNumberFormat="1" applyFont="1" applyFill="1" applyBorder="1" applyAlignment="1">
      <alignment vertical="center" wrapText="1"/>
    </xf>
    <xf numFmtId="165" fontId="34" fillId="0" borderId="1" xfId="2" applyNumberFormat="1" applyFont="1" applyFill="1" applyBorder="1" applyAlignment="1">
      <alignment vertical="center" wrapText="1"/>
    </xf>
    <xf numFmtId="165" fontId="34" fillId="0" borderId="56" xfId="2" applyNumberFormat="1" applyFont="1" applyFill="1" applyBorder="1" applyAlignment="1">
      <alignment vertical="center" wrapText="1"/>
    </xf>
    <xf numFmtId="165" fontId="34" fillId="0" borderId="0" xfId="0" applyNumberFormat="1" applyFont="1" applyAlignment="1">
      <alignment horizontal="center" vertical="center"/>
    </xf>
    <xf numFmtId="0" fontId="34" fillId="0" borderId="5" xfId="0" applyFont="1" applyBorder="1" applyAlignment="1">
      <alignment horizontal="center" vertical="center" wrapText="1"/>
    </xf>
    <xf numFmtId="0" fontId="34" fillId="0" borderId="1" xfId="0" applyFont="1" applyBorder="1" applyAlignment="1">
      <alignment horizontal="center" vertical="center" wrapText="1"/>
    </xf>
    <xf numFmtId="0" fontId="34" fillId="0" borderId="56" xfId="0" applyFont="1" applyBorder="1" applyAlignment="1">
      <alignment horizontal="center" vertical="center" wrapText="1"/>
    </xf>
    <xf numFmtId="0" fontId="54" fillId="35" borderId="25" xfId="0" applyFont="1" applyFill="1" applyBorder="1" applyAlignment="1">
      <alignment horizontal="left" vertical="center" wrapText="1"/>
    </xf>
    <xf numFmtId="0" fontId="54" fillId="35" borderId="5" xfId="0" applyFont="1" applyFill="1" applyBorder="1" applyAlignment="1">
      <alignment horizontal="left" vertical="center" wrapText="1"/>
    </xf>
    <xf numFmtId="0" fontId="55" fillId="0" borderId="64" xfId="0" applyFont="1" applyBorder="1" applyAlignment="1">
      <alignment horizontal="center" vertical="center" wrapText="1"/>
    </xf>
    <xf numFmtId="0" fontId="54" fillId="42" borderId="50" xfId="0" applyFont="1" applyFill="1" applyBorder="1" applyAlignment="1">
      <alignment horizontal="left" vertical="center" wrapText="1"/>
    </xf>
    <xf numFmtId="0" fontId="54" fillId="42" borderId="51" xfId="0" applyFont="1" applyFill="1" applyBorder="1" applyAlignment="1">
      <alignment horizontal="left" vertical="center" wrapText="1"/>
    </xf>
    <xf numFmtId="0" fontId="55" fillId="42" borderId="52" xfId="0" applyFont="1" applyFill="1" applyBorder="1" applyAlignment="1">
      <alignment horizontal="center" vertical="center" wrapText="1"/>
    </xf>
    <xf numFmtId="0" fontId="54" fillId="42" borderId="53" xfId="0" applyFont="1" applyFill="1" applyBorder="1" applyAlignment="1">
      <alignment horizontal="left" vertical="center" wrapText="1"/>
    </xf>
    <xf numFmtId="0" fontId="54" fillId="42" borderId="22" xfId="0" applyFont="1" applyFill="1" applyBorder="1" applyAlignment="1">
      <alignment horizontal="left" vertical="center" wrapText="1"/>
    </xf>
    <xf numFmtId="0" fontId="55" fillId="42" borderId="23" xfId="0" applyFont="1" applyFill="1" applyBorder="1" applyAlignment="1">
      <alignment horizontal="center" vertical="center" wrapText="1"/>
    </xf>
    <xf numFmtId="167" fontId="56" fillId="0" borderId="67" xfId="0" applyNumberFormat="1" applyFont="1" applyBorder="1" applyAlignment="1">
      <alignment horizontal="center" vertical="center" wrapText="1"/>
    </xf>
    <xf numFmtId="170" fontId="57" fillId="0" borderId="64" xfId="146" applyNumberFormat="1" applyFont="1" applyBorder="1" applyAlignment="1">
      <alignment vertical="center"/>
    </xf>
    <xf numFmtId="0" fontId="55" fillId="0" borderId="36" xfId="0" applyFont="1" applyBorder="1" applyAlignment="1">
      <alignment horizontal="center" vertical="center"/>
    </xf>
    <xf numFmtId="14" fontId="56" fillId="0" borderId="31" xfId="0" applyNumberFormat="1" applyFont="1" applyBorder="1" applyAlignment="1">
      <alignment horizontal="center" vertical="center" wrapText="1"/>
    </xf>
    <xf numFmtId="172" fontId="0" fillId="0" borderId="0" xfId="2" applyNumberFormat="1" applyFont="1"/>
    <xf numFmtId="173" fontId="0" fillId="0" borderId="0" xfId="0" applyNumberFormat="1"/>
    <xf numFmtId="168" fontId="44" fillId="0" borderId="3" xfId="1" applyNumberFormat="1" applyFont="1" applyFill="1" applyBorder="1" applyAlignment="1" applyProtection="1">
      <alignment horizontal="left" vertical="center" wrapText="1"/>
      <protection locked="0"/>
    </xf>
    <xf numFmtId="168" fontId="44" fillId="0" borderId="5" xfId="1" applyNumberFormat="1" applyFont="1" applyFill="1" applyBorder="1" applyAlignment="1" applyProtection="1">
      <alignment horizontal="left" vertical="center" wrapText="1"/>
      <protection locked="0"/>
    </xf>
    <xf numFmtId="165" fontId="54" fillId="0" borderId="31" xfId="2" applyNumberFormat="1" applyFont="1" applyBorder="1" applyAlignment="1">
      <alignment horizontal="right" vertical="center"/>
    </xf>
    <xf numFmtId="165" fontId="0" fillId="0" borderId="0" xfId="2" applyNumberFormat="1" applyFont="1" applyAlignment="1">
      <alignment horizontal="center"/>
    </xf>
    <xf numFmtId="0" fontId="0" fillId="0" borderId="19" xfId="0" applyBorder="1"/>
    <xf numFmtId="0" fontId="0" fillId="0" borderId="72" xfId="0" applyBorder="1"/>
    <xf numFmtId="0" fontId="0" fillId="0" borderId="78" xfId="0" applyBorder="1"/>
    <xf numFmtId="0" fontId="0" fillId="0" borderId="75" xfId="0" applyBorder="1"/>
    <xf numFmtId="165" fontId="0" fillId="0" borderId="0" xfId="2" applyNumberFormat="1" applyFont="1" applyBorder="1"/>
    <xf numFmtId="174" fontId="0" fillId="0" borderId="0" xfId="2" applyNumberFormat="1" applyFont="1" applyBorder="1"/>
    <xf numFmtId="0" fontId="0" fillId="0" borderId="49" xfId="0" applyBorder="1"/>
    <xf numFmtId="0" fontId="0" fillId="0" borderId="79" xfId="0" applyBorder="1"/>
    <xf numFmtId="0" fontId="0" fillId="0" borderId="76" xfId="0" applyBorder="1"/>
    <xf numFmtId="0" fontId="0" fillId="0" borderId="80" xfId="0" applyBorder="1"/>
    <xf numFmtId="165" fontId="44" fillId="0" borderId="0" xfId="2" applyNumberFormat="1" applyFont="1" applyFill="1" applyAlignment="1">
      <alignment vertical="center" wrapText="1"/>
    </xf>
    <xf numFmtId="166" fontId="8" fillId="0" borderId="42" xfId="0" applyNumberFormat="1" applyFont="1" applyBorder="1" applyAlignment="1">
      <alignment horizontal="center" vertical="center" wrapText="1"/>
    </xf>
    <xf numFmtId="166" fontId="8" fillId="0" borderId="44" xfId="0" applyNumberFormat="1" applyFont="1" applyBorder="1" applyAlignment="1">
      <alignment horizontal="center" vertical="center" wrapText="1"/>
    </xf>
    <xf numFmtId="0" fontId="34" fillId="0" borderId="72" xfId="0" applyFont="1" applyBorder="1" applyAlignment="1">
      <alignment horizontal="center"/>
    </xf>
    <xf numFmtId="164" fontId="0" fillId="0" borderId="0" xfId="2" applyFont="1" applyBorder="1"/>
    <xf numFmtId="173" fontId="0" fillId="0" borderId="36" xfId="0" applyNumberFormat="1" applyBorder="1"/>
    <xf numFmtId="173" fontId="0" fillId="0" borderId="37" xfId="0" applyNumberFormat="1" applyBorder="1"/>
    <xf numFmtId="173" fontId="0" fillId="0" borderId="38" xfId="0" applyNumberFormat="1" applyBorder="1"/>
    <xf numFmtId="0" fontId="44" fillId="40" borderId="46" xfId="0" applyFont="1" applyFill="1" applyBorder="1" applyAlignment="1">
      <alignment horizontal="center" vertical="center" wrapText="1"/>
    </xf>
    <xf numFmtId="10" fontId="44" fillId="40" borderId="1" xfId="138" applyNumberFormat="1" applyFont="1" applyFill="1" applyBorder="1" applyAlignment="1">
      <alignment horizontal="center" vertical="center" wrapText="1"/>
    </xf>
    <xf numFmtId="0" fontId="44" fillId="40" borderId="45" xfId="0" applyFont="1" applyFill="1" applyBorder="1" applyAlignment="1">
      <alignment horizontal="center" vertical="center" wrapText="1"/>
    </xf>
    <xf numFmtId="0" fontId="44" fillId="40" borderId="45" xfId="0" applyFont="1" applyFill="1" applyBorder="1" applyAlignment="1">
      <alignment vertical="center" wrapText="1"/>
    </xf>
    <xf numFmtId="3" fontId="44" fillId="40" borderId="1" xfId="1" applyNumberFormat="1" applyFont="1" applyFill="1" applyBorder="1" applyAlignment="1" applyProtection="1">
      <alignment horizontal="center" vertical="center" wrapText="1"/>
      <protection locked="0"/>
    </xf>
    <xf numFmtId="0" fontId="48" fillId="40" borderId="1" xfId="0" applyFont="1" applyFill="1" applyBorder="1" applyAlignment="1">
      <alignment horizontal="center" vertical="center" wrapText="1"/>
    </xf>
    <xf numFmtId="0" fontId="64" fillId="0" borderId="25" xfId="0" applyFont="1" applyBorder="1" applyAlignment="1">
      <alignment horizontal="center" vertical="center"/>
    </xf>
    <xf numFmtId="0" fontId="65" fillId="0" borderId="64" xfId="0" applyFont="1" applyBorder="1" applyAlignment="1">
      <alignment horizontal="center" vertical="center"/>
    </xf>
    <xf numFmtId="170" fontId="2" fillId="31" borderId="47" xfId="146" applyNumberFormat="1" applyFont="1" applyFill="1" applyBorder="1" applyAlignment="1">
      <alignment vertical="center"/>
    </xf>
    <xf numFmtId="0" fontId="64" fillId="0" borderId="20" xfId="0" applyFont="1" applyBorder="1" applyAlignment="1">
      <alignment horizontal="center" vertical="center"/>
    </xf>
    <xf numFmtId="170" fontId="2" fillId="31" borderId="32" xfId="146" applyNumberFormat="1" applyFont="1" applyFill="1" applyBorder="1" applyAlignment="1">
      <alignment vertical="center"/>
    </xf>
    <xf numFmtId="0" fontId="64" fillId="0" borderId="24" xfId="0" applyFont="1" applyBorder="1" applyAlignment="1">
      <alignment horizontal="center" vertical="center" wrapText="1"/>
    </xf>
    <xf numFmtId="170" fontId="2" fillId="31" borderId="60" xfId="146" applyNumberFormat="1" applyFont="1" applyFill="1" applyBorder="1" applyAlignment="1">
      <alignment vertical="center"/>
    </xf>
    <xf numFmtId="0" fontId="64" fillId="0" borderId="24" xfId="0" applyFont="1" applyBorder="1" applyAlignment="1">
      <alignment horizontal="center" vertical="center"/>
    </xf>
    <xf numFmtId="0" fontId="65" fillId="0" borderId="6" xfId="0" applyFont="1" applyBorder="1" applyAlignment="1">
      <alignment horizontal="center" vertical="center"/>
    </xf>
    <xf numFmtId="170" fontId="2" fillId="31" borderId="33" xfId="146" applyNumberFormat="1" applyFont="1" applyFill="1" applyBorder="1" applyAlignment="1">
      <alignment vertical="center"/>
    </xf>
    <xf numFmtId="9" fontId="0" fillId="0" borderId="0" xfId="138" applyFont="1"/>
    <xf numFmtId="0" fontId="45" fillId="42" borderId="52" xfId="0" applyFont="1" applyFill="1" applyBorder="1" applyAlignment="1">
      <alignment horizontal="center" vertical="center" wrapText="1"/>
    </xf>
    <xf numFmtId="0" fontId="45" fillId="42" borderId="23" xfId="0" applyFont="1" applyFill="1" applyBorder="1" applyAlignment="1">
      <alignment horizontal="center" vertical="center" wrapText="1"/>
    </xf>
    <xf numFmtId="0" fontId="45" fillId="0" borderId="64" xfId="0" applyFont="1" applyBorder="1" applyAlignment="1">
      <alignment horizontal="center" vertical="center" wrapText="1"/>
    </xf>
    <xf numFmtId="0" fontId="45" fillId="0" borderId="45" xfId="0" applyFont="1" applyBorder="1" applyAlignment="1">
      <alignment horizontal="center" vertical="center" wrapText="1"/>
    </xf>
    <xf numFmtId="3" fontId="44" fillId="0" borderId="45" xfId="0" applyNumberFormat="1" applyFont="1" applyBorder="1" applyAlignment="1">
      <alignment horizontal="center" vertical="center" wrapText="1"/>
    </xf>
    <xf numFmtId="0" fontId="64" fillId="42" borderId="51" xfId="0" applyFont="1" applyFill="1" applyBorder="1" applyAlignment="1">
      <alignment horizontal="left" vertical="center" wrapText="1"/>
    </xf>
    <xf numFmtId="0" fontId="64" fillId="42" borderId="22" xfId="0" applyFont="1" applyFill="1" applyBorder="1" applyAlignment="1">
      <alignment horizontal="left" vertical="center" wrapText="1"/>
    </xf>
    <xf numFmtId="0" fontId="64" fillId="35" borderId="5" xfId="0" applyFont="1" applyFill="1" applyBorder="1" applyAlignment="1">
      <alignment horizontal="left" vertical="center" wrapText="1"/>
    </xf>
    <xf numFmtId="0" fontId="64" fillId="35" borderId="1" xfId="0" applyFont="1" applyFill="1" applyBorder="1" applyAlignment="1">
      <alignment horizontal="left" vertical="center" wrapText="1"/>
    </xf>
    <xf numFmtId="0" fontId="64" fillId="0" borderId="1" xfId="0" applyFont="1" applyBorder="1" applyAlignment="1">
      <alignment vertical="center" wrapText="1"/>
    </xf>
    <xf numFmtId="169" fontId="0" fillId="0" borderId="0" xfId="0" applyNumberFormat="1"/>
    <xf numFmtId="0" fontId="65" fillId="41" borderId="27" xfId="0" applyFont="1" applyFill="1" applyBorder="1" applyAlignment="1">
      <alignment horizontal="center" vertical="center"/>
    </xf>
    <xf numFmtId="0" fontId="65" fillId="41" borderId="31" xfId="0" applyFont="1" applyFill="1" applyBorder="1" applyAlignment="1">
      <alignment horizontal="center" vertical="center"/>
    </xf>
    <xf numFmtId="0" fontId="65" fillId="44" borderId="28" xfId="0" applyFont="1" applyFill="1" applyBorder="1" applyAlignment="1">
      <alignment horizontal="center" vertical="center"/>
    </xf>
    <xf numFmtId="0" fontId="65" fillId="44" borderId="31" xfId="0" applyFont="1" applyFill="1" applyBorder="1" applyAlignment="1">
      <alignment horizontal="center" vertical="center"/>
    </xf>
    <xf numFmtId="0" fontId="65" fillId="45" borderId="28" xfId="0" applyFont="1" applyFill="1" applyBorder="1" applyAlignment="1">
      <alignment horizontal="center" vertical="center"/>
    </xf>
    <xf numFmtId="0" fontId="65" fillId="45" borderId="31" xfId="0" applyFont="1" applyFill="1" applyBorder="1" applyAlignment="1">
      <alignment horizontal="center" vertical="center"/>
    </xf>
    <xf numFmtId="0" fontId="65" fillId="46" borderId="28" xfId="0" applyFont="1" applyFill="1" applyBorder="1" applyAlignment="1">
      <alignment horizontal="center" vertical="center"/>
    </xf>
    <xf numFmtId="0" fontId="65" fillId="46" borderId="31" xfId="0" applyFont="1" applyFill="1" applyBorder="1" applyAlignment="1">
      <alignment horizontal="center" vertical="center"/>
    </xf>
    <xf numFmtId="0" fontId="65" fillId="42" borderId="28" xfId="0" applyFont="1" applyFill="1" applyBorder="1" applyAlignment="1">
      <alignment horizontal="center" vertical="center"/>
    </xf>
    <xf numFmtId="0" fontId="65" fillId="42" borderId="31" xfId="0" applyFont="1" applyFill="1" applyBorder="1" applyAlignment="1">
      <alignment horizontal="center" vertical="center"/>
    </xf>
    <xf numFmtId="0" fontId="45" fillId="0" borderId="1" xfId="0" applyFont="1" applyBorder="1" applyAlignment="1">
      <alignment horizontal="center" vertical="center" wrapText="1"/>
    </xf>
    <xf numFmtId="169" fontId="44" fillId="31" borderId="48" xfId="0" applyNumberFormat="1" applyFont="1" applyFill="1" applyBorder="1" applyAlignment="1">
      <alignment horizontal="center" vertical="center" wrapText="1"/>
    </xf>
    <xf numFmtId="169" fontId="44" fillId="31" borderId="34" xfId="0" applyNumberFormat="1" applyFont="1" applyFill="1" applyBorder="1" applyAlignment="1">
      <alignment horizontal="center" vertical="center" wrapText="1"/>
    </xf>
    <xf numFmtId="169" fontId="44" fillId="31" borderId="35" xfId="0" applyNumberFormat="1" applyFont="1" applyFill="1" applyBorder="1" applyAlignment="1">
      <alignment horizontal="center" vertical="center" wrapText="1"/>
    </xf>
    <xf numFmtId="169" fontId="0" fillId="41" borderId="5" xfId="0" applyNumberFormat="1" applyFill="1" applyBorder="1" applyAlignment="1">
      <alignment horizontal="center" vertical="center"/>
    </xf>
    <xf numFmtId="169" fontId="0" fillId="44" borderId="5" xfId="0" applyNumberFormat="1" applyFill="1" applyBorder="1" applyAlignment="1">
      <alignment horizontal="center" vertical="center"/>
    </xf>
    <xf numFmtId="169" fontId="0" fillId="45" borderId="5" xfId="0" applyNumberFormat="1" applyFill="1" applyBorder="1" applyAlignment="1">
      <alignment horizontal="center" vertical="center"/>
    </xf>
    <xf numFmtId="169" fontId="0" fillId="46" borderId="5" xfId="0" applyNumberFormat="1" applyFill="1" applyBorder="1" applyAlignment="1">
      <alignment horizontal="center" vertical="center"/>
    </xf>
    <xf numFmtId="169" fontId="0" fillId="42" borderId="5" xfId="0" applyNumberFormat="1" applyFill="1" applyBorder="1" applyAlignment="1">
      <alignment horizontal="center" vertical="center"/>
    </xf>
    <xf numFmtId="169" fontId="0" fillId="41" borderId="1" xfId="0" applyNumberFormat="1" applyFill="1" applyBorder="1" applyAlignment="1">
      <alignment horizontal="center" vertical="center"/>
    </xf>
    <xf numFmtId="169" fontId="0" fillId="44" borderId="1" xfId="0" applyNumberFormat="1" applyFill="1" applyBorder="1" applyAlignment="1">
      <alignment horizontal="center" vertical="center"/>
    </xf>
    <xf numFmtId="169" fontId="0" fillId="45" borderId="1" xfId="0" applyNumberFormat="1" applyFill="1" applyBorder="1" applyAlignment="1">
      <alignment horizontal="center" vertical="center"/>
    </xf>
    <xf numFmtId="169" fontId="0" fillId="46" borderId="1" xfId="0" applyNumberFormat="1" applyFill="1" applyBorder="1" applyAlignment="1">
      <alignment horizontal="center" vertical="center"/>
    </xf>
    <xf numFmtId="169" fontId="0" fillId="42" borderId="1" xfId="0" applyNumberFormat="1" applyFill="1" applyBorder="1" applyAlignment="1">
      <alignment horizontal="center" vertical="center"/>
    </xf>
    <xf numFmtId="0" fontId="64" fillId="35" borderId="0" xfId="0" applyFont="1" applyFill="1" applyAlignment="1">
      <alignment horizontal="left" vertical="center" wrapText="1"/>
    </xf>
    <xf numFmtId="174" fontId="0" fillId="0" borderId="0" xfId="2" applyNumberFormat="1" applyFont="1"/>
    <xf numFmtId="175" fontId="0" fillId="0" borderId="0" xfId="0" applyNumberFormat="1"/>
    <xf numFmtId="3" fontId="63" fillId="40" borderId="1" xfId="0" applyNumberFormat="1" applyFont="1" applyFill="1" applyBorder="1" applyAlignment="1">
      <alignment horizontal="center" vertical="center" wrapText="1"/>
    </xf>
    <xf numFmtId="164" fontId="0" fillId="0" borderId="0" xfId="2" applyFont="1"/>
    <xf numFmtId="165" fontId="0" fillId="0" borderId="0" xfId="2" applyNumberFormat="1" applyFont="1"/>
    <xf numFmtId="171" fontId="0" fillId="0" borderId="0" xfId="138" applyNumberFormat="1" applyFont="1"/>
    <xf numFmtId="164" fontId="0" fillId="0" borderId="0" xfId="0" applyNumberFormat="1"/>
    <xf numFmtId="9" fontId="0" fillId="0" borderId="19" xfId="138" applyFont="1" applyBorder="1"/>
    <xf numFmtId="164" fontId="0" fillId="0" borderId="72" xfId="2" applyFont="1" applyBorder="1"/>
    <xf numFmtId="164" fontId="0" fillId="0" borderId="78" xfId="0" applyNumberFormat="1" applyBorder="1"/>
    <xf numFmtId="9" fontId="0" fillId="0" borderId="75" xfId="138" applyFont="1" applyBorder="1"/>
    <xf numFmtId="9" fontId="0" fillId="0" borderId="0" xfId="138" applyFont="1" applyBorder="1"/>
    <xf numFmtId="174" fontId="0" fillId="0" borderId="75" xfId="2" applyNumberFormat="1" applyFont="1" applyBorder="1"/>
    <xf numFmtId="0" fontId="0" fillId="0" borderId="72" xfId="0" applyBorder="1" applyAlignment="1">
      <alignment horizontal="center"/>
    </xf>
    <xf numFmtId="168" fontId="61" fillId="0" borderId="1" xfId="1" applyNumberFormat="1" applyFont="1" applyFill="1" applyBorder="1" applyAlignment="1" applyProtection="1">
      <alignment horizontal="left" vertical="center" wrapText="1"/>
      <protection locked="0"/>
    </xf>
    <xf numFmtId="165" fontId="61" fillId="0" borderId="0" xfId="2" applyNumberFormat="1" applyFont="1" applyFill="1" applyAlignment="1">
      <alignment vertical="center" wrapText="1"/>
    </xf>
    <xf numFmtId="3" fontId="45" fillId="0" borderId="1" xfId="1" applyNumberFormat="1" applyFont="1" applyFill="1" applyBorder="1" applyAlignment="1" applyProtection="1">
      <alignment horizontal="center" vertical="center" wrapText="1"/>
      <protection locked="0"/>
    </xf>
    <xf numFmtId="168" fontId="45" fillId="0" borderId="1" xfId="1" applyNumberFormat="1" applyFont="1" applyFill="1" applyBorder="1" applyAlignment="1" applyProtection="1">
      <alignment horizontal="left" vertical="center" wrapText="1"/>
      <protection locked="0"/>
    </xf>
    <xf numFmtId="165" fontId="45" fillId="0" borderId="0" xfId="2" applyNumberFormat="1" applyFont="1" applyFill="1" applyAlignment="1">
      <alignment vertical="center" wrapText="1"/>
    </xf>
    <xf numFmtId="0" fontId="70" fillId="47" borderId="82" xfId="147" applyFont="1" applyFill="1" applyBorder="1" applyAlignment="1">
      <alignment horizontal="center" vertical="center"/>
    </xf>
    <xf numFmtId="0" fontId="70" fillId="47" borderId="83" xfId="147" applyFont="1" applyFill="1" applyBorder="1" applyAlignment="1">
      <alignment horizontal="center" vertical="center"/>
    </xf>
    <xf numFmtId="0" fontId="70" fillId="47" borderId="84" xfId="147" applyFont="1" applyFill="1" applyBorder="1" applyAlignment="1">
      <alignment horizontal="center" vertical="center"/>
    </xf>
    <xf numFmtId="0" fontId="69" fillId="0" borderId="0" xfId="147"/>
    <xf numFmtId="0" fontId="70" fillId="47" borderId="85" xfId="147" applyFont="1" applyFill="1" applyBorder="1" applyAlignment="1">
      <alignment horizontal="center" vertical="center"/>
    </xf>
    <xf numFmtId="0" fontId="70" fillId="47" borderId="86" xfId="147" applyFont="1" applyFill="1" applyBorder="1" applyAlignment="1">
      <alignment horizontal="center" vertical="center"/>
    </xf>
    <xf numFmtId="0" fontId="70" fillId="47" borderId="87" xfId="147" applyFont="1" applyFill="1" applyBorder="1" applyAlignment="1">
      <alignment horizontal="center" vertical="center"/>
    </xf>
    <xf numFmtId="0" fontId="70" fillId="47" borderId="88" xfId="147" applyFont="1" applyFill="1" applyBorder="1" applyAlignment="1">
      <alignment horizontal="center" vertical="center"/>
    </xf>
    <xf numFmtId="0" fontId="70" fillId="47" borderId="89" xfId="147" applyFont="1" applyFill="1" applyBorder="1" applyAlignment="1">
      <alignment horizontal="center" vertical="center"/>
    </xf>
    <xf numFmtId="0" fontId="71" fillId="48" borderId="90" xfId="147" applyFont="1" applyFill="1" applyBorder="1" applyAlignment="1">
      <alignment horizontal="center" vertical="center"/>
    </xf>
    <xf numFmtId="0" fontId="71" fillId="48" borderId="91" xfId="147" applyFont="1" applyFill="1" applyBorder="1" applyAlignment="1">
      <alignment horizontal="left" vertical="center"/>
    </xf>
    <xf numFmtId="3" fontId="72" fillId="48" borderId="90" xfId="147" applyNumberFormat="1" applyFont="1" applyFill="1" applyBorder="1" applyAlignment="1">
      <alignment horizontal="right"/>
    </xf>
    <xf numFmtId="0" fontId="71" fillId="49" borderId="92" xfId="147" applyFont="1" applyFill="1" applyBorder="1" applyAlignment="1">
      <alignment horizontal="center" vertical="center"/>
    </xf>
    <xf numFmtId="0" fontId="71" fillId="49" borderId="93" xfId="147" applyFont="1" applyFill="1" applyBorder="1" applyAlignment="1">
      <alignment horizontal="left" vertical="center"/>
    </xf>
    <xf numFmtId="3" fontId="72" fillId="49" borderId="92" xfId="147" applyNumberFormat="1" applyFont="1" applyFill="1" applyBorder="1" applyAlignment="1">
      <alignment horizontal="right"/>
    </xf>
    <xf numFmtId="0" fontId="71" fillId="49" borderId="92" xfId="147" applyFont="1" applyFill="1" applyBorder="1" applyAlignment="1">
      <alignment horizontal="right"/>
    </xf>
    <xf numFmtId="0" fontId="72" fillId="49" borderId="92" xfId="147" applyFont="1" applyFill="1" applyBorder="1" applyAlignment="1">
      <alignment horizontal="right"/>
    </xf>
    <xf numFmtId="0" fontId="71" fillId="48" borderId="90" xfId="147" applyFont="1" applyFill="1" applyBorder="1" applyAlignment="1">
      <alignment horizontal="right"/>
    </xf>
    <xf numFmtId="0" fontId="72" fillId="48" borderId="90" xfId="147" applyFont="1" applyFill="1" applyBorder="1" applyAlignment="1">
      <alignment horizontal="right"/>
    </xf>
    <xf numFmtId="0" fontId="71" fillId="49" borderId="0" xfId="147" applyFont="1" applyFill="1" applyAlignment="1">
      <alignment horizontal="left" vertical="center"/>
    </xf>
    <xf numFmtId="3" fontId="72" fillId="49" borderId="0" xfId="147" applyNumberFormat="1" applyFont="1" applyFill="1" applyAlignment="1">
      <alignment horizontal="right"/>
    </xf>
    <xf numFmtId="0" fontId="73" fillId="0" borderId="0" xfId="147" applyFont="1" applyAlignment="1">
      <alignment horizontal="left" vertical="center"/>
    </xf>
    <xf numFmtId="0" fontId="69" fillId="0" borderId="0" xfId="147" applyAlignment="1">
      <alignment horizontal="left" vertical="center"/>
    </xf>
    <xf numFmtId="0" fontId="74" fillId="0" borderId="0" xfId="147" applyFont="1" applyAlignment="1">
      <alignment horizontal="left" vertical="center"/>
    </xf>
    <xf numFmtId="0" fontId="75" fillId="0" borderId="0" xfId="147" applyFont="1" applyAlignment="1">
      <alignment horizontal="left" vertical="center"/>
    </xf>
    <xf numFmtId="0" fontId="76" fillId="0" borderId="0" xfId="147" applyFont="1" applyAlignment="1">
      <alignment horizontal="left" vertical="center"/>
    </xf>
    <xf numFmtId="0" fontId="12" fillId="50" borderId="1" xfId="148" applyFill="1" applyBorder="1" applyAlignment="1">
      <alignment vertical="top"/>
    </xf>
    <xf numFmtId="0" fontId="12" fillId="50" borderId="1" xfId="148" applyFill="1" applyBorder="1" applyAlignment="1">
      <alignment vertical="top" wrapText="1"/>
    </xf>
    <xf numFmtId="14" fontId="12" fillId="50" borderId="1" xfId="148" applyNumberFormat="1" applyFill="1" applyBorder="1" applyAlignment="1">
      <alignment vertical="top"/>
    </xf>
    <xf numFmtId="1" fontId="12" fillId="50"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5" borderId="1" xfId="0" applyNumberFormat="1" applyFont="1" applyFill="1" applyBorder="1" applyAlignment="1">
      <alignment horizontal="center" vertical="center" wrapText="1"/>
    </xf>
    <xf numFmtId="0" fontId="34" fillId="45" borderId="1" xfId="0" applyFont="1" applyFill="1" applyBorder="1" applyAlignment="1">
      <alignment horizontal="center" vertical="center" wrapText="1"/>
    </xf>
    <xf numFmtId="176" fontId="77" fillId="45" borderId="1" xfId="149" applyNumberFormat="1" applyFont="1" applyFill="1" applyBorder="1" applyAlignment="1">
      <alignment horizontal="center" vertical="center" wrapText="1"/>
    </xf>
    <xf numFmtId="0" fontId="77" fillId="45" borderId="1" xfId="0" applyFont="1" applyFill="1" applyBorder="1" applyAlignment="1">
      <alignment horizontal="center" vertical="center" wrapText="1"/>
    </xf>
    <xf numFmtId="1" fontId="0" fillId="0" borderId="0" xfId="0" applyNumberFormat="1"/>
    <xf numFmtId="176" fontId="0" fillId="0" borderId="0" xfId="149" applyNumberFormat="1" applyFont="1"/>
    <xf numFmtId="0" fontId="79" fillId="45" borderId="42" xfId="0" applyFont="1" applyFill="1" applyBorder="1" applyAlignment="1">
      <alignment horizontal="center" vertical="center"/>
    </xf>
    <xf numFmtId="0" fontId="79" fillId="39" borderId="40" xfId="0" applyFont="1" applyFill="1" applyBorder="1" applyAlignment="1">
      <alignment horizontal="center" vertical="center"/>
    </xf>
    <xf numFmtId="0" fontId="79" fillId="51" borderId="42" xfId="0" applyFont="1" applyFill="1" applyBorder="1" applyAlignment="1">
      <alignment horizontal="center" vertical="center" wrapText="1"/>
    </xf>
    <xf numFmtId="9" fontId="81" fillId="51" borderId="44" xfId="138" applyFont="1" applyFill="1" applyBorder="1" applyAlignment="1">
      <alignment horizontal="center" vertical="center" wrapText="1"/>
    </xf>
    <xf numFmtId="170" fontId="0" fillId="0" borderId="0" xfId="146" applyNumberFormat="1" applyFont="1" applyAlignment="1">
      <alignment horizontal="center"/>
    </xf>
    <xf numFmtId="0" fontId="68" fillId="0" borderId="0" xfId="0" applyFont="1" applyAlignment="1">
      <alignment horizontal="center"/>
    </xf>
    <xf numFmtId="9" fontId="0" fillId="0" borderId="0" xfId="138" applyFont="1" applyAlignment="1">
      <alignment horizontal="center"/>
    </xf>
    <xf numFmtId="0" fontId="82" fillId="0" borderId="0" xfId="0" applyFont="1" applyAlignment="1">
      <alignment horizontal="center" vertical="center"/>
    </xf>
    <xf numFmtId="3" fontId="8" fillId="53" borderId="42" xfId="0" applyNumberFormat="1" applyFont="1" applyFill="1" applyBorder="1" applyAlignment="1">
      <alignment horizontal="center" vertical="center" wrapText="1"/>
    </xf>
    <xf numFmtId="3" fontId="8" fillId="53" borderId="43" xfId="0" applyNumberFormat="1" applyFont="1" applyFill="1" applyBorder="1" applyAlignment="1">
      <alignment horizontal="center" vertical="center" wrapText="1"/>
    </xf>
    <xf numFmtId="169" fontId="8" fillId="34" borderId="43" xfId="0" applyNumberFormat="1" applyFont="1" applyFill="1" applyBorder="1" applyAlignment="1">
      <alignment horizontal="center" vertical="center" wrapText="1"/>
    </xf>
    <xf numFmtId="170" fontId="8" fillId="34" borderId="43" xfId="146" applyNumberFormat="1" applyFont="1" applyFill="1" applyBorder="1" applyAlignment="1">
      <alignment horizontal="center" vertical="center" wrapText="1"/>
    </xf>
    <xf numFmtId="169" fontId="46" fillId="34" borderId="43" xfId="0" applyNumberFormat="1" applyFont="1" applyFill="1" applyBorder="1" applyAlignment="1">
      <alignment horizontal="center" vertical="center" wrapText="1"/>
    </xf>
    <xf numFmtId="3" fontId="8" fillId="54" borderId="43" xfId="0" applyNumberFormat="1" applyFont="1" applyFill="1" applyBorder="1" applyAlignment="1">
      <alignment horizontal="center" vertical="center" wrapText="1"/>
    </xf>
    <xf numFmtId="170" fontId="8" fillId="54" borderId="43" xfId="146" applyNumberFormat="1" applyFont="1" applyFill="1" applyBorder="1" applyAlignment="1">
      <alignment horizontal="center" vertical="center" wrapText="1"/>
    </xf>
    <xf numFmtId="9" fontId="8" fillId="54" borderId="43" xfId="138" applyFont="1" applyFill="1" applyBorder="1" applyAlignment="1">
      <alignment horizontal="center" vertical="center" wrapText="1"/>
    </xf>
    <xf numFmtId="0" fontId="0" fillId="0" borderId="0" xfId="0" applyAlignment="1">
      <alignment vertical="top"/>
    </xf>
    <xf numFmtId="0" fontId="0" fillId="0" borderId="0" xfId="0" pivotButton="1"/>
    <xf numFmtId="0" fontId="0" fillId="0" borderId="0" xfId="0" applyAlignment="1">
      <alignment horizontal="left"/>
    </xf>
    <xf numFmtId="170" fontId="0" fillId="0" borderId="0" xfId="146" applyNumberFormat="1" applyFont="1"/>
    <xf numFmtId="3" fontId="8" fillId="55" borderId="31" xfId="0" applyNumberFormat="1" applyFont="1" applyFill="1" applyBorder="1" applyAlignment="1">
      <alignment horizontal="center" vertical="center" wrapText="1"/>
    </xf>
    <xf numFmtId="170" fontId="39" fillId="35" borderId="18" xfId="146" applyNumberFormat="1" applyFont="1" applyFill="1" applyBorder="1" applyAlignment="1">
      <alignment horizontal="center"/>
    </xf>
    <xf numFmtId="0" fontId="39" fillId="35" borderId="17" xfId="0" applyFont="1" applyFill="1" applyBorder="1" applyAlignment="1">
      <alignment horizontal="center"/>
    </xf>
    <xf numFmtId="170" fontId="0" fillId="36" borderId="51" xfId="146" applyNumberFormat="1" applyFont="1" applyFill="1" applyBorder="1" applyAlignment="1">
      <alignment horizontal="center" vertical="center"/>
    </xf>
    <xf numFmtId="170" fontId="0" fillId="56" borderId="1" xfId="146" applyNumberFormat="1" applyFont="1" applyFill="1" applyBorder="1" applyAlignment="1">
      <alignment horizontal="center" vertical="center"/>
    </xf>
    <xf numFmtId="170" fontId="0" fillId="57" borderId="22" xfId="146" applyNumberFormat="1" applyFont="1" applyFill="1" applyBorder="1" applyAlignment="1">
      <alignment horizontal="center" vertical="center"/>
    </xf>
    <xf numFmtId="170" fontId="86" fillId="36" borderId="51" xfId="146" applyNumberFormat="1" applyFont="1" applyFill="1" applyBorder="1" applyAlignment="1">
      <alignment horizontal="center" vertical="center"/>
    </xf>
    <xf numFmtId="170" fontId="86" fillId="56" borderId="1" xfId="146" applyNumberFormat="1" applyFont="1" applyFill="1" applyBorder="1" applyAlignment="1">
      <alignment horizontal="center" vertical="center"/>
    </xf>
    <xf numFmtId="170" fontId="86" fillId="57" borderId="22" xfId="146" applyNumberFormat="1" applyFont="1" applyFill="1" applyBorder="1" applyAlignment="1">
      <alignment horizontal="center" vertical="center"/>
    </xf>
    <xf numFmtId="0" fontId="11" fillId="0" borderId="95" xfId="0" applyFont="1" applyBorder="1" applyAlignment="1">
      <alignment horizontal="center"/>
    </xf>
    <xf numFmtId="169" fontId="11" fillId="0" borderId="95" xfId="0" applyNumberFormat="1" applyFont="1" applyBorder="1" applyAlignment="1">
      <alignment horizontal="center"/>
    </xf>
    <xf numFmtId="170" fontId="11" fillId="0" borderId="95" xfId="146" applyNumberFormat="1" applyFont="1" applyFill="1" applyBorder="1" applyAlignment="1">
      <alignment horizontal="center"/>
    </xf>
    <xf numFmtId="169" fontId="68" fillId="0" borderId="95" xfId="0" applyNumberFormat="1" applyFont="1" applyBorder="1" applyAlignment="1">
      <alignment horizontal="center"/>
    </xf>
    <xf numFmtId="169" fontId="85" fillId="0" borderId="95" xfId="0" applyNumberFormat="1" applyFont="1" applyBorder="1" applyAlignment="1">
      <alignment horizontal="center"/>
    </xf>
    <xf numFmtId="1" fontId="11" fillId="0" borderId="95" xfId="0" applyNumberFormat="1" applyFont="1" applyBorder="1" applyAlignment="1">
      <alignment horizontal="center"/>
    </xf>
    <xf numFmtId="0" fontId="11" fillId="0" borderId="95" xfId="0" applyFont="1" applyBorder="1" applyAlignment="1">
      <alignment horizontal="center" wrapText="1"/>
    </xf>
    <xf numFmtId="179" fontId="11" fillId="0" borderId="95" xfId="138" applyNumberFormat="1" applyFont="1" applyFill="1" applyBorder="1" applyAlignment="1">
      <alignment horizontal="center"/>
    </xf>
    <xf numFmtId="171" fontId="11" fillId="0" borderId="95" xfId="138" applyNumberFormat="1" applyFont="1" applyFill="1" applyBorder="1" applyAlignment="1">
      <alignment horizontal="center"/>
    </xf>
    <xf numFmtId="170" fontId="68" fillId="0" borderId="95" xfId="0" applyNumberFormat="1" applyFont="1" applyBorder="1" applyAlignment="1">
      <alignment horizontal="center"/>
    </xf>
    <xf numFmtId="170" fontId="85" fillId="0" borderId="95" xfId="0" applyNumberFormat="1" applyFont="1" applyBorder="1" applyAlignment="1">
      <alignment horizontal="center"/>
    </xf>
    <xf numFmtId="178" fontId="11" fillId="0" borderId="95" xfId="0" applyNumberFormat="1" applyFont="1" applyBorder="1" applyAlignment="1">
      <alignment horizontal="center"/>
    </xf>
    <xf numFmtId="0" fontId="44" fillId="0" borderId="45" xfId="0" applyFont="1" applyBorder="1" applyAlignment="1">
      <alignment horizontal="center" vertical="center" wrapText="1"/>
    </xf>
    <xf numFmtId="0" fontId="44" fillId="0" borderId="45" xfId="0" applyFont="1" applyBorder="1" applyAlignment="1">
      <alignment vertical="center" wrapText="1"/>
    </xf>
    <xf numFmtId="0" fontId="44" fillId="0" borderId="46" xfId="0" applyFont="1" applyBorder="1" applyAlignment="1">
      <alignment horizontal="center" vertical="center" wrapText="1"/>
    </xf>
    <xf numFmtId="3" fontId="44" fillId="0" borderId="1" xfId="0" applyNumberFormat="1" applyFont="1" applyBorder="1" applyAlignment="1">
      <alignment horizontal="left" vertical="center" wrapText="1"/>
    </xf>
    <xf numFmtId="3" fontId="48" fillId="0" borderId="5" xfId="0" applyNumberFormat="1" applyFont="1" applyBorder="1" applyAlignment="1">
      <alignment horizontal="center" vertical="center" wrapText="1"/>
    </xf>
    <xf numFmtId="0" fontId="7" fillId="0" borderId="1" xfId="0" applyFont="1" applyBorder="1" applyAlignment="1">
      <alignment horizontal="center" vertical="center" wrapText="1"/>
    </xf>
    <xf numFmtId="171" fontId="44" fillId="0" borderId="1" xfId="0" applyNumberFormat="1" applyFont="1" applyBorder="1" applyAlignment="1">
      <alignment horizontal="center" vertical="center" wrapText="1"/>
    </xf>
    <xf numFmtId="166" fontId="44" fillId="0" borderId="1" xfId="0" applyNumberFormat="1" applyFont="1" applyBorder="1" applyAlignment="1">
      <alignment horizontal="center" vertical="center" wrapText="1"/>
    </xf>
    <xf numFmtId="14" fontId="44" fillId="0" borderId="45" xfId="0" applyNumberFormat="1" applyFont="1" applyBorder="1" applyAlignment="1">
      <alignment horizontal="center" vertical="center" wrapText="1"/>
    </xf>
    <xf numFmtId="0" fontId="44" fillId="0" borderId="0" xfId="0" applyFont="1" applyAlignment="1">
      <alignment vertical="center" wrapText="1"/>
    </xf>
    <xf numFmtId="0" fontId="44" fillId="0" borderId="59" xfId="0" applyFont="1" applyBorder="1" applyAlignment="1">
      <alignment horizontal="center" vertical="center" wrapText="1"/>
    </xf>
    <xf numFmtId="3" fontId="44" fillId="0" borderId="32" xfId="0" applyNumberFormat="1" applyFont="1" applyBorder="1" applyAlignment="1">
      <alignment horizontal="center" vertical="center"/>
    </xf>
    <xf numFmtId="0" fontId="44" fillId="0" borderId="61" xfId="0" applyFont="1" applyBorder="1" applyAlignment="1">
      <alignment horizontal="center" vertical="center" wrapText="1"/>
    </xf>
    <xf numFmtId="3" fontId="44" fillId="0" borderId="3" xfId="0" applyNumberFormat="1" applyFont="1" applyBorder="1" applyAlignment="1">
      <alignment horizontal="left" vertical="center" wrapText="1"/>
    </xf>
    <xf numFmtId="0" fontId="53" fillId="0" borderId="6" xfId="0" applyFont="1" applyBorder="1" applyAlignment="1">
      <alignment horizontal="center" vertical="center" wrapText="1"/>
    </xf>
    <xf numFmtId="0" fontId="45" fillId="0" borderId="0" xfId="0" applyFont="1" applyAlignment="1">
      <alignment vertical="center"/>
    </xf>
    <xf numFmtId="3" fontId="44" fillId="0" borderId="1" xfId="0" applyNumberFormat="1" applyFont="1" applyBorder="1" applyAlignment="1">
      <alignment horizontal="center" vertical="center"/>
    </xf>
    <xf numFmtId="3" fontId="44" fillId="0" borderId="45" xfId="0" applyNumberFormat="1" applyFont="1" applyBorder="1" applyAlignment="1">
      <alignment horizontal="left" vertical="center" wrapText="1"/>
    </xf>
    <xf numFmtId="3" fontId="44" fillId="0" borderId="1" xfId="0" applyNumberFormat="1" applyFont="1" applyBorder="1" applyAlignment="1">
      <alignment horizontal="center" vertical="center" wrapText="1"/>
    </xf>
    <xf numFmtId="3" fontId="48" fillId="0" borderId="1" xfId="0" applyNumberFormat="1" applyFont="1" applyBorder="1" applyAlignment="1">
      <alignment horizontal="center" vertical="center" wrapText="1"/>
    </xf>
    <xf numFmtId="0" fontId="53" fillId="0" borderId="1" xfId="0" applyFont="1" applyBorder="1" applyAlignment="1">
      <alignment horizontal="center" vertical="center" wrapText="1"/>
    </xf>
    <xf numFmtId="3" fontId="63" fillId="0" borderId="1" xfId="0" applyNumberFormat="1" applyFont="1" applyBorder="1" applyAlignment="1">
      <alignment horizontal="center" vertical="center" wrapText="1"/>
    </xf>
    <xf numFmtId="3" fontId="63" fillId="0" borderId="5" xfId="0" applyNumberFormat="1" applyFont="1" applyBorder="1" applyAlignment="1">
      <alignment horizontal="center" vertical="center" wrapText="1"/>
    </xf>
    <xf numFmtId="0" fontId="53" fillId="0" borderId="59" xfId="0" applyFont="1" applyBorder="1" applyAlignment="1">
      <alignment horizontal="center" vertical="center" wrapText="1"/>
    </xf>
    <xf numFmtId="0" fontId="44" fillId="0" borderId="32" xfId="0" applyFont="1" applyBorder="1" applyAlignment="1">
      <alignment horizontal="center" vertical="center" wrapText="1"/>
    </xf>
    <xf numFmtId="14" fontId="44" fillId="0" borderId="59" xfId="0" applyNumberFormat="1" applyFont="1" applyBorder="1" applyAlignment="1">
      <alignment horizontal="center" vertical="center" wrapText="1"/>
    </xf>
    <xf numFmtId="0" fontId="44" fillId="0" borderId="64" xfId="0" applyFont="1" applyBorder="1" applyAlignment="1">
      <alignment horizontal="center" vertical="center" wrapText="1"/>
    </xf>
    <xf numFmtId="0" fontId="44" fillId="0" borderId="64" xfId="0" applyFont="1" applyBorder="1" applyAlignment="1">
      <alignment vertical="center" wrapText="1"/>
    </xf>
    <xf numFmtId="0" fontId="44" fillId="0" borderId="65" xfId="0" applyFont="1" applyBorder="1" applyAlignment="1">
      <alignment horizontal="center" vertical="center" wrapText="1"/>
    </xf>
    <xf numFmtId="0" fontId="44" fillId="0" borderId="5" xfId="0" applyFont="1" applyBorder="1" applyAlignment="1">
      <alignment horizontal="center" vertical="center" wrapText="1"/>
    </xf>
    <xf numFmtId="0" fontId="48" fillId="0" borderId="5" xfId="0" applyFont="1" applyBorder="1" applyAlignment="1">
      <alignment horizontal="center" vertical="center" wrapText="1"/>
    </xf>
    <xf numFmtId="14" fontId="44" fillId="0" borderId="1" xfId="0" applyNumberFormat="1" applyFont="1" applyBorder="1" applyAlignment="1">
      <alignment horizontal="center" vertical="center" wrapText="1"/>
    </xf>
    <xf numFmtId="3" fontId="44" fillId="0" borderId="5" xfId="0" applyNumberFormat="1" applyFont="1" applyBorder="1" applyAlignment="1">
      <alignment horizontal="center" vertical="center" wrapText="1"/>
    </xf>
    <xf numFmtId="0" fontId="61" fillId="0" borderId="0" xfId="0" applyFont="1" applyAlignment="1">
      <alignment vertical="center"/>
    </xf>
    <xf numFmtId="0" fontId="44" fillId="0" borderId="32" xfId="0" applyFont="1" applyBorder="1" applyAlignment="1">
      <alignment horizontal="center" vertical="center"/>
    </xf>
    <xf numFmtId="0" fontId="44" fillId="0" borderId="32" xfId="0" applyFont="1" applyBorder="1" applyAlignment="1">
      <alignment horizontal="center"/>
    </xf>
    <xf numFmtId="3" fontId="44" fillId="0" borderId="5" xfId="0" applyNumberFormat="1" applyFont="1" applyBorder="1" applyAlignment="1">
      <alignment horizontal="left" vertical="center" wrapText="1"/>
    </xf>
    <xf numFmtId="0" fontId="45" fillId="0" borderId="46" xfId="0" applyFont="1" applyBorder="1" applyAlignment="1">
      <alignment horizontal="center" vertical="center" wrapText="1"/>
    </xf>
    <xf numFmtId="174" fontId="44" fillId="0" borderId="45" xfId="2" applyNumberFormat="1" applyFont="1" applyFill="1" applyBorder="1" applyAlignment="1">
      <alignment horizontal="center" vertical="center" wrapText="1"/>
    </xf>
    <xf numFmtId="0" fontId="61" fillId="0" borderId="0" xfId="0" applyFont="1" applyAlignment="1">
      <alignment vertical="center" wrapText="1"/>
    </xf>
    <xf numFmtId="0" fontId="61" fillId="0" borderId="1" xfId="0" applyFont="1" applyBorder="1" applyAlignment="1">
      <alignment horizontal="center" vertical="center" wrapText="1"/>
    </xf>
    <xf numFmtId="0" fontId="45" fillId="0" borderId="45" xfId="0" applyFont="1" applyBorder="1" applyAlignment="1">
      <alignment vertical="center" wrapText="1"/>
    </xf>
    <xf numFmtId="3" fontId="45" fillId="0" borderId="1" xfId="0" applyNumberFormat="1" applyFont="1" applyBorder="1" applyAlignment="1">
      <alignment horizontal="left" vertical="center" wrapText="1"/>
    </xf>
    <xf numFmtId="0" fontId="63" fillId="0" borderId="1" xfId="0" applyFont="1" applyBorder="1" applyAlignment="1">
      <alignment horizontal="center" vertical="center" wrapText="1"/>
    </xf>
    <xf numFmtId="0" fontId="45" fillId="0" borderId="0" xfId="0" applyFont="1" applyAlignment="1">
      <alignment vertical="center" wrapText="1"/>
    </xf>
    <xf numFmtId="0" fontId="62" fillId="0" borderId="1" xfId="0" applyFont="1" applyBorder="1" applyAlignment="1">
      <alignment horizontal="center" vertical="center" wrapText="1"/>
    </xf>
    <xf numFmtId="14" fontId="45" fillId="0" borderId="59" xfId="0" applyNumberFormat="1" applyFont="1" applyBorder="1" applyAlignment="1">
      <alignment horizontal="center" vertical="center" wrapText="1"/>
    </xf>
    <xf numFmtId="174" fontId="45" fillId="0" borderId="45" xfId="2" applyNumberFormat="1" applyFont="1" applyFill="1" applyBorder="1" applyAlignment="1">
      <alignment horizontal="center" vertical="center" wrapText="1"/>
    </xf>
    <xf numFmtId="0" fontId="44" fillId="0" borderId="0" xfId="0" quotePrefix="1" applyFont="1" applyAlignment="1">
      <alignment vertical="center" wrapText="1"/>
    </xf>
    <xf numFmtId="3" fontId="62" fillId="0" borderId="1" xfId="0" applyNumberFormat="1" applyFont="1" applyBorder="1" applyAlignment="1">
      <alignment horizontal="center" vertical="center" wrapText="1"/>
    </xf>
    <xf numFmtId="2" fontId="44" fillId="0" borderId="0" xfId="0" applyNumberFormat="1" applyFont="1" applyAlignment="1">
      <alignment vertical="center" wrapText="1"/>
    </xf>
    <xf numFmtId="0" fontId="61" fillId="0" borderId="0" xfId="0" quotePrefix="1" applyFont="1" applyAlignment="1">
      <alignment vertical="center" wrapText="1"/>
    </xf>
    <xf numFmtId="3" fontId="63" fillId="0" borderId="1" xfId="0" applyNumberFormat="1" applyFont="1" applyBorder="1" applyAlignment="1">
      <alignment horizontal="center" vertical="center"/>
    </xf>
    <xf numFmtId="174" fontId="43" fillId="0" borderId="0" xfId="2" applyNumberFormat="1" applyFont="1" applyAlignment="1">
      <alignment horizontal="center"/>
    </xf>
    <xf numFmtId="174" fontId="44" fillId="0" borderId="58" xfId="2" applyNumberFormat="1" applyFont="1" applyFill="1" applyBorder="1" applyAlignment="1">
      <alignment horizontal="center" vertical="center" wrapText="1"/>
    </xf>
    <xf numFmtId="174" fontId="44" fillId="0" borderId="64" xfId="2" applyNumberFormat="1" applyFont="1" applyFill="1" applyBorder="1" applyAlignment="1">
      <alignment horizontal="center" vertical="center" wrapText="1"/>
    </xf>
    <xf numFmtId="174" fontId="44" fillId="0" borderId="77" xfId="2" applyNumberFormat="1" applyFont="1" applyFill="1" applyBorder="1" applyAlignment="1">
      <alignment horizontal="center" vertical="center" wrapText="1"/>
    </xf>
    <xf numFmtId="174" fontId="44" fillId="0" borderId="45" xfId="2" applyNumberFormat="1" applyFont="1" applyFill="1" applyBorder="1" applyAlignment="1">
      <alignment horizontal="center" vertical="center"/>
    </xf>
    <xf numFmtId="174" fontId="44" fillId="0" borderId="45" xfId="2" applyNumberFormat="1" applyFont="1" applyBorder="1" applyAlignment="1">
      <alignment horizontal="center" vertical="center"/>
    </xf>
    <xf numFmtId="174" fontId="44" fillId="0" borderId="45" xfId="2" applyNumberFormat="1" applyFont="1" applyBorder="1" applyAlignment="1">
      <alignment horizontal="center"/>
    </xf>
    <xf numFmtId="174" fontId="44" fillId="0" borderId="59" xfId="2" applyNumberFormat="1" applyFont="1" applyBorder="1" applyAlignment="1">
      <alignment horizontal="center"/>
    </xf>
    <xf numFmtId="174" fontId="0" fillId="0" borderId="0" xfId="2" applyNumberFormat="1" applyFont="1" applyAlignment="1">
      <alignment horizontal="center"/>
    </xf>
    <xf numFmtId="171" fontId="44" fillId="40" borderId="1" xfId="0" applyNumberFormat="1" applyFont="1" applyFill="1" applyBorder="1" applyAlignment="1">
      <alignment horizontal="center" vertical="center" wrapText="1"/>
    </xf>
    <xf numFmtId="166" fontId="44" fillId="40" borderId="1" xfId="0" applyNumberFormat="1" applyFont="1" applyFill="1" applyBorder="1" applyAlignment="1">
      <alignment horizontal="center" vertical="center" wrapText="1"/>
    </xf>
    <xf numFmtId="9" fontId="44" fillId="40" borderId="1" xfId="0" applyNumberFormat="1" applyFont="1" applyFill="1" applyBorder="1" applyAlignment="1">
      <alignment horizontal="center" vertical="center"/>
    </xf>
    <xf numFmtId="0" fontId="44" fillId="40" borderId="32" xfId="0" applyFont="1" applyFill="1" applyBorder="1" applyAlignment="1">
      <alignment horizontal="center"/>
    </xf>
    <xf numFmtId="0" fontId="44" fillId="40" borderId="45" xfId="0" applyFont="1" applyFill="1" applyBorder="1" applyAlignment="1">
      <alignment horizontal="center" vertical="center"/>
    </xf>
    <xf numFmtId="0" fontId="44" fillId="40" borderId="45" xfId="0" applyFont="1" applyFill="1" applyBorder="1" applyAlignment="1">
      <alignment vertical="center"/>
    </xf>
    <xf numFmtId="0" fontId="44" fillId="40" borderId="46" xfId="0" applyFont="1" applyFill="1" applyBorder="1" applyAlignment="1">
      <alignment horizontal="center" vertical="center"/>
    </xf>
    <xf numFmtId="3" fontId="63" fillId="40" borderId="1" xfId="0" applyNumberFormat="1" applyFont="1" applyFill="1" applyBorder="1" applyAlignment="1">
      <alignment horizontal="center" vertical="center"/>
    </xf>
    <xf numFmtId="0" fontId="44" fillId="40" borderId="1" xfId="0" applyFont="1" applyFill="1" applyBorder="1" applyAlignment="1">
      <alignment horizontal="center" vertical="center"/>
    </xf>
    <xf numFmtId="168" fontId="44" fillId="46" borderId="1" xfId="1" applyNumberFormat="1" applyFont="1" applyFill="1" applyBorder="1" applyAlignment="1" applyProtection="1">
      <alignment horizontal="left" vertical="center" wrapText="1"/>
      <protection locked="0"/>
    </xf>
    <xf numFmtId="0" fontId="44" fillId="46" borderId="1" xfId="1" applyNumberFormat="1" applyFont="1" applyFill="1" applyBorder="1" applyAlignment="1" applyProtection="1">
      <alignment horizontal="center" vertical="center" wrapText="1"/>
      <protection locked="0"/>
    </xf>
    <xf numFmtId="0" fontId="44" fillId="46" borderId="1" xfId="0" applyFont="1" applyFill="1" applyBorder="1" applyAlignment="1">
      <alignment horizontal="center" vertical="center" wrapText="1"/>
    </xf>
    <xf numFmtId="166" fontId="44" fillId="46" borderId="1" xfId="0" applyNumberFormat="1" applyFont="1" applyFill="1" applyBorder="1" applyAlignment="1">
      <alignment horizontal="center" vertical="center" wrapText="1"/>
    </xf>
    <xf numFmtId="10" fontId="44" fillId="46" borderId="1" xfId="138" applyNumberFormat="1" applyFont="1" applyFill="1" applyBorder="1" applyAlignment="1">
      <alignment horizontal="center" vertical="center" wrapText="1"/>
    </xf>
    <xf numFmtId="9" fontId="44" fillId="46" borderId="1" xfId="0" applyNumberFormat="1" applyFont="1" applyFill="1" applyBorder="1" applyAlignment="1">
      <alignment horizontal="center" vertical="center"/>
    </xf>
    <xf numFmtId="3" fontId="44" fillId="46" borderId="1" xfId="1" applyNumberFormat="1" applyFont="1" applyFill="1" applyBorder="1" applyAlignment="1" applyProtection="1">
      <alignment horizontal="center" vertical="center" wrapText="1"/>
      <protection locked="0"/>
    </xf>
    <xf numFmtId="0" fontId="48" fillId="46" borderId="1" xfId="0" applyFont="1" applyFill="1" applyBorder="1" applyAlignment="1">
      <alignment horizontal="center" vertical="center" wrapText="1"/>
    </xf>
    <xf numFmtId="174" fontId="53" fillId="0" borderId="45" xfId="2" applyNumberFormat="1" applyFont="1" applyFill="1" applyBorder="1" applyAlignment="1">
      <alignment horizontal="center" vertical="center" wrapText="1"/>
    </xf>
    <xf numFmtId="166" fontId="44" fillId="29" borderId="1" xfId="0" applyNumberFormat="1" applyFont="1" applyFill="1" applyBorder="1" applyAlignment="1">
      <alignment horizontal="center" vertical="center" wrapText="1"/>
    </xf>
    <xf numFmtId="10" fontId="44" fillId="29" borderId="1" xfId="0" applyNumberFormat="1" applyFont="1" applyFill="1" applyBorder="1" applyAlignment="1">
      <alignment horizontal="center" vertical="center"/>
    </xf>
    <xf numFmtId="0" fontId="44" fillId="0" borderId="5" xfId="0" applyFont="1" applyBorder="1" applyAlignment="1">
      <alignment horizontal="center" vertical="center"/>
    </xf>
    <xf numFmtId="1" fontId="44" fillId="0" borderId="45" xfId="0" applyNumberFormat="1" applyFont="1" applyBorder="1" applyAlignment="1">
      <alignment horizontal="center" vertical="center" wrapText="1"/>
    </xf>
    <xf numFmtId="0" fontId="44" fillId="0" borderId="64" xfId="0" applyFont="1" applyBorder="1" applyAlignment="1">
      <alignment vertical="center"/>
    </xf>
    <xf numFmtId="3" fontId="44" fillId="0" borderId="46" xfId="0" applyNumberFormat="1" applyFont="1" applyBorder="1" applyAlignment="1">
      <alignment horizontal="center" vertical="center" wrapText="1"/>
    </xf>
    <xf numFmtId="0" fontId="44" fillId="0" borderId="65" xfId="0" applyFont="1" applyBorder="1" applyAlignment="1">
      <alignment horizontal="center" vertical="center"/>
    </xf>
    <xf numFmtId="3" fontId="63" fillId="0" borderId="5" xfId="0" applyNumberFormat="1" applyFont="1" applyBorder="1" applyAlignment="1">
      <alignment horizontal="center" vertical="center"/>
    </xf>
    <xf numFmtId="0" fontId="44" fillId="0" borderId="1" xfId="146" applyNumberFormat="1" applyFont="1" applyFill="1" applyBorder="1" applyAlignment="1">
      <alignment horizontal="center" vertical="center" wrapText="1"/>
    </xf>
    <xf numFmtId="0" fontId="53" fillId="0" borderId="45" xfId="0" applyFont="1" applyBorder="1" applyAlignment="1">
      <alignment horizontal="center" vertical="center" wrapText="1"/>
    </xf>
    <xf numFmtId="14" fontId="44" fillId="0" borderId="1" xfId="0" applyNumberFormat="1" applyFont="1" applyBorder="1" applyAlignment="1">
      <alignment horizontal="center" vertical="center"/>
    </xf>
    <xf numFmtId="14" fontId="45" fillId="0" borderId="1" xfId="0" applyNumberFormat="1" applyFont="1" applyBorder="1" applyAlignment="1">
      <alignment horizontal="center" vertical="center" wrapText="1"/>
    </xf>
    <xf numFmtId="14" fontId="44" fillId="0" borderId="59" xfId="0" applyNumberFormat="1" applyFont="1" applyBorder="1" applyAlignment="1">
      <alignment horizontal="center" vertical="center"/>
    </xf>
    <xf numFmtId="174" fontId="53" fillId="0" borderId="64" xfId="2" applyNumberFormat="1" applyFont="1" applyFill="1" applyBorder="1" applyAlignment="1">
      <alignment horizontal="center" vertical="center" wrapText="1"/>
    </xf>
    <xf numFmtId="174" fontId="63" fillId="0" borderId="45" xfId="2" applyNumberFormat="1" applyFont="1" applyFill="1" applyBorder="1" applyAlignment="1">
      <alignment horizontal="center" vertical="center" wrapText="1"/>
    </xf>
    <xf numFmtId="1" fontId="44" fillId="0" borderId="1" xfId="0" applyNumberFormat="1" applyFont="1" applyBorder="1" applyAlignment="1">
      <alignment horizontal="center" vertical="center" wrapText="1"/>
    </xf>
    <xf numFmtId="0" fontId="44" fillId="40" borderId="64" xfId="0" applyFont="1" applyFill="1" applyBorder="1" applyAlignment="1">
      <alignment vertical="center" wrapText="1"/>
    </xf>
    <xf numFmtId="3" fontId="44" fillId="0" borderId="6" xfId="0" applyNumberFormat="1" applyFont="1" applyBorder="1" applyAlignment="1">
      <alignment horizontal="left" vertical="center" wrapText="1"/>
    </xf>
    <xf numFmtId="3" fontId="44" fillId="0" borderId="2" xfId="0" applyNumberFormat="1" applyFont="1" applyBorder="1" applyAlignment="1">
      <alignment horizontal="center" vertical="center" wrapText="1"/>
    </xf>
    <xf numFmtId="3" fontId="44" fillId="0" borderId="4" xfId="0" applyNumberFormat="1" applyFont="1" applyBorder="1" applyAlignment="1">
      <alignment horizontal="center" vertical="center" wrapText="1"/>
    </xf>
    <xf numFmtId="3" fontId="61" fillId="0" borderId="4" xfId="0" applyNumberFormat="1" applyFont="1" applyBorder="1" applyAlignment="1">
      <alignment horizontal="center" vertical="center" wrapText="1"/>
    </xf>
    <xf numFmtId="3" fontId="48" fillId="0" borderId="4" xfId="0" applyNumberFormat="1" applyFont="1" applyBorder="1" applyAlignment="1">
      <alignment horizontal="center" vertical="center" wrapText="1"/>
    </xf>
    <xf numFmtId="14" fontId="45" fillId="0" borderId="45" xfId="0" applyNumberFormat="1" applyFont="1" applyBorder="1" applyAlignment="1">
      <alignment horizontal="center" vertical="center" wrapText="1"/>
    </xf>
    <xf numFmtId="174" fontId="45" fillId="0" borderId="58" xfId="2" applyNumberFormat="1" applyFont="1" applyFill="1" applyBorder="1" applyAlignment="1">
      <alignment horizontal="center" vertical="center" wrapText="1"/>
    </xf>
    <xf numFmtId="174" fontId="61" fillId="0" borderId="64" xfId="2" applyNumberFormat="1" applyFont="1" applyFill="1" applyBorder="1" applyAlignment="1">
      <alignment horizontal="center" vertical="center" wrapText="1"/>
    </xf>
    <xf numFmtId="174" fontId="44" fillId="0" borderId="45" xfId="2" applyNumberFormat="1" applyFont="1" applyFill="1" applyBorder="1" applyAlignment="1">
      <alignment horizontal="right" vertical="center" wrapText="1"/>
    </xf>
    <xf numFmtId="180" fontId="87" fillId="55" borderId="95" xfId="146" applyNumberFormat="1" applyFont="1" applyFill="1" applyBorder="1" applyAlignment="1">
      <alignment horizontal="center" vertical="center"/>
    </xf>
    <xf numFmtId="180" fontId="87" fillId="55" borderId="96" xfId="146" applyNumberFormat="1" applyFont="1" applyFill="1" applyBorder="1" applyAlignment="1">
      <alignment horizontal="center" vertical="center"/>
    </xf>
    <xf numFmtId="180" fontId="87" fillId="29" borderId="95" xfId="146" applyNumberFormat="1" applyFont="1" applyFill="1" applyBorder="1" applyAlignment="1">
      <alignment horizontal="center" vertical="center"/>
    </xf>
    <xf numFmtId="3" fontId="44" fillId="29" borderId="1" xfId="1" applyNumberFormat="1" applyFont="1" applyFill="1" applyBorder="1" applyAlignment="1" applyProtection="1">
      <alignment horizontal="center" vertical="center" wrapText="1"/>
      <protection locked="0"/>
    </xf>
    <xf numFmtId="164" fontId="90" fillId="0" borderId="0" xfId="2" applyFont="1" applyAlignment="1">
      <alignment horizontal="center"/>
    </xf>
    <xf numFmtId="168" fontId="44" fillId="29" borderId="1" xfId="1" applyNumberFormat="1" applyFont="1" applyFill="1" applyBorder="1" applyAlignment="1" applyProtection="1">
      <alignment horizontal="left" vertical="center" wrapText="1"/>
      <protection locked="0"/>
    </xf>
    <xf numFmtId="180" fontId="87" fillId="37" borderId="95" xfId="146" applyNumberFormat="1" applyFont="1" applyFill="1" applyBorder="1" applyAlignment="1">
      <alignment horizontal="center" vertical="center"/>
    </xf>
    <xf numFmtId="166" fontId="44" fillId="37" borderId="1" xfId="0" applyNumberFormat="1" applyFont="1" applyFill="1" applyBorder="1" applyAlignment="1">
      <alignment horizontal="center" vertical="center" wrapText="1"/>
    </xf>
    <xf numFmtId="0" fontId="0" fillId="39" borderId="27" xfId="0" applyFill="1" applyBorder="1"/>
    <xf numFmtId="0" fontId="0" fillId="39" borderId="28" xfId="0" applyFill="1" applyBorder="1"/>
    <xf numFmtId="0" fontId="0" fillId="39" borderId="29" xfId="0" applyFill="1" applyBorder="1"/>
    <xf numFmtId="9" fontId="44" fillId="0" borderId="45" xfId="0" applyNumberFormat="1" applyFont="1" applyBorder="1" applyAlignment="1">
      <alignment horizontal="center" vertical="center"/>
    </xf>
    <xf numFmtId="172" fontId="0" fillId="35" borderId="59" xfId="2" applyNumberFormat="1" applyFont="1" applyFill="1" applyBorder="1" applyAlignment="1">
      <alignment horizontal="center"/>
    </xf>
    <xf numFmtId="172" fontId="79" fillId="36" borderId="50" xfId="2" applyNumberFormat="1" applyFont="1" applyFill="1" applyBorder="1" applyAlignment="1">
      <alignment horizontal="center" vertical="center"/>
    </xf>
    <xf numFmtId="172" fontId="79" fillId="56" borderId="20" xfId="2" applyNumberFormat="1" applyFont="1" applyFill="1" applyBorder="1" applyAlignment="1">
      <alignment horizontal="center" vertical="center"/>
    </xf>
    <xf numFmtId="172" fontId="79" fillId="57" borderId="53" xfId="2" applyNumberFormat="1" applyFont="1" applyFill="1" applyBorder="1" applyAlignment="1">
      <alignment horizontal="center" vertical="center" wrapText="1"/>
    </xf>
    <xf numFmtId="172" fontId="8" fillId="3" borderId="28" xfId="2" applyNumberFormat="1" applyFont="1" applyFill="1" applyBorder="1" applyAlignment="1">
      <alignment horizontal="center" vertical="center" wrapText="1"/>
    </xf>
    <xf numFmtId="172" fontId="11" fillId="3" borderId="95" xfId="2" applyNumberFormat="1" applyFont="1" applyFill="1" applyBorder="1" applyAlignment="1">
      <alignment horizontal="center"/>
    </xf>
    <xf numFmtId="172" fontId="43" fillId="0" borderId="0" xfId="2" applyNumberFormat="1" applyFont="1"/>
    <xf numFmtId="0" fontId="91" fillId="0" borderId="1" xfId="0" applyFont="1" applyBorder="1" applyAlignment="1">
      <alignment horizontal="center" vertical="center" wrapText="1"/>
    </xf>
    <xf numFmtId="172" fontId="83" fillId="3" borderId="36" xfId="2" applyNumberFormat="1" applyFont="1" applyFill="1" applyBorder="1" applyAlignment="1">
      <alignment horizontal="center" vertical="center"/>
    </xf>
    <xf numFmtId="177" fontId="39" fillId="55" borderId="36" xfId="0" applyNumberFormat="1" applyFont="1" applyFill="1" applyBorder="1" applyAlignment="1">
      <alignment horizontal="center" vertical="center"/>
    </xf>
    <xf numFmtId="166" fontId="33" fillId="37" borderId="17" xfId="0" applyNumberFormat="1" applyFont="1" applyFill="1" applyBorder="1" applyAlignment="1">
      <alignment horizontal="center" vertical="center" wrapText="1"/>
    </xf>
    <xf numFmtId="0" fontId="11" fillId="0" borderId="98" xfId="0" applyFont="1" applyBorder="1" applyAlignment="1">
      <alignment horizontal="center"/>
    </xf>
    <xf numFmtId="169" fontId="11" fillId="0" borderId="98" xfId="0" applyNumberFormat="1" applyFont="1" applyBorder="1" applyAlignment="1">
      <alignment horizontal="center"/>
    </xf>
    <xf numFmtId="170" fontId="11" fillId="0" borderId="98" xfId="146" applyNumberFormat="1" applyFont="1" applyFill="1" applyBorder="1" applyAlignment="1">
      <alignment horizontal="center"/>
    </xf>
    <xf numFmtId="169" fontId="68" fillId="0" borderId="98" xfId="0" applyNumberFormat="1" applyFont="1" applyBorder="1" applyAlignment="1">
      <alignment horizontal="center"/>
    </xf>
    <xf numFmtId="169" fontId="85" fillId="0" borderId="98" xfId="0" applyNumberFormat="1" applyFont="1" applyBorder="1" applyAlignment="1">
      <alignment horizontal="center"/>
    </xf>
    <xf numFmtId="1" fontId="11" fillId="0" borderId="98" xfId="0" applyNumberFormat="1" applyFont="1" applyBorder="1" applyAlignment="1">
      <alignment horizontal="center"/>
    </xf>
    <xf numFmtId="0" fontId="11" fillId="0" borderId="98" xfId="0" applyFont="1" applyBorder="1" applyAlignment="1">
      <alignment horizontal="center" wrapText="1"/>
    </xf>
    <xf numFmtId="179" fontId="11" fillId="0" borderId="98" xfId="138" applyNumberFormat="1" applyFont="1" applyFill="1" applyBorder="1" applyAlignment="1">
      <alignment horizontal="center"/>
    </xf>
    <xf numFmtId="171" fontId="11" fillId="0" borderId="98" xfId="138" applyNumberFormat="1" applyFont="1" applyFill="1" applyBorder="1" applyAlignment="1">
      <alignment horizontal="center"/>
    </xf>
    <xf numFmtId="170" fontId="68" fillId="0" borderId="98" xfId="0" applyNumberFormat="1" applyFont="1" applyBorder="1" applyAlignment="1">
      <alignment horizontal="center"/>
    </xf>
    <xf numFmtId="170" fontId="85" fillId="0" borderId="98" xfId="0" applyNumberFormat="1" applyFont="1" applyBorder="1" applyAlignment="1">
      <alignment horizontal="center"/>
    </xf>
    <xf numFmtId="178" fontId="11" fillId="0" borderId="98" xfId="0" applyNumberFormat="1" applyFont="1" applyBorder="1" applyAlignment="1">
      <alignment horizontal="center"/>
    </xf>
    <xf numFmtId="172" fontId="11" fillId="3" borderId="98" xfId="2" applyNumberFormat="1" applyFont="1" applyFill="1" applyBorder="1" applyAlignment="1">
      <alignment horizontal="center"/>
    </xf>
    <xf numFmtId="180" fontId="87" fillId="55" borderId="98" xfId="146" applyNumberFormat="1" applyFont="1" applyFill="1" applyBorder="1" applyAlignment="1">
      <alignment horizontal="center" vertical="center"/>
    </xf>
    <xf numFmtId="180" fontId="87" fillId="55" borderId="99" xfId="146" applyNumberFormat="1" applyFont="1" applyFill="1" applyBorder="1" applyAlignment="1">
      <alignment horizontal="center" vertical="center"/>
    </xf>
    <xf numFmtId="0" fontId="44" fillId="0" borderId="5" xfId="1" applyNumberFormat="1" applyFont="1" applyFill="1" applyBorder="1" applyAlignment="1" applyProtection="1">
      <alignment horizontal="center" vertical="center" wrapText="1"/>
      <protection locked="0"/>
    </xf>
    <xf numFmtId="0" fontId="7" fillId="0" borderId="5" xfId="0" applyFont="1" applyBorder="1" applyAlignment="1">
      <alignment horizontal="center" vertical="center" wrapText="1"/>
    </xf>
    <xf numFmtId="171" fontId="44" fillId="0" borderId="5" xfId="0" applyNumberFormat="1" applyFont="1" applyBorder="1" applyAlignment="1">
      <alignment horizontal="center" vertical="center" wrapText="1"/>
    </xf>
    <xf numFmtId="166" fontId="44" fillId="0" borderId="5" xfId="0" applyNumberFormat="1" applyFont="1" applyBorder="1" applyAlignment="1">
      <alignment horizontal="center" vertical="center" wrapText="1"/>
    </xf>
    <xf numFmtId="10" fontId="44" fillId="0" borderId="5" xfId="138" applyNumberFormat="1" applyFont="1" applyFill="1" applyBorder="1" applyAlignment="1">
      <alignment horizontal="center" vertical="center" wrapText="1"/>
    </xf>
    <xf numFmtId="9" fontId="44" fillId="0" borderId="5" xfId="0" applyNumberFormat="1" applyFont="1" applyBorder="1" applyAlignment="1">
      <alignment horizontal="center" vertical="center"/>
    </xf>
    <xf numFmtId="9" fontId="44" fillId="0" borderId="64" xfId="0" applyNumberFormat="1" applyFont="1" applyBorder="1" applyAlignment="1">
      <alignment horizontal="center" vertical="center"/>
    </xf>
    <xf numFmtId="14" fontId="44" fillId="0" borderId="64" xfId="0" applyNumberFormat="1" applyFont="1" applyBorder="1" applyAlignment="1">
      <alignment horizontal="center" vertical="center" wrapText="1"/>
    </xf>
    <xf numFmtId="3" fontId="7" fillId="39" borderId="42" xfId="0" applyNumberFormat="1" applyFont="1" applyFill="1" applyBorder="1" applyAlignment="1">
      <alignment horizontal="center" vertical="center"/>
    </xf>
    <xf numFmtId="3" fontId="7" fillId="39" borderId="43" xfId="0" applyNumberFormat="1" applyFont="1" applyFill="1" applyBorder="1" applyAlignment="1">
      <alignment horizontal="center" vertical="center" wrapText="1"/>
    </xf>
    <xf numFmtId="3" fontId="7" fillId="39" borderId="44" xfId="0" applyNumberFormat="1" applyFont="1" applyFill="1" applyBorder="1" applyAlignment="1">
      <alignment horizontal="center" vertical="center" wrapText="1"/>
    </xf>
    <xf numFmtId="3" fontId="7" fillId="39" borderId="42" xfId="0" applyNumberFormat="1" applyFont="1" applyFill="1" applyBorder="1" applyAlignment="1">
      <alignment horizontal="center" vertical="center" wrapText="1"/>
    </xf>
    <xf numFmtId="3" fontId="7" fillId="32" borderId="43" xfId="0" applyNumberFormat="1" applyFont="1" applyFill="1" applyBorder="1" applyAlignment="1">
      <alignment horizontal="center" vertical="center" wrapText="1"/>
    </xf>
    <xf numFmtId="3" fontId="7" fillId="32" borderId="44" xfId="0" applyNumberFormat="1" applyFont="1" applyFill="1" applyBorder="1" applyAlignment="1">
      <alignment horizontal="center" vertical="center" wrapText="1"/>
    </xf>
    <xf numFmtId="3" fontId="38" fillId="28" borderId="42" xfId="0" applyNumberFormat="1" applyFont="1" applyFill="1" applyBorder="1" applyAlignment="1">
      <alignment horizontal="center" vertical="center"/>
    </xf>
    <xf numFmtId="9" fontId="41" fillId="33" borderId="43" xfId="0" applyNumberFormat="1" applyFont="1" applyFill="1" applyBorder="1" applyAlignment="1">
      <alignment horizontal="center" vertical="center"/>
    </xf>
    <xf numFmtId="9" fontId="41" fillId="30" borderId="67" xfId="0" applyNumberFormat="1" applyFont="1" applyFill="1" applyBorder="1" applyAlignment="1">
      <alignment horizontal="center" vertical="center"/>
    </xf>
    <xf numFmtId="0" fontId="41" fillId="34" borderId="67" xfId="0" applyFont="1" applyFill="1" applyBorder="1" applyAlignment="1">
      <alignment horizontal="center" vertical="center" wrapText="1"/>
    </xf>
    <xf numFmtId="174" fontId="41" fillId="29" borderId="31" xfId="2" applyNumberFormat="1" applyFont="1" applyFill="1" applyBorder="1" applyAlignment="1">
      <alignment horizontal="center" vertical="center" wrapText="1"/>
    </xf>
    <xf numFmtId="0" fontId="47" fillId="0" borderId="28" xfId="0" applyFont="1" applyBorder="1" applyAlignment="1">
      <alignment horizontal="center" vertical="center"/>
    </xf>
    <xf numFmtId="172" fontId="43" fillId="0" borderId="0" xfId="2" applyNumberFormat="1" applyFont="1" applyAlignment="1">
      <alignment horizontal="center" vertical="center"/>
    </xf>
    <xf numFmtId="172" fontId="41" fillId="0" borderId="67" xfId="2" applyNumberFormat="1" applyFont="1" applyFill="1" applyBorder="1" applyAlignment="1">
      <alignment horizontal="center" vertical="center"/>
    </xf>
    <xf numFmtId="172" fontId="44" fillId="0" borderId="64" xfId="2" applyNumberFormat="1" applyFont="1" applyBorder="1" applyAlignment="1">
      <alignment horizontal="center" vertical="center"/>
    </xf>
    <xf numFmtId="172" fontId="44" fillId="0" borderId="45" xfId="2" applyNumberFormat="1" applyFont="1" applyBorder="1" applyAlignment="1">
      <alignment horizontal="center" vertical="center"/>
    </xf>
    <xf numFmtId="172" fontId="0" fillId="0" borderId="0" xfId="2" applyNumberFormat="1" applyFont="1" applyAlignment="1">
      <alignment horizontal="center" vertical="center"/>
    </xf>
    <xf numFmtId="167" fontId="48" fillId="0" borderId="42" xfId="0" applyNumberFormat="1" applyFont="1" applyBorder="1" applyAlignment="1">
      <alignment horizontal="center" vertical="center" wrapText="1"/>
    </xf>
    <xf numFmtId="167" fontId="48" fillId="0" borderId="43" xfId="0" applyNumberFormat="1" applyFont="1" applyBorder="1" applyAlignment="1">
      <alignment horizontal="center" vertical="center" wrapText="1"/>
    </xf>
    <xf numFmtId="0" fontId="45" fillId="0" borderId="3" xfId="0" applyFont="1" applyBorder="1" applyAlignment="1">
      <alignment horizontal="center" vertical="center"/>
    </xf>
    <xf numFmtId="0" fontId="63" fillId="0" borderId="3" xfId="0" applyFont="1" applyBorder="1" applyAlignment="1">
      <alignment horizontal="center" vertical="center"/>
    </xf>
    <xf numFmtId="164" fontId="92" fillId="0" borderId="3" xfId="2" applyFont="1" applyBorder="1"/>
    <xf numFmtId="0" fontId="45" fillId="0" borderId="42" xfId="0" applyFont="1" applyBorder="1" applyAlignment="1">
      <alignment horizontal="center" vertical="center"/>
    </xf>
    <xf numFmtId="0" fontId="92" fillId="0" borderId="43" xfId="0" applyFont="1" applyBorder="1"/>
    <xf numFmtId="164" fontId="92" fillId="0" borderId="44" xfId="0" applyNumberFormat="1" applyFont="1" applyBorder="1"/>
    <xf numFmtId="0" fontId="0" fillId="0" borderId="29" xfId="0" applyBorder="1" applyAlignment="1">
      <alignment horizontal="center" vertical="center" wrapText="1"/>
    </xf>
    <xf numFmtId="0" fontId="63" fillId="56" borderId="5" xfId="0" applyFont="1" applyFill="1" applyBorder="1" applyAlignment="1">
      <alignment horizontal="center" vertical="center"/>
    </xf>
    <xf numFmtId="164" fontId="92" fillId="56" borderId="5" xfId="2" applyFont="1" applyFill="1" applyBorder="1"/>
    <xf numFmtId="0" fontId="63" fillId="56" borderId="1" xfId="0" applyFont="1" applyFill="1" applyBorder="1" applyAlignment="1">
      <alignment horizontal="center" vertical="center"/>
    </xf>
    <xf numFmtId="164" fontId="92" fillId="56" borderId="1" xfId="2" applyFont="1" applyFill="1" applyBorder="1"/>
    <xf numFmtId="0" fontId="63" fillId="37" borderId="1" xfId="0" applyFont="1" applyFill="1" applyBorder="1" applyAlignment="1">
      <alignment horizontal="center" vertical="center"/>
    </xf>
    <xf numFmtId="164" fontId="92" fillId="37" borderId="1" xfId="2" applyFont="1" applyFill="1" applyBorder="1"/>
    <xf numFmtId="0" fontId="45" fillId="56" borderId="5" xfId="0" applyFont="1" applyFill="1" applyBorder="1" applyAlignment="1">
      <alignment horizontal="center" vertical="center"/>
    </xf>
    <xf numFmtId="0" fontId="45" fillId="56" borderId="1" xfId="0" applyFont="1" applyFill="1" applyBorder="1" applyAlignment="1">
      <alignment horizontal="center" vertical="center"/>
    </xf>
    <xf numFmtId="0" fontId="45" fillId="37" borderId="1" xfId="0" applyFont="1" applyFill="1" applyBorder="1" applyAlignment="1">
      <alignment horizontal="center" vertical="center" wrapText="1"/>
    </xf>
    <xf numFmtId="164" fontId="0" fillId="0" borderId="5" xfId="2" applyFont="1" applyBorder="1"/>
    <xf numFmtId="0" fontId="0" fillId="0" borderId="42" xfId="0" applyBorder="1"/>
    <xf numFmtId="0" fontId="0" fillId="0" borderId="44" xfId="0" applyBorder="1"/>
    <xf numFmtId="0" fontId="54" fillId="56" borderId="25" xfId="0" applyFont="1" applyFill="1" applyBorder="1" applyAlignment="1">
      <alignment horizontal="center" vertical="center"/>
    </xf>
    <xf numFmtId="0" fontId="55" fillId="56" borderId="64" xfId="0" applyFont="1" applyFill="1" applyBorder="1" applyAlignment="1">
      <alignment horizontal="center" vertical="center"/>
    </xf>
    <xf numFmtId="0" fontId="54" fillId="56" borderId="20" xfId="0" applyFont="1" applyFill="1" applyBorder="1" applyAlignment="1">
      <alignment horizontal="center" vertical="center"/>
    </xf>
    <xf numFmtId="0" fontId="54" fillId="58" borderId="24" xfId="0" applyFont="1" applyFill="1" applyBorder="1" applyAlignment="1">
      <alignment horizontal="center" vertical="center" wrapText="1"/>
    </xf>
    <xf numFmtId="0" fontId="55" fillId="58" borderId="64" xfId="0" applyFont="1" applyFill="1" applyBorder="1" applyAlignment="1">
      <alignment horizontal="center" vertical="center"/>
    </xf>
    <xf numFmtId="164" fontId="90" fillId="59" borderId="27" xfId="2" applyFont="1" applyFill="1" applyBorder="1" applyAlignment="1">
      <alignment horizontal="center"/>
    </xf>
    <xf numFmtId="164" fontId="90" fillId="59" borderId="29" xfId="2" applyFont="1" applyFill="1" applyBorder="1" applyAlignment="1">
      <alignment horizontal="center"/>
    </xf>
    <xf numFmtId="0" fontId="0" fillId="0" borderId="3" xfId="0" applyBorder="1"/>
    <xf numFmtId="164" fontId="0" fillId="0" borderId="3" xfId="2" applyFont="1" applyBorder="1"/>
    <xf numFmtId="164" fontId="0" fillId="0" borderId="44" xfId="0" applyNumberFormat="1" applyBorder="1"/>
    <xf numFmtId="44" fontId="54" fillId="29" borderId="31" xfId="0" applyNumberFormat="1" applyFont="1" applyFill="1" applyBorder="1"/>
    <xf numFmtId="164" fontId="44" fillId="0" borderId="1" xfId="2" applyFont="1" applyFill="1" applyBorder="1" applyAlignment="1">
      <alignment vertical="center" wrapText="1"/>
    </xf>
    <xf numFmtId="164" fontId="44" fillId="0" borderId="1" xfId="2" applyFont="1" applyFill="1" applyBorder="1" applyAlignment="1">
      <alignment vertical="center"/>
    </xf>
    <xf numFmtId="164" fontId="45" fillId="0" borderId="1" xfId="2" applyFont="1" applyFill="1" applyBorder="1" applyAlignment="1">
      <alignment horizontal="left" vertical="center"/>
    </xf>
    <xf numFmtId="164" fontId="45" fillId="0" borderId="1" xfId="2" applyFont="1" applyFill="1" applyBorder="1" applyAlignment="1">
      <alignment vertical="center" wrapText="1"/>
    </xf>
    <xf numFmtId="164" fontId="44" fillId="0" borderId="1" xfId="2" applyFont="1" applyFill="1" applyBorder="1"/>
    <xf numFmtId="0" fontId="49" fillId="60" borderId="42" xfId="0" applyFont="1" applyFill="1" applyBorder="1" applyAlignment="1">
      <alignment horizontal="center" vertical="center" wrapText="1"/>
    </xf>
    <xf numFmtId="0" fontId="49" fillId="60" borderId="67" xfId="0" applyFont="1" applyFill="1" applyBorder="1" applyAlignment="1">
      <alignment horizontal="center" vertical="center" wrapText="1"/>
    </xf>
    <xf numFmtId="0" fontId="49" fillId="44" borderId="42" xfId="0" applyFont="1" applyFill="1" applyBorder="1" applyAlignment="1">
      <alignment horizontal="center" vertical="center" wrapText="1"/>
    </xf>
    <xf numFmtId="164" fontId="45" fillId="0" borderId="1" xfId="2" applyFont="1" applyFill="1" applyBorder="1"/>
    <xf numFmtId="166" fontId="0" fillId="0" borderId="0" xfId="0" applyNumberFormat="1"/>
    <xf numFmtId="0" fontId="49" fillId="44" borderId="67" xfId="0" applyFont="1" applyFill="1" applyBorder="1" applyAlignment="1">
      <alignment horizontal="center" vertical="center" wrapText="1"/>
    </xf>
    <xf numFmtId="0" fontId="49" fillId="33" borderId="1" xfId="0" applyFont="1" applyFill="1" applyBorder="1" applyAlignment="1">
      <alignment horizontal="center" vertical="center"/>
    </xf>
    <xf numFmtId="9" fontId="44" fillId="40" borderId="45" xfId="0" applyNumberFormat="1" applyFont="1" applyFill="1" applyBorder="1" applyAlignment="1">
      <alignment horizontal="center" vertical="center"/>
    </xf>
    <xf numFmtId="172" fontId="44" fillId="40" borderId="45" xfId="2" applyNumberFormat="1" applyFont="1" applyFill="1" applyBorder="1" applyAlignment="1">
      <alignment horizontal="center" vertical="center"/>
    </xf>
    <xf numFmtId="166" fontId="8" fillId="0" borderId="100" xfId="0" applyNumberFormat="1" applyFont="1" applyBorder="1" applyAlignment="1">
      <alignment horizontal="center" vertical="center" wrapText="1"/>
    </xf>
    <xf numFmtId="174" fontId="44" fillId="0" borderId="64" xfId="2" applyNumberFormat="1" applyFont="1" applyFill="1" applyBorder="1" applyAlignment="1">
      <alignment horizontal="center" vertical="center"/>
    </xf>
    <xf numFmtId="174" fontId="53" fillId="0" borderId="58" xfId="2" applyNumberFormat="1" applyFont="1" applyFill="1" applyBorder="1" applyAlignment="1">
      <alignment horizontal="center" vertical="center" wrapText="1"/>
    </xf>
    <xf numFmtId="166" fontId="8" fillId="0" borderId="67" xfId="0" applyNumberFormat="1" applyFont="1" applyBorder="1" applyAlignment="1">
      <alignment horizontal="center" vertical="center" wrapText="1"/>
    </xf>
    <xf numFmtId="166" fontId="8" fillId="0" borderId="80" xfId="0" applyNumberFormat="1" applyFont="1" applyBorder="1" applyAlignment="1">
      <alignment horizontal="center" vertical="center" wrapText="1"/>
    </xf>
    <xf numFmtId="164" fontId="44" fillId="0" borderId="50" xfId="2" applyFont="1" applyFill="1" applyBorder="1" applyAlignment="1">
      <alignment vertical="center" wrapText="1"/>
    </xf>
    <xf numFmtId="164" fontId="44" fillId="0" borderId="51" xfId="2" applyFont="1" applyFill="1" applyBorder="1" applyAlignment="1">
      <alignment vertical="center" wrapText="1"/>
    </xf>
    <xf numFmtId="164" fontId="44" fillId="0" borderId="52" xfId="2" applyFont="1" applyFill="1" applyBorder="1" applyAlignment="1">
      <alignment vertical="center" wrapText="1"/>
    </xf>
    <xf numFmtId="164" fontId="44" fillId="0" borderId="20" xfId="2" applyFont="1" applyFill="1" applyBorder="1" applyAlignment="1">
      <alignment vertical="center" wrapText="1"/>
    </xf>
    <xf numFmtId="164" fontId="44" fillId="0" borderId="21" xfId="2" applyFont="1" applyFill="1" applyBorder="1" applyAlignment="1">
      <alignment vertical="center" wrapText="1"/>
    </xf>
    <xf numFmtId="164" fontId="44" fillId="0" borderId="20" xfId="2" applyFont="1" applyFill="1" applyBorder="1" applyAlignment="1">
      <alignment vertical="center"/>
    </xf>
    <xf numFmtId="164" fontId="45" fillId="0" borderId="20" xfId="2" applyFont="1" applyFill="1" applyBorder="1" applyAlignment="1">
      <alignment horizontal="left" vertical="center"/>
    </xf>
    <xf numFmtId="164" fontId="45" fillId="0" borderId="20" xfId="2" applyFont="1" applyFill="1" applyBorder="1" applyAlignment="1">
      <alignment vertical="center" wrapText="1"/>
    </xf>
    <xf numFmtId="164" fontId="44" fillId="0" borderId="20" xfId="2" applyFont="1" applyFill="1" applyBorder="1"/>
    <xf numFmtId="164" fontId="45" fillId="0" borderId="20" xfId="2" applyFont="1" applyFill="1" applyBorder="1"/>
    <xf numFmtId="166" fontId="8" fillId="0" borderId="38" xfId="0" applyNumberFormat="1" applyFont="1" applyBorder="1" applyAlignment="1">
      <alignment horizontal="center" vertical="center" wrapText="1"/>
    </xf>
    <xf numFmtId="172" fontId="90" fillId="0" borderId="31" xfId="2" applyNumberFormat="1" applyFont="1" applyBorder="1" applyAlignment="1">
      <alignment horizontal="center"/>
    </xf>
    <xf numFmtId="165" fontId="90" fillId="0" borderId="0" xfId="2" applyNumberFormat="1" applyFont="1" applyAlignment="1">
      <alignment horizontal="center" vertical="center"/>
    </xf>
    <xf numFmtId="172" fontId="44" fillId="0" borderId="45" xfId="2" applyNumberFormat="1" applyFont="1" applyFill="1" applyBorder="1" applyAlignment="1">
      <alignment horizontal="center" vertical="center"/>
    </xf>
    <xf numFmtId="10" fontId="44" fillId="0" borderId="1" xfId="0" applyNumberFormat="1" applyFont="1" applyBorder="1" applyAlignment="1">
      <alignment horizontal="center" vertical="center" wrapText="1"/>
    </xf>
    <xf numFmtId="179" fontId="44" fillId="29" borderId="1" xfId="0" applyNumberFormat="1" applyFont="1" applyFill="1" applyBorder="1" applyAlignment="1">
      <alignment horizontal="center" vertical="center"/>
    </xf>
    <xf numFmtId="164" fontId="90" fillId="0" borderId="0" xfId="2" applyFont="1" applyAlignment="1">
      <alignment horizontal="center" vertical="center"/>
    </xf>
    <xf numFmtId="0" fontId="8" fillId="0" borderId="22" xfId="0" applyFont="1" applyBorder="1" applyAlignment="1">
      <alignment horizontal="center" vertical="center"/>
    </xf>
    <xf numFmtId="174" fontId="45" fillId="0" borderId="21" xfId="2" applyNumberFormat="1" applyFont="1" applyFill="1" applyBorder="1" applyAlignment="1">
      <alignment horizontal="center" vertical="center" wrapText="1"/>
    </xf>
    <xf numFmtId="3" fontId="44" fillId="0" borderId="5" xfId="0" applyNumberFormat="1" applyFont="1" applyBorder="1" applyAlignment="1">
      <alignment horizontal="center" vertical="center"/>
    </xf>
    <xf numFmtId="3" fontId="44" fillId="29" borderId="5" xfId="1" applyNumberFormat="1" applyFont="1" applyFill="1" applyBorder="1" applyAlignment="1" applyProtection="1">
      <alignment horizontal="center" vertical="center" wrapText="1"/>
      <protection locked="0"/>
    </xf>
    <xf numFmtId="0" fontId="44" fillId="29" borderId="0" xfId="0" applyFont="1" applyFill="1" applyAlignment="1">
      <alignment vertical="center" wrapText="1"/>
    </xf>
    <xf numFmtId="3" fontId="45" fillId="0" borderId="1" xfId="0" applyNumberFormat="1" applyFont="1" applyBorder="1" applyAlignment="1">
      <alignment horizontal="center" vertical="center"/>
    </xf>
    <xf numFmtId="3" fontId="61" fillId="0" borderId="5" xfId="0" applyNumberFormat="1" applyFont="1" applyBorder="1" applyAlignment="1">
      <alignment horizontal="center" vertical="center" wrapText="1"/>
    </xf>
    <xf numFmtId="3" fontId="45" fillId="0" borderId="1" xfId="0" applyNumberFormat="1" applyFont="1" applyBorder="1" applyAlignment="1">
      <alignment horizontal="center" vertical="center" wrapText="1"/>
    </xf>
    <xf numFmtId="3" fontId="45" fillId="0" borderId="5" xfId="0" applyNumberFormat="1" applyFont="1" applyBorder="1" applyAlignment="1">
      <alignment horizontal="center" vertical="center" wrapText="1"/>
    </xf>
    <xf numFmtId="0" fontId="11" fillId="0" borderId="95" xfId="0" applyFont="1" applyBorder="1" applyAlignment="1">
      <alignment horizontal="center" vertical="center"/>
    </xf>
    <xf numFmtId="170" fontId="80" fillId="45" borderId="44" xfId="146" applyNumberFormat="1" applyFont="1" applyFill="1" applyBorder="1" applyAlignment="1">
      <alignment vertical="center" wrapText="1"/>
    </xf>
    <xf numFmtId="170" fontId="80" fillId="39" borderId="54" xfId="146" applyNumberFormat="1" applyFont="1" applyFill="1" applyBorder="1" applyAlignment="1">
      <alignment vertical="center" wrapText="1"/>
    </xf>
    <xf numFmtId="0" fontId="11" fillId="0" borderId="98" xfId="0" applyFont="1" applyBorder="1" applyAlignment="1">
      <alignment horizontal="center" vertical="center"/>
    </xf>
    <xf numFmtId="0" fontId="43" fillId="0" borderId="0" xfId="0" applyFont="1" applyAlignment="1">
      <alignment vertical="center"/>
    </xf>
    <xf numFmtId="3" fontId="7" fillId="39" borderId="36" xfId="0" applyNumberFormat="1" applyFont="1" applyFill="1" applyBorder="1" applyAlignment="1">
      <alignment horizontal="center" vertical="center" wrapText="1"/>
    </xf>
    <xf numFmtId="0" fontId="44" fillId="0" borderId="47" xfId="0" applyFont="1" applyBorder="1" applyAlignment="1">
      <alignment horizontal="center" vertical="center" wrapText="1"/>
    </xf>
    <xf numFmtId="0" fontId="53" fillId="0" borderId="3" xfId="0" applyFont="1" applyBorder="1" applyAlignment="1">
      <alignment horizontal="center" vertical="center" wrapText="1"/>
    </xf>
    <xf numFmtId="10" fontId="44" fillId="0" borderId="1" xfId="0" applyNumberFormat="1" applyFont="1" applyBorder="1" applyAlignment="1">
      <alignment horizontal="center" vertical="center"/>
    </xf>
    <xf numFmtId="0" fontId="45" fillId="0" borderId="46" xfId="0" applyFont="1" applyBorder="1" applyAlignment="1">
      <alignment horizontal="center" vertical="center"/>
    </xf>
    <xf numFmtId="0" fontId="45" fillId="0" borderId="46" xfId="0" applyFont="1" applyBorder="1" applyAlignment="1">
      <alignment horizontal="center"/>
    </xf>
    <xf numFmtId="0" fontId="78" fillId="35" borderId="17" xfId="0" applyFont="1" applyFill="1" applyBorder="1" applyAlignment="1">
      <alignment horizontal="center" vertical="center"/>
    </xf>
    <xf numFmtId="0" fontId="91" fillId="0" borderId="5" xfId="0" applyFont="1" applyBorder="1" applyAlignment="1">
      <alignment horizontal="center" vertical="center" wrapText="1"/>
    </xf>
    <xf numFmtId="0" fontId="43" fillId="0" borderId="53" xfId="0" applyFont="1" applyBorder="1" applyAlignment="1">
      <alignment horizontal="center" vertical="center"/>
    </xf>
    <xf numFmtId="3" fontId="63" fillId="40" borderId="5" xfId="0" applyNumberFormat="1" applyFont="1" applyFill="1" applyBorder="1" applyAlignment="1">
      <alignment horizontal="center" vertical="center" wrapText="1"/>
    </xf>
    <xf numFmtId="0" fontId="94" fillId="0" borderId="79" xfId="0" applyFont="1" applyBorder="1" applyAlignment="1">
      <alignment wrapText="1"/>
    </xf>
    <xf numFmtId="0" fontId="54" fillId="0" borderId="0" xfId="0" applyFont="1" applyAlignment="1">
      <alignment horizontal="left" vertical="center" wrapText="1"/>
    </xf>
    <xf numFmtId="170" fontId="57" fillId="0" borderId="4" xfId="146" applyNumberFormat="1" applyFont="1" applyBorder="1" applyAlignment="1">
      <alignment horizontal="center" vertical="center" wrapText="1"/>
    </xf>
    <xf numFmtId="170" fontId="57" fillId="0" borderId="54" xfId="146" applyNumberFormat="1" applyFont="1" applyBorder="1" applyAlignment="1">
      <alignment horizontal="center" vertical="center" wrapText="1"/>
    </xf>
    <xf numFmtId="0" fontId="0" fillId="0" borderId="59" xfId="0" applyBorder="1" applyAlignment="1">
      <alignment horizontal="center" vertical="center" wrapText="1"/>
    </xf>
    <xf numFmtId="0" fontId="0" fillId="37" borderId="3" xfId="0" applyFill="1" applyBorder="1" applyAlignment="1">
      <alignment horizontal="center" vertical="center" wrapText="1"/>
    </xf>
    <xf numFmtId="0" fontId="0" fillId="0" borderId="61" xfId="0" applyBorder="1" applyAlignment="1">
      <alignment horizontal="center" vertical="center" wrapText="1"/>
    </xf>
    <xf numFmtId="49" fontId="0" fillId="0" borderId="3" xfId="0" applyNumberFormat="1"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7" fontId="0" fillId="0" borderId="3" xfId="146" applyNumberFormat="1" applyFont="1" applyFill="1" applyBorder="1" applyAlignment="1">
      <alignment horizontal="center" vertical="center" wrapText="1"/>
    </xf>
    <xf numFmtId="165" fontId="34" fillId="0" borderId="3" xfId="2" applyNumberFormat="1" applyFont="1" applyFill="1" applyBorder="1" applyAlignment="1">
      <alignment vertical="center" wrapText="1"/>
    </xf>
    <xf numFmtId="0" fontId="34" fillId="0" borderId="3" xfId="0" applyFont="1" applyBorder="1" applyAlignment="1">
      <alignment horizontal="center" vertical="center" wrapText="1"/>
    </xf>
    <xf numFmtId="168" fontId="0" fillId="0" borderId="3" xfId="0" applyNumberFormat="1" applyBorder="1" applyAlignment="1">
      <alignment horizontal="center" vertical="center" wrapText="1"/>
    </xf>
    <xf numFmtId="0" fontId="0" fillId="37" borderId="5" xfId="0" applyFill="1" applyBorder="1" applyAlignment="1">
      <alignment horizontal="center" vertical="center" wrapText="1"/>
    </xf>
    <xf numFmtId="0" fontId="0" fillId="0" borderId="5" xfId="0" applyBorder="1" applyAlignment="1">
      <alignment vertical="center" wrapText="1"/>
    </xf>
    <xf numFmtId="7" fontId="0" fillId="0" borderId="5" xfId="146" applyNumberFormat="1" applyFont="1" applyFill="1" applyBorder="1" applyAlignment="1">
      <alignment horizontal="center" vertical="center" wrapText="1"/>
    </xf>
    <xf numFmtId="0" fontId="0" fillId="38" borderId="27" xfId="0" applyFill="1" applyBorder="1" applyAlignment="1">
      <alignment horizontal="center" vertical="center" wrapText="1"/>
    </xf>
    <xf numFmtId="0" fontId="0" fillId="38" borderId="43" xfId="0" applyFill="1" applyBorder="1" applyAlignment="1">
      <alignment horizontal="center" vertical="center" wrapText="1"/>
    </xf>
    <xf numFmtId="0" fontId="0" fillId="38" borderId="66" xfId="0" applyFill="1" applyBorder="1" applyAlignment="1">
      <alignment horizontal="center" vertical="center" wrapText="1"/>
    </xf>
    <xf numFmtId="49" fontId="0" fillId="38" borderId="43" xfId="0" applyNumberFormat="1" applyFill="1" applyBorder="1" applyAlignment="1">
      <alignment horizontal="center" vertical="center" wrapText="1"/>
    </xf>
    <xf numFmtId="0" fontId="0" fillId="38" borderId="43" xfId="0" applyFill="1" applyBorder="1" applyAlignment="1">
      <alignment vertical="center" wrapText="1"/>
    </xf>
    <xf numFmtId="7" fontId="0" fillId="38" borderId="43" xfId="146" applyNumberFormat="1" applyFont="1" applyFill="1" applyBorder="1" applyAlignment="1">
      <alignment horizontal="center" vertical="center" wrapText="1"/>
    </xf>
    <xf numFmtId="165" fontId="34" fillId="38" borderId="43" xfId="2" applyNumberFormat="1" applyFont="1" applyFill="1" applyBorder="1" applyAlignment="1">
      <alignment vertical="center" wrapText="1"/>
    </xf>
    <xf numFmtId="0" fontId="34" fillId="38" borderId="43" xfId="0" applyFont="1" applyFill="1" applyBorder="1" applyAlignment="1">
      <alignment horizontal="center" vertical="center" wrapText="1"/>
    </xf>
    <xf numFmtId="168" fontId="0" fillId="38" borderId="43" xfId="0" applyNumberFormat="1" applyFill="1" applyBorder="1" applyAlignment="1">
      <alignment horizontal="center" vertical="center" wrapText="1"/>
    </xf>
    <xf numFmtId="0" fontId="0" fillId="38" borderId="28" xfId="0" applyFill="1" applyBorder="1" applyAlignment="1">
      <alignment vertical="center"/>
    </xf>
    <xf numFmtId="165" fontId="54" fillId="0" borderId="47" xfId="2" applyNumberFormat="1" applyFont="1" applyBorder="1" applyAlignment="1">
      <alignment horizontal="right" vertical="center"/>
    </xf>
    <xf numFmtId="165" fontId="54" fillId="0" borderId="32" xfId="2" applyNumberFormat="1" applyFont="1" applyBorder="1" applyAlignment="1">
      <alignment horizontal="right" vertical="center"/>
    </xf>
    <xf numFmtId="165" fontId="54" fillId="0" borderId="33" xfId="2" applyNumberFormat="1" applyFont="1" applyBorder="1" applyAlignment="1">
      <alignment horizontal="right" vertical="center"/>
    </xf>
    <xf numFmtId="0" fontId="55" fillId="38" borderId="31" xfId="0" applyFont="1" applyFill="1" applyBorder="1" applyAlignment="1">
      <alignment horizontal="left" vertical="center" wrapText="1"/>
    </xf>
    <xf numFmtId="182" fontId="44" fillId="0" borderId="1" xfId="0" applyNumberFormat="1" applyFont="1" applyBorder="1" applyAlignment="1">
      <alignment horizontal="center" vertical="center" wrapText="1"/>
    </xf>
    <xf numFmtId="182" fontId="44" fillId="29" borderId="1" xfId="0" applyNumberFormat="1" applyFont="1" applyFill="1" applyBorder="1" applyAlignment="1">
      <alignment horizontal="center" vertical="center" wrapText="1"/>
    </xf>
    <xf numFmtId="0" fontId="54" fillId="0" borderId="64" xfId="0" applyFont="1" applyBorder="1" applyAlignment="1">
      <alignment horizontal="left" vertical="center" wrapText="1"/>
    </xf>
    <xf numFmtId="0" fontId="54" fillId="0" borderId="59" xfId="0" applyFont="1" applyBorder="1" applyAlignment="1">
      <alignment horizontal="left" vertical="center" wrapText="1"/>
    </xf>
    <xf numFmtId="0" fontId="54" fillId="0" borderId="103" xfId="0" applyFont="1" applyBorder="1" applyAlignment="1">
      <alignment horizontal="left" vertical="center" wrapText="1"/>
    </xf>
    <xf numFmtId="0" fontId="54" fillId="0" borderId="69" xfId="0" applyFont="1" applyBorder="1" applyAlignment="1">
      <alignment horizontal="left" vertical="center" wrapText="1"/>
    </xf>
    <xf numFmtId="0" fontId="54" fillId="0" borderId="45" xfId="0" applyFont="1" applyBorder="1" applyAlignment="1">
      <alignment horizontal="left" vertical="center" wrapText="1"/>
    </xf>
    <xf numFmtId="170" fontId="57" fillId="0" borderId="61" xfId="146" applyNumberFormat="1" applyFont="1" applyBorder="1" applyAlignment="1">
      <alignment horizontal="center" vertical="center" wrapText="1"/>
    </xf>
    <xf numFmtId="167" fontId="57" fillId="0" borderId="74" xfId="0" applyNumberFormat="1" applyFont="1" applyBorder="1" applyAlignment="1">
      <alignment horizontal="center" vertical="center" wrapText="1"/>
    </xf>
    <xf numFmtId="167" fontId="57" fillId="0" borderId="41" xfId="0" applyNumberFormat="1" applyFont="1" applyBorder="1" applyAlignment="1">
      <alignment horizontal="center" vertical="center" wrapText="1"/>
    </xf>
    <xf numFmtId="170" fontId="57" fillId="0" borderId="65" xfId="146" applyNumberFormat="1" applyFont="1" applyBorder="1" applyAlignment="1">
      <alignment horizontal="center" vertical="center" wrapText="1"/>
    </xf>
    <xf numFmtId="170" fontId="57" fillId="0" borderId="41" xfId="146" applyNumberFormat="1" applyFont="1" applyBorder="1" applyAlignment="1">
      <alignment horizontal="center" vertical="center" wrapText="1"/>
    </xf>
    <xf numFmtId="169" fontId="57" fillId="31" borderId="47" xfId="0" applyNumberFormat="1" applyFont="1" applyFill="1" applyBorder="1" applyAlignment="1">
      <alignment horizontal="center" vertical="center" wrapText="1"/>
    </xf>
    <xf numFmtId="169" fontId="57" fillId="31" borderId="60" xfId="0" applyNumberFormat="1" applyFont="1" applyFill="1" applyBorder="1" applyAlignment="1">
      <alignment horizontal="center" vertical="center" wrapText="1"/>
    </xf>
    <xf numFmtId="169" fontId="57" fillId="31" borderId="33" xfId="0" applyNumberFormat="1" applyFont="1" applyFill="1" applyBorder="1" applyAlignment="1">
      <alignment horizontal="center" vertical="center" wrapText="1"/>
    </xf>
    <xf numFmtId="169" fontId="57" fillId="31" borderId="104" xfId="0" applyNumberFormat="1" applyFont="1" applyFill="1" applyBorder="1" applyAlignment="1">
      <alignment horizontal="center" vertical="center" wrapText="1"/>
    </xf>
    <xf numFmtId="169" fontId="57" fillId="31" borderId="32" xfId="0" applyNumberFormat="1" applyFont="1" applyFill="1" applyBorder="1" applyAlignment="1">
      <alignment horizontal="center" vertical="center" wrapText="1"/>
    </xf>
    <xf numFmtId="170" fontId="57" fillId="0" borderId="2" xfId="146" applyNumberFormat="1" applyFont="1" applyBorder="1" applyAlignment="1">
      <alignment horizontal="center" vertical="center" wrapText="1"/>
    </xf>
    <xf numFmtId="169" fontId="57" fillId="31" borderId="38" xfId="0" applyNumberFormat="1" applyFont="1" applyFill="1" applyBorder="1" applyAlignment="1">
      <alignment horizontal="center" vertical="center" wrapText="1"/>
    </xf>
    <xf numFmtId="9" fontId="44" fillId="46" borderId="45" xfId="0" applyNumberFormat="1" applyFont="1" applyFill="1" applyBorder="1" applyAlignment="1">
      <alignment horizontal="center" vertical="center"/>
    </xf>
    <xf numFmtId="0" fontId="36" fillId="0" borderId="62" xfId="0" applyFont="1" applyBorder="1" applyAlignment="1">
      <alignment horizontal="center" vertical="center"/>
    </xf>
    <xf numFmtId="0" fontId="36" fillId="0" borderId="70" xfId="0" applyFont="1" applyBorder="1" applyAlignment="1">
      <alignment horizontal="center"/>
    </xf>
    <xf numFmtId="0" fontId="36" fillId="0" borderId="68" xfId="0" applyFont="1" applyBorder="1"/>
    <xf numFmtId="0" fontId="36" fillId="0" borderId="70" xfId="0" applyFont="1" applyBorder="1" applyAlignment="1">
      <alignment horizontal="center" vertical="center"/>
    </xf>
    <xf numFmtId="3" fontId="36" fillId="0" borderId="73" xfId="1" applyNumberFormat="1" applyFont="1" applyFill="1" applyBorder="1" applyAlignment="1" applyProtection="1">
      <alignment horizontal="center" wrapText="1"/>
      <protection locked="0"/>
    </xf>
    <xf numFmtId="3" fontId="36" fillId="0" borderId="63" xfId="1" applyNumberFormat="1" applyFont="1" applyFill="1" applyBorder="1" applyAlignment="1" applyProtection="1">
      <alignment horizontal="center" wrapText="1"/>
      <protection locked="0"/>
    </xf>
    <xf numFmtId="3" fontId="36" fillId="0" borderId="68" xfId="1" applyNumberFormat="1" applyFont="1" applyFill="1" applyBorder="1" applyAlignment="1" applyProtection="1">
      <alignment wrapText="1"/>
      <protection locked="0"/>
    </xf>
    <xf numFmtId="3" fontId="36" fillId="0" borderId="71" xfId="1" applyNumberFormat="1" applyFont="1" applyFill="1" applyBorder="1" applyAlignment="1" applyProtection="1">
      <alignment horizontal="center" wrapText="1"/>
      <protection locked="0"/>
    </xf>
    <xf numFmtId="3" fontId="36" fillId="0" borderId="70" xfId="1" applyNumberFormat="1" applyFont="1" applyFill="1" applyBorder="1" applyAlignment="1" applyProtection="1">
      <alignment horizontal="center" wrapText="1"/>
      <protection locked="0"/>
    </xf>
    <xf numFmtId="0" fontId="8" fillId="0" borderId="63" xfId="0" applyFont="1" applyBorder="1" applyAlignment="1">
      <alignment horizontal="center"/>
    </xf>
    <xf numFmtId="0" fontId="36" fillId="0" borderId="63" xfId="0" applyFont="1" applyBorder="1" applyAlignment="1">
      <alignment horizontal="center"/>
    </xf>
    <xf numFmtId="0" fontId="36" fillId="0" borderId="63" xfId="0" applyFont="1" applyBorder="1" applyAlignment="1">
      <alignment horizontal="center" vertical="center" wrapText="1"/>
    </xf>
    <xf numFmtId="0" fontId="8" fillId="0" borderId="63" xfId="0" applyFont="1" applyBorder="1" applyAlignment="1">
      <alignment horizontal="center" vertical="center" wrapText="1"/>
    </xf>
    <xf numFmtId="166" fontId="8" fillId="0" borderId="81" xfId="0" applyNumberFormat="1" applyFont="1" applyBorder="1" applyAlignment="1">
      <alignment horizontal="center" vertical="center" wrapText="1"/>
    </xf>
    <xf numFmtId="2" fontId="36" fillId="0" borderId="63" xfId="138" applyNumberFormat="1" applyFont="1" applyFill="1" applyBorder="1" applyAlignment="1">
      <alignment horizontal="center" vertical="center" wrapText="1"/>
    </xf>
    <xf numFmtId="9" fontId="36" fillId="0" borderId="63" xfId="0" applyNumberFormat="1" applyFont="1" applyBorder="1" applyAlignment="1">
      <alignment horizontal="center" vertical="center" wrapText="1"/>
    </xf>
    <xf numFmtId="172" fontId="36" fillId="0" borderId="63" xfId="2" applyNumberFormat="1" applyFont="1" applyFill="1" applyBorder="1" applyAlignment="1">
      <alignment horizontal="center" vertical="center" wrapText="1"/>
    </xf>
    <xf numFmtId="10" fontId="36" fillId="0" borderId="63" xfId="0" applyNumberFormat="1" applyFont="1" applyBorder="1" applyAlignment="1">
      <alignment horizontal="center" wrapText="1"/>
    </xf>
    <xf numFmtId="174" fontId="36" fillId="0" borderId="0" xfId="2" applyNumberFormat="1" applyFont="1" applyFill="1" applyAlignment="1">
      <alignment horizontal="center" wrapText="1"/>
    </xf>
    <xf numFmtId="0" fontId="43" fillId="0" borderId="20" xfId="0" applyFont="1" applyBorder="1"/>
    <xf numFmtId="0" fontId="43" fillId="0" borderId="1" xfId="0" applyFont="1" applyBorder="1"/>
    <xf numFmtId="0" fontId="43" fillId="0" borderId="21" xfId="0" applyFont="1" applyBorder="1"/>
    <xf numFmtId="0" fontId="43" fillId="0" borderId="46" xfId="0" applyFont="1" applyBorder="1" applyAlignment="1">
      <alignment horizontal="center"/>
    </xf>
    <xf numFmtId="0" fontId="44" fillId="40" borderId="65" xfId="0" applyFont="1" applyFill="1" applyBorder="1" applyAlignment="1">
      <alignment horizontal="center" vertical="center" wrapText="1"/>
    </xf>
    <xf numFmtId="0" fontId="44" fillId="40" borderId="5" xfId="0" applyFont="1" applyFill="1" applyBorder="1" applyAlignment="1">
      <alignment horizontal="center" vertical="center" wrapText="1"/>
    </xf>
    <xf numFmtId="0" fontId="48" fillId="40" borderId="5" xfId="0" applyFont="1" applyFill="1" applyBorder="1" applyAlignment="1">
      <alignment horizontal="center" vertical="center" wrapText="1"/>
    </xf>
    <xf numFmtId="182" fontId="44" fillId="40" borderId="1" xfId="0" applyNumberFormat="1" applyFont="1" applyFill="1" applyBorder="1" applyAlignment="1">
      <alignment horizontal="center" vertical="center" wrapText="1"/>
    </xf>
    <xf numFmtId="0" fontId="44" fillId="46" borderId="45" xfId="0" applyFont="1" applyFill="1" applyBorder="1" applyAlignment="1">
      <alignment horizontal="center" vertical="center"/>
    </xf>
    <xf numFmtId="0" fontId="44" fillId="46" borderId="45" xfId="0" applyFont="1" applyFill="1" applyBorder="1" applyAlignment="1">
      <alignment vertical="center"/>
    </xf>
    <xf numFmtId="0" fontId="44" fillId="46" borderId="46" xfId="0" applyFont="1" applyFill="1" applyBorder="1" applyAlignment="1">
      <alignment horizontal="center" vertical="center"/>
    </xf>
    <xf numFmtId="3" fontId="63" fillId="46" borderId="1" xfId="0" applyNumberFormat="1" applyFont="1" applyFill="1" applyBorder="1" applyAlignment="1">
      <alignment horizontal="center" vertical="center"/>
    </xf>
    <xf numFmtId="0" fontId="44" fillId="46" borderId="1" xfId="0" applyFont="1" applyFill="1" applyBorder="1" applyAlignment="1">
      <alignment horizontal="center" vertical="center"/>
    </xf>
    <xf numFmtId="172" fontId="44" fillId="46" borderId="45" xfId="2" applyNumberFormat="1" applyFont="1" applyFill="1" applyBorder="1" applyAlignment="1">
      <alignment horizontal="center" vertical="center"/>
    </xf>
    <xf numFmtId="174" fontId="44" fillId="46" borderId="45" xfId="2" applyNumberFormat="1" applyFont="1" applyFill="1" applyBorder="1" applyAlignment="1">
      <alignment horizontal="center" vertical="center"/>
    </xf>
    <xf numFmtId="164" fontId="44" fillId="46" borderId="20" xfId="2" applyFont="1" applyFill="1" applyBorder="1" applyAlignment="1">
      <alignment vertical="center"/>
    </xf>
    <xf numFmtId="164" fontId="44" fillId="46" borderId="1" xfId="2" applyFont="1" applyFill="1" applyBorder="1" applyAlignment="1">
      <alignment vertical="center"/>
    </xf>
    <xf numFmtId="164" fontId="44" fillId="46" borderId="1" xfId="2" applyFont="1" applyFill="1" applyBorder="1" applyAlignment="1">
      <alignment vertical="center" wrapText="1"/>
    </xf>
    <xf numFmtId="164" fontId="44" fillId="46" borderId="21" xfId="2" applyFont="1" applyFill="1" applyBorder="1" applyAlignment="1">
      <alignment vertical="center" wrapText="1"/>
    </xf>
    <xf numFmtId="174" fontId="61" fillId="0" borderId="77" xfId="2" applyNumberFormat="1" applyFont="1" applyFill="1" applyBorder="1" applyAlignment="1">
      <alignment horizontal="center" vertical="center" wrapText="1"/>
    </xf>
    <xf numFmtId="174" fontId="44" fillId="0" borderId="77" xfId="2" applyNumberFormat="1" applyFont="1" applyFill="1" applyBorder="1" applyAlignment="1">
      <alignment horizontal="center" vertical="center"/>
    </xf>
    <xf numFmtId="174" fontId="53" fillId="0" borderId="77" xfId="2" applyNumberFormat="1" applyFont="1" applyFill="1" applyBorder="1" applyAlignment="1">
      <alignment horizontal="center" vertical="center" wrapText="1"/>
    </xf>
    <xf numFmtId="174" fontId="44" fillId="0" borderId="58" xfId="2" applyNumberFormat="1" applyFont="1" applyFill="1" applyBorder="1" applyAlignment="1">
      <alignment horizontal="right" vertical="center" wrapText="1"/>
    </xf>
    <xf numFmtId="174" fontId="63" fillId="0" borderId="58" xfId="2" applyNumberFormat="1" applyFont="1" applyFill="1" applyBorder="1" applyAlignment="1">
      <alignment horizontal="center" vertical="center" wrapText="1"/>
    </xf>
    <xf numFmtId="174" fontId="44" fillId="0" borderId="58" xfId="2" applyNumberFormat="1" applyFont="1" applyFill="1" applyBorder="1" applyAlignment="1">
      <alignment horizontal="center" vertical="center"/>
    </xf>
    <xf numFmtId="174" fontId="0" fillId="0" borderId="0" xfId="2" applyNumberFormat="1" applyFont="1" applyFill="1" applyAlignment="1">
      <alignment horizontal="center"/>
    </xf>
    <xf numFmtId="174" fontId="0" fillId="0" borderId="0" xfId="2" applyNumberFormat="1" applyFont="1" applyFill="1"/>
    <xf numFmtId="174" fontId="43" fillId="0" borderId="0" xfId="2" applyNumberFormat="1" applyFont="1" applyFill="1" applyAlignment="1">
      <alignment horizontal="center"/>
    </xf>
    <xf numFmtId="174" fontId="41" fillId="0" borderId="27" xfId="2" applyNumberFormat="1" applyFont="1" applyFill="1" applyBorder="1" applyAlignment="1">
      <alignment horizontal="center" vertical="center" wrapText="1"/>
    </xf>
    <xf numFmtId="174" fontId="44" fillId="0" borderId="58" xfId="2" applyNumberFormat="1" applyFont="1" applyFill="1" applyBorder="1" applyAlignment="1">
      <alignment horizontal="center"/>
    </xf>
    <xf numFmtId="174" fontId="44" fillId="0" borderId="105" xfId="2" applyNumberFormat="1" applyFont="1" applyFill="1" applyBorder="1" applyAlignment="1">
      <alignment horizontal="center"/>
    </xf>
    <xf numFmtId="166" fontId="8" fillId="0" borderId="76" xfId="0" applyNumberFormat="1" applyFont="1" applyBorder="1" applyAlignment="1">
      <alignment horizontal="center" vertical="center" wrapText="1"/>
    </xf>
    <xf numFmtId="172" fontId="0" fillId="0" borderId="0" xfId="2" applyNumberFormat="1" applyFont="1" applyAlignment="1">
      <alignment horizontal="center"/>
    </xf>
    <xf numFmtId="49" fontId="44" fillId="0" borderId="0" xfId="0" quotePrefix="1" applyNumberFormat="1" applyFont="1" applyAlignment="1">
      <alignment vertical="center" wrapText="1"/>
    </xf>
    <xf numFmtId="10" fontId="44" fillId="40" borderId="1" xfId="0" applyNumberFormat="1" applyFont="1" applyFill="1" applyBorder="1" applyAlignment="1">
      <alignment horizontal="center" vertical="center" wrapText="1"/>
    </xf>
    <xf numFmtId="1" fontId="0" fillId="0" borderId="1" xfId="0" applyNumberFormat="1" applyBorder="1" applyAlignment="1">
      <alignment horizontal="center" vertical="center" wrapText="1"/>
    </xf>
    <xf numFmtId="0" fontId="44" fillId="33" borderId="32" xfId="0" applyFont="1" applyFill="1" applyBorder="1" applyAlignment="1">
      <alignment horizontal="center"/>
    </xf>
    <xf numFmtId="3" fontId="44" fillId="33" borderId="1" xfId="1" applyNumberFormat="1" applyFont="1" applyFill="1" applyBorder="1" applyAlignment="1" applyProtection="1">
      <alignment horizontal="center" vertical="center" wrapText="1"/>
      <protection locked="0"/>
    </xf>
    <xf numFmtId="168" fontId="44" fillId="33" borderId="1" xfId="1" applyNumberFormat="1" applyFont="1" applyFill="1" applyBorder="1" applyAlignment="1" applyProtection="1">
      <alignment horizontal="left" vertical="center" wrapText="1"/>
      <protection locked="0"/>
    </xf>
    <xf numFmtId="0" fontId="44" fillId="33" borderId="1" xfId="1" applyNumberFormat="1" applyFont="1" applyFill="1" applyBorder="1" applyAlignment="1" applyProtection="1">
      <alignment horizontal="center" vertical="center" wrapText="1"/>
      <protection locked="0"/>
    </xf>
    <xf numFmtId="0" fontId="44" fillId="33" borderId="1" xfId="0" applyFont="1" applyFill="1" applyBorder="1" applyAlignment="1">
      <alignment horizontal="center" vertical="center" wrapText="1"/>
    </xf>
    <xf numFmtId="0" fontId="48" fillId="33" borderId="1" xfId="0" applyFont="1" applyFill="1" applyBorder="1" applyAlignment="1">
      <alignment horizontal="center" vertical="center" wrapText="1"/>
    </xf>
    <xf numFmtId="171" fontId="44" fillId="33" borderId="1" xfId="0" applyNumberFormat="1" applyFont="1" applyFill="1" applyBorder="1" applyAlignment="1">
      <alignment horizontal="center" vertical="center" wrapText="1"/>
    </xf>
    <xf numFmtId="166" fontId="44" fillId="33" borderId="1" xfId="0" applyNumberFormat="1" applyFont="1" applyFill="1" applyBorder="1" applyAlignment="1">
      <alignment horizontal="center" vertical="center" wrapText="1"/>
    </xf>
    <xf numFmtId="10" fontId="44" fillId="33" borderId="1" xfId="138" applyNumberFormat="1" applyFont="1" applyFill="1" applyBorder="1" applyAlignment="1">
      <alignment horizontal="center" vertical="center" wrapText="1"/>
    </xf>
    <xf numFmtId="9" fontId="44" fillId="33" borderId="1" xfId="0" applyNumberFormat="1" applyFont="1" applyFill="1" applyBorder="1" applyAlignment="1">
      <alignment horizontal="center" vertical="center"/>
    </xf>
    <xf numFmtId="9" fontId="44" fillId="33" borderId="45" xfId="0" applyNumberFormat="1" applyFont="1" applyFill="1" applyBorder="1" applyAlignment="1">
      <alignment horizontal="center" vertical="center"/>
    </xf>
    <xf numFmtId="0" fontId="44" fillId="33" borderId="46" xfId="0" applyFont="1" applyFill="1" applyBorder="1" applyAlignment="1">
      <alignment horizontal="center" vertical="center" wrapText="1"/>
    </xf>
    <xf numFmtId="3" fontId="44" fillId="33" borderId="1" xfId="0" applyNumberFormat="1" applyFont="1" applyFill="1" applyBorder="1" applyAlignment="1">
      <alignment horizontal="left" vertical="center" wrapText="1"/>
    </xf>
    <xf numFmtId="0" fontId="12" fillId="33" borderId="0" xfId="148" applyFill="1" applyAlignment="1">
      <alignment vertical="top"/>
    </xf>
    <xf numFmtId="14" fontId="12" fillId="33" borderId="0" xfId="148" applyNumberFormat="1" applyFill="1" applyAlignment="1">
      <alignment vertical="top"/>
    </xf>
    <xf numFmtId="1" fontId="12" fillId="33" borderId="0" xfId="148" applyNumberFormat="1" applyFill="1" applyAlignment="1">
      <alignment vertical="top"/>
    </xf>
    <xf numFmtId="174" fontId="61" fillId="0" borderId="45" xfId="2" applyNumberFormat="1" applyFont="1" applyFill="1" applyBorder="1" applyAlignment="1">
      <alignment horizontal="center" vertical="center" wrapText="1"/>
    </xf>
    <xf numFmtId="181" fontId="87" fillId="29" borderId="95" xfId="146" applyNumberFormat="1" applyFont="1" applyFill="1" applyBorder="1" applyAlignment="1">
      <alignment horizontal="center" vertical="center"/>
    </xf>
    <xf numFmtId="0" fontId="0" fillId="0" borderId="0" xfId="0" applyAlignment="1">
      <alignment horizontal="center" wrapText="1"/>
    </xf>
    <xf numFmtId="49" fontId="34" fillId="0" borderId="0" xfId="0" applyNumberFormat="1" applyFont="1" applyAlignment="1">
      <alignment horizontal="center" vertical="center" wrapText="1"/>
    </xf>
    <xf numFmtId="164" fontId="90" fillId="0" borderId="0" xfId="2" applyFont="1" applyAlignment="1">
      <alignment horizontal="center" wrapText="1"/>
    </xf>
    <xf numFmtId="3" fontId="44" fillId="46" borderId="1" xfId="0" applyNumberFormat="1" applyFont="1" applyFill="1" applyBorder="1" applyAlignment="1">
      <alignment horizontal="left" vertical="center" wrapText="1"/>
    </xf>
    <xf numFmtId="3" fontId="44" fillId="0" borderId="1" xfId="0" applyNumberFormat="1" applyFont="1" applyBorder="1" applyAlignment="1">
      <alignment horizontal="left" wrapText="1"/>
    </xf>
    <xf numFmtId="3" fontId="44" fillId="0" borderId="3" xfId="0" applyNumberFormat="1" applyFont="1" applyBorder="1" applyAlignment="1">
      <alignment horizontal="left" wrapText="1"/>
    </xf>
    <xf numFmtId="0" fontId="0" fillId="0" borderId="0" xfId="0" applyAlignment="1">
      <alignment wrapText="1"/>
    </xf>
    <xf numFmtId="10" fontId="34" fillId="0" borderId="0" xfId="138" applyNumberFormat="1" applyFont="1" applyAlignment="1">
      <alignment horizontal="center" vertical="center"/>
    </xf>
    <xf numFmtId="10" fontId="90" fillId="0" borderId="0" xfId="138" applyNumberFormat="1" applyFont="1" applyAlignment="1">
      <alignment horizontal="center"/>
    </xf>
    <xf numFmtId="10" fontId="7" fillId="32" borderId="43" xfId="138" applyNumberFormat="1" applyFont="1" applyFill="1" applyBorder="1" applyAlignment="1">
      <alignment horizontal="center" vertical="center" wrapText="1"/>
    </xf>
    <xf numFmtId="10" fontId="44" fillId="0" borderId="1" xfId="138" applyNumberFormat="1" applyFont="1" applyBorder="1" applyAlignment="1">
      <alignment horizontal="center" vertical="center" wrapText="1"/>
    </xf>
    <xf numFmtId="10" fontId="8" fillId="0" borderId="63" xfId="138" applyNumberFormat="1" applyFont="1" applyBorder="1" applyAlignment="1">
      <alignment horizontal="center" vertical="center" wrapText="1"/>
    </xf>
    <xf numFmtId="10" fontId="8" fillId="0" borderId="69" xfId="138" applyNumberFormat="1" applyFont="1" applyBorder="1" applyAlignment="1">
      <alignment horizontal="center" vertical="center" wrapText="1"/>
    </xf>
    <xf numFmtId="10" fontId="0" fillId="0" borderId="0" xfId="138" applyNumberFormat="1" applyFont="1" applyAlignment="1">
      <alignment horizontal="center"/>
    </xf>
    <xf numFmtId="174" fontId="44" fillId="29" borderId="58" xfId="2" applyNumberFormat="1" applyFont="1" applyFill="1" applyBorder="1" applyAlignment="1">
      <alignment horizontal="center" vertical="center" wrapText="1"/>
    </xf>
    <xf numFmtId="174" fontId="61" fillId="0" borderId="58" xfId="2" applyNumberFormat="1" applyFont="1" applyFill="1" applyBorder="1" applyAlignment="1">
      <alignment horizontal="center" vertical="center" wrapText="1"/>
    </xf>
    <xf numFmtId="172" fontId="44" fillId="33" borderId="45" xfId="2" applyNumberFormat="1" applyFont="1" applyFill="1" applyBorder="1" applyAlignment="1">
      <alignment horizontal="center" vertical="center"/>
    </xf>
    <xf numFmtId="174" fontId="44" fillId="33" borderId="45" xfId="2" applyNumberFormat="1" applyFont="1" applyFill="1" applyBorder="1" applyAlignment="1">
      <alignment horizontal="center" vertical="center" wrapText="1"/>
    </xf>
    <xf numFmtId="174" fontId="44" fillId="33" borderId="58" xfId="2" applyNumberFormat="1" applyFont="1" applyFill="1" applyBorder="1" applyAlignment="1">
      <alignment horizontal="center" vertical="center" wrapText="1"/>
    </xf>
    <xf numFmtId="164" fontId="44" fillId="33" borderId="20" xfId="2" applyFont="1" applyFill="1" applyBorder="1" applyAlignment="1">
      <alignment vertical="center" wrapText="1"/>
    </xf>
    <xf numFmtId="164" fontId="44" fillId="33" borderId="1" xfId="2" applyFont="1" applyFill="1" applyBorder="1" applyAlignment="1">
      <alignment vertical="center" wrapText="1"/>
    </xf>
    <xf numFmtId="164" fontId="44" fillId="33" borderId="21" xfId="2" applyFont="1" applyFill="1" applyBorder="1" applyAlignment="1">
      <alignment vertical="center" wrapText="1"/>
    </xf>
    <xf numFmtId="49" fontId="0" fillId="0" borderId="0" xfId="0" applyNumberFormat="1"/>
    <xf numFmtId="164" fontId="90" fillId="29" borderId="31" xfId="2" applyFont="1" applyFill="1" applyBorder="1" applyAlignment="1">
      <alignment horizontal="center" vertical="center"/>
    </xf>
    <xf numFmtId="164" fontId="90" fillId="0" borderId="27" xfId="2" applyFont="1" applyBorder="1" applyAlignment="1">
      <alignment horizontal="center"/>
    </xf>
    <xf numFmtId="164" fontId="90" fillId="0" borderId="29" xfId="2" applyFont="1" applyBorder="1" applyAlignment="1">
      <alignment horizontal="center"/>
    </xf>
    <xf numFmtId="183" fontId="44" fillId="0" borderId="5" xfId="146" applyNumberFormat="1" applyFont="1" applyFill="1" applyBorder="1" applyAlignment="1">
      <alignment horizontal="center" vertical="center" wrapText="1"/>
    </xf>
    <xf numFmtId="183" fontId="44" fillId="0" borderId="1" xfId="146" applyNumberFormat="1" applyFont="1" applyFill="1" applyBorder="1" applyAlignment="1">
      <alignment horizontal="center" vertical="center" wrapText="1"/>
    </xf>
    <xf numFmtId="183" fontId="44" fillId="40" borderId="1" xfId="146" applyNumberFormat="1" applyFont="1" applyFill="1" applyBorder="1" applyAlignment="1">
      <alignment horizontal="center" vertical="center" wrapText="1"/>
    </xf>
    <xf numFmtId="183" fontId="44" fillId="33" borderId="1" xfId="146" applyNumberFormat="1" applyFont="1" applyFill="1" applyBorder="1" applyAlignment="1">
      <alignment horizontal="center" vertical="center" wrapText="1"/>
    </xf>
    <xf numFmtId="183" fontId="44" fillId="29" borderId="1" xfId="146" applyNumberFormat="1" applyFont="1" applyFill="1" applyBorder="1" applyAlignment="1">
      <alignment horizontal="center" vertical="center" wrapText="1"/>
    </xf>
    <xf numFmtId="183" fontId="44" fillId="46" borderId="1" xfId="146" applyNumberFormat="1" applyFont="1" applyFill="1" applyBorder="1" applyAlignment="1">
      <alignment horizontal="center" vertical="center" wrapText="1"/>
    </xf>
    <xf numFmtId="183" fontId="0" fillId="0" borderId="0" xfId="0" applyNumberFormat="1" applyAlignment="1">
      <alignment horizontal="center" vertical="center"/>
    </xf>
    <xf numFmtId="183" fontId="0" fillId="0" borderId="0" xfId="0" applyNumberFormat="1" applyAlignment="1">
      <alignment horizontal="center"/>
    </xf>
    <xf numFmtId="183" fontId="93" fillId="0" borderId="29" xfId="2" applyNumberFormat="1" applyFont="1" applyBorder="1" applyAlignment="1">
      <alignment horizontal="center"/>
    </xf>
    <xf numFmtId="183" fontId="40" fillId="39" borderId="43" xfId="0" applyNumberFormat="1" applyFont="1" applyFill="1" applyBorder="1" applyAlignment="1">
      <alignment horizontal="center" vertical="center" wrapText="1"/>
    </xf>
    <xf numFmtId="183" fontId="36" fillId="0" borderId="63" xfId="2" applyNumberFormat="1" applyFont="1" applyFill="1" applyBorder="1" applyAlignment="1">
      <alignment horizontal="center" vertical="center" wrapText="1"/>
    </xf>
    <xf numFmtId="183" fontId="36" fillId="0" borderId="22" xfId="0" applyNumberFormat="1" applyFont="1" applyBorder="1" applyAlignment="1">
      <alignment horizontal="center" vertical="center" wrapText="1"/>
    </xf>
    <xf numFmtId="3" fontId="63" fillId="33" borderId="5" xfId="0" applyNumberFormat="1" applyFont="1" applyFill="1" applyBorder="1" applyAlignment="1">
      <alignment horizontal="center" vertical="center" wrapText="1"/>
    </xf>
    <xf numFmtId="0" fontId="53" fillId="33" borderId="59" xfId="0" applyFont="1" applyFill="1" applyBorder="1" applyAlignment="1">
      <alignment horizontal="center" vertical="center" wrapText="1"/>
    </xf>
    <xf numFmtId="0" fontId="44" fillId="33" borderId="45" xfId="0" applyFont="1" applyFill="1" applyBorder="1" applyAlignment="1">
      <alignment horizontal="center" vertical="center"/>
    </xf>
    <xf numFmtId="0" fontId="44" fillId="33" borderId="45" xfId="0" applyFont="1" applyFill="1" applyBorder="1" applyAlignment="1">
      <alignment vertical="center"/>
    </xf>
    <xf numFmtId="0" fontId="44" fillId="33" borderId="46" xfId="0" applyFont="1" applyFill="1" applyBorder="1" applyAlignment="1">
      <alignment horizontal="center" vertical="center"/>
    </xf>
    <xf numFmtId="3" fontId="63" fillId="33" borderId="1" xfId="0" applyNumberFormat="1" applyFont="1" applyFill="1" applyBorder="1" applyAlignment="1">
      <alignment horizontal="center" vertical="center"/>
    </xf>
    <xf numFmtId="0" fontId="44" fillId="33" borderId="1" xfId="0" applyFont="1" applyFill="1" applyBorder="1" applyAlignment="1">
      <alignment horizontal="center" vertical="center"/>
    </xf>
    <xf numFmtId="0" fontId="44" fillId="33" borderId="64" xfId="0" applyFont="1" applyFill="1" applyBorder="1" applyAlignment="1">
      <alignment horizontal="center" vertical="center" wrapText="1"/>
    </xf>
    <xf numFmtId="3" fontId="44" fillId="33" borderId="5" xfId="1" applyNumberFormat="1" applyFont="1" applyFill="1" applyBorder="1" applyAlignment="1" applyProtection="1">
      <alignment horizontal="center" vertical="center" wrapText="1"/>
      <protection locked="0"/>
    </xf>
    <xf numFmtId="0" fontId="44" fillId="33" borderId="5" xfId="0" applyFont="1" applyFill="1" applyBorder="1" applyAlignment="1">
      <alignment horizontal="center" vertical="center" wrapText="1"/>
    </xf>
    <xf numFmtId="0" fontId="44" fillId="33" borderId="64" xfId="0" applyFont="1" applyFill="1" applyBorder="1" applyAlignment="1">
      <alignment vertical="center" wrapText="1"/>
    </xf>
    <xf numFmtId="0" fontId="44" fillId="33" borderId="65" xfId="0" applyFont="1" applyFill="1" applyBorder="1" applyAlignment="1">
      <alignment horizontal="center" vertical="center" wrapText="1"/>
    </xf>
    <xf numFmtId="9" fontId="47" fillId="0" borderId="0" xfId="138" applyFont="1" applyAlignment="1">
      <alignment horizontal="center" vertical="center"/>
    </xf>
    <xf numFmtId="184" fontId="44" fillId="0" borderId="1" xfId="0" applyNumberFormat="1" applyFont="1" applyBorder="1" applyAlignment="1">
      <alignment horizontal="center" vertical="center" wrapText="1"/>
    </xf>
    <xf numFmtId="184" fontId="44" fillId="0" borderId="1" xfId="138" applyNumberFormat="1" applyFont="1" applyBorder="1" applyAlignment="1">
      <alignment horizontal="center" vertical="center" wrapText="1"/>
    </xf>
    <xf numFmtId="0" fontId="44" fillId="0" borderId="45" xfId="0" applyFont="1" applyBorder="1" applyAlignment="1">
      <alignment horizontal="left" vertical="center" wrapText="1"/>
    </xf>
    <xf numFmtId="185" fontId="87" fillId="29" borderId="95" xfId="146" applyNumberFormat="1" applyFont="1" applyFill="1" applyBorder="1" applyAlignment="1">
      <alignment horizontal="center" vertical="center"/>
    </xf>
    <xf numFmtId="0" fontId="44" fillId="46" borderId="32" xfId="0" applyFont="1" applyFill="1" applyBorder="1" applyAlignment="1">
      <alignment horizontal="center" vertical="center"/>
    </xf>
    <xf numFmtId="0" fontId="36" fillId="0" borderId="102" xfId="0" applyFont="1" applyBorder="1" applyAlignment="1">
      <alignment horizontal="center" vertical="center"/>
    </xf>
    <xf numFmtId="0" fontId="8" fillId="0" borderId="101" xfId="0" applyFont="1" applyBorder="1" applyAlignment="1">
      <alignment horizontal="center" vertical="center"/>
    </xf>
    <xf numFmtId="0" fontId="44" fillId="33" borderId="32" xfId="0" applyFont="1" applyFill="1" applyBorder="1" applyAlignment="1">
      <alignment horizontal="center" vertical="center" wrapText="1"/>
    </xf>
    <xf numFmtId="0" fontId="48" fillId="33" borderId="5" xfId="0" applyFont="1" applyFill="1" applyBorder="1" applyAlignment="1">
      <alignment horizontal="center" vertical="center" wrapText="1"/>
    </xf>
    <xf numFmtId="174" fontId="44" fillId="33" borderId="64" xfId="2" applyNumberFormat="1" applyFont="1" applyFill="1" applyBorder="1" applyAlignment="1">
      <alignment horizontal="center" vertical="center" wrapText="1"/>
    </xf>
    <xf numFmtId="174" fontId="44" fillId="33" borderId="77" xfId="2" applyNumberFormat="1" applyFont="1" applyFill="1" applyBorder="1" applyAlignment="1">
      <alignment horizontal="center" vertical="center" wrapText="1"/>
    </xf>
    <xf numFmtId="186" fontId="0" fillId="0" borderId="0" xfId="2" applyNumberFormat="1" applyFont="1" applyAlignment="1">
      <alignment vertical="center"/>
    </xf>
    <xf numFmtId="186" fontId="93" fillId="0" borderId="27" xfId="2" applyNumberFormat="1" applyFont="1" applyBorder="1" applyAlignment="1"/>
    <xf numFmtId="186" fontId="40" fillId="39" borderId="43" xfId="2" applyNumberFormat="1" applyFont="1" applyFill="1" applyBorder="1" applyAlignment="1">
      <alignment vertical="center" wrapText="1"/>
    </xf>
    <xf numFmtId="186" fontId="44" fillId="0" borderId="64" xfId="2" applyNumberFormat="1" applyFont="1" applyFill="1" applyBorder="1" applyAlignment="1">
      <alignment vertical="center" wrapText="1"/>
    </xf>
    <xf numFmtId="186" fontId="44" fillId="0" borderId="45" xfId="2" applyNumberFormat="1" applyFont="1" applyFill="1" applyBorder="1" applyAlignment="1">
      <alignment vertical="center" wrapText="1"/>
    </xf>
    <xf numFmtId="186" fontId="44" fillId="0" borderId="1" xfId="2" applyNumberFormat="1" applyFont="1" applyFill="1" applyBorder="1" applyAlignment="1" applyProtection="1">
      <alignment vertical="center" wrapText="1"/>
      <protection locked="0"/>
    </xf>
    <xf numFmtId="186" fontId="44" fillId="40" borderId="1" xfId="2" applyNumberFormat="1" applyFont="1" applyFill="1" applyBorder="1" applyAlignment="1" applyProtection="1">
      <alignment vertical="center" wrapText="1"/>
      <protection locked="0"/>
    </xf>
    <xf numFmtId="186" fontId="44" fillId="33" borderId="1" xfId="2" applyNumberFormat="1" applyFont="1" applyFill="1" applyBorder="1" applyAlignment="1" applyProtection="1">
      <alignment vertical="center" wrapText="1"/>
      <protection locked="0"/>
    </xf>
    <xf numFmtId="186" fontId="44" fillId="0" borderId="1" xfId="2" applyNumberFormat="1" applyFont="1" applyFill="1" applyBorder="1" applyAlignment="1">
      <alignment vertical="center" wrapText="1"/>
    </xf>
    <xf numFmtId="186" fontId="44" fillId="40" borderId="1" xfId="2" applyNumberFormat="1" applyFont="1" applyFill="1" applyBorder="1" applyAlignment="1">
      <alignment vertical="center" wrapText="1"/>
    </xf>
    <xf numFmtId="186" fontId="44" fillId="0" borderId="4" xfId="2" applyNumberFormat="1" applyFont="1" applyFill="1" applyBorder="1" applyAlignment="1" applyProtection="1">
      <alignment vertical="center" wrapText="1"/>
      <protection locked="0"/>
    </xf>
    <xf numFmtId="186" fontId="44" fillId="29" borderId="1" xfId="2" applyNumberFormat="1" applyFont="1" applyFill="1" applyBorder="1" applyAlignment="1" applyProtection="1">
      <alignment vertical="center" wrapText="1"/>
      <protection locked="0"/>
    </xf>
    <xf numFmtId="186" fontId="45" fillId="0" borderId="1" xfId="2" applyNumberFormat="1" applyFont="1" applyFill="1" applyBorder="1" applyAlignment="1" applyProtection="1">
      <alignment vertical="center" wrapText="1"/>
      <protection locked="0"/>
    </xf>
    <xf numFmtId="186" fontId="44" fillId="0" borderId="45" xfId="2" applyNumberFormat="1" applyFont="1" applyFill="1" applyBorder="1" applyAlignment="1" applyProtection="1">
      <alignment vertical="center" wrapText="1"/>
      <protection locked="0"/>
    </xf>
    <xf numFmtId="186" fontId="44" fillId="46" borderId="1" xfId="2" applyNumberFormat="1" applyFont="1" applyFill="1" applyBorder="1" applyAlignment="1" applyProtection="1">
      <alignment vertical="center" wrapText="1"/>
      <protection locked="0"/>
    </xf>
    <xf numFmtId="186" fontId="44" fillId="0" borderId="3" xfId="2" applyNumberFormat="1" applyFont="1" applyFill="1" applyBorder="1" applyAlignment="1">
      <alignment vertical="center" wrapText="1"/>
    </xf>
    <xf numFmtId="186" fontId="36" fillId="0" borderId="63" xfId="2" applyNumberFormat="1" applyFont="1" applyFill="1" applyBorder="1" applyAlignment="1">
      <alignment vertical="center" wrapText="1"/>
    </xf>
    <xf numFmtId="186" fontId="36" fillId="0" borderId="22" xfId="2" applyNumberFormat="1" applyFont="1" applyBorder="1" applyAlignment="1">
      <alignment vertical="center" wrapText="1"/>
    </xf>
    <xf numFmtId="9" fontId="44" fillId="29" borderId="1" xfId="0" applyNumberFormat="1" applyFont="1" applyFill="1" applyBorder="1" applyAlignment="1">
      <alignment horizontal="center" vertical="center"/>
    </xf>
    <xf numFmtId="172" fontId="11" fillId="3" borderId="95" xfId="2" applyNumberFormat="1" applyFont="1" applyFill="1" applyBorder="1" applyAlignment="1">
      <alignment horizontal="center" vertical="center"/>
    </xf>
    <xf numFmtId="0" fontId="44" fillId="40" borderId="32" xfId="0" applyFont="1" applyFill="1" applyBorder="1" applyAlignment="1">
      <alignment horizontal="center" vertical="center"/>
    </xf>
    <xf numFmtId="0" fontId="55" fillId="32" borderId="0" xfId="0" applyFont="1" applyFill="1" applyAlignment="1">
      <alignment horizontal="center" vertical="center"/>
    </xf>
    <xf numFmtId="0" fontId="55" fillId="32" borderId="49" xfId="0" applyFont="1" applyFill="1" applyBorder="1" applyAlignment="1">
      <alignment horizontal="center" vertical="center"/>
    </xf>
    <xf numFmtId="0" fontId="55" fillId="32" borderId="27" xfId="0" applyFont="1" applyFill="1" applyBorder="1" applyAlignment="1">
      <alignment horizontal="center" vertical="center"/>
    </xf>
    <xf numFmtId="0" fontId="55" fillId="32" borderId="28" xfId="0" applyFont="1" applyFill="1" applyBorder="1" applyAlignment="1">
      <alignment horizontal="center" vertical="center"/>
    </xf>
    <xf numFmtId="0" fontId="55" fillId="32" borderId="29" xfId="0" applyFont="1" applyFill="1" applyBorder="1" applyAlignment="1">
      <alignment horizontal="center" vertical="center"/>
    </xf>
    <xf numFmtId="0" fontId="55" fillId="32" borderId="19" xfId="0" applyFont="1" applyFill="1" applyBorder="1" applyAlignment="1">
      <alignment horizontal="center" vertical="center"/>
    </xf>
    <xf numFmtId="0" fontId="55" fillId="32" borderId="72" xfId="0" applyFont="1" applyFill="1" applyBorder="1" applyAlignment="1">
      <alignment horizontal="center" vertical="center"/>
    </xf>
    <xf numFmtId="0" fontId="55" fillId="30" borderId="27" xfId="0" applyFont="1" applyFill="1" applyBorder="1" applyAlignment="1">
      <alignment horizontal="center" vertical="center"/>
    </xf>
    <xf numFmtId="0" fontId="55" fillId="30" borderId="66" xfId="0" applyFont="1" applyFill="1" applyBorder="1" applyAlignment="1">
      <alignment horizontal="center" vertical="center"/>
    </xf>
    <xf numFmtId="0" fontId="0" fillId="3" borderId="27" xfId="0" applyFill="1" applyBorder="1" applyAlignment="1">
      <alignment horizontal="center"/>
    </xf>
    <xf numFmtId="0" fontId="0" fillId="3" borderId="29" xfId="0" applyFill="1" applyBorder="1" applyAlignment="1">
      <alignment horizontal="center"/>
    </xf>
    <xf numFmtId="169" fontId="82" fillId="43" borderId="19" xfId="0" applyNumberFormat="1" applyFont="1" applyFill="1" applyBorder="1" applyAlignment="1">
      <alignment horizontal="center" vertical="center"/>
    </xf>
    <xf numFmtId="169" fontId="82" fillId="43" borderId="72" xfId="0" applyNumberFormat="1" applyFont="1" applyFill="1" applyBorder="1" applyAlignment="1">
      <alignment horizontal="center" vertical="center"/>
    </xf>
    <xf numFmtId="169" fontId="82" fillId="43" borderId="78" xfId="0" applyNumberFormat="1" applyFont="1" applyFill="1" applyBorder="1" applyAlignment="1">
      <alignment horizontal="center" vertical="center"/>
    </xf>
    <xf numFmtId="177" fontId="83" fillId="52" borderId="19" xfId="0" applyNumberFormat="1" applyFont="1" applyFill="1" applyBorder="1" applyAlignment="1">
      <alignment horizontal="center" vertical="center"/>
    </xf>
    <xf numFmtId="177" fontId="83" fillId="52" borderId="72" xfId="0" applyNumberFormat="1" applyFont="1" applyFill="1" applyBorder="1" applyAlignment="1">
      <alignment horizontal="center" vertical="center"/>
    </xf>
    <xf numFmtId="177" fontId="83" fillId="52" borderId="78" xfId="0" applyNumberFormat="1" applyFont="1" applyFill="1" applyBorder="1" applyAlignment="1">
      <alignment horizontal="center" vertical="center"/>
    </xf>
    <xf numFmtId="0" fontId="8" fillId="37" borderId="19" xfId="0" applyFont="1" applyFill="1" applyBorder="1" applyAlignment="1">
      <alignment horizontal="right"/>
    </xf>
    <xf numFmtId="0" fontId="8" fillId="37" borderId="72" xfId="0" applyFont="1" applyFill="1" applyBorder="1" applyAlignment="1">
      <alignment horizontal="right"/>
    </xf>
    <xf numFmtId="0" fontId="8" fillId="37" borderId="72" xfId="0" applyFont="1" applyFill="1" applyBorder="1" applyAlignment="1">
      <alignment horizontal="right" vertical="center"/>
    </xf>
    <xf numFmtId="0" fontId="8" fillId="37" borderId="72" xfId="0" applyFont="1" applyFill="1" applyBorder="1" applyAlignment="1">
      <alignment horizontal="center" vertical="center"/>
    </xf>
    <xf numFmtId="182" fontId="8" fillId="37" borderId="72" xfId="2" applyNumberFormat="1" applyFont="1" applyFill="1" applyBorder="1" applyAlignment="1">
      <alignment horizontal="right"/>
    </xf>
    <xf numFmtId="4" fontId="8" fillId="37" borderId="72" xfId="0" applyNumberFormat="1" applyFont="1" applyFill="1" applyBorder="1" applyAlignment="1">
      <alignment horizontal="right"/>
    </xf>
    <xf numFmtId="10" fontId="8" fillId="37" borderId="97" xfId="138" applyNumberFormat="1" applyFont="1" applyFill="1" applyBorder="1" applyAlignment="1">
      <alignment horizontal="right"/>
    </xf>
    <xf numFmtId="0" fontId="0" fillId="0" borderId="27" xfId="0" applyBorder="1" applyAlignment="1">
      <alignment horizontal="center"/>
    </xf>
    <xf numFmtId="0" fontId="0" fillId="0" borderId="28" xfId="0" applyBorder="1" applyAlignment="1">
      <alignment horizontal="center"/>
    </xf>
    <xf numFmtId="44" fontId="0" fillId="0" borderId="58" xfId="146" applyFont="1" applyFill="1" applyBorder="1" applyAlignment="1">
      <alignment horizontal="center" vertical="center"/>
    </xf>
    <xf numFmtId="44" fontId="0" fillId="0" borderId="46" xfId="146" applyFont="1" applyFill="1" applyBorder="1" applyAlignment="1">
      <alignment horizontal="center" vertical="center"/>
    </xf>
    <xf numFmtId="0" fontId="86" fillId="0" borderId="19" xfId="0" applyFont="1" applyBorder="1" applyAlignment="1">
      <alignment horizontal="left"/>
    </xf>
    <xf numFmtId="0" fontId="86" fillId="0" borderId="78" xfId="0" applyFont="1" applyBorder="1" applyAlignment="1">
      <alignment horizontal="left"/>
    </xf>
    <xf numFmtId="0" fontId="0" fillId="0" borderId="75" xfId="0" applyBorder="1" applyAlignment="1">
      <alignment horizontal="left"/>
    </xf>
    <xf numFmtId="0" fontId="0" fillId="0" borderId="49" xfId="0" applyBorder="1" applyAlignment="1">
      <alignment horizontal="left"/>
    </xf>
    <xf numFmtId="0" fontId="70" fillId="47" borderId="85" xfId="147" applyFont="1" applyFill="1" applyBorder="1" applyAlignment="1">
      <alignment horizontal="center" vertical="center"/>
    </xf>
    <xf numFmtId="0" fontId="70" fillId="47" borderId="87" xfId="147" applyFont="1" applyFill="1" applyBorder="1" applyAlignment="1">
      <alignment horizontal="center" vertical="center"/>
    </xf>
    <xf numFmtId="0" fontId="70" fillId="47" borderId="88" xfId="147" applyFont="1" applyFill="1" applyBorder="1" applyAlignment="1">
      <alignment horizontal="center" vertical="center"/>
    </xf>
    <xf numFmtId="0" fontId="70" fillId="47" borderId="89" xfId="147" applyFont="1" applyFill="1" applyBorder="1" applyAlignment="1">
      <alignment horizontal="center" vertical="center"/>
    </xf>
    <xf numFmtId="0" fontId="70" fillId="47" borderId="94"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42BC6ED5-DF2F-4B09-A866-F29D6354E745}"/>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4B636552-FBCC-437A-99B7-797CFBF8BCE5}"/>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E85AF51A-1F81-4D86-BD33-F7C04D155034}"/>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70" formatCode="_-* #,##0\ &quot;Ft&quot;_-;\-* #,##0\ &quot;Ft&quot;_-;_-* &quot;-&quot;??\ &quot;Ft&quot;_-;_-@_-"/>
    </dxf>
    <dxf>
      <numFmt numFmtId="170" formatCode="_-* #,##0\ &quot;Ft&quot;_-;\-* #,##0\ &quot;Ft&quot;_-;_-* &quot;-&quot;??\ &quot;Ft&quot;_-;_-@_-"/>
    </dxf>
    <dxf>
      <numFmt numFmtId="170" formatCode="_-* #,##0\ &quot;Ft&quot;_-;\-* #,##0\ &quot;Ft&quot;_-;_-* &quot;-&quot;??\ &quot;Ft&quot;_-;_-@_-"/>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EDCF2F6B-33E8-4CEE-9F1D-C16149602D9D}"/>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haszn&#225;l&#243;\Documents\RRF%20(NEMZETI%20LABOR)\K&#246;lts&#233;gk&#246;vet&#337;%20Szil&#225;rdt&#243;l\RRF-00008_VIZES_sablon%202023.02.22.%20_13_50%20_Szil&#225;rdt&#243;l.xlsx" TargetMode="External"/><Relationship Id="rId1" Type="http://schemas.openxmlformats.org/officeDocument/2006/relationships/externalLinkPath" Target="/Users/felhaszn&#225;l&#243;/Documents/RRF%20(NEMZETI%20LABOR)/K&#246;lts&#233;gk&#246;vet&#337;%20Szil&#225;rdt&#243;l/RRF-00008_VIZES_sablon%202023.02.22.%20_13_50%20_Szil&#225;rdt&#243;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EMNL_RRF_berszamit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Jegyzet"/>
      <sheetName val="Dologi_felhalm."/>
      <sheetName val="Hónapok"/>
      <sheetName val="Admin"/>
      <sheetName val="Törzsszám"/>
      <sheetName val="Admin - FEOR"/>
      <sheetName val="FEOR kodok"/>
      <sheetName val="Historikus berek_2021-2"/>
      <sheetName val="Munka1"/>
      <sheetName val="Munka2"/>
    </sheetNames>
    <sheetDataSet>
      <sheetData sheetId="0"/>
      <sheetData sheetId="1"/>
      <sheetData sheetId="2"/>
      <sheetData sheetId="3"/>
      <sheetData sheetId="4">
        <row r="10">
          <cell r="A10">
            <v>44986</v>
          </cell>
        </row>
        <row r="22">
          <cell r="A22">
            <v>45352</v>
          </cell>
        </row>
        <row r="34">
          <cell r="A34">
            <v>45717</v>
          </cell>
        </row>
        <row r="46">
          <cell r="A46"/>
        </row>
      </sheetData>
      <sheetData sheetId="5">
        <row r="28">
          <cell r="A28" t="str">
            <v>2. mérföldkő</v>
          </cell>
          <cell r="B28" t="str">
            <v>3. mérföldkő</v>
          </cell>
          <cell r="C28" t="str">
            <v>4. mérföldkő</v>
          </cell>
          <cell r="D28" t="str">
            <v>5. mérföldkő</v>
          </cell>
        </row>
      </sheetData>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EPTK ecxel export"/>
      <sheetName val="Hónapok"/>
      <sheetName val="Admin"/>
      <sheetName val="Admin - FEOR"/>
      <sheetName val="Admin-BÉR-RRF-00014_ÉGHAJLAT"/>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zolga Szilárd" refreshedDate="44963.379673379626" createdVersion="6" refreshedVersion="6" minRefreshableVersion="3" recordCount="256" xr:uid="{B1CDAD1B-54C4-4719-9271-873FEF85175C}">
  <cacheSource type="worksheet">
    <worksheetSource ref="AC8:AS424" sheet="Bérköltség"/>
  </cacheSource>
  <cacheFields count="17">
    <cacheField name="Megvalósításban _x000a_közreműködő _x000a_munkatárs neve" numFmtId="0">
      <sharedItems count="32">
        <s v="Abonyi János"/>
        <s v="Auer Felícia"/>
        <s v="Bíró Ildikó"/>
        <s v="Patkósné Böle Renáta"/>
        <s v="Farsang Róbert"/>
        <s v="Gerencsér Attiláné"/>
        <s v="Gerencsérné Dr. Berta Renáta"/>
        <s v="Harasztiné Hargitai Réka"/>
        <s v="Hubai Katalin Eszter"/>
        <s v="Juzsakova Tatjána"/>
        <s v="Király Edit"/>
        <s v="Kovács Zsófia"/>
        <s v="Kovács Barbara"/>
        <s v="Kovács Nikoletta"/>
        <s v="Kucserka Tamás"/>
        <s v="Kulcsár Gvendolin"/>
        <s v="Lengyel Edina"/>
        <s v="Dr. Meiczinger Mónika"/>
        <s v="Nagy Gábor"/>
        <s v="Padisák Judit"/>
        <s v="Pék Dorottya"/>
        <s v="Sebestyén Viktor"/>
        <s v="Selmeczy Géza Balázs"/>
        <s v="Somogyi Viola"/>
        <s v="Stenger-Kovács Csilla"/>
        <s v="Szépvölgyi Réka Katherine"/>
        <s v="Szerényi Dóra"/>
        <s v="Dr. Tóth-Farsang Evelin"/>
        <s v="Török Rebeka"/>
        <s v="Trájer Attila János"/>
        <s v="Zadravecz Renáta"/>
        <s v="Zsuga-Biró Rita"/>
      </sharedItems>
    </cacheField>
    <cacheField name="Projekt elszámolás szerinti " numFmtId="0">
      <sharedItems/>
    </cacheField>
    <cacheField name="Adott kolléga milyen munkakört tölt be a projektben (legördülő menüből választani)" numFmtId="0">
      <sharedItems/>
    </cacheField>
    <cacheField name="Pénzügyi_x000a_központ _x000a_(terhelés)" numFmtId="3">
      <sharedItems/>
    </cacheField>
    <cacheField name="Pénzügyi_x000a_központ _x000a_(számfejtés)" numFmtId="3">
      <sharedItems/>
    </cacheField>
    <cacheField name="Tevékenység -_x000a_Költségelem_x000a_neve" numFmtId="3">
      <sharedItems/>
    </cacheField>
    <cacheField name="Időszak_x000a_(hónap)" numFmtId="168">
      <sharedItems containsSemiMixedTypes="0" containsNonDate="0" containsDate="1" containsString="0" minDate="2022-06-30T00:00:00" maxDate="2023-06-02T00:00:00"/>
    </cacheField>
    <cacheField name="Méröldkő száma" numFmtId="0">
      <sharedItems/>
    </cacheField>
    <cacheField name="Tény/_x000a_Köt.váll" numFmtId="3">
      <sharedItems/>
    </cacheField>
    <cacheField name="Foglalkoztatás _x000a_típusa" numFmtId="0">
      <sharedItems/>
    </cacheField>
    <cacheField name="Bruttó bér" numFmtId="0">
      <sharedItems containsSemiMixedTypes="0" containsString="0" containsNumber="1" containsInteger="1" minValue="117391" maxValue="2300000"/>
    </cacheField>
    <cacheField name="Bruttó járuléka" numFmtId="170">
      <sharedItems containsSemiMixedTypes="0" containsString="0" containsNumber="1" containsInteger="1" minValue="959" maxValue="299000"/>
    </cacheField>
    <cacheField name="Munkában  _x000a_töltött_x000a_óra" numFmtId="0">
      <sharedItems containsSemiMixedTypes="0" containsString="0" containsNumber="1" containsInteger="1" minValue="87" maxValue="174"/>
    </cacheField>
    <cacheField name="Projekten_x000a_elszámolt _x000a_óra" numFmtId="0">
      <sharedItems containsSemiMixedTypes="0" containsString="0" containsNumber="1" containsInteger="1" minValue="24" maxValue="174"/>
    </cacheField>
    <cacheField name="3 tizedesre kerekített munkaidő%" numFmtId="171">
      <sharedItems containsSemiMixedTypes="0" containsString="0" containsNumber="1" minValue="0.13793103448275862" maxValue="1"/>
    </cacheField>
    <cacheField name="Projektre _x000a_elszámolt_x000a_bér" numFmtId="166">
      <sharedItems containsSemiMixedTypes="0" containsString="0" containsNumber="1" minValue="24451.363636363636" maxValue="803581"/>
    </cacheField>
    <cacheField name="Projektre _x000a_elszámolt_x000a_járulék" numFmtId="0">
      <sharedItems containsSemiMixedTypes="0" containsString="0" containsNumber="1" containsInteger="1" minValue="959" maxValue="10446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s v="Szakmai megvalósítás"/>
    <s v="Kutató"/>
    <s v="C017000144"/>
    <s v="C211100000"/>
    <s v="Személyi jellegű költség, bérköltség "/>
    <d v="2022-07-01T00:00:00"/>
    <s v="2. mérföldkő"/>
    <s v="Tény"/>
    <s v="Munkabér"/>
    <n v="1300000"/>
    <n v="169000"/>
    <n v="174"/>
    <n v="40"/>
    <n v="0.22988505747126436"/>
    <n v="298851"/>
    <n v="38851"/>
  </r>
  <r>
    <x v="0"/>
    <s v="Szakmai megvalósítás"/>
    <s v="Kutató"/>
    <s v="C017000144"/>
    <s v="C211100000"/>
    <s v="Személyi jellegű költség, bérköltség "/>
    <d v="2022-08-01T00:00:00"/>
    <s v="2. mérföldkő"/>
    <s v="Tény"/>
    <s v="Munkabér"/>
    <n v="2300000"/>
    <n v="299000"/>
    <n v="174"/>
    <n v="40"/>
    <n v="0.22988505747126436"/>
    <n v="528736"/>
    <n v="68736"/>
  </r>
  <r>
    <x v="0"/>
    <s v="Szakmai megvalósítás"/>
    <s v="Kutató"/>
    <s v="C017000144"/>
    <s v="C211100000"/>
    <s v="Személyi jellegű költség, bérköltség "/>
    <d v="2022-09-01T00:00:00"/>
    <s v="2. mérföldkő"/>
    <s v="Tény"/>
    <s v="Munkabér"/>
    <n v="1499999"/>
    <n v="195000"/>
    <n v="174"/>
    <n v="37"/>
    <n v="0.21264367816091953"/>
    <n v="318965"/>
    <n v="41465"/>
  </r>
  <r>
    <x v="0"/>
    <s v="Szakmai megvalósítás"/>
    <s v="Kutató"/>
    <s v="C017000144"/>
    <s v="C211100000"/>
    <s v="Személyi jellegű költség, bérköltség "/>
    <d v="2022-10-01T00:00:00"/>
    <s v="2. mérföldkő"/>
    <s v="Tény"/>
    <s v="Munkabér"/>
    <n v="1499999"/>
    <n v="195000"/>
    <n v="174"/>
    <n v="37"/>
    <n v="0.21264367816091953"/>
    <n v="318965"/>
    <n v="41465"/>
  </r>
  <r>
    <x v="0"/>
    <s v="Szakmai megvalósítás"/>
    <s v="Kutató"/>
    <s v="C017000144"/>
    <s v="C211100000"/>
    <s v="Személyi jellegű költség, bérköltség "/>
    <d v="2022-11-01T00:00:00"/>
    <s v="2. mérföldkő"/>
    <s v="Tény"/>
    <s v="Munkabér"/>
    <n v="1500000"/>
    <n v="195000"/>
    <n v="174"/>
    <n v="37"/>
    <n v="0.21264367816091953"/>
    <n v="318966"/>
    <n v="41466"/>
  </r>
  <r>
    <x v="0"/>
    <s v="Szakmai megvalósítás"/>
    <s v="Kutató"/>
    <s v="C017000144"/>
    <s v="C211100000"/>
    <s v="Személyi jellegű költség, bérköltség "/>
    <d v="2022-12-01T00:00:00"/>
    <s v="2. mérföldkő"/>
    <s v="Tény"/>
    <s v="Munkabér"/>
    <n v="1500000"/>
    <n v="195000"/>
    <n v="174"/>
    <n v="36"/>
    <n v="0.20689655172413793"/>
    <n v="310345"/>
    <n v="40345"/>
  </r>
  <r>
    <x v="0"/>
    <s v="Szakmai megvalósítás"/>
    <s v="Kutató"/>
    <s v="C017000144"/>
    <s v="C211100000"/>
    <s v="Személyi jellegű költség, bérköltség "/>
    <d v="2023-01-01T00:00:00"/>
    <s v="2. mérföldkő"/>
    <s v="Köt. váll."/>
    <s v="Munkabér"/>
    <n v="1500000"/>
    <n v="195000"/>
    <n v="174"/>
    <n v="36"/>
    <n v="0.20689655172413793"/>
    <n v="310345"/>
    <n v="40345"/>
  </r>
  <r>
    <x v="0"/>
    <s v="Szakmai megvalósítás"/>
    <s v="Kutató"/>
    <s v="C017000144"/>
    <s v="C211100000"/>
    <s v="Személyi jellegű költség, bérköltség "/>
    <d v="2023-02-01T00:00:00"/>
    <s v="2. mérföldkő"/>
    <s v="Köt. váll."/>
    <s v="Munkabér"/>
    <n v="1500000"/>
    <n v="195000"/>
    <n v="174"/>
    <n v="36"/>
    <n v="0.20689655172413793"/>
    <n v="310345"/>
    <n v="40345"/>
  </r>
  <r>
    <x v="0"/>
    <s v="Szakmai megvalósítás"/>
    <s v="Kutató"/>
    <s v="C017000144"/>
    <s v="C211100000"/>
    <s v="Személyi jellegű költség, bérköltség "/>
    <d v="2023-03-01T00:00:00"/>
    <s v="3. mérföldkő"/>
    <s v="Köt. váll."/>
    <s v="Munkabér"/>
    <n v="1500000"/>
    <n v="195000"/>
    <n v="174"/>
    <n v="36"/>
    <n v="0.20689655172413793"/>
    <n v="310345"/>
    <n v="40345"/>
  </r>
  <r>
    <x v="0"/>
    <s v="Szakmai megvalósítás"/>
    <s v="Kutató"/>
    <s v="C017000144"/>
    <s v="C211100000"/>
    <s v="Személyi jellegű költség, bérköltség "/>
    <d v="2023-04-01T00:00:00"/>
    <s v="3. mérföldkő"/>
    <s v="Köt. váll."/>
    <s v="Munkabér"/>
    <n v="1500000"/>
    <n v="195000"/>
    <n v="174"/>
    <n v="36"/>
    <n v="0.20689655172413793"/>
    <n v="310345"/>
    <n v="40345"/>
  </r>
  <r>
    <x v="0"/>
    <s v="Szakmai megvalósítás"/>
    <s v="Kutató"/>
    <s v="C017000144"/>
    <s v="C211100000"/>
    <s v="Személyi jellegű költség, bérköltség "/>
    <d v="2023-05-01T00:00:00"/>
    <s v="3. mérföldkő"/>
    <s v="Köt. váll."/>
    <s v="Munkabér"/>
    <n v="1500000"/>
    <n v="195000"/>
    <n v="174"/>
    <n v="36"/>
    <n v="0.20689655172413793"/>
    <n v="310345"/>
    <n v="40345"/>
  </r>
  <r>
    <x v="1"/>
    <s v="Szakmai megvalósítás"/>
    <s v="Segédszemélyzet"/>
    <s v="C017000154"/>
    <s v="C201110000"/>
    <s v="Személyi jellegű költség, bérköltség "/>
    <d v="2022-07-01T00:00:00"/>
    <s v="2. mérföldkő"/>
    <s v="Tény"/>
    <s v="Munkabér"/>
    <n v="150000"/>
    <n v="19500"/>
    <n v="87"/>
    <n v="87"/>
    <n v="1"/>
    <n v="150000"/>
    <n v="19500"/>
  </r>
  <r>
    <x v="1"/>
    <s v="Szakmai megvalósítás"/>
    <s v="Segédszemélyzet"/>
    <s v="C017000154"/>
    <s v="C201110000"/>
    <s v="Személyi jellegű költség, bérköltség "/>
    <d v="2022-08-01T00:00:00"/>
    <s v="2. mérföldkő"/>
    <s v="Tény"/>
    <s v="Munkabér"/>
    <n v="117391"/>
    <n v="15261"/>
    <n v="87"/>
    <n v="87"/>
    <n v="1"/>
    <n v="117391"/>
    <n v="15261"/>
  </r>
  <r>
    <x v="1"/>
    <s v="Szakmai megvalósítás"/>
    <s v="Segédszemélyzet"/>
    <s v="C017000154"/>
    <s v="C201110000"/>
    <s v="Személyi jellegű költség, bérköltség "/>
    <d v="2022-09-01T00:00:00"/>
    <s v="2. mérföldkő"/>
    <s v="Tény"/>
    <s v="Munkabér"/>
    <n v="150000"/>
    <n v="19500"/>
    <n v="87"/>
    <n v="87"/>
    <n v="1"/>
    <n v="150000"/>
    <n v="19500"/>
  </r>
  <r>
    <x v="1"/>
    <s v="Szakmai megvalósítás"/>
    <s v="Segédszemélyzet"/>
    <s v="C017000154"/>
    <s v="C201110000"/>
    <s v="Személyi jellegű költség, bérköltség "/>
    <d v="2022-10-01T00:00:00"/>
    <s v="2. mérföldkő"/>
    <s v="Tény"/>
    <s v="Munkabér"/>
    <n v="150000"/>
    <n v="19500"/>
    <n v="87"/>
    <n v="87"/>
    <n v="1"/>
    <n v="150000"/>
    <n v="19500"/>
  </r>
  <r>
    <x v="1"/>
    <s v="Szakmai megvalósítás"/>
    <s v="Segédszemélyzet"/>
    <s v="C017000154"/>
    <s v="C201110000"/>
    <s v="Személyi jellegű költség, bérköltség "/>
    <d v="2022-11-01T00:00:00"/>
    <s v="2. mérföldkő"/>
    <s v="Tény"/>
    <s v="Munkabér"/>
    <n v="150000"/>
    <n v="19500"/>
    <n v="87"/>
    <n v="87"/>
    <n v="1"/>
    <n v="150000"/>
    <n v="19500"/>
  </r>
  <r>
    <x v="1"/>
    <s v="Szakmai megvalósítás"/>
    <s v="Segédszemélyzet"/>
    <s v="C017000154"/>
    <s v="C201110000"/>
    <s v="Személyi jellegű költség, bérköltség "/>
    <d v="2022-12-01T00:00:00"/>
    <s v="2. mérföldkő"/>
    <s v="Tény"/>
    <s v="Munkabér"/>
    <n v="150000"/>
    <n v="19500"/>
    <n v="87"/>
    <n v="87"/>
    <n v="1"/>
    <n v="150000"/>
    <n v="19500"/>
  </r>
  <r>
    <x v="1"/>
    <s v="Szakmai megvalósítás"/>
    <s v="Segédszemélyzet"/>
    <s v="C017000154"/>
    <s v="C201110000"/>
    <s v="Személyi jellegű költség, bérköltség "/>
    <d v="2023-01-01T00:00:00"/>
    <s v="2. mérföldkő"/>
    <s v="Köt. váll."/>
    <s v="Munkabér"/>
    <n v="150000"/>
    <n v="19500"/>
    <n v="87"/>
    <n v="87"/>
    <n v="1"/>
    <n v="150000"/>
    <n v="19500"/>
  </r>
  <r>
    <x v="1"/>
    <s v="Szakmai megvalósítás"/>
    <s v="Segédszemélyzet"/>
    <s v="C017000154"/>
    <s v="C201110000"/>
    <s v="Személyi jellegű költség, bérköltség "/>
    <d v="2023-02-01T00:00:00"/>
    <s v="2. mérföldkő"/>
    <s v="Köt. váll."/>
    <s v="Munkabér"/>
    <n v="150000"/>
    <n v="19500"/>
    <n v="87"/>
    <n v="87"/>
    <n v="1"/>
    <n v="150000"/>
    <n v="19500"/>
  </r>
  <r>
    <x v="2"/>
    <s v="Szakmai megvalósítás"/>
    <s v="Kutató"/>
    <s v="K037000146"/>
    <s v="K031100000"/>
    <s v="Személyi jellegű költség, bérköltség "/>
    <d v="2022-11-01T00:00:00"/>
    <s v="2. mérföldkő"/>
    <s v="Tény"/>
    <s v="Munkabér"/>
    <n v="474999"/>
    <n v="61750"/>
    <n v="174"/>
    <n v="174"/>
    <n v="1"/>
    <n v="474999"/>
    <n v="61750"/>
  </r>
  <r>
    <x v="2"/>
    <s v="Szakmai megvalósítás"/>
    <s v="Kutató"/>
    <s v="K037000146"/>
    <s v="K031100000"/>
    <s v="Személyi jellegű költség, bérköltség "/>
    <d v="2022-12-01T00:00:00"/>
    <s v="2. mérföldkő"/>
    <s v="Tény"/>
    <s v="Munkabér"/>
    <n v="475000"/>
    <n v="61750"/>
    <n v="174"/>
    <n v="174"/>
    <n v="1"/>
    <n v="475000"/>
    <n v="61750"/>
  </r>
  <r>
    <x v="2"/>
    <s v="Szakmai megvalósítás"/>
    <s v="Kutató"/>
    <s v="K037000146"/>
    <s v="K031100000"/>
    <s v="Személyi jellegű költség, bérköltség "/>
    <d v="2023-01-01T00:00:00"/>
    <s v="2. mérföldkő"/>
    <s v="Köt. váll."/>
    <s v="Munkabér"/>
    <n v="475000"/>
    <n v="61750"/>
    <n v="174"/>
    <n v="174"/>
    <n v="1"/>
    <n v="475000"/>
    <n v="61750"/>
  </r>
  <r>
    <x v="2"/>
    <s v="Szakmai megvalósítás"/>
    <s v="Kutató"/>
    <s v="K037000146"/>
    <s v="K031100000"/>
    <s v="Személyi jellegű költség, bérköltség "/>
    <d v="2023-02-01T00:00:00"/>
    <s v="2. mérföldkő"/>
    <s v="Köt. váll."/>
    <s v="Munkabér"/>
    <n v="475000"/>
    <n v="61750"/>
    <n v="174"/>
    <n v="174"/>
    <n v="1"/>
    <n v="475000"/>
    <n v="61750"/>
  </r>
  <r>
    <x v="2"/>
    <s v="Szakmai megvalósítás"/>
    <s v="Kutató"/>
    <s v="K037000146"/>
    <s v="K031100000"/>
    <s v="Személyi jellegű költség, bérköltség "/>
    <d v="2023-03-01T00:00:00"/>
    <s v="3. mérföldkő"/>
    <s v="Köt. váll."/>
    <s v="Munkabér"/>
    <n v="475000"/>
    <n v="61750"/>
    <n v="174"/>
    <n v="174"/>
    <n v="1"/>
    <n v="475000"/>
    <n v="61750"/>
  </r>
  <r>
    <x v="2"/>
    <s v="Szakmai megvalósítás"/>
    <s v="Kutató"/>
    <s v="K037000146"/>
    <s v="K031100000"/>
    <s v="Személyi jellegű költség, bérköltség "/>
    <d v="2023-04-01T00:00:00"/>
    <s v="3. mérföldkő"/>
    <s v="Köt. váll."/>
    <s v="Munkabér"/>
    <n v="475000"/>
    <n v="61750"/>
    <n v="174"/>
    <n v="174"/>
    <n v="1"/>
    <n v="475000"/>
    <n v="61750"/>
  </r>
  <r>
    <x v="2"/>
    <s v="Szakmai megvalósítás"/>
    <s v="Kutató"/>
    <s v="K037000146"/>
    <s v="K031100000"/>
    <s v="Személyi jellegű költség, bérköltség "/>
    <d v="2023-05-01T00:00:00"/>
    <s v="3. mérföldkő"/>
    <s v="Köt. váll."/>
    <s v="Munkabér"/>
    <n v="475000"/>
    <n v="61750"/>
    <n v="174"/>
    <n v="174"/>
    <n v="1"/>
    <n v="475000"/>
    <n v="61750"/>
  </r>
  <r>
    <x v="2"/>
    <s v="Szakmai megvalósítás"/>
    <s v="Kutató"/>
    <s v="K037000146"/>
    <s v="K031100000"/>
    <s v="Személyi jellegű költség, bérköltség "/>
    <d v="2023-06-01T00:00:00"/>
    <s v="3. mérföldkő"/>
    <s v="Köt. váll."/>
    <s v="Munkabér"/>
    <n v="475000"/>
    <n v="61750"/>
    <n v="174"/>
    <n v="174"/>
    <n v="1"/>
    <n v="475000"/>
    <n v="61750"/>
  </r>
  <r>
    <x v="3"/>
    <s v="Átalány költségek"/>
    <s v="Projektasszisztens"/>
    <s v="K037000146"/>
    <s v="K011110000"/>
    <s v="Projektmenedzsment személyi jellegű költség, bérköltség"/>
    <d v="2022-07-01T00:00:00"/>
    <s v="2. mérföldkő"/>
    <s v="Tény"/>
    <s v="Munkabér"/>
    <n v="525000"/>
    <n v="42250"/>
    <n v="174"/>
    <n v="83"/>
    <n v="0.47701149425287354"/>
    <n v="250431"/>
    <n v="20154"/>
  </r>
  <r>
    <x v="3"/>
    <s v="Átalány költségek"/>
    <s v="Projektasszisztens"/>
    <s v="K037000146"/>
    <s v="K011110000"/>
    <s v="Projektmenedzsment személyi jellegű költség, bérköltség"/>
    <d v="2022-08-01T00:00:00"/>
    <s v="2. mérföldkő"/>
    <s v="Tény"/>
    <s v="Munkabér"/>
    <n v="525000"/>
    <n v="42250"/>
    <n v="174"/>
    <n v="83"/>
    <n v="0.47701149425287354"/>
    <n v="250431"/>
    <n v="20154"/>
  </r>
  <r>
    <x v="3"/>
    <s v="Átalány költségek"/>
    <s v="Projektasszisztens"/>
    <s v="K037000146"/>
    <s v="K011110000"/>
    <s v="Projektmenedzsment személyi jellegű költség, bérköltség"/>
    <d v="2022-09-01T00:00:00"/>
    <s v="2. mérföldkő"/>
    <s v="Tény"/>
    <s v="Munkabér"/>
    <n v="525000"/>
    <n v="42250"/>
    <n v="174"/>
    <n v="83"/>
    <n v="0.47701149425287354"/>
    <n v="250431"/>
    <n v="20154"/>
  </r>
  <r>
    <x v="3"/>
    <s v="Átalány költségek"/>
    <s v="Projektasszisztens"/>
    <s v="K037000146"/>
    <s v="K011110000"/>
    <s v="Projektmenedzsment személyi jellegű költség, bérköltség"/>
    <d v="2022-10-01T00:00:00"/>
    <s v="2. mérföldkő"/>
    <s v="Tény"/>
    <s v="Munkabér"/>
    <n v="525000"/>
    <n v="42250"/>
    <n v="174"/>
    <n v="83"/>
    <n v="0.47701149425287354"/>
    <n v="250431"/>
    <n v="20154"/>
  </r>
  <r>
    <x v="3"/>
    <s v="Átalány költségek"/>
    <s v="Projektasszisztens"/>
    <s v="K037000146"/>
    <s v="K011110000"/>
    <s v="Projektmenedzsment személyi jellegű költség, bérköltség"/>
    <d v="2022-11-01T00:00:00"/>
    <s v="2. mérföldkő"/>
    <s v="Tény"/>
    <s v="Munkabér"/>
    <n v="525000"/>
    <n v="42250"/>
    <n v="174"/>
    <n v="83"/>
    <n v="0.47701149425287354"/>
    <n v="250431"/>
    <n v="20154"/>
  </r>
  <r>
    <x v="3"/>
    <s v="Átalány költségek"/>
    <s v="Projektasszisztens"/>
    <s v="K037000146"/>
    <s v="K011110000"/>
    <s v="Projektmenedzsment személyi jellegű költség, bérköltség"/>
    <d v="2022-12-01T00:00:00"/>
    <s v="2. mérföldkő"/>
    <s v="Tény"/>
    <s v="Munkabér"/>
    <n v="525000"/>
    <n v="42250"/>
    <n v="174"/>
    <n v="83"/>
    <n v="0.47701149425287354"/>
    <n v="250431"/>
    <n v="20154"/>
  </r>
  <r>
    <x v="3"/>
    <s v="Átalány költségek"/>
    <s v="Projektasszisztens"/>
    <s v="K037000146"/>
    <s v="K011110000"/>
    <s v="Projektmenedzsment személyi jellegű költség, bérköltség"/>
    <d v="2023-01-01T00:00:00"/>
    <s v="2. mérföldkő"/>
    <s v="Köt. váll."/>
    <s v="Munkabér"/>
    <n v="525000"/>
    <n v="42250"/>
    <n v="174"/>
    <n v="83"/>
    <n v="0.47701149425287354"/>
    <n v="250431"/>
    <n v="20154"/>
  </r>
  <r>
    <x v="3"/>
    <s v="Átalány költségek"/>
    <s v="Projektasszisztens"/>
    <s v="K037000146"/>
    <s v="K011110000"/>
    <s v="Projektmenedzsment személyi jellegű költség, bérköltség"/>
    <d v="2023-02-01T00:00:00"/>
    <s v="2. mérföldkő"/>
    <s v="Köt. váll."/>
    <s v="Munkabér"/>
    <n v="525000"/>
    <n v="42250"/>
    <n v="174"/>
    <n v="83"/>
    <n v="0.47701149425287354"/>
    <n v="250431"/>
    <n v="20154"/>
  </r>
  <r>
    <x v="3"/>
    <s v="Átalány költségek"/>
    <s v="Projektasszisztens"/>
    <s v="K037000146"/>
    <s v="K011110000"/>
    <s v="Projektmenedzsment személyi jellegű költség, bérköltség"/>
    <d v="2023-03-01T00:00:00"/>
    <s v="3. mérföldkő"/>
    <s v="Köt. váll."/>
    <s v="Munkabér"/>
    <n v="525000"/>
    <n v="42250"/>
    <n v="174"/>
    <n v="83"/>
    <n v="0.47701149425287354"/>
    <n v="250431"/>
    <n v="20154"/>
  </r>
  <r>
    <x v="3"/>
    <s v="Átalány költségek"/>
    <s v="Projektasszisztens"/>
    <s v="K037000146"/>
    <s v="K011110000"/>
    <s v="Projektmenedzsment személyi jellegű költség, bérköltség"/>
    <d v="2023-04-01T00:00:00"/>
    <s v="3. mérföldkő"/>
    <s v="Köt. váll."/>
    <s v="Munkabér"/>
    <n v="525000"/>
    <n v="42250"/>
    <n v="174"/>
    <n v="83"/>
    <n v="0.47701149425287354"/>
    <n v="250431"/>
    <n v="20154"/>
  </r>
  <r>
    <x v="3"/>
    <s v="Átalány költségek"/>
    <s v="Projektasszisztens"/>
    <s v="K037000146"/>
    <s v="K011110000"/>
    <s v="Projektmenedzsment személyi jellegű költség, bérköltség"/>
    <d v="2023-05-01T00:00:00"/>
    <s v="3. mérföldkő"/>
    <s v="Köt. váll."/>
    <s v="Munkabér"/>
    <n v="525000"/>
    <n v="42250"/>
    <n v="174"/>
    <n v="83"/>
    <n v="0.47701149425287354"/>
    <n v="250431"/>
    <n v="20154"/>
  </r>
  <r>
    <x v="3"/>
    <s v="Átalány költségek"/>
    <s v="Projektasszisztens"/>
    <s v="K037000146"/>
    <s v="K011110000"/>
    <s v="Projektmenedzsment személyi jellegű költség, bérköltség"/>
    <d v="2023-06-01T00:00:00"/>
    <s v="3. mérföldkő"/>
    <s v="Köt. váll."/>
    <s v="Munkabér"/>
    <n v="525000"/>
    <n v="42250"/>
    <n v="174"/>
    <n v="83"/>
    <n v="0.47701149425287354"/>
    <n v="250431"/>
    <n v="20154"/>
  </r>
  <r>
    <x v="4"/>
    <s v="Szakmai megvalósítás"/>
    <s v="Segédszemélyzet"/>
    <s v="C017000143"/>
    <s v="C201110000"/>
    <s v="Személyi jellegű költség, bérköltség "/>
    <d v="2022-07-01T00:00:00"/>
    <s v="2. mérföldkő"/>
    <s v="Tény"/>
    <s v="Munkabér"/>
    <n v="309735"/>
    <n v="40266"/>
    <n v="174"/>
    <n v="174"/>
    <n v="1"/>
    <n v="309735"/>
    <n v="40265"/>
  </r>
  <r>
    <x v="4"/>
    <s v="Szakmai megvalósítás"/>
    <s v="Segédszemélyzet"/>
    <s v="C017000143"/>
    <s v="C201110000"/>
    <s v="Személyi jellegű költség, bérköltség "/>
    <d v="2022-08-01T00:00:00"/>
    <s v="2. mérföldkő"/>
    <s v="Tény"/>
    <s v="Munkabér"/>
    <n v="309735"/>
    <n v="40265"/>
    <n v="174"/>
    <n v="174"/>
    <n v="1"/>
    <n v="309735"/>
    <n v="40266"/>
  </r>
  <r>
    <x v="4"/>
    <s v="Szakmai megvalósítás"/>
    <s v="Segédszemélyzet"/>
    <s v="C017000143"/>
    <s v="C201110000"/>
    <s v="Személyi jellegű költség, bérköltség "/>
    <d v="2022-09-01T00:00:00"/>
    <s v="2. mérföldkő"/>
    <s v="Tény"/>
    <s v="Munkabér"/>
    <n v="309735"/>
    <n v="40265"/>
    <n v="174"/>
    <n v="174"/>
    <n v="1"/>
    <n v="309735"/>
    <n v="40266"/>
  </r>
  <r>
    <x v="4"/>
    <s v="Szakmai megvalósítás"/>
    <s v="Segédszemélyzet"/>
    <s v="C017000143"/>
    <s v="C201110000"/>
    <s v="Személyi jellegű költség, bérköltség "/>
    <d v="2022-10-01T00:00:00"/>
    <s v="2. mérföldkő"/>
    <s v="Tény"/>
    <s v="Munkabér"/>
    <n v="309735"/>
    <n v="40265"/>
    <n v="174"/>
    <n v="174"/>
    <n v="1"/>
    <n v="309735"/>
    <n v="40266"/>
  </r>
  <r>
    <x v="4"/>
    <s v="Szakmai megvalósítás"/>
    <s v="Segédszemélyzet"/>
    <s v="C017000143"/>
    <s v="C201110000"/>
    <s v="Személyi jellegű költség, bérköltség "/>
    <d v="2022-11-01T00:00:00"/>
    <s v="2. mérföldkő"/>
    <s v="Tény"/>
    <s v="Munkabér"/>
    <n v="309735"/>
    <n v="40265"/>
    <n v="174"/>
    <n v="174"/>
    <n v="1"/>
    <n v="309735"/>
    <n v="40266"/>
  </r>
  <r>
    <x v="4"/>
    <s v="Szakmai megvalósítás"/>
    <s v="Segédszemélyzet"/>
    <s v="C017000143"/>
    <s v="C201110000"/>
    <s v="Személyi jellegű költség, bérköltség "/>
    <d v="2022-12-01T00:00:00"/>
    <s v="2. mérföldkő"/>
    <s v="Tény"/>
    <s v="Munkabér"/>
    <n v="309735"/>
    <n v="40265"/>
    <n v="174"/>
    <n v="174"/>
    <n v="1"/>
    <n v="309735"/>
    <n v="40266"/>
  </r>
  <r>
    <x v="4"/>
    <s v="Szakmai megvalósítás"/>
    <s v="Segédszemélyzet"/>
    <s v="C017000143"/>
    <s v="C201110000"/>
    <s v="Személyi jellegű költség, bérköltség "/>
    <d v="2023-01-01T00:00:00"/>
    <s v="2. mérföldkő"/>
    <s v="Köt. váll."/>
    <s v="Munkabér"/>
    <n v="232301"/>
    <n v="30198"/>
    <n v="130"/>
    <n v="130"/>
    <n v="1"/>
    <n v="232301"/>
    <n v="30199"/>
  </r>
  <r>
    <x v="4"/>
    <s v="Szakmai megvalósítás"/>
    <s v="Segédszemélyzet"/>
    <s v="C017000143"/>
    <s v="C201110000"/>
    <s v="Személyi jellegű költség, bérköltség "/>
    <d v="2023-02-01T00:00:00"/>
    <s v="2. mérföldkő"/>
    <s v="Köt. váll."/>
    <s v="Munkabér"/>
    <n v="232301"/>
    <n v="30198"/>
    <n v="130"/>
    <n v="130"/>
    <n v="1"/>
    <n v="232301"/>
    <n v="30199"/>
  </r>
  <r>
    <x v="4"/>
    <s v="Szakmai megvalósítás"/>
    <s v="Segédszemélyzet"/>
    <s v="C017000143"/>
    <s v="C201110000"/>
    <s v="Személyi jellegű költség, bérköltség "/>
    <d v="2023-03-01T00:00:00"/>
    <s v="3. mérföldkő"/>
    <s v="Köt. váll."/>
    <s v="Munkabér"/>
    <n v="232301"/>
    <n v="30198"/>
    <n v="130"/>
    <n v="130"/>
    <n v="1"/>
    <n v="232301"/>
    <n v="30199"/>
  </r>
  <r>
    <x v="5"/>
    <s v="Szakmai megvalósítás"/>
    <s v="Segédszemélyzet"/>
    <s v="K037000146"/>
    <s v="K031110000"/>
    <s v="Személyi jellegű költség, bérköltség "/>
    <d v="2022-09-01T00:00:00"/>
    <s v="2. mérföldkő"/>
    <s v="Tény"/>
    <s v="Munkabér"/>
    <n v="309735"/>
    <n v="40265"/>
    <n v="174"/>
    <n v="174"/>
    <n v="1"/>
    <n v="309735"/>
    <n v="40266"/>
  </r>
  <r>
    <x v="5"/>
    <s v="Szakmai megvalósítás"/>
    <s v="Segédszemélyzet"/>
    <s v="K037000146"/>
    <s v="K031110000"/>
    <s v="Személyi jellegű költség, bérköltség "/>
    <d v="2022-10-01T00:00:00"/>
    <s v="2. mérföldkő"/>
    <s v="Tény"/>
    <s v="Munkabér"/>
    <n v="309735"/>
    <n v="40266"/>
    <n v="174"/>
    <n v="174"/>
    <n v="1"/>
    <n v="309735"/>
    <n v="20624"/>
  </r>
  <r>
    <x v="5"/>
    <s v="Szakmai megvalósítás"/>
    <s v="Segédszemélyzet"/>
    <s v="K037000146"/>
    <s v="K031110000"/>
    <s v="Személyi jellegű költség, bérköltség "/>
    <d v="2022-11-01T00:00:00"/>
    <s v="2. mérföldkő"/>
    <s v="Tény"/>
    <s v="Munkabér"/>
    <n v="309735"/>
    <n v="40265"/>
    <n v="174"/>
    <n v="174"/>
    <n v="1"/>
    <n v="309735"/>
    <n v="20624"/>
  </r>
  <r>
    <x v="5"/>
    <s v="Szakmai megvalósítás"/>
    <s v="Segédszemélyzet"/>
    <s v="K037000146"/>
    <s v="K031110000"/>
    <s v="Személyi jellegű költség, bérköltség "/>
    <d v="2022-12-01T00:00:00"/>
    <s v="2. mérföldkő"/>
    <s v="Tény"/>
    <s v="Munkabér"/>
    <n v="309735"/>
    <n v="20719"/>
    <n v="174"/>
    <n v="174"/>
    <n v="1"/>
    <n v="309735"/>
    <n v="20719"/>
  </r>
  <r>
    <x v="5"/>
    <s v="Szakmai megvalósítás"/>
    <s v="Segédszemélyzet"/>
    <s v="K037000146"/>
    <s v="K031110000"/>
    <s v="Személyi jellegű költség, bérköltség "/>
    <d v="2023-01-01T00:00:00"/>
    <s v="2. mérföldkő"/>
    <s v="Köt. váll."/>
    <s v="Munkabér"/>
    <n v="309735"/>
    <n v="40265"/>
    <n v="174"/>
    <n v="174"/>
    <n v="1"/>
    <n v="309735"/>
    <n v="20624"/>
  </r>
  <r>
    <x v="5"/>
    <s v="Szakmai megvalósítás"/>
    <s v="Segédszemélyzet"/>
    <s v="K037000146"/>
    <s v="K031110000"/>
    <s v="Személyi jellegű költség, bérköltség "/>
    <d v="2023-02-01T00:00:00"/>
    <s v="2. mérföldkő"/>
    <s v="Köt. váll."/>
    <s v="Munkabér"/>
    <n v="309735"/>
    <n v="40265"/>
    <n v="174"/>
    <n v="174"/>
    <n v="1"/>
    <n v="309735"/>
    <n v="20624"/>
  </r>
  <r>
    <x v="6"/>
    <s v="Szakmai megvalósítás"/>
    <s v="Szakmai vezető (kutató)"/>
    <s v="K037000146"/>
    <s v="K011100000"/>
    <s v="Személyi jellegű költség, bérköltség "/>
    <d v="2022-07-01T00:00:00"/>
    <s v="2. mérföldkő"/>
    <s v="Tény"/>
    <s v="Munkabér"/>
    <n v="707965"/>
    <n v="92035"/>
    <n v="174"/>
    <n v="112"/>
    <n v="0.64367816091954022"/>
    <n v="455702"/>
    <n v="59241"/>
  </r>
  <r>
    <x v="6"/>
    <s v="Szakmai megvalósítás"/>
    <s v="Szakmai vezető (kutató)"/>
    <s v="K037000146"/>
    <s v="K031100000"/>
    <s v="Személyi jellegű költség, bérköltség "/>
    <d v="2022-08-01T00:00:00"/>
    <s v="2. mérföldkő"/>
    <s v="Tény"/>
    <s v="Munkabér"/>
    <n v="707965"/>
    <n v="92035"/>
    <n v="174"/>
    <n v="112"/>
    <n v="0.64367816091954022"/>
    <n v="455702"/>
    <n v="59241"/>
  </r>
  <r>
    <x v="6"/>
    <s v="Szakmai megvalósítás"/>
    <s v="Szakmai vezető (kutató)"/>
    <s v="K037000146"/>
    <s v="K031100000"/>
    <s v="Személyi jellegű költség, bérköltség "/>
    <d v="2022-09-01T00:00:00"/>
    <s v="2. mérföldkő"/>
    <s v="Tény"/>
    <s v="Munkabér"/>
    <n v="707965"/>
    <n v="92035"/>
    <n v="174"/>
    <n v="112"/>
    <n v="0.64367816091954022"/>
    <n v="455702"/>
    <n v="59241"/>
  </r>
  <r>
    <x v="6"/>
    <s v="Szakmai megvalósítás"/>
    <s v="Szakmai vezető (kutató)"/>
    <s v="K037000146"/>
    <s v="K031100000"/>
    <s v="Személyi jellegű költség, bérköltség "/>
    <d v="2022-10-01T00:00:00"/>
    <s v="2. mérföldkő"/>
    <s v="Tény"/>
    <s v="Munkabér"/>
    <n v="707965"/>
    <n v="92035"/>
    <n v="174"/>
    <n v="112"/>
    <n v="0.64367816091954022"/>
    <n v="455702"/>
    <n v="59241"/>
  </r>
  <r>
    <x v="6"/>
    <s v="Szakmai megvalósítás"/>
    <s v="Szakmai vezető (kutató)"/>
    <s v="K037000146"/>
    <s v="K031100000"/>
    <s v="Személyi jellegű költség, bérköltség "/>
    <d v="2022-11-01T00:00:00"/>
    <s v="2. mérföldkő"/>
    <s v="Tény"/>
    <s v="Munkabér"/>
    <n v="707965"/>
    <n v="92035"/>
    <n v="174"/>
    <n v="112"/>
    <n v="0.64367816091954022"/>
    <n v="455702"/>
    <n v="59241"/>
  </r>
  <r>
    <x v="6"/>
    <s v="Szakmai megvalósítás"/>
    <s v="Szakmai vezető (kutató)"/>
    <s v="K037000146"/>
    <s v="K031100000"/>
    <s v="Személyi jellegű költség, bérköltség "/>
    <d v="2022-12-01T00:00:00"/>
    <s v="2. mérföldkő"/>
    <s v="Tény"/>
    <s v="Munkabér"/>
    <n v="707965"/>
    <n v="92035"/>
    <n v="174"/>
    <n v="112"/>
    <n v="0.64367816091954022"/>
    <n v="455702"/>
    <n v="59241"/>
  </r>
  <r>
    <x v="6"/>
    <s v="Szakmai megvalósítás"/>
    <s v="Szakmai vezető (kutató)"/>
    <s v="K037000146"/>
    <s v="K031100000"/>
    <s v="Személyi jellegű költség, bérköltség "/>
    <d v="2023-01-01T00:00:00"/>
    <s v="2. mérföldkő"/>
    <s v="Köt. váll."/>
    <s v="Munkabér"/>
    <n v="707965"/>
    <n v="92035"/>
    <n v="174"/>
    <n v="112"/>
    <n v="0.64367816091954022"/>
    <n v="455702"/>
    <n v="59241"/>
  </r>
  <r>
    <x v="6"/>
    <s v="Szakmai megvalósítás"/>
    <s v="Szakmai vezető (kutató)"/>
    <s v="K037000146"/>
    <s v="K031100000"/>
    <s v="Személyi jellegű költség, bérköltség "/>
    <d v="2023-02-01T00:00:00"/>
    <s v="2. mérföldkő"/>
    <s v="Köt. váll."/>
    <s v="Munkabér"/>
    <n v="707965"/>
    <n v="92035"/>
    <n v="174"/>
    <n v="112"/>
    <n v="0.64367816091954022"/>
    <n v="455702"/>
    <n v="59241"/>
  </r>
  <r>
    <x v="7"/>
    <s v="Szakmai megvalósítás"/>
    <s v="Fiatal kutató"/>
    <s v="C017000143"/>
    <s v="C211110000"/>
    <s v="Személyi jellegű költség, bérköltség "/>
    <d v="2022-10-01T00:00:00"/>
    <s v="2. mérföldkő"/>
    <s v="Tény"/>
    <s v="Munkabér"/>
    <n v="300000"/>
    <n v="39000"/>
    <n v="174"/>
    <n v="164"/>
    <n v="0.94252873563218387"/>
    <n v="282759"/>
    <n v="36759"/>
  </r>
  <r>
    <x v="7"/>
    <s v="Szakmai megvalósítás"/>
    <s v="Fiatal kutató"/>
    <s v="C017000143"/>
    <s v="C211110000"/>
    <s v="Személyi jellegű költség, bérköltség "/>
    <d v="2022-11-01T00:00:00"/>
    <s v="2. mérföldkő"/>
    <s v="Tény"/>
    <s v="Munkabér"/>
    <n v="300000"/>
    <n v="39000"/>
    <n v="174"/>
    <n v="164"/>
    <n v="0.94252873563218387"/>
    <n v="282759"/>
    <n v="36759"/>
  </r>
  <r>
    <x v="8"/>
    <s v="Szakmai megvalósítás"/>
    <s v="Kutató"/>
    <s v="C017000145"/>
    <s v="C241100000"/>
    <s v="Személyi jellegű költség, bérköltség "/>
    <d v="2022-07-01T00:00:00"/>
    <s v="2. mérföldkő"/>
    <s v="Tény"/>
    <s v="Munkabér"/>
    <n v="480000"/>
    <n v="62400"/>
    <n v="174"/>
    <n v="150"/>
    <n v="0.86206896551724133"/>
    <n v="413793"/>
    <n v="53793"/>
  </r>
  <r>
    <x v="8"/>
    <s v="Szakmai megvalósítás"/>
    <s v="Kutató"/>
    <s v="C017000145"/>
    <s v="C241100000"/>
    <s v="Személyi jellegű költség, bérköltség "/>
    <d v="2022-08-01T00:00:00"/>
    <s v="2. mérföldkő"/>
    <s v="Tény"/>
    <s v="Munkabér"/>
    <n v="480000"/>
    <n v="62400"/>
    <n v="174"/>
    <n v="150"/>
    <n v="0.86206896551724133"/>
    <n v="413793"/>
    <n v="53793"/>
  </r>
  <r>
    <x v="8"/>
    <s v="Szakmai megvalósítás"/>
    <s v="Kutató"/>
    <s v="C017000145"/>
    <s v="C241100000"/>
    <s v="Személyi jellegű költség, bérköltség "/>
    <d v="2022-09-01T00:00:00"/>
    <s v="2. mérföldkő"/>
    <s v="Tény"/>
    <s v="Munkabér"/>
    <n v="480000"/>
    <n v="62400"/>
    <n v="174"/>
    <n v="150"/>
    <n v="0.86206896551724133"/>
    <n v="413793"/>
    <n v="53793"/>
  </r>
  <r>
    <x v="8"/>
    <s v="Szakmai megvalósítás"/>
    <s v="Kutató"/>
    <s v="C017000145"/>
    <s v="C241100000"/>
    <s v="Személyi jellegű költség, bérköltség "/>
    <d v="2022-10-01T00:00:00"/>
    <s v="2. mérföldkő"/>
    <s v="Tény"/>
    <s v="Munkabér"/>
    <n v="480000"/>
    <n v="62400"/>
    <n v="174"/>
    <n v="150"/>
    <n v="0.86206896551724133"/>
    <n v="413793"/>
    <n v="53793"/>
  </r>
  <r>
    <x v="8"/>
    <s v="Szakmai megvalósítás"/>
    <s v="Kutató"/>
    <s v="C017000145"/>
    <s v="C241100000"/>
    <s v="Személyi jellegű költség, bérköltség "/>
    <d v="2022-11-01T00:00:00"/>
    <s v="2. mérföldkő"/>
    <s v="Tény"/>
    <s v="Munkabér"/>
    <n v="480000"/>
    <n v="62400"/>
    <n v="174"/>
    <n v="150"/>
    <n v="0.86206896551724133"/>
    <n v="413793"/>
    <n v="53793"/>
  </r>
  <r>
    <x v="8"/>
    <s v="Szakmai megvalósítás"/>
    <s v="Kutató"/>
    <s v="C017000145"/>
    <s v="C241100000"/>
    <s v="Személyi jellegű költség, bérköltség "/>
    <d v="2022-12-01T00:00:00"/>
    <s v="2. mérföldkő"/>
    <s v="Tény"/>
    <s v="Munkabér"/>
    <n v="480000"/>
    <n v="62400"/>
    <n v="174"/>
    <n v="150"/>
    <n v="0.86206896551724133"/>
    <n v="413793"/>
    <n v="53793"/>
  </r>
  <r>
    <x v="8"/>
    <s v="Szakmai megvalósítás"/>
    <s v="Kutató"/>
    <s v="C017000145"/>
    <s v="C241100000"/>
    <s v="Személyi jellegű költség, bérköltség "/>
    <d v="2023-01-01T00:00:00"/>
    <s v="2. mérföldkő"/>
    <s v="Köt. váll."/>
    <s v="Munkabér"/>
    <n v="528000"/>
    <n v="68640"/>
    <n v="174"/>
    <n v="150"/>
    <n v="0.86206896551724133"/>
    <n v="455172"/>
    <n v="59172"/>
  </r>
  <r>
    <x v="8"/>
    <s v="Szakmai megvalósítás"/>
    <s v="Kutató"/>
    <s v="C017000145"/>
    <s v="C241100000"/>
    <s v="Személyi jellegű költség, bérköltség "/>
    <d v="2023-02-01T00:00:00"/>
    <s v="2. mérföldkő"/>
    <s v="Köt. váll."/>
    <s v="Munkabér"/>
    <n v="528000"/>
    <n v="68640"/>
    <n v="174"/>
    <n v="150"/>
    <n v="0.86206896551724133"/>
    <n v="455172"/>
    <n v="59172"/>
  </r>
  <r>
    <x v="8"/>
    <s v="Szakmai megvalósítás"/>
    <s v="Kutató"/>
    <s v="C017000145"/>
    <s v="C241100000"/>
    <s v="Személyi jellegű költség, bérköltség "/>
    <d v="2023-03-01T00:00:00"/>
    <s v="3. mérföldkő"/>
    <s v="Köt. váll."/>
    <s v="Munkabér"/>
    <n v="528000"/>
    <n v="68640"/>
    <n v="174"/>
    <n v="150"/>
    <n v="0.86206896551724133"/>
    <n v="455172"/>
    <n v="59172"/>
  </r>
  <r>
    <x v="8"/>
    <s v="Szakmai megvalósítás"/>
    <s v="Kutató"/>
    <s v="C017000145"/>
    <s v="C241100000"/>
    <s v="Személyi jellegű költség, bérköltség "/>
    <d v="2023-04-01T00:00:00"/>
    <s v="3. mérföldkő"/>
    <s v="Köt. váll."/>
    <s v="Munkabér"/>
    <n v="528000"/>
    <n v="68640"/>
    <n v="174"/>
    <n v="150"/>
    <n v="0.86206896551724133"/>
    <n v="455172"/>
    <n v="59172"/>
  </r>
  <r>
    <x v="8"/>
    <s v="Szakmai megvalósítás"/>
    <s v="Kutató"/>
    <s v="C017000145"/>
    <s v="C241100000"/>
    <s v="Személyi jellegű költség, bérköltség "/>
    <d v="2023-05-01T00:00:00"/>
    <s v="3. mérföldkő"/>
    <s v="Köt. váll."/>
    <s v="Munkabér"/>
    <n v="528000"/>
    <n v="68640"/>
    <n v="174"/>
    <n v="150"/>
    <n v="0.86206896551724133"/>
    <n v="455172"/>
    <n v="59172"/>
  </r>
  <r>
    <x v="9"/>
    <s v="Szakmai megvalósítás"/>
    <s v="Kutató"/>
    <s v="C017000143"/>
    <s v="C211100000"/>
    <s v="Személyi jellegű költség, bérköltség "/>
    <d v="2023-01-01T00:00:00"/>
    <s v="2. mérföldkő"/>
    <s v="Köt. váll."/>
    <s v="Munkabér"/>
    <n v="707965"/>
    <n v="92035"/>
    <n v="174"/>
    <n v="77"/>
    <n v="0.44252873563218392"/>
    <n v="313295"/>
    <n v="40728"/>
  </r>
  <r>
    <x v="9"/>
    <s v="Szakmai megvalósítás"/>
    <s v="Kutató"/>
    <s v="C017000143"/>
    <s v="C211100000"/>
    <s v="Személyi jellegű költség, bérköltség "/>
    <d v="2023-02-01T00:00:00"/>
    <s v="2. mérföldkő"/>
    <s v="Köt. váll."/>
    <s v="Munkabér"/>
    <n v="707965"/>
    <n v="92035"/>
    <n v="174"/>
    <n v="77"/>
    <n v="0.44252873563218392"/>
    <n v="313295"/>
    <n v="40728"/>
  </r>
  <r>
    <x v="9"/>
    <s v="Szakmai megvalósítás"/>
    <s v="Kutató"/>
    <s v="C017000143"/>
    <s v="C211100000"/>
    <s v="Személyi jellegű költség, bérköltség "/>
    <d v="2023-03-01T00:00:00"/>
    <s v="3. mérföldkő"/>
    <s v="Köt. váll."/>
    <s v="Munkabér"/>
    <n v="707965"/>
    <n v="92035"/>
    <n v="174"/>
    <n v="77"/>
    <n v="0.44252873563218392"/>
    <n v="313295"/>
    <n v="40728"/>
  </r>
  <r>
    <x v="10"/>
    <s v="Szakmai megvalósítás"/>
    <s v="Kutató"/>
    <s v="C017000145"/>
    <s v="C241110000"/>
    <s v="Személyi jellegű költség, bérköltség "/>
    <d v="2022-07-01T00:00:00"/>
    <s v="2. mérföldkő"/>
    <s v="Tény"/>
    <s v="Munkabér"/>
    <n v="210000"/>
    <n v="27300"/>
    <n v="87"/>
    <n v="87"/>
    <n v="1"/>
    <n v="210000"/>
    <n v="27300"/>
  </r>
  <r>
    <x v="10"/>
    <s v="Szakmai megvalósítás"/>
    <s v="Kutató"/>
    <s v="C017000145"/>
    <s v="C241110000"/>
    <s v="Személyi jellegű költség, bérköltség "/>
    <d v="2022-08-01T00:00:00"/>
    <s v="2. mérföldkő"/>
    <s v="Tény"/>
    <s v="Munkabér"/>
    <n v="210000"/>
    <n v="27300"/>
    <n v="87"/>
    <n v="87"/>
    <n v="1"/>
    <n v="210000"/>
    <n v="27300"/>
  </r>
  <r>
    <x v="10"/>
    <s v="Szakmai megvalósítás"/>
    <s v="Kutató"/>
    <s v="C017000145"/>
    <s v="C241110000"/>
    <s v="Személyi jellegű költség, bérköltség "/>
    <d v="2022-09-01T00:00:00"/>
    <s v="2. mérföldkő"/>
    <s v="Tény"/>
    <s v="Munkabér"/>
    <n v="210000"/>
    <n v="27300"/>
    <n v="87"/>
    <n v="87"/>
    <n v="1"/>
    <n v="210000"/>
    <n v="27300"/>
  </r>
  <r>
    <x v="10"/>
    <s v="Szakmai megvalósítás"/>
    <s v="Kutató"/>
    <s v="C017000145"/>
    <s v="C241110000"/>
    <s v="Személyi jellegű költség, bérköltség "/>
    <d v="2022-10-01T00:00:00"/>
    <s v="2. mérföldkő"/>
    <s v="Tény"/>
    <s v="Munkabér"/>
    <n v="210000"/>
    <n v="27300"/>
    <n v="87"/>
    <n v="87"/>
    <n v="1"/>
    <n v="210000"/>
    <n v="27300"/>
  </r>
  <r>
    <x v="10"/>
    <s v="Szakmai megvalósítás"/>
    <s v="Kutató"/>
    <s v="C017000145"/>
    <s v="C241110000"/>
    <s v="Személyi jellegű költség, bérköltség "/>
    <d v="2022-11-01T00:00:00"/>
    <s v="2. mérföldkő"/>
    <s v="Tény"/>
    <s v="Munkabér"/>
    <n v="210000"/>
    <n v="27300"/>
    <n v="87"/>
    <n v="87"/>
    <n v="1"/>
    <n v="210000"/>
    <n v="27300"/>
  </r>
  <r>
    <x v="10"/>
    <s v="Szakmai megvalósítás"/>
    <s v="Kutató"/>
    <s v="C017000145"/>
    <s v="C241110000"/>
    <s v="Személyi jellegű költség, bérköltség "/>
    <d v="2022-12-01T00:00:00"/>
    <s v="2. mérföldkő"/>
    <s v="Tény"/>
    <s v="Munkabér"/>
    <n v="210000"/>
    <n v="27300"/>
    <n v="87"/>
    <n v="87"/>
    <n v="1"/>
    <n v="210000"/>
    <n v="27300"/>
  </r>
  <r>
    <x v="10"/>
    <s v="Szakmai megvalósítás"/>
    <s v="Kutató"/>
    <s v="C017000145"/>
    <s v="C241110000"/>
    <s v="Személyi jellegű költség, bérköltség "/>
    <d v="2023-01-01T00:00:00"/>
    <s v="2. mérföldkő"/>
    <s v="Köt. váll."/>
    <s v="Munkabér"/>
    <n v="210000"/>
    <n v="27300"/>
    <n v="87"/>
    <n v="87"/>
    <n v="1"/>
    <n v="210000"/>
    <n v="27300"/>
  </r>
  <r>
    <x v="10"/>
    <s v="Szakmai megvalósítás"/>
    <s v="Kutató"/>
    <s v="C017000145"/>
    <s v="C241110000"/>
    <s v="Személyi jellegű költség, bérköltség "/>
    <d v="2023-02-01T00:00:00"/>
    <s v="2. mérföldkő"/>
    <s v="Köt. váll."/>
    <s v="Munkabér"/>
    <n v="210000"/>
    <n v="27300"/>
    <n v="87"/>
    <n v="87"/>
    <n v="1"/>
    <n v="210000"/>
    <n v="27300"/>
  </r>
  <r>
    <x v="10"/>
    <s v="Szakmai megvalósítás"/>
    <s v="Kutató"/>
    <s v="C017000145"/>
    <s v="C241110000"/>
    <s v="Személyi jellegű költség, bérköltség "/>
    <d v="2023-03-01T00:00:00"/>
    <s v="3. mérföldkő"/>
    <s v="Köt. váll."/>
    <s v="Munkabér"/>
    <n v="210000"/>
    <n v="27300"/>
    <n v="87"/>
    <n v="87"/>
    <n v="1"/>
    <n v="210000"/>
    <n v="27300"/>
  </r>
  <r>
    <x v="10"/>
    <s v="Szakmai megvalósítás"/>
    <s v="Kutató"/>
    <s v="C017000145"/>
    <s v="C241110000"/>
    <s v="Személyi jellegű költség, bérköltség "/>
    <d v="2023-04-01T00:00:00"/>
    <s v="3. mérföldkő"/>
    <s v="Köt. váll."/>
    <s v="Munkabér"/>
    <n v="210000"/>
    <n v="27300"/>
    <n v="87"/>
    <n v="87"/>
    <n v="1"/>
    <n v="210000"/>
    <n v="27300"/>
  </r>
  <r>
    <x v="10"/>
    <s v="Szakmai megvalósítás"/>
    <s v="Kutató"/>
    <s v="C017000145"/>
    <s v="C241110000"/>
    <s v="Személyi jellegű költség, bérköltség "/>
    <d v="2023-05-01T00:00:00"/>
    <s v="3. mérföldkő"/>
    <s v="Köt. váll."/>
    <s v="Munkabér"/>
    <n v="210000"/>
    <n v="27300"/>
    <n v="87"/>
    <n v="87"/>
    <n v="1"/>
    <n v="210000"/>
    <n v="27300"/>
  </r>
  <r>
    <x v="11"/>
    <s v="Szakmai megvalósítás"/>
    <s v="Fiatal kutató"/>
    <s v="C017000143"/>
    <s v="C211100000"/>
    <s v="Személyi jellegű költség, bérköltség "/>
    <d v="2022-06-30T00:00:00"/>
    <s v="1. mérföldkő"/>
    <s v="Tény"/>
    <s v="Munkabér"/>
    <n v="700000"/>
    <n v="91000"/>
    <n v="174"/>
    <n v="174"/>
    <n v="1"/>
    <n v="700000"/>
    <n v="91000"/>
  </r>
  <r>
    <x v="11"/>
    <s v="Szakmai megvalósítás"/>
    <s v="Fiatal kutató"/>
    <s v="C017000143"/>
    <s v="C211100000"/>
    <s v="Személyi jellegű költség, bérköltség "/>
    <d v="2022-07-01T00:00:00"/>
    <s v="2. mérföldkő"/>
    <s v="Tény"/>
    <s v="Munkabér"/>
    <n v="700000"/>
    <n v="91000"/>
    <n v="174"/>
    <n v="174"/>
    <n v="1"/>
    <n v="700000"/>
    <n v="91000"/>
  </r>
  <r>
    <x v="11"/>
    <s v="Szakmai megvalósítás"/>
    <s v="Fiatal kutató"/>
    <s v="C017000143"/>
    <s v="C211100000"/>
    <s v="Személyi jellegű költség, bérköltség "/>
    <d v="2022-08-01T00:00:00"/>
    <s v="2. mérföldkő"/>
    <s v="Tény"/>
    <s v="Munkabér"/>
    <n v="700000"/>
    <n v="91000"/>
    <n v="174"/>
    <n v="174"/>
    <n v="1"/>
    <n v="700000"/>
    <n v="91000"/>
  </r>
  <r>
    <x v="11"/>
    <s v="Szakmai megvalósítás"/>
    <s v="Fiatal kutató"/>
    <s v="C017000143"/>
    <s v="C211100000"/>
    <s v="Személyi jellegű költség, bérköltség "/>
    <d v="2022-09-01T00:00:00"/>
    <s v="2. mérföldkő"/>
    <s v="Tény"/>
    <s v="Munkabér"/>
    <n v="700000"/>
    <n v="91000"/>
    <n v="174"/>
    <n v="174"/>
    <n v="1"/>
    <n v="700000"/>
    <n v="91000"/>
  </r>
  <r>
    <x v="11"/>
    <s v="Szakmai megvalósítás"/>
    <s v="Fiatal kutató"/>
    <s v="C017000143"/>
    <s v="C211100000"/>
    <s v="Személyi jellegű költség, bérköltség "/>
    <d v="2022-10-01T00:00:00"/>
    <s v="2. mérföldkő"/>
    <s v="Tény"/>
    <s v="Munkabér"/>
    <n v="700000"/>
    <n v="91000"/>
    <n v="174"/>
    <n v="174"/>
    <n v="1"/>
    <n v="700000"/>
    <n v="91000"/>
  </r>
  <r>
    <x v="11"/>
    <s v="Szakmai megvalósítás"/>
    <s v="Fiatal kutató"/>
    <s v="C017000143"/>
    <s v="C211100000"/>
    <s v="Személyi jellegű költség, bérköltség "/>
    <d v="2022-11-01T00:00:00"/>
    <s v="2. mérföldkő"/>
    <s v="Tény"/>
    <s v="Munkabér"/>
    <n v="700000"/>
    <n v="91000"/>
    <n v="174"/>
    <n v="174"/>
    <n v="1"/>
    <n v="700000"/>
    <n v="91000"/>
  </r>
  <r>
    <x v="11"/>
    <s v="Szakmai megvalósítás"/>
    <s v="Fiatal kutató"/>
    <s v="C017000143"/>
    <s v="C211100000"/>
    <s v="Személyi jellegű költség, bérköltség "/>
    <d v="2022-12-01T00:00:00"/>
    <s v="2. mérföldkő"/>
    <s v="Tény"/>
    <s v="Munkabér"/>
    <n v="700000"/>
    <n v="91000"/>
    <n v="174"/>
    <n v="174"/>
    <n v="1"/>
    <n v="700000"/>
    <n v="91000"/>
  </r>
  <r>
    <x v="11"/>
    <s v="Szakmai megvalósítás"/>
    <s v="Fiatal kutató"/>
    <s v="C017000143"/>
    <s v="C211100000"/>
    <s v="Személyi jellegű költség, bérköltség "/>
    <d v="2023-01-01T00:00:00"/>
    <s v="2. mérföldkő"/>
    <s v="Köt. váll."/>
    <s v="Munkabér"/>
    <n v="700000"/>
    <n v="91000"/>
    <n v="174"/>
    <n v="174"/>
    <n v="1"/>
    <n v="700000"/>
    <n v="91000"/>
  </r>
  <r>
    <x v="11"/>
    <s v="Szakmai megvalósítás"/>
    <s v="Fiatal kutató"/>
    <s v="C017000143"/>
    <s v="C211100000"/>
    <s v="Személyi jellegű költség, bérköltség "/>
    <d v="2023-02-01T00:00:00"/>
    <s v="2. mérföldkő"/>
    <s v="Köt. váll."/>
    <s v="Munkabér"/>
    <n v="700000"/>
    <n v="91000"/>
    <n v="174"/>
    <n v="174"/>
    <n v="1"/>
    <n v="700000"/>
    <n v="91000"/>
  </r>
  <r>
    <x v="12"/>
    <s v="Szakmai megvalósítás"/>
    <s v="Kutató"/>
    <s v="K037000146"/>
    <s v="K031110000"/>
    <s v="Személyi jellegű költség, bérköltség "/>
    <d v="2022-08-01T00:00:00"/>
    <s v="2. mérföldkő"/>
    <s v="Tény"/>
    <s v="Munkabér"/>
    <n v="439999"/>
    <n v="57200"/>
    <n v="174"/>
    <n v="87"/>
    <n v="0.5"/>
    <n v="220000"/>
    <n v="28600"/>
  </r>
  <r>
    <x v="12"/>
    <s v="Szakmai megvalósítás"/>
    <s v="Kutató"/>
    <s v="K037000146"/>
    <s v="K031110000"/>
    <s v="Személyi jellegű költség, bérköltség "/>
    <d v="2022-09-01T00:00:00"/>
    <s v="2. mérföldkő"/>
    <s v="Tény"/>
    <s v="Munkabér"/>
    <n v="440000"/>
    <n v="57200"/>
    <n v="174"/>
    <n v="87"/>
    <n v="0.5"/>
    <n v="220000"/>
    <n v="28600"/>
  </r>
  <r>
    <x v="12"/>
    <s v="Szakmai megvalósítás"/>
    <s v="Kutató"/>
    <s v="K037000146"/>
    <s v="K031110000"/>
    <s v="Személyi jellegű költség, bérköltség "/>
    <d v="2022-10-01T00:00:00"/>
    <s v="2. mérföldkő"/>
    <s v="Tény"/>
    <s v="Munkabér"/>
    <n v="440000"/>
    <n v="57200"/>
    <n v="174"/>
    <n v="87"/>
    <n v="0.5"/>
    <n v="220000"/>
    <n v="28600"/>
  </r>
  <r>
    <x v="12"/>
    <s v="Szakmai megvalósítás"/>
    <s v="Kutató"/>
    <s v="K037000146"/>
    <s v="K031110000"/>
    <s v="Személyi jellegű költség, bérköltség "/>
    <d v="2022-11-01T00:00:00"/>
    <s v="2. mérföldkő"/>
    <s v="Tény"/>
    <s v="Munkabér"/>
    <n v="440000"/>
    <n v="57200"/>
    <n v="174"/>
    <n v="87"/>
    <n v="0.5"/>
    <n v="220000"/>
    <n v="28600"/>
  </r>
  <r>
    <x v="12"/>
    <s v="Szakmai megvalósítás"/>
    <s v="Kutató"/>
    <s v="K037000146"/>
    <s v="K031110000"/>
    <s v="Személyi jellegű költség, bérköltség "/>
    <d v="2022-12-01T00:00:00"/>
    <s v="2. mérföldkő"/>
    <s v="Tény"/>
    <s v="Munkabér"/>
    <n v="398096"/>
    <n v="51752"/>
    <n v="174"/>
    <n v="87"/>
    <n v="0.5"/>
    <n v="199048"/>
    <n v="25876"/>
  </r>
  <r>
    <x v="12"/>
    <s v="Szakmai megvalósítás"/>
    <s v="Kutató"/>
    <s v="K037000146"/>
    <s v="K031110000"/>
    <s v="Személyi jellegű költség, bérköltség "/>
    <d v="2023-01-01T00:00:00"/>
    <s v="2. mérföldkő"/>
    <s v="Köt. váll."/>
    <s v="Munkabér"/>
    <n v="470000"/>
    <n v="61100"/>
    <n v="174"/>
    <n v="93"/>
    <n v="0.53448275862068961"/>
    <n v="251207"/>
    <n v="32657"/>
  </r>
  <r>
    <x v="12"/>
    <s v="Szakmai megvalósítás"/>
    <s v="Kutató"/>
    <s v="K037000146"/>
    <s v="K031110000"/>
    <s v="Személyi jellegű költség, bérköltség "/>
    <d v="2023-02-01T00:00:00"/>
    <s v="2. mérföldkő"/>
    <s v="Köt. váll."/>
    <s v="Munkabér"/>
    <n v="470000"/>
    <n v="61100"/>
    <n v="174"/>
    <n v="93"/>
    <n v="0.53448275862068961"/>
    <n v="251207"/>
    <n v="32657"/>
  </r>
  <r>
    <x v="13"/>
    <s v="Szakmai megvalósítás"/>
    <s v="Kutató"/>
    <s v="K037000146"/>
    <s v="K031100000"/>
    <s v="Személyi jellegű költség, bérköltség "/>
    <d v="2022-09-01T00:00:00"/>
    <s v="2. mérföldkő"/>
    <s v="Tény"/>
    <s v="Munkabér"/>
    <n v="345000"/>
    <n v="44850"/>
    <n v="174"/>
    <n v="126"/>
    <n v="0.72413793103448276"/>
    <n v="249828"/>
    <n v="32478"/>
  </r>
  <r>
    <x v="13"/>
    <s v="Szakmai megvalósítás"/>
    <s v="Kutató"/>
    <s v="K037000146"/>
    <s v="K031100000"/>
    <s v="Személyi jellegű költség, bérköltség "/>
    <d v="2022-10-01T00:00:00"/>
    <s v="2. mérföldkő"/>
    <s v="Tény"/>
    <s v="Munkabér"/>
    <n v="345000"/>
    <n v="44850"/>
    <n v="174"/>
    <n v="126"/>
    <n v="0.72413793103448276"/>
    <n v="249828"/>
    <n v="32478"/>
  </r>
  <r>
    <x v="13"/>
    <s v="Szakmai megvalósítás"/>
    <s v="Kutató"/>
    <s v="K037000146"/>
    <s v="K031100000"/>
    <s v="Személyi jellegű költség, bérköltség "/>
    <d v="2022-11-01T00:00:00"/>
    <s v="2. mérföldkő"/>
    <s v="Tény"/>
    <s v="Munkabér"/>
    <n v="345000"/>
    <n v="44850"/>
    <n v="174"/>
    <n v="126"/>
    <n v="0.72413793103448276"/>
    <n v="249828"/>
    <n v="32478"/>
  </r>
  <r>
    <x v="13"/>
    <s v="Szakmai megvalósítás"/>
    <s v="Kutató"/>
    <s v="K037000146"/>
    <s v="K031100000"/>
    <s v="Személyi jellegű költség, bérköltség "/>
    <d v="2022-12-01T00:00:00"/>
    <s v="2. mérföldkő"/>
    <s v="Tény"/>
    <s v="Munkabér"/>
    <n v="344999"/>
    <n v="44850"/>
    <n v="174"/>
    <n v="126"/>
    <n v="0.72413793103448276"/>
    <n v="249827"/>
    <n v="32478"/>
  </r>
  <r>
    <x v="13"/>
    <s v="Szakmai megvalósítás"/>
    <s v="Kutató"/>
    <s v="K037000146"/>
    <s v="K031100000"/>
    <s v="Személyi jellegű költség, bérköltség "/>
    <d v="2023-01-01T00:00:00"/>
    <s v="2. mérföldkő"/>
    <s v="Köt. váll."/>
    <s v="Munkabér"/>
    <n v="345000"/>
    <n v="44850"/>
    <n v="174"/>
    <n v="126"/>
    <n v="0.72413793103448276"/>
    <n v="249828"/>
    <n v="32478"/>
  </r>
  <r>
    <x v="13"/>
    <s v="Szakmai megvalósítás"/>
    <s v="Kutató"/>
    <s v="K037000146"/>
    <s v="K031100000"/>
    <s v="Személyi jellegű költség, bérköltség "/>
    <d v="2023-02-01T00:00:00"/>
    <s v="2. mérföldkő"/>
    <s v="Köt. váll."/>
    <s v="Munkabér"/>
    <n v="345000"/>
    <n v="44850"/>
    <n v="174"/>
    <n v="126"/>
    <n v="0.72413793103448276"/>
    <n v="249828"/>
    <n v="32478"/>
  </r>
  <r>
    <x v="14"/>
    <s v="Szakmai megvalósítás"/>
    <s v="Kutató"/>
    <s v="C017000143"/>
    <s v="K031100000"/>
    <s v="Személyi jellegű költség, bérköltség "/>
    <d v="2022-08-01T00:00:00"/>
    <s v="2. mérföldkő"/>
    <s v="Tény"/>
    <s v="Munkabér"/>
    <n v="550000"/>
    <n v="71500"/>
    <n v="174"/>
    <n v="57"/>
    <n v="0.32758620689655171"/>
    <n v="180172"/>
    <n v="23422"/>
  </r>
  <r>
    <x v="14"/>
    <s v="Szakmai megvalósítás"/>
    <s v="Kutató"/>
    <s v="C017000143"/>
    <s v="K031100000"/>
    <s v="Személyi jellegű költség, bérköltség "/>
    <d v="2022-09-01T00:00:00"/>
    <s v="2. mérföldkő"/>
    <s v="Tény"/>
    <s v="Munkabér"/>
    <n v="550000"/>
    <n v="71500"/>
    <n v="174"/>
    <n v="57"/>
    <n v="0.32758620689655171"/>
    <n v="180172"/>
    <n v="23422"/>
  </r>
  <r>
    <x v="14"/>
    <s v="Szakmai megvalósítás"/>
    <s v="Kutató"/>
    <s v="C017000143"/>
    <s v="K031100000"/>
    <s v="Személyi jellegű költség, bérköltség "/>
    <d v="2022-10-01T00:00:00"/>
    <s v="2. mérföldkő"/>
    <s v="Tény"/>
    <s v="Munkabér"/>
    <n v="549999"/>
    <n v="71500"/>
    <n v="174"/>
    <n v="57"/>
    <n v="0.32758620689655171"/>
    <n v="180172"/>
    <n v="23422"/>
  </r>
  <r>
    <x v="14"/>
    <s v="Szakmai megvalósítás"/>
    <s v="Kutató"/>
    <s v="C017000143"/>
    <s v="K031100000"/>
    <s v="Személyi jellegű költség, bérköltség "/>
    <d v="2022-11-01T00:00:00"/>
    <s v="2. mérföldkő"/>
    <s v="Tény"/>
    <s v="Munkabér"/>
    <n v="550000"/>
    <n v="71500"/>
    <n v="174"/>
    <n v="57"/>
    <n v="0.32758620689655171"/>
    <n v="180172"/>
    <n v="23422"/>
  </r>
  <r>
    <x v="14"/>
    <s v="Szakmai megvalósítás"/>
    <s v="Kutató"/>
    <s v="C017000143"/>
    <s v="K031100000"/>
    <s v="Személyi jellegű költség, bérköltség "/>
    <d v="2022-12-01T00:00:00"/>
    <s v="2. mérföldkő"/>
    <s v="Tény"/>
    <s v="Munkabér"/>
    <n v="550000"/>
    <n v="71500"/>
    <n v="174"/>
    <n v="57"/>
    <n v="0.32758620689655171"/>
    <n v="180172"/>
    <n v="23422"/>
  </r>
  <r>
    <x v="14"/>
    <s v="Szakmai megvalósítás"/>
    <s v="Kutató"/>
    <s v="C017000143"/>
    <s v="K031100000"/>
    <s v="Személyi jellegű költség, bérköltség "/>
    <d v="2023-01-01T00:00:00"/>
    <s v="2. mérföldkő"/>
    <s v="Köt. váll."/>
    <s v="Munkabér"/>
    <n v="560000"/>
    <n v="72800"/>
    <n v="174"/>
    <n v="59"/>
    <n v="0.33908045977011492"/>
    <n v="189885"/>
    <n v="24685"/>
  </r>
  <r>
    <x v="14"/>
    <s v="Szakmai megvalósítás"/>
    <s v="Kutató"/>
    <s v="C017000143"/>
    <s v="K031100000"/>
    <s v="Személyi jellegű költség, bérköltség "/>
    <d v="2023-02-01T00:00:00"/>
    <s v="2. mérföldkő"/>
    <s v="Köt. váll."/>
    <s v="Munkabér"/>
    <n v="560000"/>
    <n v="72800"/>
    <n v="174"/>
    <n v="59"/>
    <n v="0.33908045977011492"/>
    <n v="189885"/>
    <n v="24685"/>
  </r>
  <r>
    <x v="15"/>
    <s v="Szakmai megvalósítás"/>
    <s v="Segédszemélyzet"/>
    <s v="C017000143"/>
    <s v="C211110000"/>
    <s v="Személyi jellegű költség, bérköltség "/>
    <d v="2023-01-01T00:00:00"/>
    <s v="2. mérföldkő"/>
    <s v="Köt. váll."/>
    <s v="Munkabér"/>
    <n v="309735"/>
    <n v="40265"/>
    <n v="174"/>
    <n v="52"/>
    <n v="0.2988505747126437"/>
    <n v="92564"/>
    <n v="12033"/>
  </r>
  <r>
    <x v="15"/>
    <s v="Szakmai megvalósítás"/>
    <s v="Segédszemélyzet"/>
    <s v="C017000143"/>
    <s v="C211110000"/>
    <s v="Személyi jellegű költség, bérköltség "/>
    <d v="2023-02-01T00:00:00"/>
    <s v="2. mérföldkő"/>
    <s v="Köt. váll."/>
    <s v="Munkabér"/>
    <n v="309735"/>
    <n v="40265"/>
    <n v="174"/>
    <n v="52"/>
    <n v="0.2988505747126437"/>
    <n v="92564"/>
    <n v="12033"/>
  </r>
  <r>
    <x v="15"/>
    <s v="Szakmai megvalósítás"/>
    <s v="Segédszemélyzet"/>
    <s v="C017000143"/>
    <s v="C211110000"/>
    <s v="Személyi jellegű költség, bérköltség "/>
    <d v="2023-03-01T00:00:00"/>
    <s v="3. mérföldkő"/>
    <s v="Köt. váll."/>
    <s v="Munkabér"/>
    <n v="309735"/>
    <n v="40265"/>
    <n v="174"/>
    <n v="52"/>
    <n v="0.2988505747126437"/>
    <n v="92564"/>
    <n v="12033"/>
  </r>
  <r>
    <x v="16"/>
    <s v="Szakmai megvalósítás"/>
    <s v="Fiatal kutató"/>
    <s v="C017000145"/>
    <s v="C241100000"/>
    <s v="Személyi jellegű költség, bérköltség "/>
    <d v="2022-07-01T00:00:00"/>
    <s v="2. mérföldkő"/>
    <s v="Tény"/>
    <s v="Munkabér"/>
    <n v="176991"/>
    <n v="23009"/>
    <n v="87"/>
    <n v="87"/>
    <n v="1"/>
    <n v="176991"/>
    <n v="23009"/>
  </r>
  <r>
    <x v="16"/>
    <s v="Szakmai megvalósítás"/>
    <s v="Fiatal kutató"/>
    <s v="C017000145"/>
    <s v="C241100000"/>
    <s v="Személyi jellegű költség, bérköltség "/>
    <d v="2022-08-01T00:00:00"/>
    <s v="2. mérföldkő"/>
    <s v="Tény"/>
    <s v="Munkabér"/>
    <n v="176991"/>
    <n v="23009"/>
    <n v="87"/>
    <n v="87"/>
    <n v="1"/>
    <n v="176991"/>
    <n v="23009"/>
  </r>
  <r>
    <x v="16"/>
    <s v="Szakmai megvalósítás"/>
    <s v="Fiatal kutató"/>
    <s v="C017000145"/>
    <s v="C241100000"/>
    <s v="Személyi jellegű költség, bérköltség "/>
    <d v="2022-09-01T00:00:00"/>
    <s v="2. mérföldkő"/>
    <s v="Tény"/>
    <s v="Munkabér"/>
    <n v="176991"/>
    <n v="23009"/>
    <n v="87"/>
    <n v="87"/>
    <n v="1"/>
    <n v="176991"/>
    <n v="23009"/>
  </r>
  <r>
    <x v="16"/>
    <s v="Szakmai megvalósítás"/>
    <s v="Fiatal kutató"/>
    <s v="C017000145"/>
    <s v="C241100000"/>
    <s v="Személyi jellegű költség, bérköltség "/>
    <d v="2022-10-01T00:00:00"/>
    <s v="2. mérföldkő"/>
    <s v="Tény"/>
    <s v="Munkabér"/>
    <n v="176991"/>
    <n v="23009"/>
    <n v="87"/>
    <n v="87"/>
    <n v="1"/>
    <n v="176991"/>
    <n v="23009"/>
  </r>
  <r>
    <x v="16"/>
    <s v="Szakmai megvalósítás"/>
    <s v="Fiatal kutató"/>
    <s v="C017000145"/>
    <s v="C241100000"/>
    <s v="Személyi jellegű költség, bérköltség "/>
    <d v="2022-11-01T00:00:00"/>
    <s v="2. mérföldkő"/>
    <s v="Tény"/>
    <s v="Munkabér"/>
    <n v="176991"/>
    <n v="23009"/>
    <n v="87"/>
    <n v="87"/>
    <n v="1"/>
    <n v="176991"/>
    <n v="23009"/>
  </r>
  <r>
    <x v="16"/>
    <s v="Szakmai megvalósítás"/>
    <s v="Fiatal kutató"/>
    <s v="C017000145"/>
    <s v="C241100000"/>
    <s v="Személyi jellegű költség, bérköltség "/>
    <d v="2022-12-01T00:00:00"/>
    <s v="2. mérföldkő"/>
    <s v="Tény"/>
    <s v="Munkabér"/>
    <n v="176991"/>
    <n v="23009"/>
    <n v="87"/>
    <n v="87"/>
    <n v="1"/>
    <n v="176991"/>
    <n v="23009"/>
  </r>
  <r>
    <x v="16"/>
    <s v="Szakmai megvalósítás"/>
    <s v="Fiatal kutató"/>
    <s v="C017000145"/>
    <s v="C241100000"/>
    <s v="Személyi jellegű költség, bérköltség "/>
    <d v="2023-01-01T00:00:00"/>
    <s v="2. mérföldkő"/>
    <s v="Köt. váll."/>
    <s v="Munkabér"/>
    <n v="176991"/>
    <n v="23009"/>
    <n v="87"/>
    <n v="87"/>
    <n v="1"/>
    <n v="176991"/>
    <n v="23009"/>
  </r>
  <r>
    <x v="16"/>
    <s v="Szakmai megvalósítás"/>
    <s v="Fiatal kutató"/>
    <s v="C017000145"/>
    <s v="C241100000"/>
    <s v="Személyi jellegű költség, bérköltség "/>
    <d v="2023-02-01T00:00:00"/>
    <s v="2. mérföldkő"/>
    <s v="Köt. váll."/>
    <s v="Munkabér"/>
    <n v="176991"/>
    <n v="23009"/>
    <n v="87"/>
    <n v="87"/>
    <n v="1"/>
    <n v="176991"/>
    <n v="23009"/>
  </r>
  <r>
    <x v="16"/>
    <s v="Szakmai megvalósítás"/>
    <s v="Fiatal kutató"/>
    <s v="C017000145"/>
    <s v="C241100000"/>
    <s v="Személyi jellegű költség, bérköltség "/>
    <d v="2023-03-01T00:00:00"/>
    <s v="3. mérföldkő"/>
    <s v="Köt. váll."/>
    <s v="Munkabér"/>
    <n v="176991"/>
    <n v="23009"/>
    <n v="87"/>
    <n v="87"/>
    <n v="1"/>
    <n v="176991"/>
    <n v="23009"/>
  </r>
  <r>
    <x v="16"/>
    <s v="Szakmai megvalósítás"/>
    <s v="Fiatal kutató"/>
    <s v="C017000145"/>
    <s v="C241100000"/>
    <s v="Személyi jellegű költség, bérköltség "/>
    <d v="2023-04-01T00:00:00"/>
    <s v="3. mérföldkő"/>
    <s v="Köt. váll."/>
    <s v="Munkabér"/>
    <n v="176991"/>
    <n v="23009"/>
    <n v="87"/>
    <n v="87"/>
    <n v="1"/>
    <n v="176991"/>
    <n v="23009"/>
  </r>
  <r>
    <x v="16"/>
    <s v="Szakmai megvalósítás"/>
    <s v="Fiatal kutató"/>
    <s v="C017000145"/>
    <s v="C241100000"/>
    <s v="Személyi jellegű költség, bérköltség "/>
    <d v="2023-05-01T00:00:00"/>
    <s v="3. mérföldkő"/>
    <s v="Köt. váll."/>
    <s v="Munkabér"/>
    <n v="176991"/>
    <n v="23009"/>
    <n v="87"/>
    <n v="87"/>
    <n v="1"/>
    <n v="176991"/>
    <n v="23009"/>
  </r>
  <r>
    <x v="17"/>
    <s v="Szakmai megvalósítás"/>
    <s v="Kutató"/>
    <s v="C017000143"/>
    <s v="C211100000"/>
    <s v="Személyi jellegű költség, bérköltség "/>
    <d v="2022-09-01T00:00:00"/>
    <s v="2. mérföldkő"/>
    <s v="Tény"/>
    <s v="Munkabér"/>
    <n v="605000"/>
    <n v="78650"/>
    <n v="174"/>
    <n v="124"/>
    <n v="0.71264367816091956"/>
    <n v="431149"/>
    <n v="56049"/>
  </r>
  <r>
    <x v="17"/>
    <s v="Szakmai megvalósítás"/>
    <s v="Kutató"/>
    <s v="C017000143"/>
    <s v="C211100000"/>
    <s v="Személyi jellegű költség, bérköltség "/>
    <d v="2022-10-01T00:00:00"/>
    <s v="2. mérföldkő"/>
    <s v="Tény"/>
    <s v="Munkabér"/>
    <n v="605000"/>
    <n v="78650"/>
    <n v="174"/>
    <n v="124"/>
    <n v="0.71264367816091956"/>
    <n v="431149"/>
    <n v="56049"/>
  </r>
  <r>
    <x v="17"/>
    <s v="Szakmai megvalósítás"/>
    <s v="Kutató"/>
    <s v="C017000143"/>
    <s v="C211100000"/>
    <s v="Személyi jellegű költség, bérköltség "/>
    <d v="2022-11-01T00:00:00"/>
    <s v="2. mérföldkő"/>
    <s v="Tény"/>
    <s v="Munkabér"/>
    <n v="605000"/>
    <n v="78650"/>
    <n v="174"/>
    <n v="124"/>
    <n v="0.71264367816091956"/>
    <n v="431149"/>
    <n v="56049"/>
  </r>
  <r>
    <x v="17"/>
    <s v="Szakmai megvalósítás"/>
    <s v="Kutató"/>
    <s v="C017000143"/>
    <s v="C211100000"/>
    <s v="Személyi jellegű költség, bérköltség "/>
    <d v="2022-12-01T00:00:00"/>
    <s v="2. mérföldkő"/>
    <s v="Tény"/>
    <s v="Munkabér"/>
    <n v="605000"/>
    <n v="78650"/>
    <n v="174"/>
    <n v="124"/>
    <n v="0.71264367816091956"/>
    <n v="431149"/>
    <n v="56049"/>
  </r>
  <r>
    <x v="17"/>
    <s v="Szakmai megvalósítás"/>
    <s v="Kutató"/>
    <s v="C017000143"/>
    <s v="C211100000"/>
    <s v="Személyi jellegű költség, bérköltség "/>
    <d v="2023-01-01T00:00:00"/>
    <s v="2. mérföldkő"/>
    <s v="Köt. váll."/>
    <s v="Munkabér"/>
    <n v="605000"/>
    <n v="78650"/>
    <n v="174"/>
    <n v="124"/>
    <n v="0.71264367816091956"/>
    <n v="431149"/>
    <n v="56049"/>
  </r>
  <r>
    <x v="17"/>
    <s v="Szakmai megvalósítás"/>
    <s v="Kutató"/>
    <s v="C017000143"/>
    <s v="C211100000"/>
    <s v="Személyi jellegű költség, bérköltség "/>
    <d v="2023-02-01T00:00:00"/>
    <s v="2. mérföldkő"/>
    <s v="Köt. váll."/>
    <s v="Munkabér"/>
    <n v="605000"/>
    <n v="78650"/>
    <n v="174"/>
    <n v="124"/>
    <n v="0.71264367816091956"/>
    <n v="431149"/>
    <n v="56049"/>
  </r>
  <r>
    <x v="18"/>
    <s v="Szakmai megvalósítás"/>
    <s v="Segédszemélyzet"/>
    <s v="K037000146"/>
    <s v="K011110000"/>
    <s v="Személyi jellegű költség, bérköltség "/>
    <d v="2022-09-01T00:00:00"/>
    <s v="2. mérföldkő"/>
    <s v="Tény"/>
    <s v="Munkabér"/>
    <n v="232301"/>
    <n v="30199"/>
    <n v="130"/>
    <n v="52"/>
    <n v="0.4"/>
    <n v="92920"/>
    <n v="12080"/>
  </r>
  <r>
    <x v="18"/>
    <s v="Szakmai megvalósítás"/>
    <s v="Segédszemélyzet"/>
    <s v="K037000146"/>
    <s v="K011110000"/>
    <s v="Személyi jellegű költség, bérköltség "/>
    <d v="2022-10-01T00:00:00"/>
    <s v="2. mérföldkő"/>
    <s v="Tény"/>
    <s v="Munkabér"/>
    <n v="232301"/>
    <n v="30199"/>
    <n v="130"/>
    <n v="52"/>
    <n v="0.4"/>
    <n v="92920"/>
    <n v="4027"/>
  </r>
  <r>
    <x v="18"/>
    <s v="Szakmai megvalósítás"/>
    <s v="Segédszemélyzet"/>
    <s v="K037000146"/>
    <s v="K011110000"/>
    <s v="Személyi jellegű költség, bérköltség "/>
    <d v="2022-11-01T00:00:00"/>
    <s v="2. mérföldkő"/>
    <s v="Tény"/>
    <s v="Munkabér"/>
    <n v="232301"/>
    <n v="30199"/>
    <n v="130"/>
    <n v="52"/>
    <n v="0.4"/>
    <n v="92920"/>
    <n v="4027"/>
  </r>
  <r>
    <x v="18"/>
    <s v="Szakmai megvalósítás"/>
    <s v="Segédszemélyzet"/>
    <s v="K037000146"/>
    <s v="K011110000"/>
    <s v="Személyi jellegű költség, bérköltség "/>
    <d v="2022-12-01T00:00:00"/>
    <s v="2. mérföldkő"/>
    <s v="Tény"/>
    <s v="Munkabér"/>
    <n v="232301"/>
    <n v="30199"/>
    <n v="130"/>
    <n v="52"/>
    <n v="0.4"/>
    <n v="92920"/>
    <n v="4080"/>
  </r>
  <r>
    <x v="18"/>
    <s v="Szakmai megvalósítás"/>
    <s v="Segédszemélyzet"/>
    <s v="K037000146"/>
    <s v="K011110000"/>
    <s v="Személyi jellegű költség, bérköltség "/>
    <d v="2023-01-01T00:00:00"/>
    <s v="2. mérföldkő"/>
    <s v="Köt. váll."/>
    <s v="Munkabér"/>
    <n v="232301"/>
    <n v="30199"/>
    <n v="130"/>
    <n v="52"/>
    <n v="0.4"/>
    <n v="92920"/>
    <n v="4027"/>
  </r>
  <r>
    <x v="18"/>
    <s v="Szakmai megvalósítás"/>
    <s v="Segédszemélyzet"/>
    <s v="K037000146"/>
    <s v="K011110000"/>
    <s v="Személyi jellegű költség, bérköltség "/>
    <d v="2023-02-01T00:00:00"/>
    <s v="2. mérföldkő"/>
    <s v="Köt. váll."/>
    <s v="Munkabér"/>
    <n v="232301"/>
    <n v="30199"/>
    <n v="130"/>
    <n v="52"/>
    <n v="0.4"/>
    <n v="92920"/>
    <n v="4027"/>
  </r>
  <r>
    <x v="18"/>
    <s v="Szakmai megvalósítás"/>
    <s v="Segédszemélyzet"/>
    <s v="K037000146"/>
    <s v="K011110000"/>
    <s v="Személyi jellegű költség, bérköltség "/>
    <d v="2023-03-01T00:00:00"/>
    <s v="3. mérföldkő"/>
    <s v="Köt. váll."/>
    <s v="Munkabér"/>
    <n v="232301"/>
    <n v="30199"/>
    <n v="130"/>
    <n v="52"/>
    <n v="0.4"/>
    <n v="92920"/>
    <n v="4027"/>
  </r>
  <r>
    <x v="18"/>
    <s v="Szakmai megvalósítás"/>
    <s v="Segédszemélyzet"/>
    <s v="K037000146"/>
    <s v="K011110000"/>
    <s v="Személyi jellegű költség, bérköltség "/>
    <d v="2023-04-01T00:00:00"/>
    <s v="3. mérföldkő"/>
    <s v="Köt. váll."/>
    <s v="Munkabér"/>
    <n v="232301"/>
    <n v="30199"/>
    <n v="130"/>
    <n v="52"/>
    <n v="0.4"/>
    <n v="92920"/>
    <n v="4027"/>
  </r>
  <r>
    <x v="18"/>
    <s v="Szakmai megvalósítás"/>
    <s v="Segédszemélyzet"/>
    <s v="K037000146"/>
    <s v="K011110000"/>
    <s v="Személyi jellegű költség, bérköltség "/>
    <d v="2023-05-01T00:00:00"/>
    <s v="3. mérföldkő"/>
    <s v="Köt. váll."/>
    <s v="Munkabér"/>
    <n v="232301"/>
    <n v="30199"/>
    <n v="130"/>
    <n v="52"/>
    <n v="0.4"/>
    <n v="92920"/>
    <n v="4027"/>
  </r>
  <r>
    <x v="19"/>
    <s v="Szakmai megvalósítás"/>
    <s v="Vezető kutató"/>
    <s v="C017000145"/>
    <s v="C241100000"/>
    <s v="Személyi jellegű költség, bérköltség "/>
    <d v="2022-07-01T00:00:00"/>
    <s v="2. mérföldkő"/>
    <s v="Tény"/>
    <s v="Munkabér"/>
    <n v="884956"/>
    <n v="115044"/>
    <n v="174"/>
    <n v="158"/>
    <n v="0.90804597701149425"/>
    <n v="803581"/>
    <n v="104466"/>
  </r>
  <r>
    <x v="19"/>
    <s v="Szakmai megvalósítás"/>
    <s v="Vezető kutató"/>
    <s v="C017000145"/>
    <s v="C241100000"/>
    <s v="Személyi jellegű költség, bérköltség "/>
    <d v="2022-08-01T00:00:00"/>
    <s v="2. mérföldkő"/>
    <s v="Tény"/>
    <s v="Munkabér"/>
    <n v="884956"/>
    <n v="115044"/>
    <n v="174"/>
    <n v="158"/>
    <n v="0.90804597701149425"/>
    <n v="803581"/>
    <n v="104466"/>
  </r>
  <r>
    <x v="19"/>
    <s v="Szakmai megvalósítás"/>
    <s v="Vezető kutató"/>
    <s v="C017000145"/>
    <s v="C241100000"/>
    <s v="Személyi jellegű költség, bérköltség "/>
    <d v="2022-09-01T00:00:00"/>
    <s v="2. mérföldkő"/>
    <s v="Tény"/>
    <s v="Munkabér"/>
    <n v="884956"/>
    <n v="115044"/>
    <n v="174"/>
    <n v="158"/>
    <n v="0.90804597701149425"/>
    <n v="803581"/>
    <n v="104466"/>
  </r>
  <r>
    <x v="19"/>
    <s v="Szakmai megvalósítás"/>
    <s v="Vezető kutató"/>
    <s v="C017000145"/>
    <s v="C241100000"/>
    <s v="Személyi jellegű költség, bérköltség "/>
    <d v="2022-10-01T00:00:00"/>
    <s v="2. mérföldkő"/>
    <s v="Tény"/>
    <s v="Munkabér"/>
    <n v="884956"/>
    <n v="115044"/>
    <n v="174"/>
    <n v="158"/>
    <n v="0.90804597701149425"/>
    <n v="803581"/>
    <n v="104466"/>
  </r>
  <r>
    <x v="19"/>
    <s v="Szakmai megvalósítás"/>
    <s v="Vezető kutató"/>
    <s v="C017000145"/>
    <s v="C241100000"/>
    <s v="Személyi jellegű költség, bérköltség "/>
    <d v="2022-11-01T00:00:00"/>
    <s v="2. mérföldkő"/>
    <s v="Tény"/>
    <s v="Munkabér"/>
    <n v="884956"/>
    <n v="115044"/>
    <n v="174"/>
    <n v="158"/>
    <n v="0.90804597701149425"/>
    <n v="803581"/>
    <n v="104466"/>
  </r>
  <r>
    <x v="19"/>
    <s v="Szakmai megvalósítás"/>
    <s v="Vezető kutató"/>
    <s v="C017000145"/>
    <s v="C241100000"/>
    <s v="Személyi jellegű költség, bérköltség "/>
    <d v="2022-12-01T00:00:00"/>
    <s v="2. mérföldkő"/>
    <s v="Tény"/>
    <s v="Munkabér"/>
    <n v="884956"/>
    <n v="115044"/>
    <n v="174"/>
    <n v="158"/>
    <n v="0.90804597701149425"/>
    <n v="803581"/>
    <n v="104466"/>
  </r>
  <r>
    <x v="19"/>
    <s v="Szakmai megvalósítás"/>
    <s v="Vezető kutató"/>
    <s v="C017000145"/>
    <s v="C241100000"/>
    <s v="Személyi jellegű költség, bérköltség "/>
    <d v="2023-01-01T00:00:00"/>
    <s v="2. mérföldkő"/>
    <s v="Köt. váll."/>
    <s v="Munkabér"/>
    <n v="884956"/>
    <n v="115044"/>
    <n v="174"/>
    <n v="158"/>
    <n v="0.90804597701149425"/>
    <n v="803581"/>
    <n v="104466"/>
  </r>
  <r>
    <x v="19"/>
    <s v="Szakmai megvalósítás"/>
    <s v="Vezető kutató"/>
    <s v="C017000145"/>
    <s v="C241100000"/>
    <s v="Személyi jellegű költség, bérköltség "/>
    <d v="2023-02-01T00:00:00"/>
    <s v="2. mérföldkő"/>
    <s v="Köt. váll."/>
    <s v="Munkabér"/>
    <n v="884956"/>
    <n v="115044"/>
    <n v="174"/>
    <n v="158"/>
    <n v="0.90804597701149425"/>
    <n v="803581"/>
    <n v="104466"/>
  </r>
  <r>
    <x v="19"/>
    <s v="Szakmai megvalósítás"/>
    <s v="Vezető kutató"/>
    <s v="C017000145"/>
    <s v="C241100000"/>
    <s v="Személyi jellegű költség, bérköltség "/>
    <d v="2023-03-01T00:00:00"/>
    <s v="3. mérföldkő"/>
    <s v="Köt. váll."/>
    <s v="Munkabér"/>
    <n v="884956"/>
    <n v="115044"/>
    <n v="174"/>
    <n v="158"/>
    <n v="0.90804597701149425"/>
    <n v="803581"/>
    <n v="104466"/>
  </r>
  <r>
    <x v="19"/>
    <s v="Szakmai megvalósítás"/>
    <s v="Vezető kutató"/>
    <s v="C017000145"/>
    <s v="C241100000"/>
    <s v="Személyi jellegű költség, bérköltség "/>
    <d v="2023-04-01T00:00:00"/>
    <s v="3. mérföldkő"/>
    <s v="Köt. váll."/>
    <s v="Munkabér"/>
    <n v="884956"/>
    <n v="115044"/>
    <n v="174"/>
    <n v="158"/>
    <n v="0.90804597701149425"/>
    <n v="803581"/>
    <n v="104466"/>
  </r>
  <r>
    <x v="19"/>
    <s v="Szakmai megvalósítás"/>
    <s v="Vezető kutató"/>
    <s v="C017000145"/>
    <s v="C241100000"/>
    <s v="Személyi jellegű költség, bérköltség "/>
    <d v="2023-05-01T00:00:00"/>
    <s v="3. mérföldkő"/>
    <s v="Köt. váll."/>
    <s v="Munkabér"/>
    <n v="884956"/>
    <n v="115044"/>
    <n v="174"/>
    <n v="158"/>
    <n v="0.90804597701149425"/>
    <n v="803581"/>
    <n v="104466"/>
  </r>
  <r>
    <x v="20"/>
    <s v="Átalány költségek"/>
    <s v="Projektmenedzsment segédszemélyzet"/>
    <s v="M217000147"/>
    <s v="M211120000"/>
    <s v="Projektmenedzsment személyi jellegű költség, bérköltség"/>
    <d v="2022-09-01T00:00:00"/>
    <s v="2. mérföldkő"/>
    <s v="Tény"/>
    <s v="Munkabér"/>
    <n v="950000"/>
    <n v="123500"/>
    <n v="174"/>
    <n v="56"/>
    <n v="0.32183908045977011"/>
    <n v="305747"/>
    <n v="39747"/>
  </r>
  <r>
    <x v="20"/>
    <s v="Átalány költségek"/>
    <s v="Projektmenedzsment segédszemélyzet"/>
    <s v="M217000147"/>
    <s v="M211120000"/>
    <s v="Projektmenedzsment személyi jellegű költség, bérköltség"/>
    <d v="2022-10-01T00:00:00"/>
    <s v="2. mérföldkő"/>
    <s v="Tény"/>
    <s v="Munkabér"/>
    <n v="950000"/>
    <n v="123500"/>
    <n v="174"/>
    <n v="56"/>
    <n v="0.32183908045977011"/>
    <n v="305747"/>
    <n v="39747"/>
  </r>
  <r>
    <x v="20"/>
    <s v="Átalány költségek"/>
    <s v="Projektmenedzsment segédszemélyzet"/>
    <s v="M217000147"/>
    <s v="M211120000"/>
    <s v="Projektmenedzsment személyi jellegű költség, bérköltség"/>
    <d v="2022-11-01T00:00:00"/>
    <s v="2. mérföldkő"/>
    <s v="Tény"/>
    <s v="Munkabér"/>
    <n v="950000"/>
    <n v="123500"/>
    <n v="174"/>
    <n v="56"/>
    <n v="0.32183908045977011"/>
    <n v="305747"/>
    <n v="39747"/>
  </r>
  <r>
    <x v="20"/>
    <s v="Átalány költségek"/>
    <s v="Projektmenedzsment segédszemélyzet"/>
    <s v="M217000147"/>
    <s v="M211120000"/>
    <s v="Projektmenedzsment személyi jellegű költség, bérköltség"/>
    <d v="2022-12-01T00:00:00"/>
    <s v="2. mérföldkő"/>
    <s v="Tény"/>
    <s v="Munkabér"/>
    <n v="950000"/>
    <n v="123500"/>
    <n v="174"/>
    <n v="56"/>
    <n v="0.32183908045977011"/>
    <n v="305747"/>
    <n v="39747"/>
  </r>
  <r>
    <x v="20"/>
    <s v="Átalány költségek"/>
    <s v="Projektmenedzsment segédszemélyzet"/>
    <s v="M217000147"/>
    <s v="M211120000"/>
    <s v="Projektmenedzsment személyi jellegű költség, bérköltség"/>
    <d v="2023-01-01T00:00:00"/>
    <s v="2. mérföldkő"/>
    <s v="Tény"/>
    <s v="Munkabér"/>
    <n v="950000"/>
    <n v="123500"/>
    <n v="174"/>
    <n v="56"/>
    <n v="0.32183908045977011"/>
    <n v="305747"/>
    <n v="39747"/>
  </r>
  <r>
    <x v="20"/>
    <s v="Átalány költségek"/>
    <s v="Projektmenedzsment segédszemélyzet"/>
    <s v="M217000147"/>
    <s v="M211120000"/>
    <s v="Projektmenedzsment személyi jellegű költség, bérköltség"/>
    <d v="2023-02-01T00:00:00"/>
    <s v="2. mérföldkő"/>
    <s v="Tény"/>
    <s v="Munkabér"/>
    <n v="950000"/>
    <n v="123500"/>
    <n v="174"/>
    <n v="56"/>
    <n v="0.32183908045977011"/>
    <n v="305747"/>
    <n v="39747"/>
  </r>
  <r>
    <x v="20"/>
    <s v="Átalány költségek"/>
    <s v="Projektmenedzsment segédszemélyzet"/>
    <s v="M217000147"/>
    <s v="M211120000"/>
    <s v="Projektmenedzsment személyi jellegű költség, bérköltség"/>
    <d v="2023-03-01T00:00:00"/>
    <s v="2. mérföldkő"/>
    <s v="Tény"/>
    <s v="Munkabér"/>
    <n v="950000"/>
    <n v="123500"/>
    <n v="174"/>
    <n v="56"/>
    <n v="0.32183908045977011"/>
    <n v="305747"/>
    <n v="39747"/>
  </r>
  <r>
    <x v="21"/>
    <s v="Szakmai megvalósítás"/>
    <s v="Fiatal kutató"/>
    <s v="C017000144"/>
    <s v="C211100000"/>
    <s v="Személyi jellegű költség, bérköltség "/>
    <d v="2022-07-01T00:00:00"/>
    <s v="2. mérföldkő"/>
    <s v="Tény"/>
    <s v="Munkabér"/>
    <n v="353982"/>
    <n v="46018"/>
    <n v="174"/>
    <n v="24"/>
    <n v="0.13793103448275862"/>
    <n v="48825"/>
    <n v="6347"/>
  </r>
  <r>
    <x v="21"/>
    <s v="Szakmai megvalósítás"/>
    <s v="Fiatal kutató"/>
    <s v="C017000144"/>
    <s v="C211100000"/>
    <s v="Személyi jellegű költség, bérköltség "/>
    <d v="2022-08-01T00:00:00"/>
    <s v="2. mérföldkő"/>
    <s v="Tény"/>
    <s v="Munkabér"/>
    <n v="353982"/>
    <n v="46018"/>
    <n v="174"/>
    <n v="24"/>
    <n v="0.13793103448275862"/>
    <n v="48825"/>
    <n v="6347"/>
  </r>
  <r>
    <x v="21"/>
    <s v="Szakmai megvalósítás"/>
    <s v="Fiatal kutató"/>
    <s v="C017000144"/>
    <s v="C211100000"/>
    <s v="Személyi jellegű költség, bérköltség "/>
    <d v="2022-09-01T00:00:00"/>
    <s v="2. mérföldkő"/>
    <s v="Tény"/>
    <s v="Munkabér"/>
    <n v="353982"/>
    <n v="46018"/>
    <n v="174"/>
    <n v="24"/>
    <n v="0.13793103448275862"/>
    <n v="48825"/>
    <n v="6347"/>
  </r>
  <r>
    <x v="21"/>
    <s v="Szakmai megvalósítás"/>
    <s v="Fiatal kutató"/>
    <s v="C017000144"/>
    <s v="C211100000"/>
    <s v="Személyi jellegű költség, bérköltség "/>
    <d v="2022-10-01T00:00:00"/>
    <s v="2. mérföldkő"/>
    <s v="Tény"/>
    <s v="Munkabér"/>
    <n v="353982"/>
    <n v="46018"/>
    <n v="174"/>
    <n v="64"/>
    <n v="0.36781609195402298"/>
    <n v="130200"/>
    <n v="16926"/>
  </r>
  <r>
    <x v="21"/>
    <s v="Szakmai megvalósítás"/>
    <s v="Fiatal kutató"/>
    <s v="C017000144"/>
    <s v="C211100000"/>
    <s v="Személyi jellegű költség, bérköltség "/>
    <d v="2022-11-01T00:00:00"/>
    <s v="2. mérföldkő"/>
    <s v="Tény"/>
    <s v="Munkabér"/>
    <n v="353982"/>
    <n v="46018"/>
    <n v="174"/>
    <n v="64"/>
    <n v="0.36781609195402298"/>
    <n v="130200"/>
    <n v="16926"/>
  </r>
  <r>
    <x v="21"/>
    <s v="Szakmai megvalósítás"/>
    <s v="Fiatal kutató"/>
    <s v="C017000144"/>
    <s v="C211100000"/>
    <s v="Személyi jellegű költség, bérköltség "/>
    <d v="2022-12-01T00:00:00"/>
    <s v="2. mérföldkő"/>
    <s v="Tény"/>
    <s v="Munkabér"/>
    <n v="353982"/>
    <n v="46018"/>
    <n v="174"/>
    <n v="64"/>
    <n v="0.36781609195402298"/>
    <n v="130200"/>
    <n v="16926"/>
  </r>
  <r>
    <x v="21"/>
    <s v="Szakmai megvalósítás"/>
    <s v="Fiatal kutató"/>
    <s v="C017000144"/>
    <s v="C211100000"/>
    <s v="Személyi jellegű költség, bérköltség "/>
    <d v="2023-01-01T00:00:00"/>
    <s v="2. mérföldkő"/>
    <s v="Köt. váll."/>
    <s v="Munkabér"/>
    <n v="353982"/>
    <n v="46018"/>
    <n v="174"/>
    <n v="64"/>
    <n v="0.36781609195402298"/>
    <n v="130200"/>
    <n v="16926"/>
  </r>
  <r>
    <x v="21"/>
    <s v="Szakmai megvalósítás"/>
    <s v="Fiatal kutató"/>
    <s v="C017000144"/>
    <s v="C211100000"/>
    <s v="Személyi jellegű költség, bérköltség "/>
    <d v="2023-02-01T00:00:00"/>
    <s v="2. mérföldkő"/>
    <s v="Köt. váll."/>
    <s v="Munkabér"/>
    <n v="353982"/>
    <n v="46018"/>
    <n v="174"/>
    <n v="64"/>
    <n v="0.36781609195402298"/>
    <n v="130200"/>
    <n v="16926"/>
  </r>
  <r>
    <x v="21"/>
    <s v="Szakmai megvalósítás"/>
    <s v="Fiatal kutató"/>
    <s v="C017000144"/>
    <s v="C211100000"/>
    <s v="Személyi jellegű költség, bérköltség "/>
    <d v="2023-03-01T00:00:00"/>
    <s v="3. mérföldkő"/>
    <s v="Köt. váll."/>
    <s v="Munkabér"/>
    <n v="353982"/>
    <n v="46018"/>
    <n v="174"/>
    <n v="64"/>
    <n v="0.36781609195402298"/>
    <n v="130200"/>
    <n v="16926"/>
  </r>
  <r>
    <x v="21"/>
    <s v="Szakmai megvalósítás"/>
    <s v="Fiatal kutató"/>
    <s v="C017000144"/>
    <s v="C211100000"/>
    <s v="Személyi jellegű költség, bérköltség "/>
    <d v="2023-04-01T00:00:00"/>
    <s v="3. mérföldkő"/>
    <s v="Köt. váll."/>
    <s v="Munkabér"/>
    <n v="353982"/>
    <n v="46018"/>
    <n v="174"/>
    <n v="64"/>
    <n v="0.36781609195402298"/>
    <n v="130200"/>
    <n v="16926"/>
  </r>
  <r>
    <x v="21"/>
    <s v="Szakmai megvalósítás"/>
    <s v="Fiatal kutató"/>
    <s v="C017000144"/>
    <s v="C211100000"/>
    <s v="Személyi jellegű költség, bérköltség "/>
    <d v="2023-05-01T00:00:00"/>
    <s v="3. mérföldkő"/>
    <s v="Köt. váll."/>
    <s v="Munkabér"/>
    <n v="353982"/>
    <n v="46018"/>
    <n v="174"/>
    <n v="64"/>
    <n v="0.36781609195402298"/>
    <n v="130200"/>
    <n v="16926"/>
  </r>
  <r>
    <x v="22"/>
    <s v="Szakmai megvalósítás"/>
    <s v="Fiatal kutató"/>
    <s v="C017000145"/>
    <s v="C241100000"/>
    <s v="Személyi jellegű költség, bérköltség "/>
    <d v="2022-07-01T00:00:00"/>
    <s v="2. mérföldkő"/>
    <s v="Tény"/>
    <s v="Munkabér"/>
    <n v="353982"/>
    <n v="46018"/>
    <n v="174"/>
    <n v="150"/>
    <n v="0.86206896551724133"/>
    <n v="305157"/>
    <n v="39670"/>
  </r>
  <r>
    <x v="22"/>
    <s v="Szakmai megvalósítás"/>
    <s v="Fiatal kutató"/>
    <s v="C017000145"/>
    <s v="C241100000"/>
    <s v="Személyi jellegű költség, bérköltség "/>
    <d v="2022-08-01T00:00:00"/>
    <s v="2. mérföldkő"/>
    <s v="Tény"/>
    <s v="Munkabér"/>
    <n v="353982"/>
    <n v="46018"/>
    <n v="174"/>
    <n v="150"/>
    <n v="0.86206896551724133"/>
    <n v="305157"/>
    <n v="39670"/>
  </r>
  <r>
    <x v="22"/>
    <s v="Szakmai megvalósítás"/>
    <s v="Fiatal kutató"/>
    <s v="C017000145"/>
    <s v="C241100000"/>
    <s v="Személyi jellegű költség, bérköltség "/>
    <d v="2022-09-01T00:00:00"/>
    <s v="2. mérföldkő"/>
    <s v="Tény"/>
    <s v="Munkabér"/>
    <n v="353982"/>
    <n v="46018"/>
    <n v="174"/>
    <n v="150"/>
    <n v="0.86206896551724133"/>
    <n v="305157"/>
    <n v="39670"/>
  </r>
  <r>
    <x v="22"/>
    <s v="Szakmai megvalósítás"/>
    <s v="Fiatal kutató"/>
    <s v="C017000145"/>
    <s v="C241100000"/>
    <s v="Személyi jellegű költség, bérköltség "/>
    <d v="2022-10-01T00:00:00"/>
    <s v="2. mérföldkő"/>
    <s v="Tény"/>
    <s v="Munkabér"/>
    <n v="353982"/>
    <n v="46018"/>
    <n v="174"/>
    <n v="150"/>
    <n v="0.86206896551724133"/>
    <n v="305157"/>
    <n v="39670"/>
  </r>
  <r>
    <x v="22"/>
    <s v="Szakmai megvalósítás"/>
    <s v="Fiatal kutató"/>
    <s v="C017000145"/>
    <s v="C241100000"/>
    <s v="Személyi jellegű költség, bérköltség "/>
    <d v="2022-11-01T00:00:00"/>
    <s v="2. mérföldkő"/>
    <s v="Tény"/>
    <s v="Munkabér"/>
    <n v="353982"/>
    <n v="46018"/>
    <n v="174"/>
    <n v="150"/>
    <n v="0.86206896551724133"/>
    <n v="305157"/>
    <n v="39670"/>
  </r>
  <r>
    <x v="22"/>
    <s v="Szakmai megvalósítás"/>
    <s v="Fiatal kutató"/>
    <s v="C017000145"/>
    <s v="C241100000"/>
    <s v="Személyi jellegű költség, bérköltség "/>
    <d v="2022-12-01T00:00:00"/>
    <s v="2. mérföldkő"/>
    <s v="Tény"/>
    <s v="Munkabér"/>
    <n v="353982"/>
    <n v="46018"/>
    <n v="174"/>
    <n v="150"/>
    <n v="0.86206896551724133"/>
    <n v="305157"/>
    <n v="39670"/>
  </r>
  <r>
    <x v="22"/>
    <s v="Szakmai megvalósítás"/>
    <s v="Fiatal kutató"/>
    <s v="C017000145"/>
    <s v="C241100000"/>
    <s v="Személyi jellegű költség, bérköltség "/>
    <d v="2023-01-01T00:00:00"/>
    <s v="2. mérföldkő"/>
    <s v="Köt. váll."/>
    <s v="Munkabér"/>
    <n v="353982"/>
    <n v="46018"/>
    <n v="174"/>
    <n v="150"/>
    <n v="0.86206896551724133"/>
    <n v="305157"/>
    <n v="39670"/>
  </r>
  <r>
    <x v="22"/>
    <s v="Szakmai megvalósítás"/>
    <s v="Fiatal kutató"/>
    <s v="C017000145"/>
    <s v="C241100000"/>
    <s v="Személyi jellegű költség, bérköltség "/>
    <d v="2023-02-01T00:00:00"/>
    <s v="2. mérföldkő"/>
    <s v="Köt. váll."/>
    <s v="Munkabér"/>
    <n v="353982"/>
    <n v="46018"/>
    <n v="174"/>
    <n v="150"/>
    <n v="0.86206896551724133"/>
    <n v="305157"/>
    <n v="39670"/>
  </r>
  <r>
    <x v="22"/>
    <s v="Szakmai megvalósítás"/>
    <s v="Fiatal kutató"/>
    <s v="C017000145"/>
    <s v="C241100000"/>
    <s v="Személyi jellegű költség, bérköltség "/>
    <d v="2023-03-01T00:00:00"/>
    <s v="3. mérföldkő"/>
    <s v="Köt. váll."/>
    <s v="Munkabér"/>
    <n v="353982"/>
    <n v="46018"/>
    <n v="174"/>
    <n v="150"/>
    <n v="0.86206896551724133"/>
    <n v="305157"/>
    <n v="39670"/>
  </r>
  <r>
    <x v="22"/>
    <s v="Szakmai megvalósítás"/>
    <s v="Fiatal kutató"/>
    <s v="C017000145"/>
    <s v="C241100000"/>
    <s v="Személyi jellegű költség, bérköltség "/>
    <d v="2023-04-01T00:00:00"/>
    <s v="3. mérföldkő"/>
    <s v="Köt. váll."/>
    <s v="Munkabér"/>
    <n v="353982"/>
    <n v="46018"/>
    <n v="174"/>
    <n v="150"/>
    <n v="0.86206896551724133"/>
    <n v="305157"/>
    <n v="39670"/>
  </r>
  <r>
    <x v="22"/>
    <s v="Szakmai megvalósítás"/>
    <s v="Fiatal kutató"/>
    <s v="C017000145"/>
    <s v="C241100000"/>
    <s v="Személyi jellegű költség, bérköltség "/>
    <d v="2023-05-01T00:00:00"/>
    <s v="3. mérföldkő"/>
    <s v="Köt. váll."/>
    <s v="Munkabér"/>
    <n v="353982"/>
    <n v="46018"/>
    <n v="174"/>
    <n v="150"/>
    <n v="0.86206896551724133"/>
    <n v="305157"/>
    <n v="39670"/>
  </r>
  <r>
    <x v="23"/>
    <s v="Szakmai megvalósítás"/>
    <s v="Kutató"/>
    <s v="C017000144"/>
    <s v="C211100000"/>
    <s v="Személyi jellegű költség, bérköltség "/>
    <d v="2022-09-01T00:00:00"/>
    <s v="2. mérföldkő"/>
    <s v="Tény"/>
    <s v="Munkabér"/>
    <n v="707965"/>
    <n v="92035"/>
    <n v="174"/>
    <n v="100"/>
    <n v="0.57471264367816088"/>
    <n v="406876"/>
    <n v="52894"/>
  </r>
  <r>
    <x v="23"/>
    <s v="Szakmai megvalósítás"/>
    <s v="Kutató"/>
    <s v="C017000144"/>
    <s v="C211100000"/>
    <s v="Személyi jellegű költség, bérköltség "/>
    <d v="2022-10-01T00:00:00"/>
    <s v="2. mérföldkő"/>
    <s v="Tény"/>
    <s v="Munkabér"/>
    <n v="707965"/>
    <n v="92035"/>
    <n v="174"/>
    <n v="100"/>
    <n v="0.57471264367816088"/>
    <n v="406876"/>
    <n v="52894"/>
  </r>
  <r>
    <x v="23"/>
    <s v="Szakmai megvalósítás"/>
    <s v="Kutató"/>
    <s v="C017000144"/>
    <s v="C211100000"/>
    <s v="Személyi jellegű költség, bérköltség "/>
    <d v="2022-11-01T00:00:00"/>
    <s v="2. mérföldkő"/>
    <s v="Tény"/>
    <s v="Munkabér"/>
    <n v="707965"/>
    <n v="92035"/>
    <n v="174"/>
    <n v="100"/>
    <n v="0.57471264367816088"/>
    <n v="406876"/>
    <n v="52894"/>
  </r>
  <r>
    <x v="23"/>
    <s v="Szakmai megvalósítás"/>
    <s v="Kutató"/>
    <s v="C017000144"/>
    <s v="C211100000"/>
    <s v="Személyi jellegű költség, bérköltség "/>
    <d v="2022-12-01T00:00:00"/>
    <s v="2. mérföldkő"/>
    <s v="Tény"/>
    <s v="Munkabér"/>
    <n v="707965"/>
    <n v="92035"/>
    <n v="174"/>
    <n v="100"/>
    <n v="0.57471264367816088"/>
    <n v="406876"/>
    <n v="52894"/>
  </r>
  <r>
    <x v="23"/>
    <s v="Szakmai megvalósítás"/>
    <s v="Kutató"/>
    <s v="C017000144"/>
    <s v="C211100000"/>
    <s v="Személyi jellegű költség, bérköltség "/>
    <d v="2023-01-01T00:00:00"/>
    <s v="2. mérföldkő"/>
    <s v="Köt. váll."/>
    <s v="Munkabér"/>
    <n v="707965"/>
    <n v="92035"/>
    <n v="174"/>
    <n v="100"/>
    <n v="0.57471264367816088"/>
    <n v="406876"/>
    <n v="52894"/>
  </r>
  <r>
    <x v="23"/>
    <s v="Szakmai megvalósítás"/>
    <s v="Kutató"/>
    <s v="C017000144"/>
    <s v="C211100000"/>
    <s v="Személyi jellegű költség, bérköltség "/>
    <d v="2023-02-01T00:00:00"/>
    <s v="2. mérföldkő"/>
    <s v="Köt. váll."/>
    <s v="Munkabér"/>
    <n v="707965"/>
    <n v="92035"/>
    <n v="174"/>
    <n v="100"/>
    <n v="0.57471264367816088"/>
    <n v="406876"/>
    <n v="52894"/>
  </r>
  <r>
    <x v="24"/>
    <s v="Szakmai megvalósítás"/>
    <s v="Kutató"/>
    <s v="C017000145"/>
    <s v="C241100000"/>
    <s v="Személyi jellegű költség, bérköltség "/>
    <d v="2022-07-01T00:00:00"/>
    <s v="2. mérföldkő"/>
    <s v="Tény"/>
    <s v="Munkabér"/>
    <n v="707965"/>
    <n v="92035"/>
    <n v="174"/>
    <n v="154"/>
    <n v="0.88505747126436785"/>
    <n v="626590"/>
    <n v="81457"/>
  </r>
  <r>
    <x v="24"/>
    <s v="Szakmai megvalósítás"/>
    <s v="Kutató"/>
    <s v="C017000145"/>
    <s v="C241100000"/>
    <s v="Személyi jellegű költség, bérköltség "/>
    <d v="2022-08-01T00:00:00"/>
    <s v="2. mérföldkő"/>
    <s v="Tény"/>
    <s v="Munkabér"/>
    <n v="707965"/>
    <n v="92035"/>
    <n v="174"/>
    <n v="154"/>
    <n v="0.88505747126436785"/>
    <n v="626590"/>
    <n v="81457"/>
  </r>
  <r>
    <x v="24"/>
    <s v="Szakmai megvalósítás"/>
    <s v="Kutató"/>
    <s v="C017000145"/>
    <s v="C241100000"/>
    <s v="Személyi jellegű költség, bérköltség "/>
    <d v="2022-09-01T00:00:00"/>
    <s v="2. mérföldkő"/>
    <s v="Tény"/>
    <s v="Munkabér"/>
    <n v="707965"/>
    <n v="92035"/>
    <n v="174"/>
    <n v="154"/>
    <n v="0.88505747126436785"/>
    <n v="626590"/>
    <n v="81457"/>
  </r>
  <r>
    <x v="24"/>
    <s v="Szakmai megvalósítás"/>
    <s v="Kutató"/>
    <s v="C017000145"/>
    <s v="C241100000"/>
    <s v="Személyi jellegű költség, bérköltség "/>
    <d v="2022-10-01T00:00:00"/>
    <s v="2. mérföldkő"/>
    <s v="Tény"/>
    <s v="Munkabér"/>
    <n v="707965"/>
    <n v="92035"/>
    <n v="174"/>
    <n v="154"/>
    <n v="0.88505747126436785"/>
    <n v="626590"/>
    <n v="81457"/>
  </r>
  <r>
    <x v="24"/>
    <s v="Szakmai megvalósítás"/>
    <s v="Kutató"/>
    <s v="C017000145"/>
    <s v="C241100000"/>
    <s v="Személyi jellegű költség, bérköltség "/>
    <d v="2022-11-01T00:00:00"/>
    <s v="2. mérföldkő"/>
    <s v="Tény"/>
    <s v="Munkabér"/>
    <n v="707965"/>
    <n v="92035"/>
    <n v="174"/>
    <n v="154"/>
    <n v="0.88505747126436785"/>
    <n v="626590"/>
    <n v="81457"/>
  </r>
  <r>
    <x v="24"/>
    <s v="Szakmai megvalósítás"/>
    <s v="Kutató"/>
    <s v="C017000145"/>
    <s v="C241100000"/>
    <s v="Személyi jellegű költség, bérköltség "/>
    <d v="2022-12-01T00:00:00"/>
    <s v="2. mérföldkő"/>
    <s v="Tény"/>
    <s v="Munkabér"/>
    <n v="707965"/>
    <n v="92035"/>
    <n v="174"/>
    <n v="154"/>
    <n v="0.88505747126436785"/>
    <n v="626590"/>
    <n v="81457"/>
  </r>
  <r>
    <x v="24"/>
    <s v="Szakmai megvalósítás"/>
    <s v="Kutató"/>
    <s v="C017000145"/>
    <s v="C241100000"/>
    <s v="Személyi jellegű költség, bérköltség "/>
    <d v="2023-01-01T00:00:00"/>
    <s v="2. mérföldkő"/>
    <s v="Köt. váll."/>
    <s v="Munkabér"/>
    <n v="707965"/>
    <n v="92035"/>
    <n v="174"/>
    <n v="154"/>
    <n v="0.88505747126436785"/>
    <n v="626590"/>
    <n v="81457"/>
  </r>
  <r>
    <x v="24"/>
    <s v="Szakmai megvalósítás"/>
    <s v="Kutató"/>
    <s v="C017000145"/>
    <s v="C241100000"/>
    <s v="Személyi jellegű költség, bérköltség "/>
    <d v="2023-02-01T00:00:00"/>
    <s v="2. mérföldkő"/>
    <s v="Köt. váll."/>
    <s v="Munkabér"/>
    <n v="707965"/>
    <n v="92035"/>
    <n v="174"/>
    <n v="154"/>
    <n v="0.88505747126436785"/>
    <n v="626590"/>
    <n v="81457"/>
  </r>
  <r>
    <x v="24"/>
    <s v="Szakmai megvalósítás"/>
    <s v="Kutató"/>
    <s v="C017000145"/>
    <s v="C241100000"/>
    <s v="Személyi jellegű költség, bérköltség "/>
    <d v="2023-03-01T00:00:00"/>
    <s v="3. mérföldkő"/>
    <s v="Köt. váll."/>
    <s v="Munkabér"/>
    <n v="707965"/>
    <n v="92035"/>
    <n v="174"/>
    <n v="154"/>
    <n v="0.88505747126436785"/>
    <n v="626590"/>
    <n v="81457"/>
  </r>
  <r>
    <x v="24"/>
    <s v="Szakmai megvalósítás"/>
    <s v="Kutató"/>
    <s v="C017000145"/>
    <s v="C241100000"/>
    <s v="Személyi jellegű költség, bérköltség "/>
    <d v="2023-04-01T00:00:00"/>
    <s v="3. mérföldkő"/>
    <s v="Köt. váll."/>
    <s v="Munkabér"/>
    <n v="707965"/>
    <n v="92035"/>
    <n v="174"/>
    <n v="154"/>
    <n v="0.88505747126436785"/>
    <n v="626590"/>
    <n v="81457"/>
  </r>
  <r>
    <x v="24"/>
    <s v="Szakmai megvalósítás"/>
    <s v="Kutató"/>
    <s v="C017000145"/>
    <s v="C241100000"/>
    <s v="Személyi jellegű költség, bérköltség "/>
    <d v="2023-05-01T00:00:00"/>
    <s v="3. mérföldkő"/>
    <s v="Köt. váll."/>
    <s v="Munkabér"/>
    <n v="707965"/>
    <n v="92035"/>
    <n v="174"/>
    <n v="154"/>
    <n v="0.88505747126436785"/>
    <n v="626590"/>
    <n v="81457"/>
  </r>
  <r>
    <x v="25"/>
    <s v="Szakmai megvalósítás"/>
    <s v="Segédszemélyzet"/>
    <s v="C017000154"/>
    <s v="C011110000"/>
    <s v="Személyi jellegű költség, bérköltség "/>
    <d v="2022-12-01T00:00:00"/>
    <s v="2. mérföldkő"/>
    <s v="Tény"/>
    <s v="Munkabér"/>
    <n v="309735"/>
    <n v="40265"/>
    <n v="174"/>
    <n v="110"/>
    <n v="0.63218390804597702"/>
    <n v="195809"/>
    <n v="25455"/>
  </r>
  <r>
    <x v="25"/>
    <s v="Szakmai megvalósítás"/>
    <s v="Segédszemélyzet"/>
    <s v="C017000154"/>
    <s v="C011110000"/>
    <s v="Személyi jellegű költség, bérköltség "/>
    <d v="2023-01-01T00:00:00"/>
    <s v="2. mérföldkő"/>
    <s v="Köt. váll."/>
    <s v="Munkabér"/>
    <n v="309735"/>
    <n v="40265"/>
    <n v="174"/>
    <n v="110"/>
    <n v="0.63218390804597702"/>
    <n v="195809"/>
    <n v="25455"/>
  </r>
  <r>
    <x v="25"/>
    <s v="Szakmai megvalósítás"/>
    <s v="Segédszemélyzet"/>
    <s v="C017000154"/>
    <s v="C011110000"/>
    <s v="Személyi jellegű költség, bérköltség "/>
    <d v="2023-02-01T00:00:00"/>
    <s v="2. mérföldkő"/>
    <s v="Köt. váll."/>
    <s v="Munkabér"/>
    <n v="309735"/>
    <n v="40265"/>
    <n v="174"/>
    <n v="110"/>
    <n v="0.63218390804597702"/>
    <n v="195809"/>
    <n v="25455"/>
  </r>
  <r>
    <x v="25"/>
    <s v="Szakmai megvalósítás"/>
    <s v="Segédszemélyzet"/>
    <s v="C017000154"/>
    <s v="C011110000"/>
    <s v="Személyi jellegű költség, bérköltség "/>
    <d v="2023-03-01T00:00:00"/>
    <s v="3. mérföldkő"/>
    <s v="Köt. váll."/>
    <s v="Munkabér"/>
    <n v="309735"/>
    <n v="40265"/>
    <n v="174"/>
    <n v="110"/>
    <n v="0.63218390804597702"/>
    <n v="195809"/>
    <n v="25455"/>
  </r>
  <r>
    <x v="25"/>
    <s v="Szakmai megvalósítás"/>
    <s v="Segédszemélyzet"/>
    <s v="C017000154"/>
    <s v="C011110000"/>
    <s v="Személyi jellegű költség, bérköltség "/>
    <d v="2023-04-01T00:00:00"/>
    <s v="3. mérföldkő"/>
    <s v="Köt. váll."/>
    <s v="Munkabér"/>
    <n v="309735"/>
    <n v="40265"/>
    <n v="174"/>
    <n v="110"/>
    <n v="0.63218390804597702"/>
    <n v="195809"/>
    <n v="25455"/>
  </r>
  <r>
    <x v="26"/>
    <s v="Szakmai megvalósítás"/>
    <s v="Segédszemélyzet"/>
    <s v="C017000143"/>
    <s v="C201110000"/>
    <s v="Személyi jellegű költség, bérköltség "/>
    <d v="2022-09-01T00:00:00"/>
    <s v="2. mérföldkő"/>
    <s v="Tény"/>
    <s v="Munkabér"/>
    <n v="309735"/>
    <n v="40266"/>
    <n v="174"/>
    <n v="174"/>
    <n v="1"/>
    <n v="309735"/>
    <n v="40266"/>
  </r>
  <r>
    <x v="26"/>
    <s v="Szakmai megvalósítás"/>
    <s v="Segédszemélyzet"/>
    <s v="C017000143"/>
    <s v="C201110000"/>
    <s v="Személyi jellegű költség, bérköltség "/>
    <d v="2022-10-01T00:00:00"/>
    <s v="2. mérföldkő"/>
    <s v="Tény"/>
    <s v="Munkabér"/>
    <n v="309734"/>
    <n v="40265"/>
    <n v="174"/>
    <n v="174"/>
    <n v="1"/>
    <n v="309734"/>
    <n v="40265"/>
  </r>
  <r>
    <x v="26"/>
    <s v="Szakmai megvalósítás"/>
    <s v="Segédszemélyzet"/>
    <s v="C017000143"/>
    <s v="C201110000"/>
    <s v="Személyi jellegű költség, bérköltség "/>
    <d v="2022-11-01T00:00:00"/>
    <s v="2. mérföldkő"/>
    <s v="Tény"/>
    <s v="Munkabér"/>
    <n v="309734"/>
    <n v="40265"/>
    <n v="174"/>
    <n v="174"/>
    <n v="1"/>
    <n v="309734"/>
    <n v="40265"/>
  </r>
  <r>
    <x v="26"/>
    <s v="Szakmai megvalósítás"/>
    <s v="Segédszemélyzet"/>
    <s v="C017000143"/>
    <s v="C201110000"/>
    <s v="Személyi jellegű költség, bérköltség "/>
    <d v="2022-12-01T00:00:00"/>
    <s v="2. mérföldkő"/>
    <s v="Tény"/>
    <s v="Munkabér"/>
    <n v="309734"/>
    <n v="40265"/>
    <n v="174"/>
    <n v="174"/>
    <n v="1"/>
    <n v="309734"/>
    <n v="40265"/>
  </r>
  <r>
    <x v="26"/>
    <s v="Szakmai megvalósítás"/>
    <s v="Segédszemélyzet"/>
    <s v="C017000143"/>
    <s v="C201110000"/>
    <s v="Személyi jellegű költség, bérköltség "/>
    <d v="2023-01-01T00:00:00"/>
    <s v="2. mérföldkő"/>
    <s v="Köt. váll."/>
    <s v="Munkabér"/>
    <n v="309734"/>
    <n v="40265"/>
    <n v="174"/>
    <n v="174"/>
    <n v="1"/>
    <n v="309734"/>
    <n v="40265"/>
  </r>
  <r>
    <x v="26"/>
    <s v="Szakmai megvalósítás"/>
    <s v="Segédszemélyzet"/>
    <s v="C017000143"/>
    <s v="C201110000"/>
    <s v="Személyi jellegű költség, bérköltség "/>
    <d v="2023-02-01T00:00:00"/>
    <s v="2. mérföldkő"/>
    <s v="Köt. váll."/>
    <s v="Munkabér"/>
    <n v="309734"/>
    <n v="40265"/>
    <n v="174"/>
    <n v="174"/>
    <n v="1"/>
    <n v="309734"/>
    <n v="40265"/>
  </r>
  <r>
    <x v="27"/>
    <s v="Szakmai megvalósítás"/>
    <s v="Kutató"/>
    <s v="C017000143"/>
    <s v="C241100000"/>
    <s v="Személyi jellegű költség, bérköltség "/>
    <d v="2022-09-28T00:00:00"/>
    <s v="2. mérföldkő"/>
    <s v="Tény"/>
    <s v="Munkabér"/>
    <n v="400000"/>
    <n v="52000"/>
    <n v="174"/>
    <n v="78"/>
    <n v="0.44827586206896552"/>
    <n v="24451.363636363636"/>
    <n v="3179"/>
  </r>
  <r>
    <x v="27"/>
    <s v="Szakmai megvalósítás"/>
    <s v="Kutató"/>
    <s v="C017000143"/>
    <s v="C241100000"/>
    <s v="Személyi jellegű költség, bérköltség "/>
    <d v="2022-10-01T00:00:00"/>
    <s v="2. mérföldkő"/>
    <s v="Tény"/>
    <s v="Munkabér"/>
    <n v="400000"/>
    <n v="52000"/>
    <n v="174"/>
    <n v="78"/>
    <n v="0.44827586206896552"/>
    <n v="179310"/>
    <n v="23310"/>
  </r>
  <r>
    <x v="27"/>
    <s v="Szakmai megvalósítás"/>
    <s v="Kutató"/>
    <s v="C017000143"/>
    <s v="C241100000"/>
    <s v="Személyi jellegű költség, bérköltség "/>
    <d v="2022-11-01T00:00:00"/>
    <s v="2. mérföldkő"/>
    <s v="Tény"/>
    <s v="Munkabér"/>
    <n v="400000"/>
    <n v="52000"/>
    <n v="174"/>
    <n v="78"/>
    <n v="0.44827586206896552"/>
    <n v="179310"/>
    <n v="23310"/>
  </r>
  <r>
    <x v="27"/>
    <s v="Szakmai megvalósítás"/>
    <s v="Kutató"/>
    <s v="C017000143"/>
    <s v="C241100000"/>
    <s v="Személyi jellegű költség, bérköltség "/>
    <d v="2022-12-01T00:00:00"/>
    <s v="2. mérföldkő"/>
    <s v="Tény"/>
    <s v="Munkabér"/>
    <n v="400000"/>
    <n v="52000"/>
    <n v="174"/>
    <n v="78"/>
    <n v="0.44827586206896552"/>
    <n v="179310"/>
    <n v="23310"/>
  </r>
  <r>
    <x v="27"/>
    <s v="Szakmai megvalósítás"/>
    <s v="Kutató"/>
    <s v="C017000143"/>
    <s v="C241100000"/>
    <s v="Személyi jellegű költség, bérköltség "/>
    <d v="2023-01-01T00:00:00"/>
    <s v="2. mérföldkő"/>
    <s v="Köt. váll."/>
    <s v="Munkabér"/>
    <n v="460000"/>
    <n v="59800"/>
    <n v="174"/>
    <n v="68"/>
    <n v="0.39080459770114945"/>
    <n v="179770"/>
    <n v="23370"/>
  </r>
  <r>
    <x v="27"/>
    <s v="Szakmai megvalósítás"/>
    <s v="Kutató"/>
    <s v="C017000143"/>
    <s v="C241100000"/>
    <s v="Személyi jellegű költség, bérköltség "/>
    <d v="2023-02-01T00:00:00"/>
    <s v="2. mérföldkő"/>
    <s v="Köt. váll."/>
    <s v="Munkabér"/>
    <n v="460000"/>
    <n v="59800"/>
    <n v="174"/>
    <n v="68"/>
    <n v="0.39080459770114945"/>
    <n v="179770"/>
    <n v="23370"/>
  </r>
  <r>
    <x v="28"/>
    <s v="Szakmai megvalósítás"/>
    <s v="Segédszemélyzet"/>
    <s v="C017000154"/>
    <s v="C201110000"/>
    <s v="Személyi jellegű költség, bérköltség "/>
    <d v="2022-07-01T00:00:00"/>
    <s v="2. mérföldkő"/>
    <s v="Tény"/>
    <s v="Munkabér"/>
    <n v="154867"/>
    <n v="20133"/>
    <n v="87"/>
    <n v="87"/>
    <n v="1"/>
    <n v="154867"/>
    <n v="20133"/>
  </r>
  <r>
    <x v="28"/>
    <s v="Szakmai megvalósítás"/>
    <s v="Segédszemélyzet"/>
    <s v="C017000154"/>
    <s v="C201110000"/>
    <s v="Személyi jellegű költség, bérköltség "/>
    <d v="2022-08-01T00:00:00"/>
    <s v="2. mérföldkő"/>
    <s v="Tény"/>
    <s v="Munkabér"/>
    <n v="154867"/>
    <n v="959"/>
    <n v="87"/>
    <n v="87"/>
    <n v="1"/>
    <n v="154867"/>
    <n v="959"/>
  </r>
  <r>
    <x v="28"/>
    <s v="Szakmai megvalósítás"/>
    <s v="Segédszemélyzet"/>
    <s v="C017000154"/>
    <s v="C201110000"/>
    <s v="Személyi jellegű költség, bérköltség "/>
    <d v="2022-09-01T00:00:00"/>
    <s v="2. mérföldkő"/>
    <s v="Tény"/>
    <s v="Munkabér"/>
    <n v="154867"/>
    <n v="959"/>
    <n v="87"/>
    <n v="87"/>
    <n v="1"/>
    <n v="154867"/>
    <n v="959"/>
  </r>
  <r>
    <x v="28"/>
    <s v="Szakmai megvalósítás"/>
    <s v="Segédszemélyzet"/>
    <s v="C017000154"/>
    <s v="C201110000"/>
    <s v="Személyi jellegű költség, bérköltség "/>
    <d v="2022-10-01T00:00:00"/>
    <s v="2. mérföldkő"/>
    <s v="Tény"/>
    <s v="Munkabér"/>
    <n v="154867"/>
    <n v="959"/>
    <n v="87"/>
    <n v="87"/>
    <n v="1"/>
    <n v="154867"/>
    <n v="959"/>
  </r>
  <r>
    <x v="28"/>
    <s v="Szakmai megvalósítás"/>
    <s v="Segédszemélyzet"/>
    <s v="C017000154"/>
    <s v="C201110000"/>
    <s v="Személyi jellegű költség, bérköltség "/>
    <d v="2022-11-01T00:00:00"/>
    <s v="2. mérföldkő"/>
    <s v="Tény"/>
    <s v="Munkabér"/>
    <n v="154867"/>
    <n v="2103"/>
    <n v="87"/>
    <n v="87"/>
    <n v="1"/>
    <n v="154867"/>
    <n v="2103"/>
  </r>
  <r>
    <x v="28"/>
    <s v="Szakmai megvalósítás"/>
    <s v="Segédszemélyzet"/>
    <s v="C017000154"/>
    <s v="C201110000"/>
    <s v="Személyi jellegű költség, bérköltség "/>
    <d v="2022-12-01T00:00:00"/>
    <s v="2. mérföldkő"/>
    <s v="Tény"/>
    <s v="Munkabér"/>
    <n v="154867"/>
    <n v="1229"/>
    <n v="87"/>
    <n v="87"/>
    <n v="1"/>
    <n v="154867"/>
    <n v="1229"/>
  </r>
  <r>
    <x v="28"/>
    <s v="Szakmai megvalósítás"/>
    <s v="Segédszemélyzet"/>
    <s v="C017000154"/>
    <s v="C201110000"/>
    <s v="Személyi jellegű költség, bérköltség "/>
    <d v="2023-01-01T00:00:00"/>
    <s v="2. mérföldkő"/>
    <s v="Köt. váll."/>
    <s v="Munkabér"/>
    <n v="154867"/>
    <n v="959"/>
    <n v="87"/>
    <n v="87"/>
    <n v="1"/>
    <n v="154867"/>
    <n v="20133"/>
  </r>
  <r>
    <x v="28"/>
    <s v="Szakmai megvalósítás"/>
    <s v="Segédszemélyzet"/>
    <s v="C017000154"/>
    <s v="C201110000"/>
    <s v="Személyi jellegű költség, bérköltség "/>
    <d v="2023-02-01T00:00:00"/>
    <s v="2. mérföldkő"/>
    <s v="Köt. váll."/>
    <s v="Munkabér"/>
    <n v="154867"/>
    <n v="959"/>
    <n v="87"/>
    <n v="87"/>
    <n v="1"/>
    <n v="154867"/>
    <n v="20133"/>
  </r>
  <r>
    <x v="29"/>
    <s v="Szakmai megvalósítás"/>
    <s v="Kutató"/>
    <s v="C017000144"/>
    <s v="C211100000"/>
    <s v="Személyi jellegű költség, bérköltség "/>
    <d v="2022-11-01T00:00:00"/>
    <s v="2. mérföldkő"/>
    <s v="Tény"/>
    <s v="Munkabér"/>
    <n v="640000"/>
    <n v="83200"/>
    <n v="174"/>
    <n v="87"/>
    <n v="0.5"/>
    <n v="320000"/>
    <n v="41600"/>
  </r>
  <r>
    <x v="29"/>
    <s v="Szakmai megvalósítás"/>
    <s v="Kutató"/>
    <s v="C017000144"/>
    <s v="C211100000"/>
    <s v="Személyi jellegű költség, bérköltség "/>
    <d v="2022-12-01T00:00:00"/>
    <s v="2. mérföldkő"/>
    <s v="visszavont"/>
    <s v="Munkabér"/>
    <n v="640000"/>
    <n v="83200"/>
    <n v="174"/>
    <n v="87"/>
    <n v="0.5"/>
    <n v="320000"/>
    <n v="41600"/>
  </r>
  <r>
    <x v="29"/>
    <s v="Szakmai megvalósítás"/>
    <s v="Kutató"/>
    <s v="C017000144"/>
    <s v="C211100000"/>
    <s v="Személyi jellegű költség, bérköltség "/>
    <d v="2023-01-01T00:00:00"/>
    <s v="2. mérföldkő"/>
    <s v="visszavont"/>
    <s v="Munkabér"/>
    <n v="640000"/>
    <n v="83200"/>
    <n v="174"/>
    <n v="87"/>
    <n v="0.5"/>
    <n v="320000"/>
    <n v="41600"/>
  </r>
  <r>
    <x v="29"/>
    <s v="Szakmai megvalósítás"/>
    <s v="Kutató"/>
    <s v="C017000144"/>
    <s v="C211100000"/>
    <s v="Személyi jellegű költség, bérköltség "/>
    <d v="2023-02-01T00:00:00"/>
    <s v="2. mérföldkő"/>
    <s v="visszavont"/>
    <s v="Munkabér"/>
    <n v="640000"/>
    <n v="83200"/>
    <n v="174"/>
    <n v="87"/>
    <n v="0.5"/>
    <n v="320000"/>
    <n v="41600"/>
  </r>
  <r>
    <x v="30"/>
    <s v="Átalány költségek"/>
    <s v="Projektmenedzser"/>
    <s v="K037000146"/>
    <s v="K011110000"/>
    <s v="Projektmenedzsment személyi jellegű költség, bérköltség"/>
    <d v="2022-07-01T00:00:00"/>
    <s v="2. mérföldkő"/>
    <s v="Tény"/>
    <s v="Munkabér"/>
    <n v="1250000"/>
    <n v="162500"/>
    <n v="174"/>
    <n v="97"/>
    <n v="0.55747126436781613"/>
    <n v="696839"/>
    <n v="90589"/>
  </r>
  <r>
    <x v="30"/>
    <s v="Átalány költségek"/>
    <s v="Projektmenedzser"/>
    <s v="K037000146"/>
    <s v="K011110000"/>
    <s v="Projektmenedzsment személyi jellegű költség, bérköltség"/>
    <d v="2022-08-01T00:00:00"/>
    <s v="2. mérföldkő"/>
    <s v="Tény"/>
    <s v="Munkabér"/>
    <n v="1250000"/>
    <n v="162500"/>
    <n v="174"/>
    <n v="97"/>
    <n v="0.55747126436781613"/>
    <n v="696839"/>
    <n v="90589"/>
  </r>
  <r>
    <x v="30"/>
    <s v="Átalány költségek"/>
    <s v="Projektmenedzser"/>
    <s v="K037000146"/>
    <s v="K011110000"/>
    <s v="Projektmenedzsment személyi jellegű költség, bérköltség"/>
    <d v="2022-09-01T00:00:00"/>
    <s v="2. mérföldkő"/>
    <s v="Tény"/>
    <s v="Munkabér"/>
    <n v="1250000"/>
    <n v="162500"/>
    <n v="174"/>
    <n v="97"/>
    <n v="0.55747126436781613"/>
    <n v="696839"/>
    <n v="90589"/>
  </r>
  <r>
    <x v="30"/>
    <s v="Átalány költségek"/>
    <s v="Projektmenedzser"/>
    <s v="K037000146"/>
    <s v="K011110000"/>
    <s v="Projektmenedzsment személyi jellegű költség, bérköltség"/>
    <d v="2022-10-01T00:00:00"/>
    <s v="2. mérföldkő"/>
    <s v="Tény"/>
    <s v="Munkabér"/>
    <n v="1250000"/>
    <n v="162500"/>
    <n v="174"/>
    <n v="97"/>
    <n v="0.55747126436781613"/>
    <n v="696839"/>
    <n v="90589"/>
  </r>
  <r>
    <x v="30"/>
    <s v="Átalány költségek"/>
    <s v="Projektmenedzser"/>
    <s v="K037000146"/>
    <s v="K011110000"/>
    <s v="Projektmenedzsment személyi jellegű költség, bérköltség"/>
    <d v="2022-11-01T00:00:00"/>
    <s v="2. mérföldkő"/>
    <s v="Tény"/>
    <s v="Munkabér"/>
    <n v="1250000"/>
    <n v="162500"/>
    <n v="174"/>
    <n v="97"/>
    <n v="0.55747126436781613"/>
    <n v="696839"/>
    <n v="90589"/>
  </r>
  <r>
    <x v="30"/>
    <s v="Átalány költségek"/>
    <s v="Projektmenedzser"/>
    <s v="K037000146"/>
    <s v="K011110000"/>
    <s v="Projektmenedzsment személyi jellegű költség, bérköltség"/>
    <d v="2022-12-01T00:00:00"/>
    <s v="2. mérföldkő"/>
    <s v="Tény"/>
    <s v="Munkabér"/>
    <n v="1250000"/>
    <n v="162500"/>
    <n v="174"/>
    <n v="97"/>
    <n v="0.55747126436781613"/>
    <n v="696839"/>
    <n v="90589"/>
  </r>
  <r>
    <x v="30"/>
    <s v="Átalány költségek"/>
    <s v="Projektmenedzser"/>
    <s v="K037000146"/>
    <s v="K011110000"/>
    <s v="Projektmenedzsment személyi jellegű költség, bérköltség"/>
    <d v="2023-01-01T00:00:00"/>
    <s v="2. mérföldkő"/>
    <s v="Köt. váll."/>
    <s v="Munkabér"/>
    <n v="1300000"/>
    <n v="169000"/>
    <n v="174"/>
    <n v="95"/>
    <n v="0.54597701149425293"/>
    <n v="709770"/>
    <n v="92270"/>
  </r>
  <r>
    <x v="30"/>
    <s v="Átalány költségek"/>
    <s v="Projektmenedzser"/>
    <s v="K037000146"/>
    <s v="K011110000"/>
    <s v="Projektmenedzsment személyi jellegű költség, bérköltség"/>
    <d v="2023-02-01T00:00:00"/>
    <s v="2. mérföldkő"/>
    <s v="Köt. váll."/>
    <s v="Munkabér"/>
    <n v="1300000"/>
    <n v="169000"/>
    <n v="174"/>
    <n v="95"/>
    <n v="0.54597701149425293"/>
    <n v="709770"/>
    <n v="92270"/>
  </r>
  <r>
    <x v="30"/>
    <s v="Átalány költségek"/>
    <s v="Projektmenedzser"/>
    <s v="K037000146"/>
    <s v="K011110000"/>
    <s v="Projektmenedzsment személyi jellegű költség, bérköltség"/>
    <d v="2023-03-01T00:00:00"/>
    <s v="3. mérföldkő"/>
    <s v="Köt. váll."/>
    <s v="Munkabér"/>
    <n v="1300000"/>
    <n v="169000"/>
    <n v="174"/>
    <n v="95"/>
    <n v="0.54597701149425293"/>
    <n v="709770"/>
    <n v="92270"/>
  </r>
  <r>
    <x v="30"/>
    <s v="Átalány költségek"/>
    <s v="Projektmenedzser"/>
    <s v="K037000146"/>
    <s v="K011110000"/>
    <s v="Projektmenedzsment személyi jellegű költség, bérköltség"/>
    <d v="2023-04-01T00:00:00"/>
    <s v="3. mérföldkő"/>
    <s v="Köt. váll."/>
    <s v="Munkabér"/>
    <n v="1300000"/>
    <n v="169000"/>
    <n v="174"/>
    <n v="95"/>
    <n v="0.54597701149425293"/>
    <n v="709770"/>
    <n v="92270"/>
  </r>
  <r>
    <x v="30"/>
    <s v="Átalány költségek"/>
    <s v="Projektmenedzser"/>
    <s v="K037000146"/>
    <s v="K011110000"/>
    <s v="Projektmenedzsment személyi jellegű költség, bérköltség"/>
    <d v="2023-05-01T00:00:00"/>
    <s v="3. mérföldkő"/>
    <s v="Köt. váll."/>
    <s v="Munkabér"/>
    <n v="1300000"/>
    <n v="169000"/>
    <n v="174"/>
    <n v="95"/>
    <n v="0.54597701149425293"/>
    <n v="709770"/>
    <n v="92270"/>
  </r>
  <r>
    <x v="30"/>
    <s v="Átalány költségek"/>
    <s v="Projektmenedzser"/>
    <s v="K037000146"/>
    <s v="K011110000"/>
    <s v="Projektmenedzsment személyi jellegű költség, bérköltség"/>
    <d v="2023-06-01T00:00:00"/>
    <s v="3. mérföldkő"/>
    <s v="Köt. váll."/>
    <s v="Munkabér"/>
    <n v="1300000"/>
    <n v="169000"/>
    <n v="174"/>
    <n v="95"/>
    <n v="0.54597701149425293"/>
    <n v="709770"/>
    <n v="92270"/>
  </r>
  <r>
    <x v="31"/>
    <s v="Szakmai megvalósítás"/>
    <s v="Kutató"/>
    <s v="C017000145"/>
    <s v="C241110000"/>
    <s v="Személyi jellegű költség, bérköltség "/>
    <d v="2022-07-01T00:00:00"/>
    <s v="2. mérföldkő"/>
    <s v="Tény"/>
    <s v="Munkabér"/>
    <n v="252000"/>
    <n v="32760"/>
    <n v="87"/>
    <n v="87"/>
    <n v="1"/>
    <n v="252000"/>
    <n v="32760"/>
  </r>
  <r>
    <x v="31"/>
    <s v="Szakmai megvalósítás"/>
    <s v="Kutató"/>
    <s v="C017000145"/>
    <s v="C241110000"/>
    <s v="Személyi jellegű költség, bérköltség "/>
    <d v="2022-08-01T00:00:00"/>
    <s v="2. mérföldkő"/>
    <s v="Tény"/>
    <s v="Munkabér"/>
    <n v="252000"/>
    <n v="6760"/>
    <n v="87"/>
    <n v="87"/>
    <n v="1"/>
    <n v="252000"/>
    <n v="6760"/>
  </r>
  <r>
    <x v="31"/>
    <s v="Szakmai megvalósítás"/>
    <s v="Kutató"/>
    <s v="C017000145"/>
    <s v="C241110000"/>
    <s v="Személyi jellegű költség, bérköltség "/>
    <d v="2022-09-01T00:00:00"/>
    <s v="2. mérföldkő"/>
    <s v="Tény"/>
    <s v="Munkabér"/>
    <n v="252000"/>
    <n v="6760"/>
    <n v="87"/>
    <n v="87"/>
    <n v="1"/>
    <n v="252000"/>
    <n v="6760"/>
  </r>
  <r>
    <x v="31"/>
    <s v="Szakmai megvalósítás"/>
    <s v="Kutató"/>
    <s v="C017000145"/>
    <s v="C241110000"/>
    <s v="Személyi jellegű költség, bérköltség "/>
    <d v="2022-10-01T00:00:00"/>
    <s v="2. mérföldkő"/>
    <s v="Tény"/>
    <s v="Munkabér"/>
    <n v="252000"/>
    <n v="6760"/>
    <n v="87"/>
    <n v="87"/>
    <n v="1"/>
    <n v="252000"/>
    <n v="6760"/>
  </r>
  <r>
    <x v="31"/>
    <s v="Szakmai megvalósítás"/>
    <s v="Kutató"/>
    <s v="C017000145"/>
    <s v="C241110000"/>
    <s v="Személyi jellegű költség, bérköltség "/>
    <d v="2022-11-01T00:00:00"/>
    <s v="2. mérföldkő"/>
    <s v="Tény"/>
    <s v="Munkabér"/>
    <n v="252000"/>
    <n v="6760"/>
    <n v="87"/>
    <n v="87"/>
    <n v="1"/>
    <n v="252000"/>
    <n v="6760"/>
  </r>
  <r>
    <x v="31"/>
    <s v="Szakmai megvalósítás"/>
    <s v="Kutató"/>
    <s v="C017000145"/>
    <s v="C241110000"/>
    <s v="Személyi jellegű költség, bérköltség "/>
    <d v="2022-12-01T00:00:00"/>
    <s v="2. mérföldkő"/>
    <s v="Tény"/>
    <s v="Munkabér"/>
    <n v="252000"/>
    <n v="7066"/>
    <n v="87"/>
    <n v="87"/>
    <n v="1"/>
    <n v="252000"/>
    <n v="7066"/>
  </r>
  <r>
    <x v="31"/>
    <s v="Szakmai megvalósítás"/>
    <s v="Kutató"/>
    <s v="C017000145"/>
    <s v="C241110000"/>
    <s v="Személyi jellegű költség, bérköltség "/>
    <d v="2023-01-01T00:00:00"/>
    <s v="2. mérföldkő"/>
    <s v="Köt. váll."/>
    <s v="Munkabér"/>
    <n v="252000"/>
    <n v="6760"/>
    <n v="87"/>
    <n v="87"/>
    <n v="1"/>
    <n v="252000"/>
    <n v="6760"/>
  </r>
  <r>
    <x v="31"/>
    <s v="Szakmai megvalósítás"/>
    <s v="Kutató"/>
    <s v="C017000145"/>
    <s v="C241110000"/>
    <s v="Személyi jellegű költség, bérköltség "/>
    <d v="2023-02-01T00:00:00"/>
    <s v="2. mérföldkő"/>
    <s v="Köt. váll."/>
    <s v="Munkabér"/>
    <n v="252000"/>
    <n v="6760"/>
    <n v="87"/>
    <n v="87"/>
    <n v="1"/>
    <n v="252000"/>
    <n v="6760"/>
  </r>
  <r>
    <x v="31"/>
    <s v="Szakmai megvalósítás"/>
    <s v="Kutató"/>
    <s v="C017000145"/>
    <s v="C241110000"/>
    <s v="Személyi jellegű költség, bérköltség "/>
    <d v="2023-03-01T00:00:00"/>
    <s v="3. mérföldkő"/>
    <s v="Köt. váll."/>
    <s v="Munkabér"/>
    <n v="252000"/>
    <n v="6760"/>
    <n v="87"/>
    <n v="87"/>
    <n v="1"/>
    <n v="252000"/>
    <n v="6760"/>
  </r>
  <r>
    <x v="31"/>
    <s v="Szakmai megvalósítás"/>
    <s v="Kutató"/>
    <s v="C017000145"/>
    <s v="C241110000"/>
    <s v="Személyi jellegű költség, bérköltség "/>
    <d v="2023-04-01T00:00:00"/>
    <s v="3. mérföldkő"/>
    <s v="Köt. váll."/>
    <s v="Munkabér"/>
    <n v="252000"/>
    <n v="6760"/>
    <n v="87"/>
    <n v="87"/>
    <n v="1"/>
    <n v="252000"/>
    <n v="6760"/>
  </r>
  <r>
    <x v="31"/>
    <s v="Szakmai megvalósítás"/>
    <s v="Kutató"/>
    <s v="C017000145"/>
    <s v="C241110000"/>
    <s v="Személyi jellegű költség, bérköltség "/>
    <d v="2023-05-01T00:00:00"/>
    <s v="3. mérföldkő"/>
    <s v="Köt. váll."/>
    <s v="Munkabér"/>
    <n v="252000"/>
    <n v="6760"/>
    <n v="87"/>
    <n v="87"/>
    <n v="1"/>
    <n v="252000"/>
    <n v="67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766F8A-4C50-47CB-A618-AC35AED71990}" name="Kimutatás1" cacheId="0" applyNumberFormats="0" applyBorderFormats="0" applyFontFormats="0" applyPatternFormats="0" applyAlignmentFormats="0" applyWidthHeightFormats="1" dataCaption="Értékek" updatedVersion="6" minRefreshableVersion="3" useAutoFormatting="1" itemPrintTitles="1" createdVersion="6" indent="0" outline="1" outlineData="1" multipleFieldFilters="0" chartFormat="1">
  <location ref="A1:C34" firstHeaderRow="0" firstDataRow="1" firstDataCol="1"/>
  <pivotFields count="17">
    <pivotField axis="axisRow" showAll="0">
      <items count="33">
        <item x="0"/>
        <item x="1"/>
        <item x="2"/>
        <item x="17"/>
        <item x="27"/>
        <item x="4"/>
        <item x="5"/>
        <item x="6"/>
        <item x="7"/>
        <item x="8"/>
        <item x="9"/>
        <item x="10"/>
        <item x="12"/>
        <item x="13"/>
        <item x="11"/>
        <item x="14"/>
        <item x="15"/>
        <item x="16"/>
        <item x="18"/>
        <item x="19"/>
        <item x="3"/>
        <item x="20"/>
        <item x="21"/>
        <item x="22"/>
        <item x="23"/>
        <item x="24"/>
        <item x="25"/>
        <item x="26"/>
        <item x="28"/>
        <item x="29"/>
        <item x="30"/>
        <item x="31"/>
        <item t="default"/>
      </items>
    </pivotField>
    <pivotField showAll="0"/>
    <pivotField showAll="0"/>
    <pivotField showAll="0"/>
    <pivotField showAll="0"/>
    <pivotField showAll="0"/>
    <pivotField numFmtId="168" showAll="0"/>
    <pivotField showAll="0"/>
    <pivotField showAll="0"/>
    <pivotField showAll="0"/>
    <pivotField showAll="0"/>
    <pivotField numFmtId="170" showAll="0"/>
    <pivotField showAll="0"/>
    <pivotField showAll="0"/>
    <pivotField numFmtId="171" showAll="0"/>
    <pivotField dataField="1" numFmtId="166" showAll="0"/>
    <pivotField dataField="1"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2">
    <i>
      <x/>
    </i>
    <i i="1">
      <x v="1"/>
    </i>
  </colItems>
  <dataFields count="2">
    <dataField name="Összeg / Projektre _x000a_elszámolt_x000a_bér" fld="15" baseField="0" baseItem="0"/>
    <dataField name="Összeg / Projektre _x000a_elszámolt_x000a_járulék" fld="16" baseField="0" baseItem="0"/>
  </dataFields>
  <formats count="3">
    <format dxfId="6">
      <pivotArea collapsedLevelsAreSubtotals="1" fieldPosition="0">
        <references count="1">
          <reference field="0" count="0"/>
        </references>
      </pivotArea>
    </format>
    <format dxfId="5">
      <pivotArea outline="0" collapsedLevelsAreSubtotals="1" fieldPosition="0"/>
    </format>
    <format dxfId="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3B89D2-BB3C-4E65-8768-5D8CDD2489A5}" name="admin_feor" displayName="admin_feor" ref="A1:F465" totalsRowShown="0" headerRowDxfId="16" dataDxfId="14" headerRowBorderDxfId="15" tableBorderDxfId="13" headerRowCellStyle="Normál 10" dataCellStyle="Normál 10">
  <autoFilter ref="A1:F465" xr:uid="{134BEC41-0044-4498-9682-8387D48047F7}"/>
  <tableColumns count="6">
    <tableColumn id="1" xr3:uid="{4FCCACAC-2177-4909-AF50-01F6044C204B}" name="Foglalkozás" dataDxfId="12" dataCellStyle="Normál 10"/>
    <tableColumn id="2" xr3:uid="{B0B13622-2C76-40C4-AAA4-CBD6A19D272B}" name="Oszlop1" dataDxfId="11" dataCellStyle="Normál 10"/>
    <tableColumn id="3" xr3:uid="{60CD657F-602E-4805-841A-332EFC3287BB}" name="Korcsoport" dataDxfId="10" dataCellStyle="Normál 10"/>
    <tableColumn id="4" xr3:uid="{6672EEC5-A1E7-486D-B0DC-12760B787586}" name="Oszlop2" dataDxfId="9" dataCellStyle="Normál 10"/>
    <tableColumn id="5" xr3:uid="{38DFEC04-0EFF-442A-A7F5-F210222ED682}" name="Oszlop3" dataDxfId="8" dataCellStyle="Normál 10"/>
    <tableColumn id="6" xr3:uid="{80698EC2-5B9F-4E10-9404-F1D4FDB9C106}" name="Oszlop4" dataDxfId="7" dataCellStyle="Normál 1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T49"/>
  <sheetViews>
    <sheetView topLeftCell="C2" zoomScale="40" zoomScaleNormal="40" workbookViewId="0">
      <selection activeCell="M18" sqref="M18"/>
    </sheetView>
  </sheetViews>
  <sheetFormatPr defaultRowHeight="15" x14ac:dyDescent="0.25"/>
  <cols>
    <col min="1" max="1" width="65.28515625" customWidth="1"/>
    <col min="2" max="2" width="51.28515625" customWidth="1"/>
    <col min="3" max="3" width="52.28515625" customWidth="1"/>
    <col min="4" max="4" width="28" style="5" bestFit="1" customWidth="1"/>
    <col min="5" max="5" width="31.140625" style="4" customWidth="1"/>
    <col min="6" max="6" width="26.28515625" style="4" customWidth="1"/>
    <col min="7" max="7" width="24.28515625" style="4" bestFit="1" customWidth="1"/>
    <col min="8" max="8" width="30.140625" style="4" customWidth="1"/>
    <col min="9" max="9" width="71.5703125" customWidth="1"/>
    <col min="10" max="10" width="50.42578125" style="2" customWidth="1"/>
    <col min="11" max="11" width="32.85546875" style="2" customWidth="1"/>
    <col min="12" max="12" width="37.85546875" style="2" customWidth="1"/>
    <col min="13" max="13" width="29.5703125" bestFit="1" customWidth="1"/>
    <col min="14" max="14" width="27.7109375" bestFit="1" customWidth="1"/>
    <col min="15" max="15" width="29.5703125" bestFit="1" customWidth="1"/>
    <col min="16" max="16" width="33.85546875" customWidth="1"/>
    <col min="17" max="17" width="41" customWidth="1"/>
  </cols>
  <sheetData>
    <row r="1" spans="1:20" s="135" customFormat="1" ht="31.5" customHeight="1" thickBot="1" x14ac:dyDescent="0.3">
      <c r="A1" s="916" t="s">
        <v>59</v>
      </c>
      <c r="B1" s="916"/>
      <c r="C1" s="916"/>
      <c r="D1" s="916"/>
      <c r="E1" s="916"/>
      <c r="F1" s="916"/>
      <c r="G1" s="916"/>
      <c r="H1" s="917"/>
      <c r="I1" s="178"/>
      <c r="J1" s="921" t="s">
        <v>17</v>
      </c>
      <c r="K1" s="922"/>
      <c r="L1" s="922"/>
      <c r="M1" s="922"/>
      <c r="N1" s="922"/>
      <c r="O1" s="922"/>
      <c r="P1" s="922"/>
      <c r="Q1" s="269" t="s">
        <v>206</v>
      </c>
      <c r="R1" s="135">
        <v>45</v>
      </c>
      <c r="S1" s="135">
        <v>15</v>
      </c>
      <c r="T1" s="883">
        <f>S1/R1</f>
        <v>0.33333333333333331</v>
      </c>
    </row>
    <row r="2" spans="1:20" s="136" customFormat="1" ht="75.599999999999994" customHeight="1" thickBot="1" x14ac:dyDescent="0.4">
      <c r="A2" s="179" t="s">
        <v>135</v>
      </c>
      <c r="B2" s="179" t="s">
        <v>6</v>
      </c>
      <c r="C2" s="179" t="s">
        <v>129</v>
      </c>
      <c r="D2" s="180" t="s">
        <v>19</v>
      </c>
      <c r="E2" s="179" t="s">
        <v>14</v>
      </c>
      <c r="F2" s="179" t="s">
        <v>0</v>
      </c>
      <c r="G2" s="179" t="s">
        <v>8</v>
      </c>
      <c r="H2" s="235" t="s">
        <v>10</v>
      </c>
      <c r="I2" s="181"/>
      <c r="J2" s="182" t="s">
        <v>151</v>
      </c>
      <c r="K2" s="183" t="s">
        <v>5</v>
      </c>
      <c r="L2" s="184" t="s">
        <v>19</v>
      </c>
      <c r="M2" s="183" t="s">
        <v>14</v>
      </c>
      <c r="N2" s="183" t="s">
        <v>0</v>
      </c>
      <c r="O2" s="183" t="s">
        <v>8</v>
      </c>
      <c r="P2" s="267" t="s">
        <v>10</v>
      </c>
      <c r="Q2" s="270">
        <v>44797</v>
      </c>
    </row>
    <row r="3" spans="1:20" s="136" customFormat="1" ht="45" customHeight="1" x14ac:dyDescent="0.35">
      <c r="A3" s="261" t="s">
        <v>82</v>
      </c>
      <c r="B3" s="262" t="s">
        <v>34</v>
      </c>
      <c r="C3" s="263" t="s">
        <v>131</v>
      </c>
      <c r="D3" s="159">
        <v>515929204</v>
      </c>
      <c r="E3" s="160">
        <f ca="1">SUMIFS(Bérköltség!$Y$9:$Y$552,Bérköltség!$AH$9:$AH$552,$C3,Bérköltség!$AK$9:$AK$552,"Tény")</f>
        <v>149484986</v>
      </c>
      <c r="F3" s="161">
        <f ca="1">D3-E3</f>
        <v>366444218</v>
      </c>
      <c r="G3" s="162">
        <f ca="1">SUMIFS(Bérköltség!$Y$9:$Y$552,Bérköltség!$AH$9:$AH$552,$C3,Bérköltség!$AK$9:$AK$552,"Köt. váll.")</f>
        <v>33454018</v>
      </c>
      <c r="H3" s="232">
        <f t="shared" ref="H3:H8" ca="1" si="0">F3-G3</f>
        <v>332990200</v>
      </c>
      <c r="I3" s="181"/>
      <c r="J3" s="638" t="s">
        <v>115</v>
      </c>
      <c r="K3" s="639" t="str">
        <f>Admin!$A$2</f>
        <v>C017000143</v>
      </c>
      <c r="L3" s="185">
        <v>160700002</v>
      </c>
      <c r="M3" s="186">
        <f ca="1">SUMIFS(Bérköltség!$Y$9:$Y$552,Bérköltség!$AF$9:$AF$552,$K3,Bérköltség!$AK$9:$AK$552,"Tény")+SUMIFS(Bérköltség!$Z$9:$Z$552,Bérköltség!$AF$9:$AF$552,$K3,Bérköltség!$AK$9:$AK$552,"Tény")</f>
        <v>33897071</v>
      </c>
      <c r="N3" s="187">
        <f ca="1">L3-M3</f>
        <v>126802931</v>
      </c>
      <c r="O3" s="187">
        <f ca="1">SUMIFS(Bérköltség!$Y$9:$Y$552,Bérköltség!$AF$9:$AF$552,$K3,Bérköltség!$AK$9:$AK$552,"Köt. váll.")+SUMIFS(Bérköltség!$Z$9:$Z$552,Bérköltség!$AF$9:$AF$552,$K3,Bérköltség!$AK$9:$AK$552,"Köt. váll.")</f>
        <v>4567164</v>
      </c>
      <c r="P3" s="268">
        <f ca="1">N3-O3</f>
        <v>122235767</v>
      </c>
      <c r="Q3" s="736">
        <v>160700002</v>
      </c>
    </row>
    <row r="4" spans="1:20" s="136" customFormat="1" ht="70.5" thickBot="1" x14ac:dyDescent="0.4">
      <c r="A4" s="264" t="s">
        <v>175</v>
      </c>
      <c r="B4" s="265" t="s">
        <v>176</v>
      </c>
      <c r="C4" s="266" t="s">
        <v>131</v>
      </c>
      <c r="D4" s="167">
        <v>67070796</v>
      </c>
      <c r="E4" s="168">
        <f ca="1">SUMIFS(Bérköltség!$Z$9:$Z$552,Bérköltség!$AH$9:$AH$552,$C4,Bérköltség!$AK$9:$AK$552,"Tény")</f>
        <v>18097306</v>
      </c>
      <c r="F4" s="169">
        <f t="shared" ref="F4" ca="1" si="1">D4-E4</f>
        <v>48973490</v>
      </c>
      <c r="G4" s="169">
        <f ca="1">SUMIFS(Bérköltség!$Z$9:$Z$552,Bérköltség!$AH$9:$AH$552,$C4,Bérköltség!$AK$9:$AK$552,"Köt. váll.")</f>
        <v>3947885</v>
      </c>
      <c r="H4" s="170">
        <f t="shared" ca="1" si="0"/>
        <v>45025605</v>
      </c>
      <c r="I4" s="181"/>
      <c r="J4" s="640" t="s">
        <v>116</v>
      </c>
      <c r="K4" s="639" t="str">
        <f>Admin!$A$3</f>
        <v>C017000144</v>
      </c>
      <c r="L4" s="188">
        <v>90505200</v>
      </c>
      <c r="M4" s="186">
        <f ca="1">SUMIFS(Bérköltség!$Y$9:$Y$552,Bérköltség!$AF$9:$AF$552,$K4,Bérköltség!$AK$9:$AK$552,"Tény")+SUMIFS(Bérköltség!$Z$9:$Z$552,Bérköltség!$AF$9:$AF$552,$K4,Bérköltség!$AK$9:$AK$552,"Tény")</f>
        <v>17111463</v>
      </c>
      <c r="N4" s="187">
        <f t="shared" ref="N4:N8" ca="1" si="2">L4-M4</f>
        <v>73393737</v>
      </c>
      <c r="O4" s="187">
        <f ca="1">SUMIFS(Bérköltség!$Y$9:$Y$552,Bérköltség!$AF$9:$AF$552,$K4,Bérköltség!$AK$9:$AK$552,"Köt. váll.")+SUMIFS(Bérköltség!$Z$9:$Z$552,Bérköltség!$AF$9:$AF$552,$K4,Bérköltség!$AK$9:$AK$552,"Köt. váll.")</f>
        <v>3218344</v>
      </c>
      <c r="P4" s="268">
        <f t="shared" ref="P4:P8" ca="1" si="3">N4-O4</f>
        <v>70175393</v>
      </c>
      <c r="Q4" s="737">
        <v>90505200</v>
      </c>
    </row>
    <row r="5" spans="1:20" s="136" customFormat="1" ht="43.15" customHeight="1" x14ac:dyDescent="0.3">
      <c r="A5" s="258" t="s">
        <v>82</v>
      </c>
      <c r="B5" s="259" t="s">
        <v>84</v>
      </c>
      <c r="C5" s="260" t="s">
        <v>68</v>
      </c>
      <c r="D5" s="167">
        <v>10550000</v>
      </c>
      <c r="E5" s="168">
        <f>SUMIFS(Dologi_felhalm.!$K$3:$K$54,Dologi_felhalm.!$C$3:$C$54,$C5,Dologi_felhalm.!$L$3:$L$54,"Tény")</f>
        <v>0</v>
      </c>
      <c r="F5" s="169">
        <f>D5-E5</f>
        <v>10550000</v>
      </c>
      <c r="G5" s="169">
        <f>SUMIFS(Dologi_felhalm.!$K$3:$K$54,Dologi_felhalm.!$C$3:$C$54,$C5,Dologi_felhalm.!$L$3:$L$54,"Köt. váll.")</f>
        <v>0</v>
      </c>
      <c r="H5" s="170">
        <f t="shared" si="0"/>
        <v>10550000</v>
      </c>
      <c r="I5" s="203" t="s">
        <v>4608</v>
      </c>
      <c r="J5" s="640" t="s">
        <v>117</v>
      </c>
      <c r="K5" s="639" t="str">
        <f>Admin!$A$4</f>
        <v>C017000145</v>
      </c>
      <c r="L5" s="188">
        <v>285000023</v>
      </c>
      <c r="M5" s="186">
        <f ca="1">SUMIFS(Bérköltség!$Y$9:$Y$552,Bérköltség!$AF$9:$AF$552,$K5,Bérköltség!$AK$9:$AK$552,"Tény")+SUMIFS(Bérköltség!$Z$9:$Z$552,Bérköltség!$AF$9:$AF$552,$K5,Bérköltség!$AK$9:$AK$552,"Tény")</f>
        <v>59557623</v>
      </c>
      <c r="N5" s="187">
        <f t="shared" ca="1" si="2"/>
        <v>225442400</v>
      </c>
      <c r="O5" s="187">
        <f ca="1">SUMIFS(Bérköltség!$Y$9:$Y$552,Bérköltség!$AF$9:$AF$552,$K5,Bérköltség!$AK$9:$AK$552,"Köt. váll.")+SUMIFS(Bérköltség!$Z$9:$Z$552,Bérköltség!$AF$9:$AF$552,$K5,Bérköltség!$AK$9:$AK$552,"Köt. váll.")</f>
        <v>9753884</v>
      </c>
      <c r="P5" s="268">
        <f t="shared" ca="1" si="3"/>
        <v>215688516</v>
      </c>
      <c r="Q5" s="737">
        <v>285000023</v>
      </c>
    </row>
    <row r="6" spans="1:20" s="136" customFormat="1" ht="42" customHeight="1" x14ac:dyDescent="0.35">
      <c r="A6" s="164" t="s">
        <v>86</v>
      </c>
      <c r="B6" s="165" t="s">
        <v>33</v>
      </c>
      <c r="C6" s="166" t="s">
        <v>132</v>
      </c>
      <c r="D6" s="167">
        <v>36994800</v>
      </c>
      <c r="E6" s="168">
        <f>SUMIFS(Dologi_felhalm.!$K$3:$K$54,Dologi_felhalm.!$C$3:$C$54,$C6,Dologi_felhalm.!$L$3:$L$54,"Tény")</f>
        <v>0</v>
      </c>
      <c r="F6" s="169">
        <f t="shared" ref="F6:F8" si="4">D6-E6</f>
        <v>36994800</v>
      </c>
      <c r="G6" s="169">
        <f>SUMIFS(Dologi_felhalm.!$K$3:$K$54,Dologi_felhalm.!$C$3:$C$54,$C6,Dologi_felhalm.!$L$3:$L$54,"Köt. váll.")</f>
        <v>0</v>
      </c>
      <c r="H6" s="170">
        <f t="shared" si="0"/>
        <v>36994800</v>
      </c>
      <c r="I6" s="181"/>
      <c r="J6" s="640" t="s">
        <v>118</v>
      </c>
      <c r="K6" s="639" t="str">
        <f>Admin!$A$5</f>
        <v>C017000154</v>
      </c>
      <c r="L6" s="188">
        <v>45800000</v>
      </c>
      <c r="M6" s="186">
        <f ca="1">SUMIFS(Bérköltség!$Y$9:$Y$552,Bérköltség!$AF$9:$AF$552,$K6,Bérköltség!$AK$9:$AK$552,"Tény")+SUMIFS(Bérköltség!$Z$9:$Z$552,Bérköltség!$AF$9:$AF$552,$K6,Bérköltség!$AK$9:$AK$552,"Tény")</f>
        <v>17338545</v>
      </c>
      <c r="N6" s="187">
        <f t="shared" ca="1" si="2"/>
        <v>28461455</v>
      </c>
      <c r="O6" s="187">
        <f ca="1">SUMIFS(Bérköltség!$Y$9:$Y$552,Bérköltség!$AF$9:$AF$552,$K6,Bérköltség!$AK$9:$AK$552,"Köt. váll.")+SUMIFS(Bérköltség!$Z$9:$Z$552,Bérköltség!$AF$9:$AF$552,$K6,Bérköltség!$AK$9:$AK$552,"Köt. váll.")</f>
        <v>4800950</v>
      </c>
      <c r="P6" s="268">
        <f t="shared" ca="1" si="3"/>
        <v>23660505</v>
      </c>
      <c r="Q6" s="737">
        <v>45800000</v>
      </c>
    </row>
    <row r="7" spans="1:20" s="136" customFormat="1" ht="51" customHeight="1" thickBot="1" x14ac:dyDescent="0.4">
      <c r="A7" s="164" t="s">
        <v>85</v>
      </c>
      <c r="B7" s="165" t="s">
        <v>136</v>
      </c>
      <c r="C7" s="171" t="s">
        <v>133</v>
      </c>
      <c r="D7" s="167">
        <v>6000000</v>
      </c>
      <c r="E7" s="168">
        <f>SUMIFS(Dologi_felhalm.!$K$3:$K$54,Dologi_felhalm.!$C$3:$C$54,$C7,Dologi_felhalm.!$L$3:$L$54,"Tény")</f>
        <v>0</v>
      </c>
      <c r="F7" s="169">
        <f t="shared" si="4"/>
        <v>6000000</v>
      </c>
      <c r="G7" s="169">
        <f>SUMIFS(Dologi_felhalm.!$K$3:$K$54,Dologi_felhalm.!$C$3:$C$54,$C7,Dologi_felhalm.!$L$3:$L$54,"Köt. váll.")</f>
        <v>0</v>
      </c>
      <c r="H7" s="170">
        <f t="shared" si="0"/>
        <v>6000000</v>
      </c>
      <c r="I7" s="181"/>
      <c r="J7" s="641" t="s">
        <v>150</v>
      </c>
      <c r="K7" s="642" t="str">
        <f>Admin!$A$6</f>
        <v>K037000146</v>
      </c>
      <c r="L7" s="190">
        <v>193197275</v>
      </c>
      <c r="M7" s="186">
        <f ca="1">SUMIFS(Bérköltség!$Y$9:$Y$552,Bérköltség!$AF$9:$AF$552,$K7,Bérköltség!$AK$9:$AK$552,"Tény")+SUMIFS(Bérköltség!$Z$9:$Z$552,Bérköltség!$AF$9:$AF$552,$K7,Bérköltség!$AK$9:$AK$552,"Tény")</f>
        <v>55767108</v>
      </c>
      <c r="N7" s="187">
        <f t="shared" ca="1" si="2"/>
        <v>137430167</v>
      </c>
      <c r="O7" s="187">
        <f ca="1">SUMIFS(Bérköltség!$Y$9:$Y$552,Bérköltség!$AF$9:$AF$552,$K7,Bérköltség!$AK$9:$AK$552,"Köt. váll.")+SUMIFS(Bérköltség!$Z$9:$Z$552,Bérköltség!$AF$9:$AF$552,$K7,Bérköltség!$AK$9:$AK$552,"Köt. váll.")</f>
        <v>18034529</v>
      </c>
      <c r="P7" s="268">
        <f t="shared" ca="1" si="3"/>
        <v>119395638</v>
      </c>
      <c r="Q7" s="738">
        <v>193197275</v>
      </c>
    </row>
    <row r="8" spans="1:20" s="136" customFormat="1" ht="27.6" customHeight="1" thickBot="1" x14ac:dyDescent="0.4">
      <c r="A8" s="172" t="s">
        <v>87</v>
      </c>
      <c r="B8" s="173" t="s">
        <v>137</v>
      </c>
      <c r="C8" s="174" t="s">
        <v>134</v>
      </c>
      <c r="D8" s="175">
        <v>98005200</v>
      </c>
      <c r="E8" s="168">
        <f>SUMIFS(Dologi_felhalm.!$K$3:$K$54,Dologi_felhalm.!$C$3:$C$54,$C8,Dologi_felhalm.!$L$3:$L$54,"Tény")</f>
        <v>0</v>
      </c>
      <c r="F8" s="169">
        <f t="shared" si="4"/>
        <v>98005200</v>
      </c>
      <c r="G8" s="169">
        <f>SUMIFS(Dologi_felhalm.!$K$3:$K$54,Dologi_felhalm.!$C$3:$C$54,$C8,Dologi_felhalm.!$L$3:$L$54,"Köt. váll.")</f>
        <v>0</v>
      </c>
      <c r="H8" s="177">
        <f t="shared" si="0"/>
        <v>98005200</v>
      </c>
      <c r="I8" s="181"/>
      <c r="J8" s="191" t="s">
        <v>107</v>
      </c>
      <c r="K8" s="192" t="str">
        <f>Admin!$A$7</f>
        <v>M217000147</v>
      </c>
      <c r="L8" s="193">
        <v>46797500</v>
      </c>
      <c r="M8" s="189">
        <f ca="1">SUMIFS(Bérköltség!$Y$9:$Y$552,Bérköltség!$AF$9:$AF$552,$K8,Bérköltség!$AK$9:$AK$552,"Tény")+SUMIFS(Bérköltség!$Z$9:$Z$552,Bérköltség!$AF$9:$AF$552,$K8,Bérköltség!$AK$9:$AK$552,"Tény")+SUMIFS(Dologi_felhalm.!$K$3:$K$54,Dologi_felhalm.!$N$3:$N$54,K$8,Dologi_felhalm.!$L$3:$L$54,"Tény")</f>
        <v>7953242</v>
      </c>
      <c r="N8" s="187">
        <f t="shared" ca="1" si="2"/>
        <v>38844258</v>
      </c>
      <c r="O8" s="187">
        <f>SUMIFS(Bérköltség!$Y$9:$Y$552,Bérköltség!$AF$9:$AF$552,$K8,Bérköltség!$AK$9:$AK$552,"Köt. váll.")+SUMIFS(Bérköltség!$Z$9:$Z$552,Bérköltség!$AF$9:$AF$552,$K8,Bérköltség!$AK$9:$AK$552,"Köt. váll.")+SUMIFS(Dologi_felhalm.!$K$3:$K$54,Dologi_felhalm.!$N$3:$N$54,K$8,Dologi_felhalm.!$L$3:$L$54,"Köt. váll.")</f>
        <v>205740</v>
      </c>
      <c r="P8" s="268">
        <f t="shared" ca="1" si="3"/>
        <v>38638518</v>
      </c>
      <c r="Q8" s="275">
        <v>46797500</v>
      </c>
    </row>
    <row r="9" spans="1:20" s="136" customFormat="1" ht="45" customHeight="1" thickBot="1" x14ac:dyDescent="0.4">
      <c r="A9" s="194"/>
      <c r="B9" s="195"/>
      <c r="C9" s="196" t="s">
        <v>15</v>
      </c>
      <c r="D9" s="197">
        <f>SUM(D3:D8)</f>
        <v>734550000</v>
      </c>
      <c r="E9" s="197">
        <f ca="1">SUM(E3:E8)</f>
        <v>167582292</v>
      </c>
      <c r="F9" s="197">
        <f ca="1">SUM(F3:F8)</f>
        <v>566967708</v>
      </c>
      <c r="G9" s="197">
        <f ca="1">SUM(G3:G8)</f>
        <v>37401903</v>
      </c>
      <c r="H9" s="198">
        <f ca="1">SUM(H3:H8)</f>
        <v>529565805</v>
      </c>
      <c r="I9" s="181"/>
      <c r="J9" s="923" t="s">
        <v>15</v>
      </c>
      <c r="K9" s="924"/>
      <c r="L9" s="199">
        <f>SUM(L3:L8)</f>
        <v>822000000</v>
      </c>
      <c r="M9" s="199">
        <f ca="1">SUM(M3:M8)</f>
        <v>191625052</v>
      </c>
      <c r="N9" s="199">
        <f ca="1">SUM(N3:N8)</f>
        <v>630374948</v>
      </c>
      <c r="O9" s="199">
        <f ca="1">SUM(O3:O8)</f>
        <v>40580611</v>
      </c>
      <c r="P9" s="242">
        <f ca="1">SUM(P3:P8)</f>
        <v>589794337</v>
      </c>
    </row>
    <row r="10" spans="1:20" s="93" customFormat="1" ht="24" thickBot="1" x14ac:dyDescent="0.4">
      <c r="A10" s="181"/>
      <c r="B10" s="181"/>
      <c r="C10" s="181"/>
      <c r="D10" s="200"/>
      <c r="E10" s="201"/>
      <c r="F10" s="201"/>
      <c r="G10" s="201"/>
      <c r="H10" s="201"/>
      <c r="I10" s="202"/>
      <c r="J10" s="203"/>
      <c r="K10" s="203"/>
      <c r="L10" s="203"/>
      <c r="M10" s="203"/>
      <c r="N10" s="203"/>
      <c r="O10" s="203"/>
      <c r="P10" s="203"/>
    </row>
    <row r="11" spans="1:20" s="136" customFormat="1" ht="51.6" customHeight="1" thickBot="1" x14ac:dyDescent="0.4">
      <c r="A11" s="918" t="s">
        <v>88</v>
      </c>
      <c r="B11" s="919"/>
      <c r="C11" s="919"/>
      <c r="D11" s="919"/>
      <c r="E11" s="919"/>
      <c r="F11" s="919"/>
      <c r="G11" s="919"/>
      <c r="H11" s="920"/>
      <c r="I11" s="202"/>
      <c r="J11" s="918" t="s">
        <v>47</v>
      </c>
      <c r="K11" s="919"/>
      <c r="L11" s="919"/>
      <c r="M11" s="919"/>
      <c r="N11" s="919"/>
      <c r="O11" s="920"/>
      <c r="P11" s="181"/>
    </row>
    <row r="12" spans="1:20" s="136" customFormat="1" ht="45.75" thickBot="1" x14ac:dyDescent="0.4">
      <c r="A12" s="233" t="s">
        <v>135</v>
      </c>
      <c r="B12" s="233" t="s">
        <v>6</v>
      </c>
      <c r="C12" s="233" t="s">
        <v>18</v>
      </c>
      <c r="D12" s="234" t="s">
        <v>19</v>
      </c>
      <c r="E12" s="233" t="s">
        <v>14</v>
      </c>
      <c r="F12" s="233" t="s">
        <v>0</v>
      </c>
      <c r="G12" s="233" t="s">
        <v>9</v>
      </c>
      <c r="H12" s="235" t="s">
        <v>10</v>
      </c>
      <c r="I12" s="202"/>
      <c r="J12" s="204" t="s">
        <v>48</v>
      </c>
      <c r="K12" s="205" t="s">
        <v>19</v>
      </c>
      <c r="L12" s="206" t="s">
        <v>14</v>
      </c>
      <c r="M12" s="206" t="s">
        <v>0</v>
      </c>
      <c r="N12" s="206" t="s">
        <v>9</v>
      </c>
      <c r="O12" s="207" t="s">
        <v>10</v>
      </c>
      <c r="P12" s="181"/>
    </row>
    <row r="13" spans="1:20" s="136" customFormat="1" ht="41.45" customHeight="1" thickBot="1" x14ac:dyDescent="0.4">
      <c r="A13" s="229" t="s">
        <v>89</v>
      </c>
      <c r="B13" s="230" t="s">
        <v>90</v>
      </c>
      <c r="C13" s="742" t="s">
        <v>77</v>
      </c>
      <c r="D13" s="752">
        <v>0</v>
      </c>
      <c r="E13" s="747">
        <f>SUMIFS(Dologi_felhalm.!$K$3:$K$54,Dologi_felhalm.!$C$3:$C$54,$C13,Dologi_felhalm.!$L$3:$L$54,"Tény")</f>
        <v>0</v>
      </c>
      <c r="F13" s="231">
        <f>D13-E13</f>
        <v>0</v>
      </c>
      <c r="G13" s="176">
        <f>SUMIFS(Dologi_felhalm.!$K$3:$K$54,Dologi_felhalm.!$C$3:$C$54,$C13,Dologi_felhalm.!$L$3:$L$54,"Köt. váll.")</f>
        <v>0</v>
      </c>
      <c r="H13" s="232">
        <f t="shared" ref="H13:H20" si="5">F13-G13</f>
        <v>0</v>
      </c>
      <c r="I13" s="202"/>
      <c r="J13" s="210" t="str">
        <f>Admin!A9</f>
        <v>Szakmai megvalósítás</v>
      </c>
      <c r="K13" s="211">
        <v>734550000</v>
      </c>
      <c r="L13" s="212">
        <f ca="1">SUM(E9)</f>
        <v>167582292</v>
      </c>
      <c r="M13" s="213">
        <f ca="1">SUM(F9)</f>
        <v>566967708</v>
      </c>
      <c r="N13" s="213">
        <f ca="1">SUM(G9)</f>
        <v>37401903</v>
      </c>
      <c r="O13" s="214">
        <f ca="1">SUM(H9)</f>
        <v>529565805</v>
      </c>
      <c r="P13" s="181"/>
    </row>
    <row r="14" spans="1:20" s="136" customFormat="1" ht="72.599999999999994" customHeight="1" thickBot="1" x14ac:dyDescent="0.4">
      <c r="A14" s="236" t="s">
        <v>89</v>
      </c>
      <c r="B14" s="228" t="s">
        <v>90</v>
      </c>
      <c r="C14" s="743" t="s">
        <v>78</v>
      </c>
      <c r="D14" s="753">
        <v>0</v>
      </c>
      <c r="E14" s="747">
        <f>SUMIFS(Dologi_felhalm.!$K$3:$K$54,Dologi_felhalm.!$C$3:$C$54,$C14,Dologi_felhalm.!$L$3:$L$54,"Tény")</f>
        <v>2811780</v>
      </c>
      <c r="F14" s="176">
        <f>D14-E14</f>
        <v>-2811780</v>
      </c>
      <c r="G14" s="176">
        <f>SUMIFS(Dologi_felhalm.!$K$3:$K$54,Dologi_felhalm.!$C$3:$C$54,$C14,Dologi_felhalm.!$L$3:$L$54,"Köt. váll.")</f>
        <v>205740</v>
      </c>
      <c r="H14" s="177">
        <f t="shared" si="5"/>
        <v>-3017520</v>
      </c>
      <c r="I14" s="217"/>
      <c r="J14" s="218" t="str">
        <f>Admin!A10</f>
        <v>Átalány költségek</v>
      </c>
      <c r="K14" s="219">
        <v>87450000</v>
      </c>
      <c r="L14" s="220">
        <f ca="1">SUM(E22)</f>
        <v>24042760</v>
      </c>
      <c r="M14" s="221">
        <f ca="1">SUM(F22)</f>
        <v>63407240</v>
      </c>
      <c r="N14" s="221">
        <f ca="1">SUM(G22)</f>
        <v>3178708</v>
      </c>
      <c r="O14" s="222">
        <f ca="1">SUM(H22)</f>
        <v>60228532</v>
      </c>
      <c r="P14" s="248" t="s">
        <v>195</v>
      </c>
    </row>
    <row r="15" spans="1:20" s="136" customFormat="1" ht="45.6" customHeight="1" thickBot="1" x14ac:dyDescent="0.4">
      <c r="A15" s="208" t="s">
        <v>91</v>
      </c>
      <c r="B15" s="209" t="s">
        <v>92</v>
      </c>
      <c r="C15" s="744" t="s">
        <v>97</v>
      </c>
      <c r="D15" s="752">
        <v>0</v>
      </c>
      <c r="E15" s="748">
        <f ca="1">SUMIFS(Bérköltség!$Y$9:$Y$552,Bérköltség!$AH$9:$AH$552,$C15,Bérköltség!$AK$9:$AK$552,"Tény")</f>
        <v>17196036</v>
      </c>
      <c r="F15" s="161">
        <f t="shared" ref="F15:F16" ca="1" si="6">D15-E15</f>
        <v>-17196036</v>
      </c>
      <c r="G15" s="237">
        <f ca="1">SUMIFS(Bérköltség!$Y$9:$Y$552,Bérköltség!$AH$9:$AH$552,$C15,Bérköltség!$AK$9:$AK$552,"Köt. váll.")</f>
        <v>2656408</v>
      </c>
      <c r="H15" s="163">
        <f t="shared" ca="1" si="5"/>
        <v>-19852444</v>
      </c>
      <c r="I15" s="181"/>
      <c r="J15" s="223" t="s">
        <v>15</v>
      </c>
      <c r="K15" s="224">
        <f>SUM(K13:K14)</f>
        <v>822000000</v>
      </c>
      <c r="L15" s="225">
        <f t="shared" ref="L15:O15" ca="1" si="7">SUM(L13:L14)</f>
        <v>191625052</v>
      </c>
      <c r="M15" s="225">
        <f t="shared" ca="1" si="7"/>
        <v>630374948</v>
      </c>
      <c r="N15" s="225">
        <f t="shared" ca="1" si="7"/>
        <v>40580611</v>
      </c>
      <c r="O15" s="243">
        <f t="shared" ca="1" si="7"/>
        <v>589794337</v>
      </c>
      <c r="P15" s="648">
        <f ca="1">P9-O15</f>
        <v>0</v>
      </c>
    </row>
    <row r="16" spans="1:20" s="136" customFormat="1" ht="49.9" customHeight="1" thickBot="1" x14ac:dyDescent="0.4">
      <c r="A16" s="226" t="s">
        <v>91</v>
      </c>
      <c r="B16" s="227" t="s">
        <v>92</v>
      </c>
      <c r="C16" s="745" t="s">
        <v>97</v>
      </c>
      <c r="D16" s="754">
        <v>0</v>
      </c>
      <c r="E16" s="749">
        <f ca="1">SUMIFS(Bérköltség!$Z$9:$Z$552,Bérköltség!$AH$9:$AH$552,$C16,Bérköltség!$AK$9:$AK$552,"Tény")</f>
        <v>2030935</v>
      </c>
      <c r="F16" s="239">
        <f t="shared" ca="1" si="6"/>
        <v>-2030935</v>
      </c>
      <c r="G16" s="238">
        <f ca="1">SUMIFS(Bérköltség!$Z$9:$Z$552,Bérköltség!$AH$9:$AH$552,$C16,Bérköltség!$AK$9:$AK$552,"Köt. váll.")</f>
        <v>316560</v>
      </c>
      <c r="H16" s="240">
        <f t="shared" ca="1" si="5"/>
        <v>-2347495</v>
      </c>
      <c r="I16" s="181"/>
      <c r="J16" s="217"/>
      <c r="K16" s="217"/>
      <c r="L16" s="217"/>
      <c r="M16" s="181"/>
      <c r="N16" s="181"/>
      <c r="O16" s="181"/>
      <c r="P16" s="181"/>
    </row>
    <row r="17" spans="1:16" s="136" customFormat="1" ht="49.9" customHeight="1" x14ac:dyDescent="0.35">
      <c r="A17" s="229" t="s">
        <v>85</v>
      </c>
      <c r="B17" s="230" t="s">
        <v>79</v>
      </c>
      <c r="C17" s="742" t="s">
        <v>79</v>
      </c>
      <c r="D17" s="755">
        <v>0</v>
      </c>
      <c r="E17" s="750">
        <f>SUMIFS(Dologi_felhalm.!$K$3:$K$54,Dologi_felhalm.!$C$3:$C$54,$C17,Dologi_felhalm.!$L$3:$L$54,"Tény")</f>
        <v>1816100</v>
      </c>
      <c r="F17" s="231">
        <f>D17-E17</f>
        <v>-1816100</v>
      </c>
      <c r="G17" s="231">
        <f>SUMIFS(Dologi_felhalm.!$K$3:$K$54,Dologi_felhalm.!$C$3:$C$54,$C17,Dologi_felhalm.!$L$3:$L$54,"Köt. váll.")</f>
        <v>0</v>
      </c>
      <c r="H17" s="232">
        <f>F17-G17</f>
        <v>-1816100</v>
      </c>
      <c r="I17" s="181"/>
      <c r="J17" s="217"/>
      <c r="K17" s="217"/>
      <c r="L17" s="217"/>
      <c r="M17" s="181"/>
      <c r="N17" s="181"/>
      <c r="O17" s="181"/>
      <c r="P17" s="181"/>
    </row>
    <row r="18" spans="1:16" s="136" customFormat="1" ht="49.9" customHeight="1" x14ac:dyDescent="0.35">
      <c r="A18" s="215" t="s">
        <v>91</v>
      </c>
      <c r="B18" s="216" t="s">
        <v>93</v>
      </c>
      <c r="C18" s="746" t="s">
        <v>68</v>
      </c>
      <c r="D18" s="756">
        <v>0</v>
      </c>
      <c r="E18" s="750">
        <f>SUMIFS(Dologi_felhalm.!$K$3:$K$54,Dologi_felhalm.!$C$3:$C$54,$C18,Dologi_felhalm.!$L$3:$L$54,"Tény")</f>
        <v>0</v>
      </c>
      <c r="F18" s="231">
        <f t="shared" ref="F18:F20" si="8">D18-E18</f>
        <v>0</v>
      </c>
      <c r="G18" s="231">
        <f>SUMIFS(Dologi_felhalm.!$K$3:$K$54,Dologi_felhalm.!$C$3:$C$54,$C18,Dologi_felhalm.!$L$3:$L$54,"Köt. váll.")</f>
        <v>0</v>
      </c>
      <c r="H18" s="170">
        <f t="shared" si="5"/>
        <v>0</v>
      </c>
      <c r="I18" s="181"/>
      <c r="J18" s="217">
        <f>(D3+D4)/D9</f>
        <v>0.79368320740589482</v>
      </c>
      <c r="K18" s="217"/>
      <c r="L18" s="217"/>
      <c r="M18" s="181"/>
      <c r="N18" s="181"/>
      <c r="O18" s="181"/>
      <c r="P18" s="181"/>
    </row>
    <row r="19" spans="1:16" s="136" customFormat="1" ht="46.5" x14ac:dyDescent="0.35">
      <c r="A19" s="215" t="s">
        <v>94</v>
      </c>
      <c r="B19" s="216" t="s">
        <v>95</v>
      </c>
      <c r="C19" s="746" t="s">
        <v>80</v>
      </c>
      <c r="D19" s="756">
        <v>0</v>
      </c>
      <c r="E19" s="750">
        <f>SUMIFS(Dologi_felhalm.!$K$3:$K$54,Dologi_felhalm.!$C$3:$C$54,$C19,Dologi_felhalm.!$L$3:$L$54,"Tény")</f>
        <v>0</v>
      </c>
      <c r="F19" s="231">
        <f t="shared" si="8"/>
        <v>0</v>
      </c>
      <c r="G19" s="231">
        <f>SUMIFS(Dologi_felhalm.!$K$3:$K$54,Dologi_felhalm.!$C$3:$C$54,$C19,Dologi_felhalm.!$L$3:$L$54,"Köt. váll.")</f>
        <v>0</v>
      </c>
      <c r="H19" s="170">
        <f t="shared" si="5"/>
        <v>0</v>
      </c>
      <c r="I19" s="181"/>
      <c r="J19" s="217"/>
      <c r="K19" s="217"/>
      <c r="L19" s="217"/>
      <c r="M19" s="181"/>
      <c r="N19" s="181"/>
      <c r="O19" s="181"/>
      <c r="P19" s="181"/>
    </row>
    <row r="20" spans="1:16" s="136" customFormat="1" ht="47.25" thickBot="1" x14ac:dyDescent="0.4">
      <c r="A20" s="226" t="s">
        <v>94</v>
      </c>
      <c r="B20" s="227" t="s">
        <v>95</v>
      </c>
      <c r="C20" s="745" t="s">
        <v>81</v>
      </c>
      <c r="D20" s="754">
        <v>0</v>
      </c>
      <c r="E20" s="751">
        <f>SUMIFS(Dologi_felhalm.!$K$3:$K$54,Dologi_felhalm.!$C$3:$C$54,$C20,Dologi_felhalm.!$L$3:$L$54,"Tény")</f>
        <v>0</v>
      </c>
      <c r="F20" s="239">
        <f t="shared" si="8"/>
        <v>0</v>
      </c>
      <c r="G20" s="239">
        <f>SUMIFS(Dologi_felhalm.!$K$3:$K$54,Dologi_felhalm.!$C$3:$C$54,$C20,Dologi_felhalm.!$L$3:$L$54,"Köt. váll.")</f>
        <v>0</v>
      </c>
      <c r="H20" s="240">
        <f t="shared" si="5"/>
        <v>0</v>
      </c>
      <c r="I20" s="181"/>
      <c r="J20" s="217"/>
      <c r="K20" s="217"/>
      <c r="L20" s="217"/>
      <c r="M20" s="181"/>
      <c r="N20" s="181"/>
      <c r="O20" s="181"/>
      <c r="P20" s="181"/>
    </row>
    <row r="21" spans="1:16" s="136" customFormat="1" ht="45.75" thickBot="1" x14ac:dyDescent="0.4">
      <c r="A21" s="710"/>
      <c r="B21" s="710"/>
      <c r="C21" s="739" t="s">
        <v>4565</v>
      </c>
      <c r="D21" s="758">
        <v>0</v>
      </c>
      <c r="E21" s="757">
        <f>SUMIFS(Dologi_felhalm.!$K$3:$K$54,Dologi_felhalm.!$C$3:$C$54,$C21,Dologi_felhalm.!$L$3:$L$54,"Tény")</f>
        <v>187909</v>
      </c>
      <c r="F21" s="711">
        <f t="shared" ref="F21" si="9">D21-E21</f>
        <v>-187909</v>
      </c>
      <c r="G21" s="711">
        <f>SUMIFS(Dologi_felhalm.!$K$3:$K$54,Dologi_felhalm.!$C$3:$C$54,$C21,Dologi_felhalm.!$L$3:$L$54,"Köt. váll.")</f>
        <v>0</v>
      </c>
      <c r="H21" s="712">
        <f t="shared" ref="H21" si="10">F21-G21</f>
        <v>-187909</v>
      </c>
      <c r="I21" s="181"/>
      <c r="J21" s="217"/>
      <c r="K21" s="217"/>
      <c r="L21" s="217"/>
      <c r="M21" s="181"/>
      <c r="N21" s="181"/>
      <c r="O21" s="181"/>
      <c r="P21" s="181"/>
    </row>
    <row r="22" spans="1:16" s="136" customFormat="1" ht="50.45" customHeight="1" thickBot="1" x14ac:dyDescent="0.4">
      <c r="A22" s="181"/>
      <c r="B22" s="181"/>
      <c r="C22" s="196" t="s">
        <v>15</v>
      </c>
      <c r="D22" s="197">
        <v>87450000</v>
      </c>
      <c r="E22" s="197">
        <f ca="1">SUM(E13:E21)</f>
        <v>24042760</v>
      </c>
      <c r="F22" s="197">
        <f ca="1">D22-E22</f>
        <v>63407240</v>
      </c>
      <c r="G22" s="197">
        <f ca="1">SUM(G13:G21)</f>
        <v>3178708</v>
      </c>
      <c r="H22" s="198">
        <f ca="1">F22-G22</f>
        <v>60228532</v>
      </c>
      <c r="I22" s="181"/>
      <c r="J22" s="217"/>
      <c r="K22" s="217"/>
      <c r="L22" s="217"/>
      <c r="M22" s="181"/>
      <c r="N22" s="181"/>
      <c r="O22" s="181"/>
      <c r="P22" s="181"/>
    </row>
    <row r="23" spans="1:16" s="136" customFormat="1" ht="23.25" x14ac:dyDescent="0.35">
      <c r="A23" s="181"/>
      <c r="B23" s="181"/>
      <c r="C23" s="181"/>
      <c r="D23" s="200"/>
      <c r="E23" s="201"/>
      <c r="F23" s="201"/>
      <c r="G23" s="201"/>
      <c r="H23" s="201"/>
      <c r="I23" s="181"/>
      <c r="J23" s="217"/>
      <c r="K23" s="217"/>
      <c r="L23" s="217"/>
      <c r="M23" s="181"/>
      <c r="N23" s="181"/>
      <c r="O23" s="181"/>
      <c r="P23" s="181"/>
    </row>
    <row r="24" spans="1:16" s="136" customFormat="1" ht="24" thickBot="1" x14ac:dyDescent="0.4">
      <c r="A24" s="181"/>
      <c r="B24" s="181"/>
      <c r="C24" s="181"/>
      <c r="D24" s="200"/>
      <c r="E24" s="201"/>
      <c r="F24" s="201"/>
      <c r="G24" s="201"/>
      <c r="H24" s="201"/>
      <c r="I24" s="181"/>
      <c r="J24" s="217"/>
      <c r="K24" s="217"/>
      <c r="L24" s="217"/>
      <c r="M24" s="181"/>
      <c r="N24" s="181"/>
      <c r="O24" s="181"/>
      <c r="P24" s="181"/>
    </row>
    <row r="25" spans="1:16" s="136" customFormat="1" ht="24" thickBot="1" x14ac:dyDescent="0.4">
      <c r="A25" s="181"/>
      <c r="B25" s="181"/>
      <c r="C25" s="196" t="s">
        <v>15</v>
      </c>
      <c r="D25" s="197">
        <f>D9+D22</f>
        <v>822000000</v>
      </c>
      <c r="E25" s="197">
        <f ca="1">E9+E22</f>
        <v>191625052</v>
      </c>
      <c r="F25" s="197">
        <f ca="1">F9+F22</f>
        <v>630374948</v>
      </c>
      <c r="G25" s="197">
        <f ca="1">G9+G22</f>
        <v>40580611</v>
      </c>
      <c r="H25" s="241">
        <f ca="1">F25-G25</f>
        <v>589794337</v>
      </c>
      <c r="I25" s="181"/>
      <c r="J25" s="217"/>
      <c r="K25" s="217"/>
      <c r="L25" s="217"/>
      <c r="M25" s="181"/>
      <c r="N25" s="181"/>
      <c r="O25" s="181"/>
      <c r="P25" s="181"/>
    </row>
    <row r="26" spans="1:16" s="136" customFormat="1" ht="23.25" x14ac:dyDescent="0.35">
      <c r="D26" s="137"/>
      <c r="E26" s="138"/>
      <c r="F26" s="138"/>
      <c r="G26" s="138"/>
      <c r="H26" s="138"/>
      <c r="I26" s="181"/>
      <c r="J26" s="217"/>
      <c r="K26" s="217"/>
      <c r="L26" s="217"/>
      <c r="M26" s="181"/>
      <c r="N26" s="181"/>
      <c r="O26" s="181"/>
      <c r="P26" s="181"/>
    </row>
    <row r="27" spans="1:16" s="136" customFormat="1" ht="18.75" x14ac:dyDescent="0.3">
      <c r="D27" s="137"/>
      <c r="E27" s="138"/>
      <c r="F27" s="138"/>
      <c r="G27" s="138"/>
      <c r="H27" s="138"/>
      <c r="J27" s="139"/>
      <c r="K27" s="139"/>
      <c r="L27" s="139"/>
    </row>
    <row r="28" spans="1:16" s="136" customFormat="1" ht="18.75" x14ac:dyDescent="0.3">
      <c r="D28" s="137"/>
      <c r="E28" s="138"/>
      <c r="F28" s="138"/>
      <c r="G28" s="138"/>
      <c r="H28" s="138"/>
      <c r="J28" s="139"/>
      <c r="K28" s="139"/>
      <c r="L28" s="139"/>
    </row>
    <row r="29" spans="1:16" s="136" customFormat="1" ht="18.75" x14ac:dyDescent="0.3">
      <c r="D29" s="137"/>
      <c r="E29" s="138"/>
      <c r="F29" s="138"/>
      <c r="G29" s="138"/>
      <c r="H29" s="138"/>
      <c r="J29" s="139"/>
      <c r="K29" s="139"/>
      <c r="L29" s="139"/>
    </row>
    <row r="30" spans="1:16" s="136" customFormat="1" ht="31.5" customHeight="1" x14ac:dyDescent="0.3">
      <c r="D30" s="137"/>
      <c r="E30" s="138"/>
      <c r="F30" s="138"/>
      <c r="G30" s="138"/>
      <c r="H30" s="138"/>
      <c r="J30" s="139"/>
      <c r="K30" s="139"/>
      <c r="L30" s="139"/>
    </row>
    <row r="31" spans="1:16" s="136" customFormat="1" ht="18.75" x14ac:dyDescent="0.3">
      <c r="D31" s="137"/>
      <c r="E31" s="138"/>
      <c r="F31" s="138"/>
      <c r="G31" s="138"/>
      <c r="H31" s="138"/>
      <c r="J31" s="139"/>
      <c r="K31" s="139"/>
      <c r="L31" s="139"/>
    </row>
    <row r="32" spans="1:16" s="136" customFormat="1" ht="18.75" x14ac:dyDescent="0.3">
      <c r="D32" s="137"/>
      <c r="E32" s="138"/>
      <c r="F32" s="138"/>
      <c r="G32" s="138"/>
      <c r="H32" s="138"/>
      <c r="J32" s="139"/>
      <c r="K32" s="139"/>
      <c r="L32" s="139"/>
    </row>
    <row r="33" spans="1:12" s="136" customFormat="1" ht="18.75" x14ac:dyDescent="0.3">
      <c r="D33" s="137"/>
      <c r="E33" s="138"/>
      <c r="F33" s="138"/>
      <c r="G33" s="138"/>
      <c r="H33" s="138"/>
      <c r="J33" s="139"/>
      <c r="K33" s="139"/>
      <c r="L33" s="139"/>
    </row>
    <row r="34" spans="1:12" s="136" customFormat="1" ht="18.75" x14ac:dyDescent="0.3">
      <c r="D34" s="137"/>
      <c r="E34" s="138"/>
      <c r="F34" s="138"/>
      <c r="G34" s="138"/>
      <c r="H34" s="138"/>
      <c r="J34" s="139"/>
      <c r="K34" s="139"/>
      <c r="L34" s="139"/>
    </row>
    <row r="35" spans="1:12" s="136" customFormat="1" ht="18.75" x14ac:dyDescent="0.3">
      <c r="D35" s="137"/>
      <c r="E35" s="138"/>
      <c r="F35" s="138"/>
      <c r="G35" s="138"/>
      <c r="H35" s="138"/>
      <c r="J35" s="139"/>
      <c r="K35" s="139"/>
      <c r="L35" s="139"/>
    </row>
    <row r="36" spans="1:12" s="136" customFormat="1" ht="18.75" x14ac:dyDescent="0.3">
      <c r="D36" s="137"/>
      <c r="E36" s="138"/>
      <c r="F36" s="138"/>
      <c r="G36" s="138"/>
      <c r="H36" s="138"/>
      <c r="J36" s="139"/>
      <c r="K36" s="139"/>
      <c r="L36" s="139"/>
    </row>
    <row r="37" spans="1:12" s="136" customFormat="1" ht="18.75" x14ac:dyDescent="0.3">
      <c r="D37" s="137"/>
      <c r="E37" s="138"/>
      <c r="F37" s="138"/>
      <c r="G37" s="138"/>
      <c r="H37" s="138"/>
      <c r="J37" s="139"/>
      <c r="K37" s="139"/>
      <c r="L37" s="139"/>
    </row>
    <row r="38" spans="1:12" s="136" customFormat="1" ht="18.75" x14ac:dyDescent="0.3">
      <c r="D38" s="137"/>
      <c r="E38" s="138"/>
      <c r="F38" s="138"/>
      <c r="G38" s="138"/>
      <c r="H38" s="138"/>
      <c r="J38" s="139"/>
      <c r="K38" s="139"/>
      <c r="L38" s="139"/>
    </row>
    <row r="39" spans="1:12" s="136" customFormat="1" ht="18.75" x14ac:dyDescent="0.3">
      <c r="D39" s="137"/>
      <c r="E39" s="138"/>
      <c r="F39" s="138"/>
      <c r="G39" s="138"/>
      <c r="H39" s="138"/>
      <c r="J39" s="139"/>
      <c r="K39" s="139"/>
      <c r="L39" s="139"/>
    </row>
    <row r="40" spans="1:12" s="136" customFormat="1" ht="18.75" x14ac:dyDescent="0.3">
      <c r="D40" s="137"/>
      <c r="E40" s="138"/>
      <c r="F40" s="138"/>
      <c r="G40" s="138"/>
      <c r="H40" s="138"/>
      <c r="J40" s="139"/>
      <c r="K40" s="139"/>
      <c r="L40" s="139"/>
    </row>
    <row r="41" spans="1:12" s="136" customFormat="1" ht="18.75" x14ac:dyDescent="0.3">
      <c r="D41" s="137"/>
      <c r="E41" s="138"/>
      <c r="F41" s="138"/>
      <c r="G41" s="138"/>
      <c r="H41" s="138"/>
      <c r="J41" s="139"/>
      <c r="K41" s="139"/>
      <c r="L41" s="139"/>
    </row>
    <row r="42" spans="1:12" s="136" customFormat="1" ht="18.75" x14ac:dyDescent="0.3">
      <c r="A42" s="140"/>
      <c r="B42" s="140"/>
      <c r="C42" s="140"/>
      <c r="D42" s="141"/>
      <c r="E42" s="142"/>
      <c r="F42" s="142"/>
      <c r="G42" s="142"/>
      <c r="H42" s="142"/>
      <c r="J42" s="139"/>
      <c r="K42" s="139"/>
      <c r="L42" s="139"/>
    </row>
    <row r="43" spans="1:12" s="136" customFormat="1" ht="18.75" x14ac:dyDescent="0.3">
      <c r="A43" s="140"/>
      <c r="B43" s="140"/>
      <c r="C43" s="140"/>
      <c r="D43" s="141"/>
      <c r="E43" s="142"/>
      <c r="F43" s="142"/>
      <c r="G43" s="142"/>
      <c r="H43" s="142"/>
      <c r="J43" s="139"/>
      <c r="K43" s="139"/>
      <c r="L43" s="139"/>
    </row>
    <row r="44" spans="1:12" s="136" customFormat="1" ht="18.75" x14ac:dyDescent="0.3">
      <c r="A44"/>
      <c r="B44"/>
      <c r="C44"/>
      <c r="D44" s="5"/>
      <c r="E44" s="4"/>
      <c r="F44" s="4"/>
      <c r="G44" s="4"/>
      <c r="H44" s="4"/>
      <c r="J44" s="139"/>
      <c r="K44" s="139"/>
      <c r="L44" s="139"/>
    </row>
    <row r="45" spans="1:12" s="89" customFormat="1" x14ac:dyDescent="0.25">
      <c r="A45"/>
      <c r="B45"/>
      <c r="C45"/>
      <c r="D45" s="5"/>
      <c r="E45" s="4"/>
      <c r="F45" s="4"/>
      <c r="G45" s="4"/>
      <c r="H45" s="4"/>
      <c r="J45" s="90"/>
      <c r="K45" s="90"/>
      <c r="L45" s="90"/>
    </row>
    <row r="46" spans="1:12" s="89" customFormat="1" x14ac:dyDescent="0.25">
      <c r="A46"/>
      <c r="B46"/>
      <c r="C46"/>
      <c r="D46" s="5"/>
      <c r="E46" s="4"/>
      <c r="F46" s="4"/>
      <c r="G46" s="4"/>
      <c r="H46" s="4"/>
      <c r="J46" s="90"/>
      <c r="K46" s="90"/>
      <c r="L46" s="90"/>
    </row>
    <row r="47" spans="1:12" s="89" customFormat="1" x14ac:dyDescent="0.25">
      <c r="A47"/>
      <c r="B47"/>
      <c r="C47"/>
      <c r="D47" s="5"/>
      <c r="E47" s="4"/>
      <c r="F47" s="4"/>
      <c r="G47" s="4"/>
      <c r="H47" s="4"/>
      <c r="J47" s="90"/>
      <c r="K47" s="90"/>
      <c r="L47" s="90"/>
    </row>
    <row r="48" spans="1:12" s="89" customFormat="1" x14ac:dyDescent="0.25">
      <c r="A48"/>
      <c r="B48"/>
      <c r="C48"/>
      <c r="D48" s="5"/>
      <c r="E48" s="4"/>
      <c r="F48" s="4"/>
      <c r="G48" s="4"/>
      <c r="H48" s="4"/>
      <c r="J48" s="90"/>
      <c r="K48" s="90"/>
      <c r="L48" s="90"/>
    </row>
    <row r="49" spans="1:12" s="89" customFormat="1" x14ac:dyDescent="0.25">
      <c r="A49"/>
      <c r="B49"/>
      <c r="C49"/>
      <c r="D49" s="5"/>
      <c r="E49" s="4"/>
      <c r="F49" s="4"/>
      <c r="G49" s="4"/>
      <c r="H49" s="4"/>
      <c r="J49" s="90"/>
      <c r="K49" s="90"/>
      <c r="L49" s="90"/>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036AB184-FCCB-4751-9722-A98A57E6D356}"/>
    </customSheetView>
  </customSheetViews>
  <mergeCells count="5">
    <mergeCell ref="A1:H1"/>
    <mergeCell ref="A11:H11"/>
    <mergeCell ref="J1:P1"/>
    <mergeCell ref="J9:K9"/>
    <mergeCell ref="J11:O11"/>
  </mergeCells>
  <phoneticPr fontId="5" type="noConversion"/>
  <conditionalFormatting sqref="H3:H4">
    <cfRule type="cellIs" dxfId="3" priority="1" operator="lessThan">
      <formula>0</formula>
    </cfRule>
  </conditionalFormatting>
  <conditionalFormatting sqref="H13:H21">
    <cfRule type="cellIs" dxfId="2" priority="13" operator="lessThan">
      <formula>0</formula>
    </cfRule>
  </conditionalFormatting>
  <dataValidations count="1">
    <dataValidation type="list" allowBlank="1" showInputMessage="1" showErrorMessage="1" sqref="A13:B21 C13:C20"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BG555"/>
  <sheetViews>
    <sheetView tabSelected="1" zoomScale="60" zoomScaleNormal="60" workbookViewId="0">
      <pane ySplit="8" topLeftCell="A23" activePane="bottomLeft" state="frozen"/>
      <selection pane="bottomLeft" activeCell="X24" sqref="X24"/>
    </sheetView>
  </sheetViews>
  <sheetFormatPr defaultRowHeight="15" x14ac:dyDescent="0.25"/>
  <cols>
    <col min="1" max="1" width="25.5703125" style="3" customWidth="1"/>
    <col min="2" max="2" width="30.5703125" style="3" customWidth="1"/>
    <col min="3" max="3" width="17.85546875" hidden="1" customWidth="1"/>
    <col min="4" max="4" width="22.7109375" hidden="1" customWidth="1"/>
    <col min="5" max="5" width="14.28515625" hidden="1" customWidth="1"/>
    <col min="6" max="6" width="26.42578125" hidden="1" customWidth="1"/>
    <col min="7" max="7" width="25.7109375" hidden="1" customWidth="1"/>
    <col min="8" max="8" width="10.28515625" hidden="1" customWidth="1"/>
    <col min="9" max="9" width="8.85546875" hidden="1" customWidth="1"/>
    <col min="10" max="10" width="15.42578125" hidden="1" customWidth="1"/>
    <col min="11" max="11" width="53.7109375" hidden="1" customWidth="1"/>
    <col min="12" max="14" width="24.7109375" hidden="1" customWidth="1"/>
    <col min="15" max="15" width="29.7109375" hidden="1" customWidth="1"/>
    <col min="16" max="16" width="21.42578125" hidden="1" customWidth="1"/>
    <col min="17" max="17" width="17" hidden="1" customWidth="1"/>
    <col min="18" max="18" width="15.28515625" hidden="1" customWidth="1"/>
    <col min="19" max="21" width="24.85546875" hidden="1" customWidth="1"/>
    <col min="22" max="22" width="21.42578125" hidden="1" customWidth="1"/>
    <col min="23" max="23" width="53.28515625" hidden="1" customWidth="1"/>
    <col min="24" max="24" width="37.85546875" style="271" customWidth="1"/>
    <col min="25" max="25" width="33.7109375" customWidth="1"/>
    <col min="26" max="26" width="31.7109375" customWidth="1"/>
    <col min="27" max="27" width="35.7109375" style="77" customWidth="1"/>
    <col min="28" max="28" width="19.5703125" style="2" customWidth="1"/>
    <col min="29" max="29" width="33.28515625" customWidth="1"/>
    <col min="30" max="30" width="24.7109375" style="77" customWidth="1"/>
    <col min="31" max="31" width="34.85546875" style="77" customWidth="1"/>
    <col min="32" max="32" width="17.28515625" customWidth="1"/>
    <col min="33" max="33" width="15.5703125" customWidth="1"/>
    <col min="34" max="34" width="23.42578125" style="839" customWidth="1"/>
    <col min="35" max="35" width="20.5703125" style="2" customWidth="1"/>
    <col min="36" max="36" width="16.28515625" style="2" customWidth="1"/>
    <col min="37" max="37" width="18.85546875" style="107" customWidth="1"/>
    <col min="38" max="38" width="18.140625" style="2" customWidth="1"/>
    <col min="39" max="39" width="29.5703125" style="895" customWidth="1"/>
    <col min="40" max="40" width="27" style="865" customWidth="1"/>
    <col min="41" max="41" width="14.28515625" style="77" customWidth="1"/>
    <col min="42" max="42" width="14.140625" style="109" customWidth="1"/>
    <col min="43" max="43" width="18.28515625" style="840" customWidth="1"/>
    <col min="44" max="44" width="33.28515625" style="79" customWidth="1"/>
    <col min="45" max="45" width="34.42578125" style="79" customWidth="1"/>
    <col min="46" max="46" width="16.42578125" style="78" customWidth="1"/>
    <col min="47" max="47" width="17.7109375" style="76" customWidth="1"/>
    <col min="48" max="48" width="15" style="76" customWidth="1"/>
    <col min="49" max="49" width="24.28515625" style="616" customWidth="1"/>
    <col min="50" max="50" width="19.28515625" style="2" customWidth="1"/>
    <col min="51" max="51" width="16.42578125" style="509" customWidth="1"/>
    <col min="52" max="52" width="16.42578125" style="804" customWidth="1"/>
    <col min="53" max="53" width="18.7109375" customWidth="1"/>
    <col min="54" max="54" width="19.7109375" customWidth="1"/>
    <col min="55" max="55" width="21" customWidth="1"/>
    <col min="56" max="56" width="21.7109375" customWidth="1"/>
    <col min="57" max="57" width="36.42578125" style="2" customWidth="1"/>
    <col min="58" max="58" width="81.28515625" customWidth="1"/>
    <col min="59" max="59" width="21.28515625" customWidth="1"/>
    <col min="60" max="77" width="8.85546875" customWidth="1"/>
    <col min="78" max="78" width="23.85546875" customWidth="1"/>
    <col min="79" max="136" width="8.85546875" customWidth="1"/>
  </cols>
  <sheetData>
    <row r="1" spans="1:58" s="2" customFormat="1" ht="15.75" thickBot="1" x14ac:dyDescent="0.3">
      <c r="A1" s="77"/>
      <c r="B1" s="77"/>
      <c r="C1"/>
      <c r="D1"/>
      <c r="E1"/>
      <c r="F1"/>
      <c r="G1"/>
      <c r="H1"/>
      <c r="I1"/>
      <c r="J1"/>
      <c r="K1"/>
      <c r="L1"/>
      <c r="M1"/>
      <c r="N1"/>
      <c r="O1"/>
      <c r="P1"/>
      <c r="Q1"/>
      <c r="R1"/>
      <c r="S1"/>
      <c r="T1"/>
      <c r="U1"/>
      <c r="V1"/>
      <c r="W1"/>
      <c r="X1" s="811"/>
      <c r="Y1" s="2" t="s">
        <v>4578</v>
      </c>
      <c r="Z1" s="2" t="s">
        <v>4579</v>
      </c>
      <c r="AA1" s="77"/>
      <c r="AB1" s="2" t="s">
        <v>4573</v>
      </c>
      <c r="AC1" s="2" t="s">
        <v>4574</v>
      </c>
      <c r="AD1" s="77"/>
      <c r="AE1" s="77"/>
      <c r="AF1" s="2" t="s">
        <v>4575</v>
      </c>
      <c r="AG1" s="2" t="s">
        <v>4576</v>
      </c>
      <c r="AH1" s="833"/>
      <c r="AI1" s="2" t="s">
        <v>4577</v>
      </c>
      <c r="AK1" s="107"/>
      <c r="AM1" s="895"/>
      <c r="AN1" s="865"/>
      <c r="AO1" s="77"/>
      <c r="AP1" s="109"/>
      <c r="AQ1" s="840"/>
      <c r="AR1" s="79"/>
      <c r="AS1" s="79"/>
      <c r="AT1" s="78"/>
      <c r="AU1" s="76"/>
      <c r="AV1" s="76"/>
      <c r="AW1" s="616"/>
      <c r="AY1" s="509"/>
      <c r="AZ1" s="804" t="s">
        <v>4580</v>
      </c>
    </row>
    <row r="2" spans="1:58" ht="16.5" thickBot="1" x14ac:dyDescent="0.3">
      <c r="A2" s="925" t="s">
        <v>2477</v>
      </c>
      <c r="B2" s="926"/>
      <c r="X2" s="566"/>
      <c r="Y2" s="428" t="s">
        <v>2511</v>
      </c>
      <c r="Z2" s="429" t="s">
        <v>2512</v>
      </c>
      <c r="AA2" s="705" t="s">
        <v>2513</v>
      </c>
      <c r="AB2" s="80"/>
      <c r="AC2" s="77"/>
      <c r="AD2" s="109"/>
      <c r="AE2" s="80"/>
      <c r="AF2" s="80"/>
      <c r="AG2" s="77"/>
      <c r="AH2" s="834"/>
      <c r="AI2" s="109"/>
      <c r="AJ2" s="79"/>
      <c r="AK2" s="79"/>
      <c r="AL2" s="78"/>
      <c r="AN2" s="866"/>
      <c r="AO2" s="276"/>
      <c r="AP2"/>
      <c r="AQ2" s="846"/>
      <c r="AR2"/>
      <c r="AS2"/>
      <c r="AT2"/>
      <c r="AU2"/>
      <c r="AV2"/>
      <c r="AW2" s="271"/>
      <c r="AX2"/>
      <c r="AY2" s="348"/>
      <c r="AZ2" s="805"/>
    </row>
    <row r="3" spans="1:58" ht="19.5" thickBot="1" x14ac:dyDescent="0.3">
      <c r="A3" s="407" t="s">
        <v>2478</v>
      </c>
      <c r="B3" s="695">
        <f ca="1">SUMIFS(U:U,A:A,Admin!$B$17)</f>
        <v>12487655.746465517</v>
      </c>
      <c r="X3" s="567" t="s">
        <v>2515</v>
      </c>
      <c r="Y3" s="430">
        <f>IFERROR(SUMIF($AF:$AF,Admin!$A$2,$AR:$AR)+SUMIF($AF:$AF,Admin!$A$2,$AS:$AS)+
SUMIF($AF:$AF,Admin!$A$3,$AR:$AR)+SUMIF($AF:$AF,Admin!$A$3,$AS:$AS)+
SUMIF($AF:$AF,Admin!$A$4,$AR:$AR)+SUMIF($AF:$AF,Admin!$A$4,$AS:$AS)+
SUMIF($AF:$AF,Admin!$A$5,$AR:$AR)+SUMIF($AF:$AF,Admin!$A$5,$AS:$AS),"")</f>
        <v>159354131</v>
      </c>
      <c r="Z3" s="430">
        <f ca="1">IFERROR(SUMIF($AF:$AF,Admin!$A$2,$Y:$Y)+SUMIF($AF:$AF,Admin!$A$2,$Z:$Z)+
SUMIF($AF:$AF,Admin!$A$3,$Y:$Y)+SUMIF($AF:$AF,Admin!$A$3,$Z:$Z)+
SUMIF($AF:$AF,Admin!$A$4,$Y:$Y)+SUMIF($AF:$AF,Admin!$A$4,$Z:$Z)+
SUMIF($AF:$AF,Admin!$A$5,$Y:$Y)+SUMIF($AF:$AF,Admin!$A$5,$Z:$Z),"")</f>
        <v>150245044</v>
      </c>
      <c r="AA3" s="433">
        <f ca="1">IFERROR(SUMIF($AF:$AF,Admin!$A$2,$X:$X)+
SUMIF($AF:$AF,Admin!$A$3,$X:$X)+
SUMIF($AF:$AF,Admin!$A$4,$X:$X)+
SUMIF($AF:$AF,Admin!$A$5,$X:$X),"")</f>
        <v>9109085.1899137888</v>
      </c>
      <c r="AB3" s="80"/>
      <c r="AC3" s="77"/>
      <c r="AD3" s="109"/>
      <c r="AE3" s="80"/>
      <c r="AF3" s="80"/>
      <c r="AG3" s="77"/>
      <c r="AH3" s="834"/>
      <c r="AI3" s="109"/>
      <c r="AJ3" s="79"/>
      <c r="AK3" s="79"/>
      <c r="AL3" s="78"/>
      <c r="AN3" s="866"/>
      <c r="AO3" s="276"/>
      <c r="AP3"/>
      <c r="AQ3" s="846"/>
      <c r="AR3"/>
      <c r="AS3"/>
      <c r="AT3"/>
      <c r="AU3"/>
      <c r="AV3"/>
      <c r="AW3" s="271"/>
      <c r="AX3"/>
      <c r="AY3" s="348"/>
      <c r="AZ3" s="805"/>
    </row>
    <row r="4" spans="1:58" ht="19.5" thickBot="1" x14ac:dyDescent="0.3">
      <c r="A4" s="408" t="s">
        <v>2479</v>
      </c>
      <c r="B4" s="696">
        <f ca="1">SUMIFS(F:F,A:A,Admin!$B$18)</f>
        <v>0</v>
      </c>
      <c r="X4" s="568" t="s">
        <v>2516</v>
      </c>
      <c r="Y4" s="431">
        <f>IFERROR(SUMIF($AF:$AF,Admin!$A$6,$AR:$AR)+SUMIF($AF:$AF,Admin!$A$6,$AS:$AS),"")</f>
        <v>73857077</v>
      </c>
      <c r="Z4" s="431">
        <f ca="1">IFERROR(SUMIF($AF:$AF,Admin!$A$6,$Y:$Y)+SUMIF($AF:$AF,Admin!$A$6,$Z:$Z),"")</f>
        <v>73801637</v>
      </c>
      <c r="AA4" s="434">
        <f ca="1">IFERROR(SUMIF($AF:$AF,Admin!$A$6,$X:$X),"")</f>
        <v>55434.682758620715</v>
      </c>
      <c r="AB4" s="80"/>
      <c r="AC4" s="77"/>
      <c r="AD4" s="109"/>
      <c r="AE4" s="80"/>
      <c r="AF4" s="80"/>
      <c r="AG4" s="77"/>
      <c r="AH4" s="834"/>
      <c r="AI4" s="109"/>
      <c r="AJ4" s="79"/>
      <c r="AK4" s="79"/>
      <c r="AL4" s="78"/>
      <c r="AN4" s="866"/>
      <c r="AO4" s="276"/>
      <c r="AP4"/>
      <c r="AQ4" s="846"/>
      <c r="AR4"/>
      <c r="AS4"/>
      <c r="AT4"/>
      <c r="AU4"/>
      <c r="AV4"/>
      <c r="AW4" s="271"/>
      <c r="AX4"/>
      <c r="AY4" s="348"/>
      <c r="AZ4" s="805"/>
    </row>
    <row r="5" spans="1:58" ht="57" thickBot="1" x14ac:dyDescent="0.3">
      <c r="A5" s="409" t="s">
        <v>2480</v>
      </c>
      <c r="B5" s="410">
        <f ca="1">(B3+B4)/(AR7+AS7)</f>
        <v>5.2835737226645502E-2</v>
      </c>
      <c r="X5" s="569" t="s">
        <v>2514</v>
      </c>
      <c r="Y5" s="432">
        <f>IFERROR(SUMIF($AF:$AF,Admin!$A$7,$AR:$AR)+SUMIF($AF:$AF,Admin!$A$7,$AS:$AS),"")</f>
        <v>3137453</v>
      </c>
      <c r="Z5" s="432">
        <f ca="1">IFERROR(SUMIF($AF:$AF,Admin!$A$7,$Y:$Y)+SUMIF($AF:$AF,Admin!$A$7,$Z:$Z),"")</f>
        <v>3137453</v>
      </c>
      <c r="AA5" s="435">
        <f ca="1">IFERROR(SUMIF($AF:$AF,Admin!$A$7,$X:$X),"")</f>
        <v>0</v>
      </c>
      <c r="AB5"/>
      <c r="AD5" s="3"/>
      <c r="AF5" s="80"/>
      <c r="AG5" s="77"/>
      <c r="AH5" s="834"/>
      <c r="AI5" s="109"/>
      <c r="AJ5" s="79"/>
      <c r="AK5" s="79"/>
      <c r="AL5" s="78"/>
      <c r="AN5" s="866"/>
      <c r="AO5" s="276"/>
      <c r="AP5"/>
      <c r="AQ5" s="846"/>
      <c r="AR5" s="680">
        <f>AR553+AS553</f>
        <v>236348661</v>
      </c>
      <c r="AS5"/>
      <c r="AT5"/>
      <c r="AU5"/>
      <c r="AV5"/>
      <c r="AW5" s="271"/>
      <c r="AX5"/>
      <c r="AY5" s="348"/>
      <c r="AZ5" s="805"/>
    </row>
    <row r="6" spans="1:58" ht="27" thickBot="1" x14ac:dyDescent="0.45">
      <c r="A6" s="77"/>
      <c r="B6" s="77"/>
      <c r="C6" s="2"/>
      <c r="D6" s="411"/>
      <c r="E6" s="2"/>
      <c r="F6" s="412"/>
      <c r="G6" s="2"/>
      <c r="H6" s="2"/>
      <c r="I6" s="2"/>
      <c r="J6" s="2"/>
      <c r="K6" s="2"/>
      <c r="L6" s="411"/>
      <c r="M6" s="411"/>
      <c r="N6" s="411"/>
      <c r="O6" s="411"/>
      <c r="P6" s="411"/>
      <c r="Q6" s="411"/>
      <c r="R6" s="413"/>
      <c r="S6" s="411"/>
      <c r="T6" s="411"/>
      <c r="U6" s="2"/>
      <c r="V6" s="2"/>
      <c r="W6" s="2"/>
      <c r="X6" s="679">
        <f ca="1">SUBTOTAL(109,X9:X551)</f>
        <v>9164519.8726724144</v>
      </c>
      <c r="Y6" s="643">
        <f ca="1">SUBTOTAL(109,Y9:Y551)</f>
        <v>202791448</v>
      </c>
      <c r="Z6" s="644">
        <f ca="1">SUBTOTAL(109,Z9:Z551)</f>
        <v>24392686</v>
      </c>
      <c r="AA6" s="856">
        <f ca="1">Y6+Z6</f>
        <v>227184134</v>
      </c>
      <c r="AB6" s="558"/>
      <c r="AC6" s="558"/>
      <c r="AD6" s="684"/>
      <c r="AE6" s="684"/>
      <c r="AF6" s="558"/>
      <c r="AG6" s="558"/>
      <c r="AH6" s="835"/>
      <c r="AI6" s="558"/>
      <c r="AJ6" s="558"/>
      <c r="AK6" s="558"/>
      <c r="AL6" s="558"/>
      <c r="AM6" s="896">
        <f>SUBTOTAL(109,AM9:AM551)</f>
        <v>356391178</v>
      </c>
      <c r="AN6" s="867">
        <f>SUBTOTAL(109,AN9:AN551)</f>
        <v>43859115.726992279</v>
      </c>
      <c r="AO6" s="558"/>
      <c r="AP6" s="558"/>
      <c r="AQ6" s="841"/>
      <c r="AR6" s="857">
        <f>SUBTOTAL(109,AR9:AR551)</f>
        <v>210901627</v>
      </c>
      <c r="AS6" s="858">
        <f>SUBTOTAL(109,AS9:AS551)</f>
        <v>25447034</v>
      </c>
      <c r="AT6"/>
      <c r="AU6"/>
      <c r="AV6"/>
      <c r="AW6" s="271"/>
      <c r="AX6"/>
      <c r="AY6" s="348"/>
      <c r="AZ6" s="805"/>
    </row>
    <row r="7" spans="1:58" s="89" customFormat="1" ht="16.5" thickBot="1" x14ac:dyDescent="0.3">
      <c r="A7" s="414"/>
      <c r="B7" s="414"/>
      <c r="C7" s="927" t="s">
        <v>2479</v>
      </c>
      <c r="D7" s="928"/>
      <c r="E7" s="928"/>
      <c r="F7" s="928"/>
      <c r="G7" s="929"/>
      <c r="H7" s="930" t="s">
        <v>2478</v>
      </c>
      <c r="I7" s="931"/>
      <c r="J7" s="931"/>
      <c r="K7" s="931"/>
      <c r="L7" s="931"/>
      <c r="M7" s="931"/>
      <c r="N7" s="931"/>
      <c r="O7" s="931"/>
      <c r="P7" s="931"/>
      <c r="Q7" s="931"/>
      <c r="R7" s="931"/>
      <c r="S7" s="931"/>
      <c r="T7" s="931"/>
      <c r="U7" s="931"/>
      <c r="V7" s="931"/>
      <c r="W7" s="932"/>
      <c r="X7" s="574"/>
      <c r="Y7" s="575" t="s">
        <v>2507</v>
      </c>
      <c r="Z7" s="575" t="s">
        <v>2507</v>
      </c>
      <c r="AA7" s="933" t="s">
        <v>1</v>
      </c>
      <c r="AB7" s="934"/>
      <c r="AC7" s="934"/>
      <c r="AD7" s="935"/>
      <c r="AE7" s="936"/>
      <c r="AF7" s="934"/>
      <c r="AG7" s="934"/>
      <c r="AH7" s="934"/>
      <c r="AI7" s="934"/>
      <c r="AJ7" s="934"/>
      <c r="AK7" s="934"/>
      <c r="AL7" s="934"/>
      <c r="AM7" s="937"/>
      <c r="AN7" s="938"/>
      <c r="AO7" s="934"/>
      <c r="AP7" s="934"/>
      <c r="AQ7" s="939"/>
      <c r="AR7" s="576">
        <f>SUM(AR9:AR552)</f>
        <v>210901627</v>
      </c>
      <c r="AS7" s="576">
        <f>SUM(AS9:AS552)</f>
        <v>25447034</v>
      </c>
      <c r="AT7" s="91"/>
      <c r="AU7" s="92"/>
      <c r="AV7" s="92"/>
      <c r="AW7" s="612"/>
      <c r="AX7" s="90"/>
      <c r="AY7" s="501"/>
      <c r="AZ7" s="806"/>
      <c r="BE7" s="90"/>
    </row>
    <row r="8" spans="1:58" s="611" customFormat="1" ht="81" customHeight="1" thickBot="1" x14ac:dyDescent="0.3">
      <c r="A8" s="415" t="s">
        <v>2481</v>
      </c>
      <c r="B8" s="416" t="s">
        <v>2482</v>
      </c>
      <c r="C8" s="417" t="s">
        <v>2483</v>
      </c>
      <c r="D8" s="418" t="s">
        <v>2484</v>
      </c>
      <c r="E8" s="417" t="s">
        <v>2485</v>
      </c>
      <c r="F8" s="419" t="s">
        <v>2486</v>
      </c>
      <c r="G8" s="417" t="s">
        <v>2487</v>
      </c>
      <c r="H8" s="420" t="s">
        <v>2488</v>
      </c>
      <c r="I8" s="420" t="s">
        <v>2489</v>
      </c>
      <c r="J8" s="420" t="s">
        <v>2490</v>
      </c>
      <c r="K8" s="420" t="s">
        <v>2491</v>
      </c>
      <c r="L8" s="421" t="s">
        <v>2492</v>
      </c>
      <c r="M8" s="421" t="s">
        <v>41</v>
      </c>
      <c r="N8" s="421" t="s">
        <v>2506</v>
      </c>
      <c r="O8" s="421" t="s">
        <v>2493</v>
      </c>
      <c r="P8" s="421" t="s">
        <v>2494</v>
      </c>
      <c r="Q8" s="421" t="s">
        <v>2495</v>
      </c>
      <c r="R8" s="422" t="s">
        <v>2496</v>
      </c>
      <c r="S8" s="421" t="s">
        <v>2497</v>
      </c>
      <c r="T8" s="421" t="s">
        <v>2498</v>
      </c>
      <c r="U8" s="421" t="s">
        <v>2499</v>
      </c>
      <c r="V8" s="421" t="s">
        <v>2500</v>
      </c>
      <c r="W8" s="420" t="s">
        <v>2501</v>
      </c>
      <c r="X8" s="570" t="s">
        <v>2510</v>
      </c>
      <c r="Y8" s="427" t="s">
        <v>2508</v>
      </c>
      <c r="Z8" s="427" t="s">
        <v>2509</v>
      </c>
      <c r="AA8" s="600" t="s">
        <v>37</v>
      </c>
      <c r="AB8" s="601" t="s">
        <v>111</v>
      </c>
      <c r="AC8" s="602" t="s">
        <v>108</v>
      </c>
      <c r="AD8" s="699" t="s">
        <v>44</v>
      </c>
      <c r="AE8" s="603" t="s">
        <v>58</v>
      </c>
      <c r="AF8" s="601" t="s">
        <v>109</v>
      </c>
      <c r="AG8" s="601" t="s">
        <v>110</v>
      </c>
      <c r="AH8" s="601" t="s">
        <v>130</v>
      </c>
      <c r="AI8" s="601" t="s">
        <v>60</v>
      </c>
      <c r="AJ8" s="601" t="s">
        <v>105</v>
      </c>
      <c r="AK8" s="601" t="s">
        <v>61</v>
      </c>
      <c r="AL8" s="601" t="s">
        <v>62</v>
      </c>
      <c r="AM8" s="897" t="s">
        <v>41</v>
      </c>
      <c r="AN8" s="868" t="s">
        <v>42</v>
      </c>
      <c r="AO8" s="601" t="s">
        <v>63</v>
      </c>
      <c r="AP8" s="604" t="s">
        <v>64</v>
      </c>
      <c r="AQ8" s="842" t="s">
        <v>27</v>
      </c>
      <c r="AR8" s="604" t="s">
        <v>65</v>
      </c>
      <c r="AS8" s="605" t="s">
        <v>66</v>
      </c>
      <c r="AT8" s="606" t="s">
        <v>20</v>
      </c>
      <c r="AU8" s="607" t="s">
        <v>21</v>
      </c>
      <c r="AV8" s="608" t="s">
        <v>4544</v>
      </c>
      <c r="AW8" s="613"/>
      <c r="AX8" s="609" t="s">
        <v>145</v>
      </c>
      <c r="AY8" s="610"/>
      <c r="AZ8" s="807"/>
      <c r="BA8" s="654" t="s">
        <v>4555</v>
      </c>
      <c r="BB8" s="655" t="s">
        <v>4556</v>
      </c>
      <c r="BC8" s="656" t="s">
        <v>4553</v>
      </c>
      <c r="BD8" s="659" t="s">
        <v>4554</v>
      </c>
      <c r="BE8" s="660" t="s">
        <v>146</v>
      </c>
    </row>
    <row r="9" spans="1:58" s="457" customFormat="1" ht="31.5" x14ac:dyDescent="0.25">
      <c r="A9" s="697" t="str">
        <f ca="1">Bérköltség!$B9</f>
        <v>FEOR</v>
      </c>
      <c r="B9" s="697" t="str">
        <f ca="1">IFERROR(
IF(AND(Bérköltség!$F9="",H9="NA"),"HIÁNYOS ADATOK",
IF(Bérköltség!$F9&lt;Bérköltség!$U9,Admin!$B$18,Admin!$B$17)),
"")</f>
        <v>FEOR</v>
      </c>
      <c r="C9" s="578">
        <f>IFERROR(INDEX('Historikus berek_2021-2'!$A$1:$F$903,MATCH(AB9,'Historikus berek_2021-2'!$A$1:$A$903,0),4),"")</f>
        <v>672133.33333333337</v>
      </c>
      <c r="D9" s="579">
        <f>IFERROR(C9*AQ9,"NA")</f>
        <v>154513.40996168583</v>
      </c>
      <c r="E9" s="578">
        <f>AR9</f>
        <v>482759</v>
      </c>
      <c r="F9" s="580">
        <f>IFERROR(IF((E9*(1+AU9)-D9*(1+AU9))&lt;0,0,(E9*(1+AU9)-D9*(1+AU9))),"")</f>
        <v>370917.51674329495</v>
      </c>
      <c r="G9" s="581">
        <f>IFERROR((E9*(1+AU9)-F9),"")</f>
        <v>174600.15325670497</v>
      </c>
      <c r="H9" s="582">
        <f>IFERROR(INDEX('FEOR kodok'!$A$2:$J$1126,MATCH(Bérköltség!AB9,'FEOR kodok'!$B$2:$B$1126,0),8),"NA")</f>
        <v>2117</v>
      </c>
      <c r="I9" s="577">
        <f ca="1">IFERROR(INDEX('FEOR kodok'!$A$2:$J$1126,MATCH(Bérköltség!AB9,'FEOR kodok'!$B$2:$B$1126,0),10),"NA")</f>
        <v>49</v>
      </c>
      <c r="J9" s="583" t="str">
        <f ca="1">IF(I9="NA","NA",
IF(I9&lt;30,"30 év alatt",
IF(AND(I9&gt;=30,I9&lt;=39),"30–39 éves",
IF(AND(I9&gt;=40,I9&lt;=49),"40–49 éves",
IF(I9&gt;=50,"50 év és afelett",
"")))))</f>
        <v>40–49 éves</v>
      </c>
      <c r="K9" s="577" t="str">
        <f>IFERROR(INDEX(admin_feor[#All],MATCH(Bérköltség!H9,admin_feor[[#All],[Foglalkozás]],0),2),"NA")</f>
        <v>Vegyészmérnök</v>
      </c>
      <c r="L9" s="579">
        <f ca="1">IFERROR(
INDEX('Admin - FEOR'!$A$4:$F$465,MATCH(Bérköltség!H9,'Admin - FEOR'!$A$4:$A$465,0),
IF(J9="30 év alatt",3,
IF(J9="30–39 éves",4,
IF(J9="40–49 éves",5,
IF(J9="50 év és afelett",6
)))))*1,"NA")</f>
        <v>824591</v>
      </c>
      <c r="M9" s="579">
        <f>AM9</f>
        <v>2100000</v>
      </c>
      <c r="N9" s="584">
        <f ca="1">IFERROR(
M9/L9,"NA")</f>
        <v>2.5467170997500581</v>
      </c>
      <c r="O9" s="579">
        <f ca="1">IFERROR(
INDEX('Admin - FEOR'!$A$4:$F$465,MATCH(Bérköltség!H9,'Admin - FEOR'!$A$4:$A$465,0),
IF(J9="30 év alatt",3,
IF(J9="30–39 éves",4,
IF(J9="40–49 éves",5,
IF(J9="50 év és afelett",6
)))))*1.5,"NA")</f>
        <v>1236886.5</v>
      </c>
      <c r="P9" s="579">
        <f ca="1">IFERROR(
AQ9*O9,"NA")</f>
        <v>284341.72413793101</v>
      </c>
      <c r="Q9" s="579">
        <f>IFERROR(AR9,"")</f>
        <v>482759</v>
      </c>
      <c r="R9" s="585">
        <f>IFERROR(AQ9,"")</f>
        <v>0.22988505747126436</v>
      </c>
      <c r="S9" s="579">
        <f ca="1">IFERROR(
IF(AR9-P9&lt;0,0,AR9-P9),"NA")</f>
        <v>198417.27586206899</v>
      </c>
      <c r="T9" s="579">
        <f ca="1">IFERROR(
S9*AU9,"NA")</f>
        <v>25794.245862068969</v>
      </c>
      <c r="U9" s="586">
        <f ca="1">IFERROR(
S9+T9,"NA")</f>
        <v>224211.52172413794</v>
      </c>
      <c r="V9" s="587">
        <f ca="1">IFERROR(
IF(U9&gt;0,AR9+AS9-U9,AR9+AS9),"NA")</f>
        <v>321306.47827586206</v>
      </c>
      <c r="W9" s="588" t="str">
        <f ca="1">IF(P9="NA","FEOR hiányzik",
IF(AND(N9&gt;1,A9="FEOR"),CONCATENATE("Indoklás szükséges mivel a FEOR: ",ROUND(N9*100,1),"%"),"Nem szükséges indoklás.")
)</f>
        <v>Indoklás szükséges mivel a FEOR: 254,7%</v>
      </c>
      <c r="X9" s="589">
        <f ca="1">IF(A9="FEOR",U9,IF(A9="HIÁNYOS ADATOK","HIÁNYOS ADATOK",F9))</f>
        <v>224211.52172413794</v>
      </c>
      <c r="Y9" s="590">
        <f ca="1">IF(A9="FEOR",ROUND(V9/(1+AU9),0),IF(A9="HIÁNYOS ADATOK","HIÁNYOS ADATOK",ROUND(G9/(1+AU9),0)))</f>
        <v>284342</v>
      </c>
      <c r="Z9" s="591">
        <f ca="1">IF(A9="FEOR",ROUND(V9-Y9,0),IF(A9="HIÁNYOS ADATOK","HIÁNYOS ADATOK",ROUND(G9-Y9,0)))</f>
        <v>36964</v>
      </c>
      <c r="AA9" s="706">
        <v>2</v>
      </c>
      <c r="AB9" s="474">
        <v>8392423828</v>
      </c>
      <c r="AC9" s="475" t="s">
        <v>172</v>
      </c>
      <c r="AD9" s="700" t="s">
        <v>45</v>
      </c>
      <c r="AE9" s="476" t="s">
        <v>22</v>
      </c>
      <c r="AF9" s="247" t="s">
        <v>120</v>
      </c>
      <c r="AG9" s="247" t="s">
        <v>157</v>
      </c>
      <c r="AH9" s="484" t="s">
        <v>131</v>
      </c>
      <c r="AI9" s="274">
        <v>44743</v>
      </c>
      <c r="AJ9" s="592" t="str">
        <f>IF(AI9&gt;0,
(IF(AI9&lt;Hónapok!$A$10,Admin!$A$28,
(IF(AI9&lt;Hónapok!$A$22,Admin!$B$28,
(IF(AI9&lt;Hónapok!$A$34,Admin!$C$28,
(IF(AI9&lt;Hónapok!$A$46,Admin!$D$28,"")))))))),"")</f>
        <v>2. mérföldkő</v>
      </c>
      <c r="AK9" s="452" t="s">
        <v>7</v>
      </c>
      <c r="AL9" s="477" t="s">
        <v>26</v>
      </c>
      <c r="AM9" s="898">
        <v>2100000</v>
      </c>
      <c r="AN9" s="859">
        <f t="shared" ref="AN9:AN66" si="0">IFERROR(ROUND(AM9*AU9,0),"")</f>
        <v>273000</v>
      </c>
      <c r="AO9" s="477">
        <v>174</v>
      </c>
      <c r="AP9" s="593">
        <v>40</v>
      </c>
      <c r="AQ9" s="594">
        <f t="shared" ref="AQ9:AQ66" si="1">IFERROR(AP9/AO9,"")</f>
        <v>0.22988505747126436</v>
      </c>
      <c r="AR9" s="595">
        <f>IFERROR(ROUND(AM9*AP9/AO9,0),"")</f>
        <v>482759</v>
      </c>
      <c r="AS9" s="595">
        <f t="shared" ref="AS9:AS66" si="2">IFERROR(ROUND(AR9*AU9,0),"")</f>
        <v>62759</v>
      </c>
      <c r="AT9" s="596">
        <f t="shared" ref="AT9:AT66" si="3">IFERROR(AP9/AO9-AR9/AM9,"")</f>
        <v>-1.8062397372231587E-7</v>
      </c>
      <c r="AU9" s="597">
        <v>0.13</v>
      </c>
      <c r="AV9" s="598" t="str">
        <f>VLOOKUP(LEFT(AB9,10),Törzsszám!$A$1:$B$908,2,0)</f>
        <v>10000002</v>
      </c>
      <c r="AW9" s="614">
        <f ca="1">(Y9+Z9)-(AR9+AS9)</f>
        <v>-224212</v>
      </c>
      <c r="AX9" s="599" t="s">
        <v>209</v>
      </c>
      <c r="AY9" s="503">
        <v>2300000</v>
      </c>
      <c r="AZ9" s="504"/>
      <c r="BA9" s="668">
        <v>162751</v>
      </c>
      <c r="BB9" s="669">
        <v>21158</v>
      </c>
      <c r="BC9" s="669">
        <f t="shared" ref="BC9:BD15" ca="1" si="4">Y9-BA9</f>
        <v>121591</v>
      </c>
      <c r="BD9" s="670">
        <f t="shared" ca="1" si="4"/>
        <v>15806</v>
      </c>
      <c r="BE9" s="450" t="s">
        <v>173</v>
      </c>
      <c r="BF9" s="457" t="s">
        <v>174</v>
      </c>
    </row>
    <row r="10" spans="1:58" s="463" customFormat="1" ht="31.5" x14ac:dyDescent="0.25">
      <c r="A10" s="694" t="str">
        <f ca="1">Bérköltség!$B10</f>
        <v>FEOR</v>
      </c>
      <c r="B10" s="694" t="str">
        <f ca="1">IFERROR(
IF(AND(Bérköltség!$F10="",H10="NA"),"HIÁNYOS ADATOK",
IF(Bérköltség!$F10&lt;Bérköltség!$U10,Admin!$B$18,Admin!$B$17)),
"")</f>
        <v>FEOR</v>
      </c>
      <c r="C10" s="437">
        <f>IFERROR(INDEX('Historikus berek_2021-2'!$A$1:$F$903,MATCH(AB10,'Historikus berek_2021-2'!$A$1:$A$903,0),4),"")</f>
        <v>672133.33333333337</v>
      </c>
      <c r="D10" s="438">
        <f t="shared" ref="D10:D124" si="5">IFERROR(C10*AQ10,"NA")</f>
        <v>154513.40996168583</v>
      </c>
      <c r="E10" s="437">
        <f t="shared" ref="E10:E124" si="6">AR10</f>
        <v>482759</v>
      </c>
      <c r="F10" s="439">
        <f t="shared" ref="F10:F112" si="7">IFERROR(IF((E10*(1+AU10)-D10*(1+AU10))&lt;0,0,(E10*(1+AU10)-D10*(1+AU10))),"")</f>
        <v>370917.51674329495</v>
      </c>
      <c r="G10" s="440">
        <f t="shared" ref="G10:G112" si="8">IFERROR((E10*(1+AU10)-F10),"")</f>
        <v>174600.15325670497</v>
      </c>
      <c r="H10" s="441">
        <f>IFERROR(INDEX('FEOR kodok'!$A$2:$J$1126,MATCH(Bérköltség!AB10,'FEOR kodok'!$B$2:$B$1126,0),8),"NA")</f>
        <v>2117</v>
      </c>
      <c r="I10" s="436">
        <f ca="1">IFERROR(INDEX('FEOR kodok'!$A$2:$J$1126,MATCH(Bérköltség!AB10,'FEOR kodok'!$B$2:$B$1126,0),10),"NA")</f>
        <v>49</v>
      </c>
      <c r="J10" s="442" t="str">
        <f t="shared" ref="J10:J124" ca="1" si="9">IF(I10="NA","NA",
IF(I10&lt;30,"30 év alatt",
IF(AND(I10&gt;=30,I10&lt;=39),"30–39 éves",
IF(AND(I10&gt;=40,I10&lt;=49),"40–49 éves",
IF(I10&gt;=50,"50 év és afelett",
"")))))</f>
        <v>40–49 éves</v>
      </c>
      <c r="K10" s="436" t="str">
        <f>IFERROR(INDEX(admin_feor[#All],MATCH(Bérköltség!H10,admin_feor[[#All],[Foglalkozás]],0),2),"NA")</f>
        <v>Vegyészmérnök</v>
      </c>
      <c r="L10" s="438">
        <f ca="1">IFERROR(
INDEX('Admin - FEOR'!$A$4:$F$465,MATCH(Bérköltség!H10,'Admin - FEOR'!$A$4:$A$465,0),
IF(J10="30 év alatt",3,
IF(J10="30–39 éves",4,
IF(J10="40–49 éves",5,
IF(J10="50 év és afelett",6
)))))*1,"NA")</f>
        <v>824591</v>
      </c>
      <c r="M10" s="438">
        <f t="shared" ref="M10:M124" si="10">AM10</f>
        <v>2100000</v>
      </c>
      <c r="N10" s="443">
        <f t="shared" ref="N10:N124" ca="1" si="11">IFERROR(
M10/L10,"NA")</f>
        <v>2.5467170997500581</v>
      </c>
      <c r="O10" s="438">
        <f ca="1">IFERROR(
INDEX('Admin - FEOR'!$A$4:$F$465,MATCH(Bérköltség!H10,'Admin - FEOR'!$A$4:$A$465,0),
IF(J10="30 év alatt",3,
IF(J10="30–39 éves",4,
IF(J10="40–49 éves",5,
IF(J10="50 év és afelett",6
)))))*1.5,"NA")</f>
        <v>1236886.5</v>
      </c>
      <c r="P10" s="438">
        <f t="shared" ref="P10:P124" ca="1" si="12">IFERROR(
AQ10*O10,"NA")</f>
        <v>284341.72413793101</v>
      </c>
      <c r="Q10" s="438">
        <f t="shared" ref="Q10:Q124" si="13">IFERROR(AR10,"")</f>
        <v>482759</v>
      </c>
      <c r="R10" s="444">
        <f t="shared" ref="R10:R124" si="14">IFERROR(AQ10,"")</f>
        <v>0.22988505747126436</v>
      </c>
      <c r="S10" s="438">
        <f t="shared" ref="S10:S124" ca="1" si="15">IFERROR(
IF(AR10-P10&lt;0,0,AR10-P10),"NA")</f>
        <v>198417.27586206899</v>
      </c>
      <c r="T10" s="438">
        <f t="shared" ref="T10:T124" ca="1" si="16">IFERROR(
S10*AU10,"NA")</f>
        <v>25794.245862068969</v>
      </c>
      <c r="U10" s="445">
        <f t="shared" ref="U10:U124" ca="1" si="17">IFERROR(
S10+T10,"NA")</f>
        <v>224211.52172413794</v>
      </c>
      <c r="V10" s="446">
        <f t="shared" ref="V10:V124" ca="1" si="18">IFERROR(
IF(U10&gt;0,AR10+AS10-U10,AR10+AS10),"NA")</f>
        <v>321306.47827586206</v>
      </c>
      <c r="W10" s="447" t="str">
        <f t="shared" ref="W10:W124" ca="1" si="19">IF(P10="NA","FEOR hiányzik",
IF(AND(N10&gt;1,A10="FEOR"),CONCATENATE("Indoklás szükséges mivel a FEOR: ",ROUND(N10*100,1),"%"),"Nem szükséges indoklás.")
)</f>
        <v>Indoklás szükséges mivel a FEOR: 254,7%</v>
      </c>
      <c r="X10" s="571">
        <f t="shared" ref="X10:X124" ca="1" si="20">IF(A10="FEOR",U10,IF(A10="HIÁNYOS ADATOK","HIÁNYOS ADATOK",F10))</f>
        <v>224211.52172413794</v>
      </c>
      <c r="Y10" s="554">
        <f t="shared" ref="Y10:Y123" ca="1" si="21">IF(A10="FEOR",ROUND(V10/(1+AU10),0),IF(A10="HIÁNYOS ADATOK","HIÁNYOS ADATOK",ROUND(G10/(1+AU10),0)))</f>
        <v>284342</v>
      </c>
      <c r="Z10" s="555">
        <f t="shared" ref="Z10:Z123" ca="1" si="22">IF(A10="FEOR",ROUND(V10-Y10,0),IF(A10="HIÁNYOS ADATOK","HIÁNYOS ADATOK",ROUND(G10-Y10,0)))</f>
        <v>36964</v>
      </c>
      <c r="AA10" s="573">
        <v>2</v>
      </c>
      <c r="AB10" s="458">
        <v>8392423828</v>
      </c>
      <c r="AC10" s="545" t="s">
        <v>172</v>
      </c>
      <c r="AD10" s="459" t="s">
        <v>45</v>
      </c>
      <c r="AE10" s="460" t="s">
        <v>22</v>
      </c>
      <c r="AF10" s="546" t="s">
        <v>120</v>
      </c>
      <c r="AG10" s="547" t="s">
        <v>157</v>
      </c>
      <c r="AH10" s="461" t="s">
        <v>131</v>
      </c>
      <c r="AI10" s="273">
        <v>44774</v>
      </c>
      <c r="AJ10" s="100" t="str">
        <f>IF(AI10&gt;0,
(IF(AI10&lt;Hónapok!$A$10,Admin!$A$28,
(IF(AI10&lt;Hónapok!$A$22,Admin!$B$28,
(IF(AI10&lt;Hónapok!$A$34,Admin!$C$28,
(IF(AI10&lt;Hónapok!$A$46,Admin!$D$28,"")))))))),"")</f>
        <v>2. mérföldkő</v>
      </c>
      <c r="AK10" s="549" t="s">
        <v>7</v>
      </c>
      <c r="AL10" s="131" t="s">
        <v>26</v>
      </c>
      <c r="AM10" s="899">
        <v>2100000</v>
      </c>
      <c r="AN10" s="860">
        <f t="shared" si="0"/>
        <v>273000</v>
      </c>
      <c r="AO10" s="547">
        <v>174</v>
      </c>
      <c r="AP10" s="549">
        <v>40</v>
      </c>
      <c r="AQ10" s="454">
        <f t="shared" si="1"/>
        <v>0.22988505747126436</v>
      </c>
      <c r="AR10" s="455">
        <f t="shared" ref="AR10:AR66" si="23">IFERROR(ROUND(AM10*AP10/AO10,0),"")</f>
        <v>482759</v>
      </c>
      <c r="AS10" s="455">
        <f t="shared" si="2"/>
        <v>62759</v>
      </c>
      <c r="AT10" s="102">
        <f t="shared" si="3"/>
        <v>-1.8062397372231587E-7</v>
      </c>
      <c r="AU10" s="116">
        <v>0.13</v>
      </c>
      <c r="AV10" s="565" t="str">
        <f>VLOOKUP(LEFT(AB10,10),Törzsszám!$A$1:$B$908,2,0)</f>
        <v>10000002</v>
      </c>
      <c r="AW10" s="615">
        <f t="shared" ref="AW10:AW115" ca="1" si="24">(Y10+Z10)-(AR10+AS10)</f>
        <v>-224212</v>
      </c>
      <c r="AX10" s="462" t="s">
        <v>218</v>
      </c>
      <c r="AY10" s="486">
        <v>2300000</v>
      </c>
      <c r="AZ10" s="502"/>
      <c r="BA10" s="671">
        <v>162751</v>
      </c>
      <c r="BB10" s="649">
        <v>21158</v>
      </c>
      <c r="BC10" s="649">
        <f t="shared" ca="1" si="4"/>
        <v>121591</v>
      </c>
      <c r="BD10" s="672">
        <f t="shared" ca="1" si="4"/>
        <v>15806</v>
      </c>
      <c r="BE10" s="450" t="s">
        <v>173</v>
      </c>
      <c r="BF10" s="457" t="s">
        <v>174</v>
      </c>
    </row>
    <row r="11" spans="1:58" s="463" customFormat="1" ht="31.5" x14ac:dyDescent="0.25">
      <c r="A11" s="694" t="str">
        <f ca="1">Bérköltség!$B11</f>
        <v>FEOR</v>
      </c>
      <c r="B11" s="694" t="str">
        <f ca="1">IFERROR(
IF(AND(Bérköltség!$F11="",H11="NA"),"HIÁNYOS ADATOK",
IF(Bérköltség!$F11&lt;Bérköltség!$U11,Admin!$B$18,Admin!$B$17)),
"")</f>
        <v>FEOR</v>
      </c>
      <c r="C11" s="437">
        <f>IFERROR(INDEX('Historikus berek_2021-2'!$A$1:$F$903,MATCH(AB11,'Historikus berek_2021-2'!$A$1:$A$903,0),4),"")</f>
        <v>672133.33333333337</v>
      </c>
      <c r="D11" s="438">
        <f t="shared" si="5"/>
        <v>142924.90421455938</v>
      </c>
      <c r="E11" s="437">
        <f t="shared" si="6"/>
        <v>489080</v>
      </c>
      <c r="F11" s="439">
        <f t="shared" si="7"/>
        <v>391155.25823754782</v>
      </c>
      <c r="G11" s="440">
        <f t="shared" si="8"/>
        <v>161505.14176245208</v>
      </c>
      <c r="H11" s="441">
        <f>IFERROR(INDEX('FEOR kodok'!$A$2:$J$1126,MATCH(Bérköltség!AB11,'FEOR kodok'!$B$2:$B$1126,0),8),"NA")</f>
        <v>2117</v>
      </c>
      <c r="I11" s="436">
        <f ca="1">IFERROR(INDEX('FEOR kodok'!$A$2:$J$1126,MATCH(Bérköltség!AB11,'FEOR kodok'!$B$2:$B$1126,0),10),"NA")</f>
        <v>49</v>
      </c>
      <c r="J11" s="442" t="str">
        <f t="shared" ca="1" si="9"/>
        <v>40–49 éves</v>
      </c>
      <c r="K11" s="436" t="str">
        <f>IFERROR(INDEX(admin_feor[#All],MATCH(Bérköltség!H11,admin_feor[[#All],[Foglalkozás]],0),2),"NA")</f>
        <v>Vegyészmérnök</v>
      </c>
      <c r="L11" s="438">
        <f ca="1">IFERROR(
INDEX('Admin - FEOR'!$A$4:$F$465,MATCH(Bérköltség!H11,'Admin - FEOR'!$A$4:$A$465,0),
IF(J11="30 év alatt",3,
IF(J11="30–39 éves",4,
IF(J11="40–49 éves",5,
IF(J11="50 év és afelett",6
)))))*1,"NA")</f>
        <v>824591</v>
      </c>
      <c r="M11" s="438">
        <f t="shared" si="10"/>
        <v>2299999</v>
      </c>
      <c r="N11" s="443">
        <f t="shared" ca="1" si="11"/>
        <v>2.7892603727181111</v>
      </c>
      <c r="O11" s="438">
        <f ca="1">IFERROR(
INDEX('Admin - FEOR'!$A$4:$F$465,MATCH(Bérköltség!H11,'Admin - FEOR'!$A$4:$A$465,0),
IF(J11="30 év alatt",3,
IF(J11="30–39 éves",4,
IF(J11="40–49 éves",5,
IF(J11="50 év és afelett",6
)))))*1.5,"NA")</f>
        <v>1236886.5</v>
      </c>
      <c r="P11" s="438">
        <f t="shared" ca="1" si="12"/>
        <v>263016.0948275862</v>
      </c>
      <c r="Q11" s="438">
        <f t="shared" si="13"/>
        <v>489080</v>
      </c>
      <c r="R11" s="444">
        <f t="shared" si="14"/>
        <v>0.21264367816091953</v>
      </c>
      <c r="S11" s="438">
        <f t="shared" ca="1" si="15"/>
        <v>226063.9051724138</v>
      </c>
      <c r="T11" s="438">
        <f t="shared" ca="1" si="16"/>
        <v>29388.307672413794</v>
      </c>
      <c r="U11" s="445">
        <f t="shared" ca="1" si="17"/>
        <v>255452.21284482759</v>
      </c>
      <c r="V11" s="446">
        <f t="shared" ca="1" si="18"/>
        <v>297207.78715517244</v>
      </c>
      <c r="W11" s="447" t="str">
        <f t="shared" ca="1" si="19"/>
        <v>Indoklás szükséges mivel a FEOR: 278,9%</v>
      </c>
      <c r="X11" s="571">
        <f t="shared" ca="1" si="20"/>
        <v>255452.21284482759</v>
      </c>
      <c r="Y11" s="554">
        <f t="shared" ca="1" si="21"/>
        <v>263016</v>
      </c>
      <c r="Z11" s="555">
        <f t="shared" ca="1" si="22"/>
        <v>34192</v>
      </c>
      <c r="AA11" s="573">
        <v>2</v>
      </c>
      <c r="AB11" s="101">
        <v>8392423828</v>
      </c>
      <c r="AC11" s="465" t="s">
        <v>172</v>
      </c>
      <c r="AD11" s="459" t="s">
        <v>45</v>
      </c>
      <c r="AE11" s="450" t="s">
        <v>22</v>
      </c>
      <c r="AF11" s="466" t="s">
        <v>120</v>
      </c>
      <c r="AG11" s="466" t="s">
        <v>157</v>
      </c>
      <c r="AH11" s="451" t="s">
        <v>131</v>
      </c>
      <c r="AI11" s="154">
        <v>44805</v>
      </c>
      <c r="AJ11" s="100" t="str">
        <f>IF(AI11&gt;0,
(IF(AI11&lt;Hónapok!$A$10,Admin!$A$28,
(IF(AI11&lt;Hónapok!$A$22,Admin!$B$28,
(IF(AI11&lt;Hónapok!$A$34,Admin!$C$28,
(IF(AI11&lt;Hónapok!$A$46,Admin!$D$28,"")))))))),"")</f>
        <v>2. mérföldkő</v>
      </c>
      <c r="AK11" s="467" t="s">
        <v>7</v>
      </c>
      <c r="AL11" s="101" t="s">
        <v>26</v>
      </c>
      <c r="AM11" s="899">
        <v>2299999</v>
      </c>
      <c r="AN11" s="860">
        <f t="shared" si="0"/>
        <v>299000</v>
      </c>
      <c r="AO11" s="466">
        <v>174</v>
      </c>
      <c r="AP11" s="467">
        <v>37</v>
      </c>
      <c r="AQ11" s="454">
        <f t="shared" si="1"/>
        <v>0.21264367816091953</v>
      </c>
      <c r="AR11" s="455">
        <f t="shared" si="23"/>
        <v>489080</v>
      </c>
      <c r="AS11" s="455">
        <f t="shared" si="2"/>
        <v>63580</v>
      </c>
      <c r="AT11" s="102">
        <f t="shared" si="3"/>
        <v>1.0744632356063377E-7</v>
      </c>
      <c r="AU11" s="116">
        <v>0.13</v>
      </c>
      <c r="AV11" s="565" t="str">
        <f>VLOOKUP(LEFT(AB11,10),Törzsszám!$A$1:$B$908,2,0)</f>
        <v>10000002</v>
      </c>
      <c r="AW11" s="615">
        <f t="shared" ca="1" si="24"/>
        <v>-255452</v>
      </c>
      <c r="AX11" s="468" t="s">
        <v>228</v>
      </c>
      <c r="AY11" s="527"/>
      <c r="AZ11" s="665"/>
      <c r="BA11" s="671">
        <v>150544</v>
      </c>
      <c r="BB11" s="649">
        <v>19571</v>
      </c>
      <c r="BC11" s="649">
        <f t="shared" ca="1" si="4"/>
        <v>112472</v>
      </c>
      <c r="BD11" s="672">
        <f t="shared" ca="1" si="4"/>
        <v>14621</v>
      </c>
      <c r="BE11" s="450" t="s">
        <v>173</v>
      </c>
      <c r="BF11" s="457"/>
    </row>
    <row r="12" spans="1:58" s="463" customFormat="1" ht="31.5" x14ac:dyDescent="0.25">
      <c r="A12" s="694" t="str">
        <f ca="1">Bérköltség!$B12</f>
        <v>FEOR</v>
      </c>
      <c r="B12" s="694" t="str">
        <f ca="1">IFERROR(
IF(AND(Bérköltség!$F12="",H12="NA"),"HIÁNYOS ADATOK",
IF(Bérköltség!$F12&lt;Bérköltség!$U12,Admin!$B$18,Admin!$B$17)),
"")</f>
        <v>FEOR</v>
      </c>
      <c r="C12" s="437">
        <f>IFERROR(INDEX('Historikus berek_2021-2'!$A$1:$F$903,MATCH(AB12,'Historikus berek_2021-2'!$A$1:$A$903,0),4),"")</f>
        <v>672133.33333333337</v>
      </c>
      <c r="D12" s="438">
        <f t="shared" si="5"/>
        <v>142924.90421455938</v>
      </c>
      <c r="E12" s="437">
        <f t="shared" si="6"/>
        <v>489080</v>
      </c>
      <c r="F12" s="439">
        <f t="shared" si="7"/>
        <v>391155.25823754782</v>
      </c>
      <c r="G12" s="440">
        <f t="shared" si="8"/>
        <v>161505.14176245208</v>
      </c>
      <c r="H12" s="441">
        <f>IFERROR(INDEX('FEOR kodok'!$A$2:$J$1126,MATCH(Bérköltség!AB12,'FEOR kodok'!$B$2:$B$1126,0),8),"NA")</f>
        <v>2117</v>
      </c>
      <c r="I12" s="436">
        <f ca="1">IFERROR(INDEX('FEOR kodok'!$A$2:$J$1126,MATCH(Bérköltség!AB12,'FEOR kodok'!$B$2:$B$1126,0),10),"NA")</f>
        <v>49</v>
      </c>
      <c r="J12" s="442" t="str">
        <f t="shared" ca="1" si="9"/>
        <v>40–49 éves</v>
      </c>
      <c r="K12" s="436" t="str">
        <f>IFERROR(INDEX(admin_feor[#All],MATCH(Bérköltség!H12,admin_feor[[#All],[Foglalkozás]],0),2),"NA")</f>
        <v>Vegyészmérnök</v>
      </c>
      <c r="L12" s="438">
        <f ca="1">IFERROR(
INDEX('Admin - FEOR'!$A$4:$F$465,MATCH(Bérköltség!H12,'Admin - FEOR'!$A$4:$A$465,0),
IF(J12="30 év alatt",3,
IF(J12="30–39 éves",4,
IF(J12="40–49 éves",5,
IF(J12="50 év és afelett",6
)))))*1,"NA")</f>
        <v>824591</v>
      </c>
      <c r="M12" s="438">
        <f t="shared" si="10"/>
        <v>2299999</v>
      </c>
      <c r="N12" s="443">
        <f t="shared" ca="1" si="11"/>
        <v>2.7892603727181111</v>
      </c>
      <c r="O12" s="438">
        <f ca="1">IFERROR(
INDEX('Admin - FEOR'!$A$4:$F$465,MATCH(Bérköltség!H12,'Admin - FEOR'!$A$4:$A$465,0),
IF(J12="30 év alatt",3,
IF(J12="30–39 éves",4,
IF(J12="40–49 éves",5,
IF(J12="50 év és afelett",6
)))))*1.5,"NA")</f>
        <v>1236886.5</v>
      </c>
      <c r="P12" s="438">
        <f t="shared" ca="1" si="12"/>
        <v>263016.0948275862</v>
      </c>
      <c r="Q12" s="438">
        <f t="shared" si="13"/>
        <v>489080</v>
      </c>
      <c r="R12" s="444">
        <f t="shared" si="14"/>
        <v>0.21264367816091953</v>
      </c>
      <c r="S12" s="438">
        <f t="shared" ca="1" si="15"/>
        <v>226063.9051724138</v>
      </c>
      <c r="T12" s="438">
        <f t="shared" ca="1" si="16"/>
        <v>29388.307672413794</v>
      </c>
      <c r="U12" s="445">
        <f t="shared" ca="1" si="17"/>
        <v>255452.21284482759</v>
      </c>
      <c r="V12" s="446">
        <f t="shared" ca="1" si="18"/>
        <v>297207.78715517244</v>
      </c>
      <c r="W12" s="447" t="str">
        <f t="shared" ca="1" si="19"/>
        <v>Indoklás szükséges mivel a FEOR: 278,9%</v>
      </c>
      <c r="X12" s="571">
        <f t="shared" ca="1" si="20"/>
        <v>255452.21284482759</v>
      </c>
      <c r="Y12" s="554">
        <f t="shared" ca="1" si="21"/>
        <v>263016</v>
      </c>
      <c r="Z12" s="555">
        <f t="shared" ca="1" si="22"/>
        <v>34192</v>
      </c>
      <c r="AA12" s="573">
        <v>2</v>
      </c>
      <c r="AB12" s="101">
        <v>8392423828</v>
      </c>
      <c r="AC12" s="465" t="s">
        <v>172</v>
      </c>
      <c r="AD12" s="459" t="s">
        <v>45</v>
      </c>
      <c r="AE12" s="450" t="s">
        <v>22</v>
      </c>
      <c r="AF12" s="466" t="s">
        <v>120</v>
      </c>
      <c r="AG12" s="466" t="s">
        <v>157</v>
      </c>
      <c r="AH12" s="451" t="s">
        <v>131</v>
      </c>
      <c r="AI12" s="154">
        <v>44835</v>
      </c>
      <c r="AJ12" s="100" t="str">
        <f>IF(AI12&gt;0,
(IF(AI12&lt;Hónapok!$A$10,Admin!$A$28,
(IF(AI12&lt;Hónapok!$A$22,Admin!$B$28,
(IF(AI12&lt;Hónapok!$A$34,Admin!$C$28,
(IF(AI12&lt;Hónapok!$A$46,Admin!$D$28,"")))))))),"")</f>
        <v>2. mérföldkő</v>
      </c>
      <c r="AK12" s="469" t="s">
        <v>7</v>
      </c>
      <c r="AL12" s="101" t="s">
        <v>26</v>
      </c>
      <c r="AM12" s="899">
        <v>2299999</v>
      </c>
      <c r="AN12" s="860">
        <f t="shared" si="0"/>
        <v>299000</v>
      </c>
      <c r="AO12" s="466">
        <v>174</v>
      </c>
      <c r="AP12" s="467">
        <v>37</v>
      </c>
      <c r="AQ12" s="454">
        <f t="shared" si="1"/>
        <v>0.21264367816091953</v>
      </c>
      <c r="AR12" s="455">
        <f t="shared" si="23"/>
        <v>489080</v>
      </c>
      <c r="AS12" s="455">
        <f t="shared" si="2"/>
        <v>63580</v>
      </c>
      <c r="AT12" s="102">
        <f t="shared" si="3"/>
        <v>1.0744632356063377E-7</v>
      </c>
      <c r="AU12" s="116">
        <v>0.13</v>
      </c>
      <c r="AV12" s="565" t="str">
        <f>VLOOKUP(LEFT(AB12,10),Törzsszám!$A$1:$B$908,2,0)</f>
        <v>10000002</v>
      </c>
      <c r="AW12" s="615">
        <f t="shared" ca="1" si="24"/>
        <v>-255452</v>
      </c>
      <c r="AX12" s="468" t="s">
        <v>251</v>
      </c>
      <c r="AY12" s="527"/>
      <c r="AZ12" s="665"/>
      <c r="BA12" s="671">
        <v>150544</v>
      </c>
      <c r="BB12" s="649">
        <v>19571</v>
      </c>
      <c r="BC12" s="649">
        <f t="shared" ca="1" si="4"/>
        <v>112472</v>
      </c>
      <c r="BD12" s="672">
        <f t="shared" ca="1" si="4"/>
        <v>14621</v>
      </c>
      <c r="BE12" s="450" t="s">
        <v>173</v>
      </c>
      <c r="BF12" s="457"/>
    </row>
    <row r="13" spans="1:58" s="463" customFormat="1" ht="31.5" x14ac:dyDescent="0.25">
      <c r="A13" s="694" t="str">
        <f ca="1">Bérköltség!$B13</f>
        <v>FEOR</v>
      </c>
      <c r="B13" s="694" t="str">
        <f ca="1">IFERROR(
IF(AND(Bérköltség!$F13="",H13="NA"),"HIÁNYOS ADATOK",
IF(Bérköltség!$F13&lt;Bérköltség!$U13,Admin!$B$18,Admin!$B$17)),
"")</f>
        <v>FEOR</v>
      </c>
      <c r="C13" s="437">
        <f>IFERROR(INDEX('Historikus berek_2021-2'!$A$1:$F$903,MATCH(AB13,'Historikus berek_2021-2'!$A$1:$A$903,0),4),"")</f>
        <v>672133.33333333337</v>
      </c>
      <c r="D13" s="438">
        <f t="shared" si="5"/>
        <v>142924.90421455938</v>
      </c>
      <c r="E13" s="437">
        <f t="shared" si="6"/>
        <v>489080</v>
      </c>
      <c r="F13" s="439">
        <f t="shared" si="7"/>
        <v>391155.25823754782</v>
      </c>
      <c r="G13" s="440">
        <f t="shared" si="8"/>
        <v>161505.14176245208</v>
      </c>
      <c r="H13" s="441">
        <f>IFERROR(INDEX('FEOR kodok'!$A$2:$J$1126,MATCH(Bérköltség!AB13,'FEOR kodok'!$B$2:$B$1126,0),8),"NA")</f>
        <v>2117</v>
      </c>
      <c r="I13" s="436">
        <f ca="1">IFERROR(INDEX('FEOR kodok'!$A$2:$J$1126,MATCH(Bérköltség!AB13,'FEOR kodok'!$B$2:$B$1126,0),10),"NA")</f>
        <v>49</v>
      </c>
      <c r="J13" s="442" t="str">
        <f t="shared" ca="1" si="9"/>
        <v>40–49 éves</v>
      </c>
      <c r="K13" s="436" t="str">
        <f>IFERROR(INDEX(admin_feor[#All],MATCH(Bérköltség!H13,admin_feor[[#All],[Foglalkozás]],0),2),"NA")</f>
        <v>Vegyészmérnök</v>
      </c>
      <c r="L13" s="438">
        <f ca="1">IFERROR(
INDEX('Admin - FEOR'!$A$4:$F$465,MATCH(Bérköltség!H13,'Admin - FEOR'!$A$4:$A$465,0),
IF(J13="30 év alatt",3,
IF(J13="30–39 éves",4,
IF(J13="40–49 éves",5,
IF(J13="50 év és afelett",6
)))))*1,"NA")</f>
        <v>824591</v>
      </c>
      <c r="M13" s="438">
        <f t="shared" si="10"/>
        <v>2300000</v>
      </c>
      <c r="N13" s="443">
        <f t="shared" ca="1" si="11"/>
        <v>2.7892615854405398</v>
      </c>
      <c r="O13" s="438">
        <f ca="1">IFERROR(
INDEX('Admin - FEOR'!$A$4:$F$465,MATCH(Bérköltség!H13,'Admin - FEOR'!$A$4:$A$465,0),
IF(J13="30 év alatt",3,
IF(J13="30–39 éves",4,
IF(J13="40–49 éves",5,
IF(J13="50 év és afelett",6
)))))*1.5,"NA")</f>
        <v>1236886.5</v>
      </c>
      <c r="P13" s="438">
        <f t="shared" ca="1" si="12"/>
        <v>263016.0948275862</v>
      </c>
      <c r="Q13" s="438">
        <f t="shared" si="13"/>
        <v>489080</v>
      </c>
      <c r="R13" s="444">
        <f t="shared" si="14"/>
        <v>0.21264367816091953</v>
      </c>
      <c r="S13" s="438">
        <f t="shared" ca="1" si="15"/>
        <v>226063.9051724138</v>
      </c>
      <c r="T13" s="438">
        <f t="shared" ca="1" si="16"/>
        <v>29388.307672413794</v>
      </c>
      <c r="U13" s="445">
        <f t="shared" ca="1" si="17"/>
        <v>255452.21284482759</v>
      </c>
      <c r="V13" s="446">
        <f t="shared" ca="1" si="18"/>
        <v>297207.78715517244</v>
      </c>
      <c r="W13" s="447" t="str">
        <f t="shared" ca="1" si="19"/>
        <v>Indoklás szükséges mivel a FEOR: 278,9%</v>
      </c>
      <c r="X13" s="571">
        <f t="shared" ca="1" si="20"/>
        <v>255452.21284482759</v>
      </c>
      <c r="Y13" s="554">
        <f t="shared" ca="1" si="21"/>
        <v>263016</v>
      </c>
      <c r="Z13" s="555">
        <f t="shared" ca="1" si="22"/>
        <v>34192</v>
      </c>
      <c r="AA13" s="573">
        <v>2</v>
      </c>
      <c r="AB13" s="101">
        <v>8392423828</v>
      </c>
      <c r="AC13" s="465" t="s">
        <v>172</v>
      </c>
      <c r="AD13" s="459" t="s">
        <v>45</v>
      </c>
      <c r="AE13" s="450" t="s">
        <v>22</v>
      </c>
      <c r="AF13" s="466" t="s">
        <v>120</v>
      </c>
      <c r="AG13" s="466" t="s">
        <v>157</v>
      </c>
      <c r="AH13" s="451" t="s">
        <v>131</v>
      </c>
      <c r="AI13" s="154">
        <v>44866</v>
      </c>
      <c r="AJ13" s="100" t="str">
        <f>IF(AI13&gt;0,
(IF(AI13&lt;Hónapok!$A$10,Admin!$A$28,
(IF(AI13&lt;Hónapok!$A$22,Admin!$B$28,
(IF(AI13&lt;Hónapok!$A$34,Admin!$C$28,
(IF(AI13&lt;Hónapok!$A$46,Admin!$D$28,"")))))))),"")</f>
        <v>2. mérföldkő</v>
      </c>
      <c r="AK13" s="469" t="s">
        <v>7</v>
      </c>
      <c r="AL13" s="101" t="s">
        <v>26</v>
      </c>
      <c r="AM13" s="899">
        <v>2300000</v>
      </c>
      <c r="AN13" s="860">
        <f t="shared" si="0"/>
        <v>299000</v>
      </c>
      <c r="AO13" s="466">
        <v>174</v>
      </c>
      <c r="AP13" s="467">
        <v>37</v>
      </c>
      <c r="AQ13" s="454">
        <f t="shared" si="1"/>
        <v>0.21264367816091953</v>
      </c>
      <c r="AR13" s="455">
        <f t="shared" si="23"/>
        <v>489080</v>
      </c>
      <c r="AS13" s="455">
        <f t="shared" si="2"/>
        <v>63580</v>
      </c>
      <c r="AT13" s="102">
        <f t="shared" si="3"/>
        <v>1.999000499575132E-7</v>
      </c>
      <c r="AU13" s="116">
        <v>0.13</v>
      </c>
      <c r="AV13" s="565" t="str">
        <f>VLOOKUP(LEFT(AB13,10),Törzsszám!$A$1:$B$908,2,0)</f>
        <v>10000002</v>
      </c>
      <c r="AW13" s="615">
        <f t="shared" ca="1" si="24"/>
        <v>-255452</v>
      </c>
      <c r="AX13" s="468" t="s">
        <v>260</v>
      </c>
      <c r="AY13" s="527"/>
      <c r="AZ13" s="665"/>
      <c r="BA13" s="671">
        <v>150544</v>
      </c>
      <c r="BB13" s="649">
        <v>19571</v>
      </c>
      <c r="BC13" s="649">
        <f t="shared" ca="1" si="4"/>
        <v>112472</v>
      </c>
      <c r="BD13" s="672">
        <f t="shared" ca="1" si="4"/>
        <v>14621</v>
      </c>
      <c r="BE13" s="450" t="s">
        <v>173</v>
      </c>
      <c r="BF13" s="457"/>
    </row>
    <row r="14" spans="1:58" s="463" customFormat="1" ht="31.5" x14ac:dyDescent="0.25">
      <c r="A14" s="694" t="str">
        <f ca="1">Bérköltség!$B14</f>
        <v>FEOR</v>
      </c>
      <c r="B14" s="694" t="str">
        <f ca="1">IFERROR(
IF(AND(Bérköltség!$F14="",H14="NA"),"HIÁNYOS ADATOK",
IF(Bérköltség!$F14&lt;Bérköltség!$U14,Admin!$B$18,Admin!$B$17)),
"")</f>
        <v>FEOR</v>
      </c>
      <c r="C14" s="437">
        <f>IFERROR(INDEX('Historikus berek_2021-2'!$A$1:$F$903,MATCH(AB14,'Historikus berek_2021-2'!$A$1:$A$903,0),4),"")</f>
        <v>672133.33333333337</v>
      </c>
      <c r="D14" s="438">
        <f t="shared" si="5"/>
        <v>139062.06896551725</v>
      </c>
      <c r="E14" s="437">
        <f t="shared" si="6"/>
        <v>475862</v>
      </c>
      <c r="F14" s="439">
        <f t="shared" si="7"/>
        <v>380583.9220689655</v>
      </c>
      <c r="G14" s="440">
        <f t="shared" si="8"/>
        <v>157140.13793103443</v>
      </c>
      <c r="H14" s="441">
        <f>IFERROR(INDEX('FEOR kodok'!$A$2:$J$1126,MATCH(Bérköltség!AB14,'FEOR kodok'!$B$2:$B$1126,0),8),"NA")</f>
        <v>2117</v>
      </c>
      <c r="I14" s="436">
        <f ca="1">IFERROR(INDEX('FEOR kodok'!$A$2:$J$1126,MATCH(Bérköltség!AB14,'FEOR kodok'!$B$2:$B$1126,0),10),"NA")</f>
        <v>49</v>
      </c>
      <c r="J14" s="442" t="str">
        <f t="shared" ca="1" si="9"/>
        <v>40–49 éves</v>
      </c>
      <c r="K14" s="436" t="str">
        <f>IFERROR(INDEX(admin_feor[#All],MATCH(Bérköltség!H14,admin_feor[[#All],[Foglalkozás]],0),2),"NA")</f>
        <v>Vegyészmérnök</v>
      </c>
      <c r="L14" s="438">
        <f ca="1">IFERROR(
INDEX('Admin - FEOR'!$A$4:$F$465,MATCH(Bérköltség!H14,'Admin - FEOR'!$A$4:$A$465,0),
IF(J14="30 év alatt",3,
IF(J14="30–39 éves",4,
IF(J14="40–49 éves",5,
IF(J14="50 év és afelett",6
)))))*1,"NA")</f>
        <v>824591</v>
      </c>
      <c r="M14" s="438">
        <f t="shared" si="10"/>
        <v>2300000</v>
      </c>
      <c r="N14" s="443">
        <f t="shared" ca="1" si="11"/>
        <v>2.7892615854405398</v>
      </c>
      <c r="O14" s="438">
        <f ca="1">IFERROR(
INDEX('Admin - FEOR'!$A$4:$F$465,MATCH(Bérköltség!H14,'Admin - FEOR'!$A$4:$A$465,0),
IF(J14="30 év alatt",3,
IF(J14="30–39 éves",4,
IF(J14="40–49 éves",5,
IF(J14="50 év és afelett",6
)))))*1.5,"NA")</f>
        <v>1236886.5</v>
      </c>
      <c r="P14" s="438">
        <f t="shared" ca="1" si="12"/>
        <v>255907.55172413791</v>
      </c>
      <c r="Q14" s="438">
        <f t="shared" si="13"/>
        <v>475862</v>
      </c>
      <c r="R14" s="444">
        <f t="shared" si="14"/>
        <v>0.20689655172413793</v>
      </c>
      <c r="S14" s="438">
        <f t="shared" ca="1" si="15"/>
        <v>219954.44827586209</v>
      </c>
      <c r="T14" s="438">
        <f t="shared" ca="1" si="16"/>
        <v>28594.078275862073</v>
      </c>
      <c r="U14" s="445">
        <f t="shared" ca="1" si="17"/>
        <v>248548.52655172415</v>
      </c>
      <c r="V14" s="446">
        <f t="shared" ca="1" si="18"/>
        <v>289175.47344827582</v>
      </c>
      <c r="W14" s="447" t="str">
        <f t="shared" ca="1" si="19"/>
        <v>Indoklás szükséges mivel a FEOR: 278,9%</v>
      </c>
      <c r="X14" s="571">
        <f t="shared" ca="1" si="20"/>
        <v>248548.52655172415</v>
      </c>
      <c r="Y14" s="554">
        <f t="shared" ca="1" si="21"/>
        <v>255907</v>
      </c>
      <c r="Z14" s="555">
        <f t="shared" ca="1" si="22"/>
        <v>33268</v>
      </c>
      <c r="AA14" s="573">
        <v>2</v>
      </c>
      <c r="AB14" s="448">
        <v>8392423828</v>
      </c>
      <c r="AC14" s="465" t="s">
        <v>172</v>
      </c>
      <c r="AD14" s="459" t="s">
        <v>45</v>
      </c>
      <c r="AE14" s="450" t="s">
        <v>22</v>
      </c>
      <c r="AF14" s="466" t="s">
        <v>120</v>
      </c>
      <c r="AG14" s="466" t="s">
        <v>157</v>
      </c>
      <c r="AH14" s="451" t="s">
        <v>131</v>
      </c>
      <c r="AI14" s="154">
        <v>44896</v>
      </c>
      <c r="AJ14" s="100" t="str">
        <f>IF(AI14&gt;0,
(IF(AI14&lt;Hónapok!$A$10,Admin!$A$28,
(IF(AI14&lt;Hónapok!$A$22,Admin!$B$28,
(IF(AI14&lt;Hónapok!$A$34,Admin!$C$28,
(IF(AI14&lt;Hónapok!$A$46,Admin!$D$28,"")))))))),"")</f>
        <v>2. mérföldkő</v>
      </c>
      <c r="AK14" s="470" t="s">
        <v>7</v>
      </c>
      <c r="AL14" s="101" t="s">
        <v>26</v>
      </c>
      <c r="AM14" s="899">
        <v>2300000</v>
      </c>
      <c r="AN14" s="860">
        <f t="shared" si="0"/>
        <v>299000</v>
      </c>
      <c r="AO14" s="466">
        <v>174</v>
      </c>
      <c r="AP14" s="467">
        <v>36</v>
      </c>
      <c r="AQ14" s="454">
        <f t="shared" si="1"/>
        <v>0.20689655172413793</v>
      </c>
      <c r="AR14" s="455">
        <f t="shared" si="23"/>
        <v>475862</v>
      </c>
      <c r="AS14" s="455">
        <f t="shared" si="2"/>
        <v>61862</v>
      </c>
      <c r="AT14" s="102">
        <f t="shared" si="3"/>
        <v>2.9985007504729211E-8</v>
      </c>
      <c r="AU14" s="116">
        <v>0.13</v>
      </c>
      <c r="AV14" s="565" t="str">
        <f>VLOOKUP(LEFT(AB14,10),Törzsszám!$A$1:$B$908,2,0)</f>
        <v>10000002</v>
      </c>
      <c r="AW14" s="615">
        <f t="shared" ca="1" si="24"/>
        <v>-248549</v>
      </c>
      <c r="AX14" s="471" t="s">
        <v>262</v>
      </c>
      <c r="AY14" s="527"/>
      <c r="AZ14" s="665"/>
      <c r="BA14" s="671">
        <v>146476</v>
      </c>
      <c r="BB14" s="649">
        <v>19042</v>
      </c>
      <c r="BC14" s="649">
        <f t="shared" ca="1" si="4"/>
        <v>109431</v>
      </c>
      <c r="BD14" s="672">
        <f t="shared" ca="1" si="4"/>
        <v>14226</v>
      </c>
      <c r="BE14" s="450" t="s">
        <v>173</v>
      </c>
      <c r="BF14" s="457" t="s">
        <v>253</v>
      </c>
    </row>
    <row r="15" spans="1:58" s="463" customFormat="1" ht="31.5" x14ac:dyDescent="0.25">
      <c r="A15" s="694" t="str">
        <f ca="1">Bérköltség!$B15</f>
        <v>FEOR</v>
      </c>
      <c r="B15" s="694" t="str">
        <f ca="1">IFERROR(
IF(AND(Bérköltség!$F15="",H15="NA"),"HIÁNYOS ADATOK",
IF(Bérköltség!$F15&lt;Bérköltség!$U15,Admin!$B$18,Admin!$B$17)),
"")</f>
        <v>FEOR</v>
      </c>
      <c r="C15" s="437">
        <f>IFERROR(INDEX('Historikus berek_2021-2'!$A$1:$F$903,MATCH(AB15,'Historikus berek_2021-2'!$A$1:$A$903,0),4),"")</f>
        <v>672133.33333333337</v>
      </c>
      <c r="D15" s="438">
        <f t="shared" si="5"/>
        <v>139062.06896551725</v>
      </c>
      <c r="E15" s="437">
        <f t="shared" si="6"/>
        <v>509172</v>
      </c>
      <c r="F15" s="439">
        <f t="shared" si="7"/>
        <v>418224.22206896555</v>
      </c>
      <c r="G15" s="440">
        <f t="shared" si="8"/>
        <v>157140.13793103443</v>
      </c>
      <c r="H15" s="441">
        <f>IFERROR(INDEX('FEOR kodok'!$A$2:$J$1126,MATCH(Bérköltség!AB15,'FEOR kodok'!$B$2:$B$1126,0),8),"NA")</f>
        <v>2117</v>
      </c>
      <c r="I15" s="436">
        <f ca="1">IFERROR(INDEX('FEOR kodok'!$A$2:$J$1126,MATCH(Bérköltség!AB15,'FEOR kodok'!$B$2:$B$1126,0),10),"NA")</f>
        <v>49</v>
      </c>
      <c r="J15" s="442" t="str">
        <f t="shared" ca="1" si="9"/>
        <v>40–49 éves</v>
      </c>
      <c r="K15" s="436" t="str">
        <f>IFERROR(INDEX(admin_feor[#All],MATCH(Bérköltség!H15,admin_feor[[#All],[Foglalkozás]],0),2),"NA")</f>
        <v>Vegyészmérnök</v>
      </c>
      <c r="L15" s="438">
        <f ca="1">IFERROR(
INDEX('Admin - FEOR'!$A$4:$F$465,MATCH(Bérköltség!H15,'Admin - FEOR'!$A$4:$A$465,0),
IF(J15="30 év alatt",3,
IF(J15="30–39 éves",4,
IF(J15="40–49 éves",5,
IF(J15="50 év és afelett",6
)))))*1,"NA")</f>
        <v>824591</v>
      </c>
      <c r="M15" s="438">
        <f t="shared" si="10"/>
        <v>2461000</v>
      </c>
      <c r="N15" s="443">
        <f t="shared" ca="1" si="11"/>
        <v>2.9845098964213772</v>
      </c>
      <c r="O15" s="438">
        <f ca="1">IFERROR(
INDEX('Admin - FEOR'!$A$4:$F$465,MATCH(Bérköltség!H15,'Admin - FEOR'!$A$4:$A$465,0),
IF(J15="30 év alatt",3,
IF(J15="30–39 éves",4,
IF(J15="40–49 éves",5,
IF(J15="50 év és afelett",6
)))))*1.5,"NA")</f>
        <v>1236886.5</v>
      </c>
      <c r="P15" s="438">
        <f t="shared" ca="1" si="12"/>
        <v>255907.55172413791</v>
      </c>
      <c r="Q15" s="438">
        <f t="shared" si="13"/>
        <v>509172</v>
      </c>
      <c r="R15" s="444">
        <f t="shared" si="14"/>
        <v>0.20689655172413793</v>
      </c>
      <c r="S15" s="438">
        <f t="shared" ca="1" si="15"/>
        <v>253264.44827586209</v>
      </c>
      <c r="T15" s="438">
        <f t="shared" ca="1" si="16"/>
        <v>32924.378275862073</v>
      </c>
      <c r="U15" s="445">
        <f t="shared" ca="1" si="17"/>
        <v>286188.82655172417</v>
      </c>
      <c r="V15" s="446">
        <f t="shared" ca="1" si="18"/>
        <v>289175.17344827583</v>
      </c>
      <c r="W15" s="447" t="str">
        <f t="shared" ca="1" si="19"/>
        <v>Indoklás szükséges mivel a FEOR: 298,5%</v>
      </c>
      <c r="X15" s="571">
        <f t="shared" ca="1" si="20"/>
        <v>286188.82655172417</v>
      </c>
      <c r="Y15" s="554">
        <f t="shared" ca="1" si="21"/>
        <v>255907</v>
      </c>
      <c r="Z15" s="555">
        <f t="shared" ca="1" si="22"/>
        <v>33268</v>
      </c>
      <c r="AA15" s="573">
        <v>2</v>
      </c>
      <c r="AB15" s="448">
        <v>8392423828</v>
      </c>
      <c r="AC15" s="465" t="s">
        <v>172</v>
      </c>
      <c r="AD15" s="459" t="s">
        <v>45</v>
      </c>
      <c r="AE15" s="450" t="s">
        <v>22</v>
      </c>
      <c r="AF15" s="466" t="s">
        <v>120</v>
      </c>
      <c r="AG15" s="466" t="s">
        <v>157</v>
      </c>
      <c r="AH15" s="451" t="s">
        <v>131</v>
      </c>
      <c r="AI15" s="154">
        <v>44927</v>
      </c>
      <c r="AJ15" s="100" t="str">
        <f>IF(AI15&gt;0,
(IF(AI15&lt;Hónapok!$A$10,Admin!$A$28,
(IF(AI15&lt;Hónapok!$A$22,Admin!$B$28,
(IF(AI15&lt;Hónapok!$A$34,Admin!$C$28,
(IF(AI15&lt;Hónapok!$A$46,Admin!$D$28,"")))))))),"")</f>
        <v>2. mérföldkő</v>
      </c>
      <c r="AK15" s="470" t="s">
        <v>7</v>
      </c>
      <c r="AL15" s="101" t="s">
        <v>26</v>
      </c>
      <c r="AM15" s="899">
        <v>2461000</v>
      </c>
      <c r="AN15" s="860">
        <f t="shared" si="0"/>
        <v>319930</v>
      </c>
      <c r="AO15" s="466">
        <v>174</v>
      </c>
      <c r="AP15" s="467">
        <v>36</v>
      </c>
      <c r="AQ15" s="454">
        <f t="shared" si="1"/>
        <v>0.20689655172413793</v>
      </c>
      <c r="AR15" s="455">
        <f t="shared" si="23"/>
        <v>509172</v>
      </c>
      <c r="AS15" s="455">
        <f t="shared" si="2"/>
        <v>66192</v>
      </c>
      <c r="AT15" s="102">
        <f t="shared" si="3"/>
        <v>1.6814022893441027E-7</v>
      </c>
      <c r="AU15" s="116">
        <v>0.13</v>
      </c>
      <c r="AV15" s="565" t="str">
        <f>VLOOKUP(LEFT(AB15,10),Törzsszám!$A$1:$B$908,2,0)</f>
        <v>10000002</v>
      </c>
      <c r="AW15" s="615">
        <f t="shared" ca="1" si="24"/>
        <v>-286189</v>
      </c>
      <c r="AX15" s="471" t="s">
        <v>2518</v>
      </c>
      <c r="AY15" s="527"/>
      <c r="AZ15" s="665"/>
      <c r="BA15" s="671">
        <v>146476</v>
      </c>
      <c r="BB15" s="649">
        <v>19042</v>
      </c>
      <c r="BC15" s="649">
        <f t="shared" ca="1" si="4"/>
        <v>109431</v>
      </c>
      <c r="BD15" s="672">
        <f t="shared" ca="1" si="4"/>
        <v>14226</v>
      </c>
      <c r="BE15" s="450" t="s">
        <v>173</v>
      </c>
      <c r="BF15" s="457" t="s">
        <v>254</v>
      </c>
    </row>
    <row r="16" spans="1:58" s="463" customFormat="1" ht="31.5" x14ac:dyDescent="0.25">
      <c r="A16" s="694" t="str">
        <f ca="1">Bérköltség!$B16</f>
        <v>FEOR</v>
      </c>
      <c r="B16" s="694" t="str">
        <f ca="1">IFERROR(
IF(AND(Bérköltség!$F16="",H16="NA"),"HIÁNYOS ADATOK",
IF(Bérköltség!$F16&lt;Bérköltség!$U16,Admin!$B$18,Admin!$B$17)),
"")</f>
        <v>FEOR</v>
      </c>
      <c r="C16" s="437">
        <f>IFERROR(INDEX('Historikus berek_2021-2'!$A$1:$F$903,MATCH(AB16,'Historikus berek_2021-2'!$A$1:$A$903,0),4),"")</f>
        <v>672133.33333333337</v>
      </c>
      <c r="D16" s="438">
        <f t="shared" si="5"/>
        <v>139062.06896551725</v>
      </c>
      <c r="E16" s="437">
        <f t="shared" si="6"/>
        <v>509172</v>
      </c>
      <c r="F16" s="439">
        <f t="shared" si="7"/>
        <v>418224.22206896555</v>
      </c>
      <c r="G16" s="440">
        <f t="shared" si="8"/>
        <v>157140.13793103443</v>
      </c>
      <c r="H16" s="441">
        <f>IFERROR(INDEX('FEOR kodok'!$A$2:$J$1126,MATCH(Bérköltség!AB16,'FEOR kodok'!$B$2:$B$1126,0),8),"NA")</f>
        <v>2117</v>
      </c>
      <c r="I16" s="436">
        <f ca="1">IFERROR(INDEX('FEOR kodok'!$A$2:$J$1126,MATCH(Bérköltség!AB16,'FEOR kodok'!$B$2:$B$1126,0),10),"NA")</f>
        <v>49</v>
      </c>
      <c r="J16" s="442" t="str">
        <f t="shared" ca="1" si="9"/>
        <v>40–49 éves</v>
      </c>
      <c r="K16" s="436" t="str">
        <f>IFERROR(INDEX(admin_feor[#All],MATCH(Bérköltség!H16,admin_feor[[#All],[Foglalkozás]],0),2),"NA")</f>
        <v>Vegyészmérnök</v>
      </c>
      <c r="L16" s="438">
        <f ca="1">IFERROR(
INDEX('Admin - FEOR'!$A$4:$F$465,MATCH(Bérköltség!H16,'Admin - FEOR'!$A$4:$A$465,0),
IF(J16="30 év alatt",3,
IF(J16="30–39 éves",4,
IF(J16="40–49 éves",5,
IF(J16="50 év és afelett",6
)))))*1,"NA")</f>
        <v>824591</v>
      </c>
      <c r="M16" s="438">
        <f t="shared" si="10"/>
        <v>2461000</v>
      </c>
      <c r="N16" s="443">
        <f t="shared" ca="1" si="11"/>
        <v>2.9845098964213772</v>
      </c>
      <c r="O16" s="438">
        <f ca="1">IFERROR(
INDEX('Admin - FEOR'!$A$4:$F$465,MATCH(Bérköltség!H16,'Admin - FEOR'!$A$4:$A$465,0),
IF(J16="30 év alatt",3,
IF(J16="30–39 éves",4,
IF(J16="40–49 éves",5,
IF(J16="50 év és afelett",6
)))))*1.5,"NA")</f>
        <v>1236886.5</v>
      </c>
      <c r="P16" s="438">
        <f t="shared" ca="1" si="12"/>
        <v>255907.55172413791</v>
      </c>
      <c r="Q16" s="438">
        <f t="shared" si="13"/>
        <v>509172</v>
      </c>
      <c r="R16" s="444">
        <f t="shared" si="14"/>
        <v>0.20689655172413793</v>
      </c>
      <c r="S16" s="438">
        <f t="shared" ca="1" si="15"/>
        <v>253264.44827586209</v>
      </c>
      <c r="T16" s="438">
        <f t="shared" ca="1" si="16"/>
        <v>32924.378275862073</v>
      </c>
      <c r="U16" s="445">
        <f t="shared" ca="1" si="17"/>
        <v>286188.82655172417</v>
      </c>
      <c r="V16" s="446">
        <f t="shared" ca="1" si="18"/>
        <v>289175.17344827583</v>
      </c>
      <c r="W16" s="447" t="str">
        <f t="shared" ca="1" si="19"/>
        <v>Indoklás szükséges mivel a FEOR: 298,5%</v>
      </c>
      <c r="X16" s="571">
        <f t="shared" ca="1" si="20"/>
        <v>286188.82655172417</v>
      </c>
      <c r="Y16" s="554">
        <f t="shared" ca="1" si="21"/>
        <v>255907</v>
      </c>
      <c r="Z16" s="555">
        <f t="shared" ca="1" si="22"/>
        <v>33268</v>
      </c>
      <c r="AA16" s="464"/>
      <c r="AB16" s="448">
        <v>8392423828</v>
      </c>
      <c r="AC16" s="465" t="s">
        <v>172</v>
      </c>
      <c r="AD16" s="459" t="s">
        <v>45</v>
      </c>
      <c r="AE16" s="450" t="s">
        <v>22</v>
      </c>
      <c r="AF16" s="466" t="s">
        <v>120</v>
      </c>
      <c r="AG16" s="466" t="s">
        <v>157</v>
      </c>
      <c r="AH16" s="451" t="s">
        <v>131</v>
      </c>
      <c r="AI16" s="154">
        <v>44958</v>
      </c>
      <c r="AJ16" s="100" t="str">
        <f>IF(AI16&gt;0,
(IF(AI16&lt;Hónapok!$A$10,Admin!$A$28,
(IF(AI16&lt;Hónapok!$A$22,Admin!$B$28,
(IF(AI16&lt;Hónapok!$A$34,Admin!$C$28,
(IF(AI16&lt;Hónapok!$A$46,Admin!$D$28,"")))))))),"")</f>
        <v>2. mérföldkő</v>
      </c>
      <c r="AK16" s="470" t="s">
        <v>7</v>
      </c>
      <c r="AL16" s="101" t="s">
        <v>26</v>
      </c>
      <c r="AM16" s="899">
        <v>2461000</v>
      </c>
      <c r="AN16" s="860">
        <f t="shared" si="0"/>
        <v>319930</v>
      </c>
      <c r="AO16" s="466">
        <v>174</v>
      </c>
      <c r="AP16" s="467">
        <v>36</v>
      </c>
      <c r="AQ16" s="454">
        <f t="shared" si="1"/>
        <v>0.20689655172413793</v>
      </c>
      <c r="AR16" s="455">
        <f t="shared" si="23"/>
        <v>509172</v>
      </c>
      <c r="AS16" s="455">
        <f t="shared" si="2"/>
        <v>66192</v>
      </c>
      <c r="AT16" s="102">
        <f t="shared" si="3"/>
        <v>1.6814022893441027E-7</v>
      </c>
      <c r="AU16" s="116">
        <v>0.13</v>
      </c>
      <c r="AV16" s="565" t="str">
        <f>VLOOKUP(LEFT(AB16,10),Törzsszám!$A$1:$B$908,2,0)</f>
        <v>10000002</v>
      </c>
      <c r="AW16" s="615">
        <f t="shared" ca="1" si="24"/>
        <v>-286189</v>
      </c>
      <c r="AX16" s="537" t="s">
        <v>4557</v>
      </c>
      <c r="AY16" s="527"/>
      <c r="AZ16" s="665"/>
      <c r="BA16" s="671"/>
      <c r="BB16" s="649"/>
      <c r="BC16" s="649"/>
      <c r="BD16" s="672"/>
      <c r="BE16" s="450" t="s">
        <v>173</v>
      </c>
      <c r="BF16" s="457" t="s">
        <v>255</v>
      </c>
    </row>
    <row r="17" spans="1:58" s="463" customFormat="1" ht="31.5" x14ac:dyDescent="0.25">
      <c r="A17" s="694" t="str">
        <f ca="1">Bérköltség!$B17</f>
        <v>FEOR</v>
      </c>
      <c r="B17" s="694" t="str">
        <f ca="1">IFERROR(
IF(AND(Bérköltség!$F17="",H17="NA"),"HIÁNYOS ADATOK",
IF(Bérköltség!$F17&lt;Bérköltség!$U17,Admin!$B$18,Admin!$B$17)),
"")</f>
        <v>FEOR</v>
      </c>
      <c r="C17" s="437">
        <f>IFERROR(INDEX('Historikus berek_2021-2'!$A$1:$F$903,MATCH(AB17,'Historikus berek_2021-2'!$A$1:$A$903,0),4),"")</f>
        <v>672133.33333333337</v>
      </c>
      <c r="D17" s="438">
        <f t="shared" si="5"/>
        <v>139062.06896551725</v>
      </c>
      <c r="E17" s="437">
        <f t="shared" si="6"/>
        <v>475862</v>
      </c>
      <c r="F17" s="439">
        <f t="shared" si="7"/>
        <v>380583.9220689655</v>
      </c>
      <c r="G17" s="440">
        <f t="shared" si="8"/>
        <v>157140.13793103443</v>
      </c>
      <c r="H17" s="441">
        <f>IFERROR(INDEX('FEOR kodok'!$A$2:$J$1126,MATCH(Bérköltség!AB17,'FEOR kodok'!$B$2:$B$1126,0),8),"NA")</f>
        <v>2117</v>
      </c>
      <c r="I17" s="436">
        <f ca="1">IFERROR(INDEX('FEOR kodok'!$A$2:$J$1126,MATCH(Bérköltség!AB17,'FEOR kodok'!$B$2:$B$1126,0),10),"NA")</f>
        <v>49</v>
      </c>
      <c r="J17" s="442" t="str">
        <f t="shared" ca="1" si="9"/>
        <v>40–49 éves</v>
      </c>
      <c r="K17" s="436" t="str">
        <f>IFERROR(INDEX(admin_feor[#All],MATCH(Bérköltség!H17,admin_feor[[#All],[Foglalkozás]],0),2),"NA")</f>
        <v>Vegyészmérnök</v>
      </c>
      <c r="L17" s="438">
        <f ca="1">IFERROR(
INDEX('Admin - FEOR'!$A$4:$F$465,MATCH(Bérköltség!H17,'Admin - FEOR'!$A$4:$A$465,0),
IF(J17="30 év alatt",3,
IF(J17="30–39 éves",4,
IF(J17="40–49 éves",5,
IF(J17="50 év és afelett",6
)))))*1,"NA")</f>
        <v>824591</v>
      </c>
      <c r="M17" s="438">
        <f t="shared" si="10"/>
        <v>2300000</v>
      </c>
      <c r="N17" s="443">
        <f t="shared" ca="1" si="11"/>
        <v>2.7892615854405398</v>
      </c>
      <c r="O17" s="438">
        <f ca="1">IFERROR(
INDEX('Admin - FEOR'!$A$4:$F$465,MATCH(Bérköltség!H17,'Admin - FEOR'!$A$4:$A$465,0),
IF(J17="30 év alatt",3,
IF(J17="30–39 éves",4,
IF(J17="40–49 éves",5,
IF(J17="50 év és afelett",6
)))))*1.5,"NA")</f>
        <v>1236886.5</v>
      </c>
      <c r="P17" s="438">
        <f t="shared" ca="1" si="12"/>
        <v>255907.55172413791</v>
      </c>
      <c r="Q17" s="438">
        <f t="shared" si="13"/>
        <v>475862</v>
      </c>
      <c r="R17" s="444">
        <f t="shared" si="14"/>
        <v>0.20689655172413793</v>
      </c>
      <c r="S17" s="438">
        <f t="shared" ca="1" si="15"/>
        <v>219954.44827586209</v>
      </c>
      <c r="T17" s="438">
        <f t="shared" ca="1" si="16"/>
        <v>28594.078275862073</v>
      </c>
      <c r="U17" s="445">
        <f t="shared" ca="1" si="17"/>
        <v>248548.52655172415</v>
      </c>
      <c r="V17" s="446">
        <f t="shared" ca="1" si="18"/>
        <v>289175.47344827582</v>
      </c>
      <c r="W17" s="447" t="str">
        <f t="shared" ca="1" si="19"/>
        <v>Indoklás szükséges mivel a FEOR: 278,9%</v>
      </c>
      <c r="X17" s="571">
        <f t="shared" ca="1" si="20"/>
        <v>248548.52655172415</v>
      </c>
      <c r="Y17" s="554">
        <f t="shared" ca="1" si="21"/>
        <v>255907</v>
      </c>
      <c r="Z17" s="555">
        <f t="shared" ca="1" si="22"/>
        <v>33268</v>
      </c>
      <c r="AA17" s="464"/>
      <c r="AB17" s="448">
        <v>8392423828</v>
      </c>
      <c r="AC17" s="465" t="s">
        <v>172</v>
      </c>
      <c r="AD17" s="459" t="s">
        <v>45</v>
      </c>
      <c r="AE17" s="450" t="s">
        <v>22</v>
      </c>
      <c r="AF17" s="466" t="s">
        <v>120</v>
      </c>
      <c r="AG17" s="466" t="s">
        <v>157</v>
      </c>
      <c r="AH17" s="451" t="s">
        <v>131</v>
      </c>
      <c r="AI17" s="154">
        <v>44986</v>
      </c>
      <c r="AJ17" s="100" t="str">
        <f>IF(AI17&gt;0,
(IF(AI17&lt;Hónapok!$A$10,Admin!$A$28,
(IF(AI17&lt;Hónapok!$A$22,Admin!$B$28,
(IF(AI17&lt;Hónapok!$A$34,Admin!$C$28,
(IF(AI17&lt;Hónapok!$A$46,Admin!$D$28,"")))))))),"")</f>
        <v>3. mérföldkő</v>
      </c>
      <c r="AK17" s="470" t="s">
        <v>7</v>
      </c>
      <c r="AL17" s="101" t="s">
        <v>26</v>
      </c>
      <c r="AM17" s="899">
        <v>2300000</v>
      </c>
      <c r="AN17" s="860">
        <f t="shared" si="0"/>
        <v>299000</v>
      </c>
      <c r="AO17" s="466">
        <v>174</v>
      </c>
      <c r="AP17" s="467">
        <v>36</v>
      </c>
      <c r="AQ17" s="454">
        <f t="shared" si="1"/>
        <v>0.20689655172413793</v>
      </c>
      <c r="AR17" s="455">
        <f t="shared" si="23"/>
        <v>475862</v>
      </c>
      <c r="AS17" s="455">
        <f t="shared" si="2"/>
        <v>61862</v>
      </c>
      <c r="AT17" s="102">
        <f t="shared" si="3"/>
        <v>2.9985007504729211E-8</v>
      </c>
      <c r="AU17" s="116">
        <v>0.13</v>
      </c>
      <c r="AV17" s="565" t="str">
        <f>VLOOKUP(LEFT(AB17,10),Törzsszám!$A$1:$B$908,2,0)</f>
        <v>10000002</v>
      </c>
      <c r="AW17" s="681">
        <f t="shared" ca="1" si="24"/>
        <v>-248549</v>
      </c>
      <c r="AX17" s="471" t="s">
        <v>4561</v>
      </c>
      <c r="AY17" s="527"/>
      <c r="AZ17" s="665"/>
      <c r="BA17" s="671"/>
      <c r="BB17" s="649"/>
      <c r="BC17" s="649"/>
      <c r="BD17" s="672"/>
      <c r="BE17" s="450" t="s">
        <v>173</v>
      </c>
      <c r="BF17" s="457" t="s">
        <v>256</v>
      </c>
    </row>
    <row r="18" spans="1:58" s="463" customFormat="1" ht="31.5" x14ac:dyDescent="0.25">
      <c r="A18" s="694" t="str">
        <f ca="1">Bérköltség!$B18</f>
        <v>FEOR</v>
      </c>
      <c r="B18" s="694" t="str">
        <f ca="1">IFERROR(
IF(AND(Bérköltség!$F18="",H18="NA"),"HIÁNYOS ADATOK",
IF(Bérköltség!$F18&lt;Bérköltség!$U18,Admin!$B$18,Admin!$B$17)),
"")</f>
        <v>FEOR</v>
      </c>
      <c r="C18" s="437">
        <f>IFERROR(INDEX('Historikus berek_2021-2'!$A$1:$F$903,MATCH(AB18,'Historikus berek_2021-2'!$A$1:$A$903,0),4),"")</f>
        <v>672133.33333333337</v>
      </c>
      <c r="D18" s="438">
        <f t="shared" si="5"/>
        <v>139062.06896551725</v>
      </c>
      <c r="E18" s="437">
        <f t="shared" si="6"/>
        <v>475862</v>
      </c>
      <c r="F18" s="439">
        <f t="shared" si="7"/>
        <v>380583.9220689655</v>
      </c>
      <c r="G18" s="440">
        <f t="shared" si="8"/>
        <v>157140.13793103443</v>
      </c>
      <c r="H18" s="441">
        <f>IFERROR(INDEX('FEOR kodok'!$A$2:$J$1126,MATCH(Bérköltség!AB18,'FEOR kodok'!$B$2:$B$1126,0),8),"NA")</f>
        <v>2117</v>
      </c>
      <c r="I18" s="436">
        <f ca="1">IFERROR(INDEX('FEOR kodok'!$A$2:$J$1126,MATCH(Bérköltség!AB18,'FEOR kodok'!$B$2:$B$1126,0),10),"NA")</f>
        <v>49</v>
      </c>
      <c r="J18" s="442" t="str">
        <f t="shared" ca="1" si="9"/>
        <v>40–49 éves</v>
      </c>
      <c r="K18" s="436" t="str">
        <f>IFERROR(INDEX(admin_feor[#All],MATCH(Bérköltség!H18,admin_feor[[#All],[Foglalkozás]],0),2),"NA")</f>
        <v>Vegyészmérnök</v>
      </c>
      <c r="L18" s="438">
        <f ca="1">IFERROR(
INDEX('Admin - FEOR'!$A$4:$F$465,MATCH(Bérköltség!H18,'Admin - FEOR'!$A$4:$A$465,0),
IF(J18="30 év alatt",3,
IF(J18="30–39 éves",4,
IF(J18="40–49 éves",5,
IF(J18="50 év és afelett",6
)))))*1,"NA")</f>
        <v>824591</v>
      </c>
      <c r="M18" s="438">
        <f t="shared" si="10"/>
        <v>2300000</v>
      </c>
      <c r="N18" s="443">
        <f t="shared" ca="1" si="11"/>
        <v>2.7892615854405398</v>
      </c>
      <c r="O18" s="438">
        <f ca="1">IFERROR(
INDEX('Admin - FEOR'!$A$4:$F$465,MATCH(Bérköltség!H18,'Admin - FEOR'!$A$4:$A$465,0),
IF(J18="30 év alatt",3,
IF(J18="30–39 éves",4,
IF(J18="40–49 éves",5,
IF(J18="50 év és afelett",6
)))))*1.5,"NA")</f>
        <v>1236886.5</v>
      </c>
      <c r="P18" s="438">
        <f t="shared" ca="1" si="12"/>
        <v>255907.55172413791</v>
      </c>
      <c r="Q18" s="438">
        <f t="shared" si="13"/>
        <v>475862</v>
      </c>
      <c r="R18" s="444">
        <f t="shared" si="14"/>
        <v>0.20689655172413793</v>
      </c>
      <c r="S18" s="438">
        <f t="shared" ca="1" si="15"/>
        <v>219954.44827586209</v>
      </c>
      <c r="T18" s="438">
        <f t="shared" ca="1" si="16"/>
        <v>28594.078275862073</v>
      </c>
      <c r="U18" s="445">
        <f t="shared" ca="1" si="17"/>
        <v>248548.52655172415</v>
      </c>
      <c r="V18" s="446">
        <f t="shared" ca="1" si="18"/>
        <v>289175.47344827582</v>
      </c>
      <c r="W18" s="447" t="str">
        <f t="shared" ca="1" si="19"/>
        <v>Indoklás szükséges mivel a FEOR: 278,9%</v>
      </c>
      <c r="X18" s="571">
        <f t="shared" ref="X18:X20" ca="1" si="25">IF(A18="FEOR",U18,IF(A18="HIÁNYOS ADATOK","HIÁNYOS ADATOK",F18))</f>
        <v>248548.52655172415</v>
      </c>
      <c r="Y18" s="554">
        <f t="shared" ref="Y18:Y20" ca="1" si="26">IF(A18="FEOR",ROUND(V18/(1+AU18),0),IF(A18="HIÁNYOS ADATOK","HIÁNYOS ADATOK",ROUND(G18/(1+AU18),0)))</f>
        <v>255907</v>
      </c>
      <c r="Z18" s="555">
        <f t="shared" ref="Z18:Z20" ca="1" si="27">IF(A18="FEOR",ROUND(V18-Y18,0),IF(A18="HIÁNYOS ADATOK","HIÁNYOS ADATOK",ROUND(G18-Y18,0)))</f>
        <v>33268</v>
      </c>
      <c r="AA18" s="464"/>
      <c r="AB18" s="448">
        <v>8392423828</v>
      </c>
      <c r="AC18" s="465" t="s">
        <v>172</v>
      </c>
      <c r="AD18" s="459" t="s">
        <v>45</v>
      </c>
      <c r="AE18" s="450" t="s">
        <v>22</v>
      </c>
      <c r="AF18" s="466" t="s">
        <v>120</v>
      </c>
      <c r="AG18" s="466" t="s">
        <v>157</v>
      </c>
      <c r="AH18" s="451" t="s">
        <v>131</v>
      </c>
      <c r="AI18" s="154">
        <v>45017</v>
      </c>
      <c r="AJ18" s="100" t="str">
        <f>IF(AI18&gt;0,
(IF(AI18&lt;Hónapok!$A$10,Admin!$A$28,
(IF(AI18&lt;Hónapok!$A$22,Admin!$B$28,
(IF(AI18&lt;Hónapok!$A$34,Admin!$C$28,
(IF(AI18&lt;Hónapok!$A$46,Admin!$D$28,"")))))))),"")</f>
        <v>3. mérföldkő</v>
      </c>
      <c r="AK18" s="470" t="s">
        <v>7</v>
      </c>
      <c r="AL18" s="101" t="s">
        <v>26</v>
      </c>
      <c r="AM18" s="899">
        <v>2300000</v>
      </c>
      <c r="AN18" s="860">
        <f t="shared" si="0"/>
        <v>299000</v>
      </c>
      <c r="AO18" s="466">
        <v>174</v>
      </c>
      <c r="AP18" s="467">
        <v>36</v>
      </c>
      <c r="AQ18" s="454">
        <f t="shared" si="1"/>
        <v>0.20689655172413793</v>
      </c>
      <c r="AR18" s="455">
        <f t="shared" si="23"/>
        <v>475862</v>
      </c>
      <c r="AS18" s="455">
        <f t="shared" si="2"/>
        <v>61862</v>
      </c>
      <c r="AT18" s="102">
        <f t="shared" si="3"/>
        <v>2.9985007504729211E-8</v>
      </c>
      <c r="AU18" s="116">
        <v>0.13</v>
      </c>
      <c r="AV18" s="565" t="str">
        <f>VLOOKUP(LEFT(AB18,10),Törzsszám!$A$1:$B$908,2,0)</f>
        <v>10000002</v>
      </c>
      <c r="AW18" s="681">
        <f t="shared" ca="1" si="24"/>
        <v>-248549</v>
      </c>
      <c r="AX18" s="471" t="s">
        <v>4581</v>
      </c>
      <c r="AY18" s="527"/>
      <c r="AZ18" s="665"/>
      <c r="BA18" s="671"/>
      <c r="BB18" s="649"/>
      <c r="BC18" s="649"/>
      <c r="BD18" s="672"/>
      <c r="BE18" s="450" t="s">
        <v>173</v>
      </c>
      <c r="BF18" s="457" t="s">
        <v>257</v>
      </c>
    </row>
    <row r="19" spans="1:58" s="463" customFormat="1" ht="31.5" x14ac:dyDescent="0.25">
      <c r="A19" s="694" t="str">
        <f ca="1">Bérköltség!$B19</f>
        <v>FEOR</v>
      </c>
      <c r="B19" s="694" t="str">
        <f ca="1">IFERROR(
IF(AND(Bérköltség!$F19="",H19="NA"),"HIÁNYOS ADATOK",
IF(Bérköltség!$F19&lt;Bérköltség!$U19,Admin!$B$18,Admin!$B$17)),
"")</f>
        <v>FEOR</v>
      </c>
      <c r="C19" s="437">
        <f>IFERROR(INDEX('Historikus berek_2021-2'!$A$1:$F$903,MATCH(AB19,'Historikus berek_2021-2'!$A$1:$A$903,0),4),"")</f>
        <v>672133.33333333337</v>
      </c>
      <c r="D19" s="438">
        <f t="shared" ref="D19:D20" si="28">IFERROR(C19*AQ19,"NA")</f>
        <v>65668.199233716485</v>
      </c>
      <c r="E19" s="437">
        <f t="shared" ref="E19:E20" si="29">AR19</f>
        <v>235704</v>
      </c>
      <c r="F19" s="439">
        <f t="shared" ref="F19:F20" si="30">IFERROR(IF((E19*(1+AU19)-D19*(1+AU19))&lt;0,0,(E19*(1+AU19)-D19*(1+AU19))),"")</f>
        <v>192140.45486590033</v>
      </c>
      <c r="G19" s="440">
        <f t="shared" ref="G19:G20" si="31">IFERROR((E19*(1+AU19)-F19),"")</f>
        <v>74205.065134099626</v>
      </c>
      <c r="H19" s="441">
        <f>IFERROR(INDEX('FEOR kodok'!$A$2:$J$1126,MATCH(Bérköltség!AB19,'FEOR kodok'!$B$2:$B$1126,0),8),"NA")</f>
        <v>2117</v>
      </c>
      <c r="I19" s="436">
        <f ca="1">IFERROR(INDEX('FEOR kodok'!$A$2:$J$1126,MATCH(Bérköltség!AB19,'FEOR kodok'!$B$2:$B$1126,0),10),"NA")</f>
        <v>49</v>
      </c>
      <c r="J19" s="442" t="str">
        <f t="shared" ref="J19:J20" ca="1" si="32">IF(I19="NA","NA",
IF(I19&lt;30,"30 év alatt",
IF(AND(I19&gt;=30,I19&lt;=39),"30–39 éves",
IF(AND(I19&gt;=40,I19&lt;=49),"40–49 éves",
IF(I19&gt;=50,"50 év és afelett",
"")))))</f>
        <v>40–49 éves</v>
      </c>
      <c r="K19" s="436" t="str">
        <f>IFERROR(INDEX(admin_feor[#All],MATCH(Bérköltség!H19,admin_feor[[#All],[Foglalkozás]],0),2),"NA")</f>
        <v>Vegyészmérnök</v>
      </c>
      <c r="L19" s="438">
        <f ca="1">IFERROR(
INDEX('Admin - FEOR'!$A$4:$F$465,MATCH(Bérköltség!H19,'Admin - FEOR'!$A$4:$A$465,0),
IF(J19="30 év alatt",3,
IF(J19="30–39 éves",4,
IF(J19="40–49 éves",5,
IF(J19="50 év és afelett",6
)))))*1,"NA")</f>
        <v>824591</v>
      </c>
      <c r="M19" s="438">
        <f t="shared" ref="M19:M20" si="33">AM19</f>
        <v>2412500</v>
      </c>
      <c r="N19" s="443">
        <f t="shared" ref="N19:N20" ca="1" si="34">IFERROR(
M19/L19,"NA")</f>
        <v>2.9256928586414355</v>
      </c>
      <c r="O19" s="438">
        <f ca="1">IFERROR(
INDEX('Admin - FEOR'!$A$4:$F$465,MATCH(Bérköltség!H19,'Admin - FEOR'!$A$4:$A$465,0),
IF(J19="30 év alatt",3,
IF(J19="30–39 éves",4,
IF(J19="40–49 éves",5,
IF(J19="50 év és afelett",6
)))))*1.5,"NA")</f>
        <v>1236886.5</v>
      </c>
      <c r="P19" s="438">
        <f t="shared" ref="P19:P20" ca="1" si="35">IFERROR(
AQ19*O19,"NA")</f>
        <v>120845.2327586207</v>
      </c>
      <c r="Q19" s="438">
        <f t="shared" ref="Q19:Q20" si="36">IFERROR(AR19,"")</f>
        <v>235704</v>
      </c>
      <c r="R19" s="444">
        <f t="shared" ref="R19:R20" si="37">IFERROR(AQ19,"")</f>
        <v>9.7701149425287362E-2</v>
      </c>
      <c r="S19" s="438">
        <f t="shared" ref="S19:S20" ca="1" si="38">IFERROR(
IF(AR19-P19&lt;0,0,AR19-P19),"NA")</f>
        <v>114858.7672413793</v>
      </c>
      <c r="T19" s="438">
        <f t="shared" ref="T19:T20" ca="1" si="39">IFERROR(
S19*AU19,"NA")</f>
        <v>14931.639741379309</v>
      </c>
      <c r="U19" s="445">
        <f t="shared" ref="U19:U20" ca="1" si="40">IFERROR(
S19+T19,"NA")</f>
        <v>129790.40698275861</v>
      </c>
      <c r="V19" s="446">
        <f t="shared" ref="V19:V20" ca="1" si="41">IFERROR(
IF(U19&gt;0,AR19+AS19-U19,AR19+AS19),"NA")</f>
        <v>136555.59301724139</v>
      </c>
      <c r="W19" s="447" t="str">
        <f t="shared" ca="1" si="19"/>
        <v>Indoklás szükséges mivel a FEOR: 292,6%</v>
      </c>
      <c r="X19" s="571">
        <f t="shared" ca="1" si="25"/>
        <v>129790.40698275861</v>
      </c>
      <c r="Y19" s="554">
        <f t="shared" ca="1" si="26"/>
        <v>120846</v>
      </c>
      <c r="Z19" s="555">
        <f t="shared" ca="1" si="27"/>
        <v>15710</v>
      </c>
      <c r="AA19" s="464"/>
      <c r="AB19" s="448">
        <v>8392423828</v>
      </c>
      <c r="AC19" s="465" t="s">
        <v>172</v>
      </c>
      <c r="AD19" s="459" t="s">
        <v>45</v>
      </c>
      <c r="AE19" s="450" t="s">
        <v>22</v>
      </c>
      <c r="AF19" s="466" t="s">
        <v>120</v>
      </c>
      <c r="AG19" s="466" t="s">
        <v>157</v>
      </c>
      <c r="AH19" s="451" t="s">
        <v>131</v>
      </c>
      <c r="AI19" s="154">
        <v>45047</v>
      </c>
      <c r="AJ19" s="100" t="str">
        <f>IF(AI19&gt;0,
(IF(AI19&lt;Hónapok!$A$10,Admin!$A$28,
(IF(AI19&lt;Hónapok!$A$22,Admin!$B$28,
(IF(AI19&lt;Hónapok!$A$34,Admin!$C$28,
(IF(AI19&lt;Hónapok!$A$46,Admin!$D$28,"")))))))),"")</f>
        <v>3. mérföldkő</v>
      </c>
      <c r="AK19" s="470" t="s">
        <v>7</v>
      </c>
      <c r="AL19" s="101" t="s">
        <v>26</v>
      </c>
      <c r="AM19" s="899">
        <v>2412500</v>
      </c>
      <c r="AN19" s="860">
        <f t="shared" ref="AN19:AN20" si="42">IFERROR(ROUND(AM19*AU19,0),"")</f>
        <v>313625</v>
      </c>
      <c r="AO19" s="466">
        <v>174</v>
      </c>
      <c r="AP19" s="467">
        <v>17</v>
      </c>
      <c r="AQ19" s="454">
        <f t="shared" ref="AQ19:AQ20" si="43">IFERROR(AP19/AO19,"")</f>
        <v>9.7701149425287362E-2</v>
      </c>
      <c r="AR19" s="455">
        <f t="shared" ref="AR19:AR20" si="44">IFERROR(ROUND(AM19*AP19/AO19,0),"")</f>
        <v>235704</v>
      </c>
      <c r="AS19" s="455">
        <f t="shared" ref="AS19:AS20" si="45">IFERROR(ROUND(AR19*AU19,0),"")</f>
        <v>30642</v>
      </c>
      <c r="AT19" s="102">
        <f t="shared" ref="AT19:AT20" si="46">IFERROR(AP19/AO19-AR19/AM19,"")</f>
        <v>9.5289143103860496E-9</v>
      </c>
      <c r="AU19" s="116">
        <v>0.13</v>
      </c>
      <c r="AV19" s="565" t="str">
        <f>VLOOKUP(LEFT(AB19,10),Törzsszám!$A$1:$B$908,2,0)</f>
        <v>10000002</v>
      </c>
      <c r="AW19" s="681">
        <f t="shared" ref="AW19:AW20" ca="1" si="47">(Y19+Z19)-(AR19+AS19)</f>
        <v>-129790</v>
      </c>
      <c r="AX19" s="471" t="s">
        <v>4596</v>
      </c>
      <c r="AY19" s="527"/>
      <c r="AZ19" s="665"/>
      <c r="BA19" s="671"/>
      <c r="BB19" s="649"/>
      <c r="BC19" s="649"/>
      <c r="BD19" s="672"/>
      <c r="BE19" s="450" t="s">
        <v>173</v>
      </c>
      <c r="BF19" s="457"/>
    </row>
    <row r="20" spans="1:58" s="463" customFormat="1" ht="31.5" x14ac:dyDescent="0.25">
      <c r="A20" s="694" t="str">
        <f ca="1">Bérköltség!$B20</f>
        <v>FEOR</v>
      </c>
      <c r="B20" s="694" t="str">
        <f ca="1">IFERROR(
IF(AND(Bérköltség!$F20="",H20="NA"),"HIÁNYOS ADATOK",
IF(Bérköltség!$F20&lt;Bérköltség!$U20,Admin!$B$18,Admin!$B$17)),
"")</f>
        <v>FEOR</v>
      </c>
      <c r="C20" s="437">
        <f>IFERROR(INDEX('Historikus berek_2021-2'!$A$1:$F$903,MATCH(AB20,'Historikus berek_2021-2'!$A$1:$A$903,0),4),"")</f>
        <v>672133.33333333337</v>
      </c>
      <c r="D20" s="438">
        <f t="shared" si="28"/>
        <v>65668.199233716485</v>
      </c>
      <c r="E20" s="437">
        <f t="shared" si="29"/>
        <v>235704</v>
      </c>
      <c r="F20" s="439">
        <f t="shared" si="30"/>
        <v>192140.45486590033</v>
      </c>
      <c r="G20" s="440">
        <f t="shared" si="31"/>
        <v>74205.065134099626</v>
      </c>
      <c r="H20" s="441">
        <f>IFERROR(INDEX('FEOR kodok'!$A$2:$J$1126,MATCH(Bérköltség!AB20,'FEOR kodok'!$B$2:$B$1126,0),8),"NA")</f>
        <v>2117</v>
      </c>
      <c r="I20" s="436">
        <f ca="1">IFERROR(INDEX('FEOR kodok'!$A$2:$J$1126,MATCH(Bérköltség!AB20,'FEOR kodok'!$B$2:$B$1126,0),10),"NA")</f>
        <v>49</v>
      </c>
      <c r="J20" s="442" t="str">
        <f t="shared" ca="1" si="32"/>
        <v>40–49 éves</v>
      </c>
      <c r="K20" s="436" t="str">
        <f>IFERROR(INDEX(admin_feor[#All],MATCH(Bérköltség!H20,admin_feor[[#All],[Foglalkozás]],0),2),"NA")</f>
        <v>Vegyészmérnök</v>
      </c>
      <c r="L20" s="438">
        <f ca="1">IFERROR(
INDEX('Admin - FEOR'!$A$4:$F$465,MATCH(Bérköltség!H20,'Admin - FEOR'!$A$4:$A$465,0),
IF(J20="30 év alatt",3,
IF(J20="30–39 éves",4,
IF(J20="40–49 éves",5,
IF(J20="50 év és afelett",6
)))))*1,"NA")</f>
        <v>824591</v>
      </c>
      <c r="M20" s="438">
        <f t="shared" si="33"/>
        <v>2412500</v>
      </c>
      <c r="N20" s="443">
        <f t="shared" ca="1" si="34"/>
        <v>2.9256928586414355</v>
      </c>
      <c r="O20" s="438">
        <f ca="1">IFERROR(
INDEX('Admin - FEOR'!$A$4:$F$465,MATCH(Bérköltség!H20,'Admin - FEOR'!$A$4:$A$465,0),
IF(J20="30 év alatt",3,
IF(J20="30–39 éves",4,
IF(J20="40–49 éves",5,
IF(J20="50 év és afelett",6
)))))*1.5,"NA")</f>
        <v>1236886.5</v>
      </c>
      <c r="P20" s="438">
        <f t="shared" ca="1" si="35"/>
        <v>120845.2327586207</v>
      </c>
      <c r="Q20" s="438">
        <f t="shared" si="36"/>
        <v>235704</v>
      </c>
      <c r="R20" s="444">
        <f t="shared" si="37"/>
        <v>9.7701149425287362E-2</v>
      </c>
      <c r="S20" s="438">
        <f t="shared" ca="1" si="38"/>
        <v>114858.7672413793</v>
      </c>
      <c r="T20" s="438">
        <f t="shared" ca="1" si="39"/>
        <v>14931.639741379309</v>
      </c>
      <c r="U20" s="445">
        <f t="shared" ca="1" si="40"/>
        <v>129790.40698275861</v>
      </c>
      <c r="V20" s="446">
        <f t="shared" ca="1" si="41"/>
        <v>136555.59301724139</v>
      </c>
      <c r="W20" s="447" t="str">
        <f t="shared" ca="1" si="19"/>
        <v>Indoklás szükséges mivel a FEOR: 292,6%</v>
      </c>
      <c r="X20" s="571">
        <f t="shared" ca="1" si="25"/>
        <v>129790.40698275861</v>
      </c>
      <c r="Y20" s="554">
        <f t="shared" ca="1" si="26"/>
        <v>120846</v>
      </c>
      <c r="Z20" s="555">
        <f t="shared" ca="1" si="27"/>
        <v>15710</v>
      </c>
      <c r="AA20" s="464"/>
      <c r="AB20" s="448">
        <v>8392423828</v>
      </c>
      <c r="AC20" s="465" t="s">
        <v>172</v>
      </c>
      <c r="AD20" s="459" t="s">
        <v>45</v>
      </c>
      <c r="AE20" s="450" t="s">
        <v>22</v>
      </c>
      <c r="AF20" s="466" t="s">
        <v>120</v>
      </c>
      <c r="AG20" s="466" t="s">
        <v>157</v>
      </c>
      <c r="AH20" s="451" t="s">
        <v>131</v>
      </c>
      <c r="AI20" s="154">
        <v>45078</v>
      </c>
      <c r="AJ20" s="100" t="str">
        <f>IF(AI20&gt;0,
(IF(AI20&lt;Hónapok!$A$10,Admin!$A$28,
(IF(AI20&lt;Hónapok!$A$22,Admin!$B$28,
(IF(AI20&lt;Hónapok!$A$34,Admin!$C$28,
(IF(AI20&lt;Hónapok!$A$46,Admin!$D$28,"")))))))),"")</f>
        <v>3. mérföldkő</v>
      </c>
      <c r="AK20" s="470" t="s">
        <v>7</v>
      </c>
      <c r="AL20" s="101" t="s">
        <v>26</v>
      </c>
      <c r="AM20" s="899">
        <v>2412500</v>
      </c>
      <c r="AN20" s="860">
        <f t="shared" si="42"/>
        <v>313625</v>
      </c>
      <c r="AO20" s="466">
        <v>174</v>
      </c>
      <c r="AP20" s="467">
        <v>17</v>
      </c>
      <c r="AQ20" s="843">
        <f t="shared" si="43"/>
        <v>9.7701149425287362E-2</v>
      </c>
      <c r="AR20" s="455">
        <f t="shared" si="44"/>
        <v>235704</v>
      </c>
      <c r="AS20" s="455">
        <f t="shared" si="45"/>
        <v>30642</v>
      </c>
      <c r="AT20" s="102">
        <f t="shared" si="46"/>
        <v>9.5289143103860496E-9</v>
      </c>
      <c r="AU20" s="116">
        <v>0.13</v>
      </c>
      <c r="AV20" s="565" t="str">
        <f>VLOOKUP(LEFT(AB20,10),Törzsszám!$A$1:$B$908,2,0)</f>
        <v>10000002</v>
      </c>
      <c r="AW20" s="681">
        <f t="shared" ca="1" si="47"/>
        <v>-129790</v>
      </c>
      <c r="AX20" s="471" t="s">
        <v>4606</v>
      </c>
      <c r="AY20" s="527"/>
      <c r="AZ20" s="665"/>
      <c r="BA20" s="671"/>
      <c r="BB20" s="649"/>
      <c r="BC20" s="649"/>
      <c r="BD20" s="672"/>
      <c r="BE20" s="450" t="s">
        <v>173</v>
      </c>
      <c r="BF20" s="457"/>
    </row>
    <row r="21" spans="1:58" s="463" customFormat="1" ht="31.5" x14ac:dyDescent="0.25">
      <c r="A21" s="694" t="str">
        <f ca="1">Bérköltség!$B21</f>
        <v>FEOR</v>
      </c>
      <c r="B21" s="694" t="str">
        <f ca="1">IFERROR(
IF(AND(Bérköltség!$F21="",H21="NA"),"HIÁNYOS ADATOK",
IF(Bérköltség!$F21&lt;Bérköltség!$U21,Admin!$B$18,Admin!$B$17)),
"")</f>
        <v>FEOR</v>
      </c>
      <c r="C21" s="437">
        <f>IFERROR(INDEX('Historikus berek_2021-2'!$A$1:$F$903,MATCH(AB21,'Historikus berek_2021-2'!$A$1:$A$903,0),4),"")</f>
        <v>672133.33333333337</v>
      </c>
      <c r="D21" s="438">
        <f t="shared" ref="D21:D22" si="48">IFERROR(C21*AQ21,"NA")</f>
        <v>65668.199233716485</v>
      </c>
      <c r="E21" s="437">
        <f t="shared" ref="E21:E22" si="49">AR21</f>
        <v>235704</v>
      </c>
      <c r="F21" s="439">
        <f t="shared" ref="F21:F22" si="50">IFERROR(IF((E21*(1+AU21)-D21*(1+AU21))&lt;0,0,(E21*(1+AU21)-D21*(1+AU21))),"")</f>
        <v>192140.45486590033</v>
      </c>
      <c r="G21" s="440">
        <f t="shared" ref="G21:G22" si="51">IFERROR((E21*(1+AU21)-F21),"")</f>
        <v>74205.065134099626</v>
      </c>
      <c r="H21" s="441">
        <f>IFERROR(INDEX('FEOR kodok'!$A$2:$J$1126,MATCH(Bérköltség!AB21,'FEOR kodok'!$B$2:$B$1126,0),8),"NA")</f>
        <v>2117</v>
      </c>
      <c r="I21" s="436">
        <f ca="1">IFERROR(INDEX('FEOR kodok'!$A$2:$J$1126,MATCH(Bérköltség!AB21,'FEOR kodok'!$B$2:$B$1126,0),10),"NA")</f>
        <v>49</v>
      </c>
      <c r="J21" s="442" t="str">
        <f t="shared" ref="J21:J22" ca="1" si="52">IF(I21="NA","NA",
IF(I21&lt;30,"30 év alatt",
IF(AND(I21&gt;=30,I21&lt;=39),"30–39 éves",
IF(AND(I21&gt;=40,I21&lt;=49),"40–49 éves",
IF(I21&gt;=50,"50 év és afelett",
"")))))</f>
        <v>40–49 éves</v>
      </c>
      <c r="K21" s="436" t="str">
        <f>IFERROR(INDEX(admin_feor[#All],MATCH(Bérköltség!H21,admin_feor[[#All],[Foglalkozás]],0),2),"NA")</f>
        <v>Vegyészmérnök</v>
      </c>
      <c r="L21" s="438">
        <f ca="1">IFERROR(
INDEX('Admin - FEOR'!$A$4:$F$465,MATCH(Bérköltség!H21,'Admin - FEOR'!$A$4:$A$465,0),
IF(J21="30 év alatt",3,
IF(J21="30–39 éves",4,
IF(J21="40–49 éves",5,
IF(J21="50 év és afelett",6
)))))*1,"NA")</f>
        <v>824591</v>
      </c>
      <c r="M21" s="438">
        <f t="shared" ref="M21:M22" si="53">AM21</f>
        <v>2412500</v>
      </c>
      <c r="N21" s="443">
        <f t="shared" ref="N21:N22" ca="1" si="54">IFERROR(
M21/L21,"NA")</f>
        <v>2.9256928586414355</v>
      </c>
      <c r="O21" s="438">
        <f ca="1">IFERROR(
INDEX('Admin - FEOR'!$A$4:$F$465,MATCH(Bérköltség!H21,'Admin - FEOR'!$A$4:$A$465,0),
IF(J21="30 év alatt",3,
IF(J21="30–39 éves",4,
IF(J21="40–49 éves",5,
IF(J21="50 év és afelett",6
)))))*1.5,"NA")</f>
        <v>1236886.5</v>
      </c>
      <c r="P21" s="438">
        <f t="shared" ref="P21:P22" ca="1" si="55">IFERROR(
AQ21*O21,"NA")</f>
        <v>120845.2327586207</v>
      </c>
      <c r="Q21" s="438">
        <f t="shared" ref="Q21:Q22" si="56">IFERROR(AR21,"")</f>
        <v>235704</v>
      </c>
      <c r="R21" s="444">
        <f t="shared" ref="R21:R22" si="57">IFERROR(AQ21,"")</f>
        <v>9.7701149425287362E-2</v>
      </c>
      <c r="S21" s="438">
        <f t="shared" ref="S21:S22" ca="1" si="58">IFERROR(
IF(AR21-P21&lt;0,0,AR21-P21),"NA")</f>
        <v>114858.7672413793</v>
      </c>
      <c r="T21" s="438">
        <f t="shared" ref="T21:T22" ca="1" si="59">IFERROR(
S21*AU21,"NA")</f>
        <v>14931.639741379309</v>
      </c>
      <c r="U21" s="445">
        <f t="shared" ref="U21:U22" ca="1" si="60">IFERROR(
S21+T21,"NA")</f>
        <v>129790.40698275861</v>
      </c>
      <c r="V21" s="446">
        <f t="shared" ref="V21:V22" ca="1" si="61">IFERROR(
IF(U21&gt;0,AR21+AS21-U21,AR21+AS21),"NA")</f>
        <v>136555.59301724139</v>
      </c>
      <c r="W21" s="447" t="str">
        <f t="shared" ref="W21:W22" ca="1" si="62">IF(P21="NA","FEOR hiányzik",
IF(AND(N21&gt;1,A21="FEOR"),CONCATENATE("Indoklás szükséges mivel a FEOR: ",ROUND(N21*100,1),"%"),"Nem szükséges indoklás.")
)</f>
        <v>Indoklás szükséges mivel a FEOR: 292,6%</v>
      </c>
      <c r="X21" s="571">
        <f t="shared" ref="X21:X22" ca="1" si="63">IF(A21="FEOR",U21,IF(A21="HIÁNYOS ADATOK","HIÁNYOS ADATOK",F21))</f>
        <v>129790.40698275861</v>
      </c>
      <c r="Y21" s="554">
        <f t="shared" ref="Y21:Y22" ca="1" si="64">IF(A21="FEOR",ROUND(V21/(1+AU21),0),IF(A21="HIÁNYOS ADATOK","HIÁNYOS ADATOK",ROUND(G21/(1+AU21),0)))</f>
        <v>120846</v>
      </c>
      <c r="Z21" s="555">
        <f t="shared" ref="Z21:Z22" ca="1" si="65">IF(A21="FEOR",ROUND(V21-Y21,0),IF(A21="HIÁNYOS ADATOK","HIÁNYOS ADATOK",ROUND(G21-Y21,0)))</f>
        <v>15710</v>
      </c>
      <c r="AA21" s="464"/>
      <c r="AB21" s="448">
        <v>8392423828</v>
      </c>
      <c r="AC21" s="465" t="s">
        <v>172</v>
      </c>
      <c r="AD21" s="459" t="s">
        <v>45</v>
      </c>
      <c r="AE21" s="450" t="s">
        <v>22</v>
      </c>
      <c r="AF21" s="466" t="s">
        <v>120</v>
      </c>
      <c r="AG21" s="466" t="s">
        <v>157</v>
      </c>
      <c r="AH21" s="451" t="s">
        <v>131</v>
      </c>
      <c r="AI21" s="154">
        <v>45108</v>
      </c>
      <c r="AJ21" s="100" t="str">
        <f>IF(AI21&gt;0,
(IF(AI21&lt;Hónapok!$A$10,Admin!$A$28,
(IF(AI21&lt;Hónapok!$A$22,Admin!$B$28,
(IF(AI21&lt;Hónapok!$A$34,Admin!$C$28,
(IF(AI21&lt;Hónapok!$A$46,Admin!$D$28,"")))))))),"")</f>
        <v>3. mérföldkő</v>
      </c>
      <c r="AK21" s="470" t="s">
        <v>7</v>
      </c>
      <c r="AL21" s="101" t="s">
        <v>26</v>
      </c>
      <c r="AM21" s="899">
        <v>2412500</v>
      </c>
      <c r="AN21" s="860">
        <f t="shared" ref="AN21:AN22" si="66">IFERROR(ROUND(AM21*AU21,0),"")</f>
        <v>313625</v>
      </c>
      <c r="AO21" s="466">
        <v>174</v>
      </c>
      <c r="AP21" s="467">
        <v>17</v>
      </c>
      <c r="AQ21" s="682">
        <f t="shared" ref="AQ21:AQ22" si="67">IFERROR(AP21/AO21,"")</f>
        <v>9.7701149425287362E-2</v>
      </c>
      <c r="AR21" s="455">
        <f t="shared" ref="AR21:AR22" si="68">IFERROR(ROUND(AM21*AP21/AO21,0),"")</f>
        <v>235704</v>
      </c>
      <c r="AS21" s="455">
        <f t="shared" ref="AS21:AS22" si="69">IFERROR(ROUND(AR21*AU21,0),"")</f>
        <v>30642</v>
      </c>
      <c r="AT21" s="102">
        <f t="shared" ref="AT21:AT22" si="70">IFERROR(AP21/AO21-AR21/AM21,"")</f>
        <v>9.5289143103860496E-9</v>
      </c>
      <c r="AU21" s="116">
        <v>0.13</v>
      </c>
      <c r="AV21" s="565" t="str">
        <f>VLOOKUP(LEFT(AB21,10),Törzsszám!$A$1:$B$908,2,0)</f>
        <v>10000002</v>
      </c>
      <c r="AW21" s="681">
        <f t="shared" ref="AW21:AW22" ca="1" si="71">(Y21+Z21)-(AR21+AS21)</f>
        <v>-129790</v>
      </c>
      <c r="AX21" s="471" t="s">
        <v>4610</v>
      </c>
      <c r="AY21" s="527"/>
      <c r="AZ21" s="665"/>
      <c r="BA21" s="671"/>
      <c r="BB21" s="649"/>
      <c r="BC21" s="649"/>
      <c r="BD21" s="672"/>
      <c r="BE21" s="450" t="s">
        <v>173</v>
      </c>
      <c r="BF21" s="457"/>
    </row>
    <row r="22" spans="1:58" s="463" customFormat="1" ht="31.5" x14ac:dyDescent="0.25">
      <c r="A22" s="694" t="str">
        <f ca="1">Bérköltség!$B22</f>
        <v>FEOR</v>
      </c>
      <c r="B22" s="694" t="str">
        <f ca="1">IFERROR(
IF(AND(Bérköltség!$F22="",H22="NA"),"HIÁNYOS ADATOK",
IF(Bérköltség!$F22&lt;Bérköltség!$U22,Admin!$B$18,Admin!$B$17)),
"")</f>
        <v>FEOR</v>
      </c>
      <c r="C22" s="437">
        <f>IFERROR(INDEX('Historikus berek_2021-2'!$A$1:$F$903,MATCH(AB22,'Historikus berek_2021-2'!$A$1:$A$903,0),4),"")</f>
        <v>672133.33333333337</v>
      </c>
      <c r="D22" s="438">
        <f t="shared" si="48"/>
        <v>65668.199233716485</v>
      </c>
      <c r="E22" s="437">
        <f t="shared" si="49"/>
        <v>235704</v>
      </c>
      <c r="F22" s="439">
        <f t="shared" si="50"/>
        <v>192140.45486590033</v>
      </c>
      <c r="G22" s="440">
        <f t="shared" si="51"/>
        <v>74205.065134099626</v>
      </c>
      <c r="H22" s="441">
        <f>IFERROR(INDEX('FEOR kodok'!$A$2:$J$1126,MATCH(Bérköltség!AB22,'FEOR kodok'!$B$2:$B$1126,0),8),"NA")</f>
        <v>2117</v>
      </c>
      <c r="I22" s="436">
        <f ca="1">IFERROR(INDEX('FEOR kodok'!$A$2:$J$1126,MATCH(Bérköltség!AB22,'FEOR kodok'!$B$2:$B$1126,0),10),"NA")</f>
        <v>49</v>
      </c>
      <c r="J22" s="442" t="str">
        <f t="shared" ca="1" si="52"/>
        <v>40–49 éves</v>
      </c>
      <c r="K22" s="436" t="str">
        <f>IFERROR(INDEX(admin_feor[#All],MATCH(Bérköltség!H22,admin_feor[[#All],[Foglalkozás]],0),2),"NA")</f>
        <v>Vegyészmérnök</v>
      </c>
      <c r="L22" s="438">
        <f ca="1">IFERROR(
INDEX('Admin - FEOR'!$A$4:$F$465,MATCH(Bérköltség!H22,'Admin - FEOR'!$A$4:$A$465,0),
IF(J22="30 év alatt",3,
IF(J22="30–39 éves",4,
IF(J22="40–49 éves",5,
IF(J22="50 év és afelett",6
)))))*1,"NA")</f>
        <v>824591</v>
      </c>
      <c r="M22" s="438">
        <f t="shared" si="53"/>
        <v>2412499</v>
      </c>
      <c r="N22" s="443">
        <f t="shared" ca="1" si="54"/>
        <v>2.9256916459190072</v>
      </c>
      <c r="O22" s="438">
        <f ca="1">IFERROR(
INDEX('Admin - FEOR'!$A$4:$F$465,MATCH(Bérköltség!H22,'Admin - FEOR'!$A$4:$A$465,0),
IF(J22="30 év alatt",3,
IF(J22="30–39 éves",4,
IF(J22="40–49 éves",5,
IF(J22="50 év és afelett",6
)))))*1.5,"NA")</f>
        <v>1236886.5</v>
      </c>
      <c r="P22" s="438">
        <f t="shared" ca="1" si="55"/>
        <v>120845.2327586207</v>
      </c>
      <c r="Q22" s="438">
        <f t="shared" si="56"/>
        <v>235704</v>
      </c>
      <c r="R22" s="444">
        <f t="shared" si="57"/>
        <v>9.7701149425287362E-2</v>
      </c>
      <c r="S22" s="438">
        <f t="shared" ca="1" si="58"/>
        <v>114858.7672413793</v>
      </c>
      <c r="T22" s="438">
        <f t="shared" ca="1" si="59"/>
        <v>14931.639741379309</v>
      </c>
      <c r="U22" s="445">
        <f t="shared" ca="1" si="60"/>
        <v>129790.40698275861</v>
      </c>
      <c r="V22" s="446">
        <f t="shared" ca="1" si="61"/>
        <v>136555.59301724139</v>
      </c>
      <c r="W22" s="447" t="str">
        <f t="shared" ca="1" si="62"/>
        <v>Indoklás szükséges mivel a FEOR: 292,6%</v>
      </c>
      <c r="X22" s="571">
        <f t="shared" ca="1" si="63"/>
        <v>129790.40698275861</v>
      </c>
      <c r="Y22" s="554">
        <f t="shared" ca="1" si="64"/>
        <v>120846</v>
      </c>
      <c r="Z22" s="555">
        <f t="shared" ca="1" si="65"/>
        <v>15710</v>
      </c>
      <c r="AA22" s="464"/>
      <c r="AB22" s="448">
        <v>8392423828</v>
      </c>
      <c r="AC22" s="465" t="s">
        <v>172</v>
      </c>
      <c r="AD22" s="459" t="s">
        <v>45</v>
      </c>
      <c r="AE22" s="450" t="s">
        <v>22</v>
      </c>
      <c r="AF22" s="466" t="s">
        <v>120</v>
      </c>
      <c r="AG22" s="466" t="s">
        <v>157</v>
      </c>
      <c r="AH22" s="451" t="s">
        <v>131</v>
      </c>
      <c r="AI22" s="154">
        <v>45139</v>
      </c>
      <c r="AJ22" s="100" t="str">
        <f>IF(AI22&gt;0,
(IF(AI22&lt;Hónapok!$A$10,Admin!$A$28,
(IF(AI22&lt;Hónapok!$A$22,Admin!$B$28,
(IF(AI22&lt;Hónapok!$A$34,Admin!$C$28,
(IF(AI22&lt;Hónapok!$A$46,Admin!$D$28,"")))))))),"")</f>
        <v>3. mérföldkő</v>
      </c>
      <c r="AK22" s="470" t="s">
        <v>7</v>
      </c>
      <c r="AL22" s="101" t="s">
        <v>26</v>
      </c>
      <c r="AM22" s="899">
        <f>2412500-1</f>
        <v>2412499</v>
      </c>
      <c r="AN22" s="860">
        <f t="shared" si="66"/>
        <v>313625</v>
      </c>
      <c r="AO22" s="466">
        <v>174</v>
      </c>
      <c r="AP22" s="467">
        <v>17</v>
      </c>
      <c r="AQ22" s="454">
        <f t="shared" si="67"/>
        <v>9.7701149425287362E-2</v>
      </c>
      <c r="AR22" s="455">
        <f t="shared" si="68"/>
        <v>235704</v>
      </c>
      <c r="AS22" s="455">
        <f t="shared" si="69"/>
        <v>30642</v>
      </c>
      <c r="AT22" s="102">
        <f t="shared" si="70"/>
        <v>-3.0968984307544467E-8</v>
      </c>
      <c r="AU22" s="116">
        <v>0.13</v>
      </c>
      <c r="AV22" s="565" t="str">
        <f>VLOOKUP(LEFT(AB22,10),Törzsszám!$A$1:$B$908,2,0)</f>
        <v>10000002</v>
      </c>
      <c r="AW22" s="681">
        <f t="shared" ca="1" si="71"/>
        <v>-129790</v>
      </c>
      <c r="AX22" s="471" t="s">
        <v>4613</v>
      </c>
      <c r="AY22" s="527"/>
      <c r="AZ22" s="665"/>
      <c r="BA22" s="671"/>
      <c r="BB22" s="649"/>
      <c r="BC22" s="649"/>
      <c r="BD22" s="672"/>
      <c r="BE22" s="450" t="s">
        <v>173</v>
      </c>
      <c r="BF22" s="457"/>
    </row>
    <row r="23" spans="1:58" s="463" customFormat="1" ht="31.5" x14ac:dyDescent="0.25">
      <c r="A23" s="694" t="str">
        <f ca="1">Bérköltség!$B23</f>
        <v>FEOR</v>
      </c>
      <c r="B23" s="694" t="str">
        <f ca="1">IFERROR(
IF(AND(Bérköltség!$F23="",H23="NA"),"HIÁNYOS ADATOK",
IF(Bérköltség!$F23&lt;Bérköltség!$U23,Admin!$B$18,Admin!$B$17)),
"")</f>
        <v>FEOR</v>
      </c>
      <c r="C23" s="437">
        <f>IFERROR(INDEX('Historikus berek_2021-2'!$A$1:$F$903,MATCH(AB23,'Historikus berek_2021-2'!$A$1:$A$903,0),4),"")</f>
        <v>672133.33333333337</v>
      </c>
      <c r="D23" s="438">
        <f t="shared" ref="D23:D28" si="72">IFERROR(C23*AQ23,"NA")</f>
        <v>65668.199233716485</v>
      </c>
      <c r="E23" s="437">
        <f t="shared" ref="E23:E28" si="73">AR23</f>
        <v>235704</v>
      </c>
      <c r="F23" s="439">
        <f t="shared" ref="F23:F28" si="74">IFERROR(IF((E23*(1+AU23)-D23*(1+AU23))&lt;0,0,(E23*(1+AU23)-D23*(1+AU23))),"")</f>
        <v>192140.45486590033</v>
      </c>
      <c r="G23" s="440">
        <f t="shared" ref="G23:G28" si="75">IFERROR((E23*(1+AU23)-F23),"")</f>
        <v>74205.065134099626</v>
      </c>
      <c r="H23" s="441">
        <f>IFERROR(INDEX('FEOR kodok'!$A$2:$J$1126,MATCH(Bérköltség!AB23,'FEOR kodok'!$B$2:$B$1126,0),8),"NA")</f>
        <v>2117</v>
      </c>
      <c r="I23" s="436">
        <f ca="1">IFERROR(INDEX('FEOR kodok'!$A$2:$J$1126,MATCH(Bérköltség!AB23,'FEOR kodok'!$B$2:$B$1126,0),10),"NA")</f>
        <v>49</v>
      </c>
      <c r="J23" s="442" t="str">
        <f t="shared" ref="J23:J28" ca="1" si="76">IF(I23="NA","NA",
IF(I23&lt;30,"30 év alatt",
IF(AND(I23&gt;=30,I23&lt;=39),"30–39 éves",
IF(AND(I23&gt;=40,I23&lt;=49),"40–49 éves",
IF(I23&gt;=50,"50 év és afelett",
"")))))</f>
        <v>40–49 éves</v>
      </c>
      <c r="K23" s="436" t="str">
        <f>IFERROR(INDEX(admin_feor[#All],MATCH(Bérköltség!H23,admin_feor[[#All],[Foglalkozás]],0),2),"NA")</f>
        <v>Vegyészmérnök</v>
      </c>
      <c r="L23" s="438">
        <f ca="1">IFERROR(
INDEX('Admin - FEOR'!$A$4:$F$465,MATCH(Bérköltség!H23,'Admin - FEOR'!$A$4:$A$465,0),
IF(J23="30 év alatt",3,
IF(J23="30–39 éves",4,
IF(J23="40–49 éves",5,
IF(J23="50 év és afelett",6
)))))*1,"NA")</f>
        <v>824591</v>
      </c>
      <c r="M23" s="438">
        <f t="shared" ref="M23:M28" si="77">AM23</f>
        <v>2412500</v>
      </c>
      <c r="N23" s="443">
        <f t="shared" ref="N23:N28" ca="1" si="78">IFERROR(
M23/L23,"NA")</f>
        <v>2.9256928586414355</v>
      </c>
      <c r="O23" s="438">
        <f ca="1">IFERROR(
INDEX('Admin - FEOR'!$A$4:$F$465,MATCH(Bérköltség!H23,'Admin - FEOR'!$A$4:$A$465,0),
IF(J23="30 év alatt",3,
IF(J23="30–39 éves",4,
IF(J23="40–49 éves",5,
IF(J23="50 év és afelett",6
)))))*1.5,"NA")</f>
        <v>1236886.5</v>
      </c>
      <c r="P23" s="438">
        <f t="shared" ref="P23:P28" ca="1" si="79">IFERROR(
AQ23*O23,"NA")</f>
        <v>120845.2327586207</v>
      </c>
      <c r="Q23" s="438">
        <f t="shared" ref="Q23:Q28" si="80">IFERROR(AR23,"")</f>
        <v>235704</v>
      </c>
      <c r="R23" s="444">
        <f t="shared" ref="R23:R28" si="81">IFERROR(AQ23,"")</f>
        <v>9.7701149425287362E-2</v>
      </c>
      <c r="S23" s="438">
        <f t="shared" ref="S23:S28" ca="1" si="82">IFERROR(
IF(AR23-P23&lt;0,0,AR23-P23),"NA")</f>
        <v>114858.7672413793</v>
      </c>
      <c r="T23" s="438">
        <f t="shared" ref="T23:T28" ca="1" si="83">IFERROR(
S23*AU23,"NA")</f>
        <v>14931.639741379309</v>
      </c>
      <c r="U23" s="445">
        <f t="shared" ref="U23:U28" ca="1" si="84">IFERROR(
S23+T23,"NA")</f>
        <v>129790.40698275861</v>
      </c>
      <c r="V23" s="446">
        <f t="shared" ref="V23:V28" ca="1" si="85">IFERROR(
IF(U23&gt;0,AR23+AS23-U23,AR23+AS23),"NA")</f>
        <v>136555.59301724139</v>
      </c>
      <c r="W23" s="447" t="str">
        <f t="shared" ref="W23:W28" ca="1" si="86">IF(P23="NA","FEOR hiányzik",
IF(AND(N23&gt;1,A23="FEOR"),CONCATENATE("Indoklás szükséges mivel a FEOR: ",ROUND(N23*100,1),"%"),"Nem szükséges indoklás.")
)</f>
        <v>Indoklás szükséges mivel a FEOR: 292,6%</v>
      </c>
      <c r="X23" s="571">
        <f t="shared" ref="X23:X28" ca="1" si="87">IF(A23="FEOR",U23,IF(A23="HIÁNYOS ADATOK","HIÁNYOS ADATOK",F23))</f>
        <v>129790.40698275861</v>
      </c>
      <c r="Y23" s="554">
        <f t="shared" ref="Y23:Y28" ca="1" si="88">IF(A23="FEOR",ROUND(V23/(1+AU23),0),IF(A23="HIÁNYOS ADATOK","HIÁNYOS ADATOK",ROUND(G23/(1+AU23),0)))</f>
        <v>120846</v>
      </c>
      <c r="Z23" s="555">
        <f t="shared" ref="Z23:Z28" ca="1" si="89">IF(A23="FEOR",ROUND(V23-Y23,0),IF(A23="HIÁNYOS ADATOK","HIÁNYOS ADATOK",ROUND(G23-Y23,0)))</f>
        <v>15710</v>
      </c>
      <c r="AA23" s="464"/>
      <c r="AB23" s="448">
        <v>8392423828</v>
      </c>
      <c r="AC23" s="465" t="s">
        <v>172</v>
      </c>
      <c r="AD23" s="459" t="s">
        <v>45</v>
      </c>
      <c r="AE23" s="450" t="s">
        <v>22</v>
      </c>
      <c r="AF23" s="466" t="s">
        <v>120</v>
      </c>
      <c r="AG23" s="466" t="s">
        <v>157</v>
      </c>
      <c r="AH23" s="451" t="s">
        <v>131</v>
      </c>
      <c r="AI23" s="154">
        <v>45170</v>
      </c>
      <c r="AJ23" s="100" t="str">
        <f>IF(AI23&gt;0,
(IF(AI23&lt;Hónapok!$A$10,Admin!$A$28,
(IF(AI23&lt;Hónapok!$A$22,Admin!$B$28,
(IF(AI23&lt;Hónapok!$A$34,Admin!$C$28,
(IF(AI23&lt;Hónapok!$A$46,Admin!$D$28,"")))))))),"")</f>
        <v>3. mérföldkő</v>
      </c>
      <c r="AK23" s="470" t="s">
        <v>7</v>
      </c>
      <c r="AL23" s="101" t="s">
        <v>26</v>
      </c>
      <c r="AM23" s="899">
        <v>2412500</v>
      </c>
      <c r="AN23" s="860">
        <f t="shared" ref="AN23:AN28" si="90">IFERROR(ROUND(AM23*AU23,0),"")</f>
        <v>313625</v>
      </c>
      <c r="AO23" s="466">
        <v>174</v>
      </c>
      <c r="AP23" s="467">
        <v>17</v>
      </c>
      <c r="AQ23" s="454">
        <f t="shared" ref="AQ23:AQ28" si="91">IFERROR(AP23/AO23,"")</f>
        <v>9.7701149425287362E-2</v>
      </c>
      <c r="AR23" s="455">
        <f t="shared" ref="AR23:AR28" si="92">IFERROR(ROUND(AM23*AP23/AO23,0),"")</f>
        <v>235704</v>
      </c>
      <c r="AS23" s="455">
        <f t="shared" ref="AS23:AS28" si="93">IFERROR(ROUND(AR23*AU23,0),"")</f>
        <v>30642</v>
      </c>
      <c r="AT23" s="102">
        <f t="shared" ref="AT23:AT28" si="94">IFERROR(AP23/AO23-AR23/AM23,"")</f>
        <v>9.5289143103860496E-9</v>
      </c>
      <c r="AU23" s="116">
        <v>0.13</v>
      </c>
      <c r="AV23" s="565" t="str">
        <f>VLOOKUP(LEFT(AB23,10),Törzsszám!$A$1:$B$908,2,0)</f>
        <v>10000002</v>
      </c>
      <c r="AW23" s="681">
        <f t="shared" ref="AW23:AW28" ca="1" si="95">(Y23+Z23)-(AR23+AS23)</f>
        <v>-129790</v>
      </c>
      <c r="AX23" s="471" t="s">
        <v>4618</v>
      </c>
      <c r="AY23" s="527"/>
      <c r="AZ23" s="665"/>
      <c r="BA23" s="671"/>
      <c r="BB23" s="649"/>
      <c r="BC23" s="649"/>
      <c r="BD23" s="672"/>
      <c r="BE23" s="450" t="s">
        <v>173</v>
      </c>
      <c r="BF23" s="457"/>
    </row>
    <row r="24" spans="1:58" s="463" customFormat="1" ht="31.5" x14ac:dyDescent="0.25">
      <c r="A24" s="694" t="str">
        <f ca="1">Bérköltség!$B24</f>
        <v>FEOR</v>
      </c>
      <c r="B24" s="694" t="str">
        <f ca="1">IFERROR(
IF(AND(Bérköltség!$F24="",H24="NA"),"HIÁNYOS ADATOK",
IF(Bérköltség!$F24&lt;Bérköltség!$U24,Admin!$B$18,Admin!$B$17)),
"")</f>
        <v>FEOR</v>
      </c>
      <c r="C24" s="437">
        <f>IFERROR(INDEX('Historikus berek_2021-2'!$A$1:$F$903,MATCH(AB24,'Historikus berek_2021-2'!$A$1:$A$903,0),4),"")</f>
        <v>672133.33333333337</v>
      </c>
      <c r="D24" s="438">
        <f t="shared" si="72"/>
        <v>65668.199233716485</v>
      </c>
      <c r="E24" s="437">
        <f t="shared" si="73"/>
        <v>235704</v>
      </c>
      <c r="F24" s="439">
        <f t="shared" si="74"/>
        <v>192140.45486590033</v>
      </c>
      <c r="G24" s="440">
        <f t="shared" si="75"/>
        <v>74205.065134099626</v>
      </c>
      <c r="H24" s="441">
        <f>IFERROR(INDEX('FEOR kodok'!$A$2:$J$1126,MATCH(Bérköltség!AB24,'FEOR kodok'!$B$2:$B$1126,0),8),"NA")</f>
        <v>2117</v>
      </c>
      <c r="I24" s="436">
        <f ca="1">IFERROR(INDEX('FEOR kodok'!$A$2:$J$1126,MATCH(Bérköltség!AB24,'FEOR kodok'!$B$2:$B$1126,0),10),"NA")</f>
        <v>49</v>
      </c>
      <c r="J24" s="442" t="str">
        <f t="shared" ca="1" si="76"/>
        <v>40–49 éves</v>
      </c>
      <c r="K24" s="436" t="str">
        <f>IFERROR(INDEX(admin_feor[#All],MATCH(Bérköltség!H24,admin_feor[[#All],[Foglalkozás]],0),2),"NA")</f>
        <v>Vegyészmérnök</v>
      </c>
      <c r="L24" s="438">
        <f ca="1">IFERROR(
INDEX('Admin - FEOR'!$A$4:$F$465,MATCH(Bérköltség!H24,'Admin - FEOR'!$A$4:$A$465,0),
IF(J24="30 év alatt",3,
IF(J24="30–39 éves",4,
IF(J24="40–49 éves",5,
IF(J24="50 év és afelett",6
)))))*1,"NA")</f>
        <v>824591</v>
      </c>
      <c r="M24" s="438">
        <f t="shared" si="77"/>
        <v>2412500</v>
      </c>
      <c r="N24" s="443">
        <f t="shared" ca="1" si="78"/>
        <v>2.9256928586414355</v>
      </c>
      <c r="O24" s="438">
        <f ca="1">IFERROR(
INDEX('Admin - FEOR'!$A$4:$F$465,MATCH(Bérköltség!H24,'Admin - FEOR'!$A$4:$A$465,0),
IF(J24="30 év alatt",3,
IF(J24="30–39 éves",4,
IF(J24="40–49 éves",5,
IF(J24="50 év és afelett",6
)))))*1.5,"NA")</f>
        <v>1236886.5</v>
      </c>
      <c r="P24" s="438">
        <f t="shared" ca="1" si="79"/>
        <v>120845.2327586207</v>
      </c>
      <c r="Q24" s="438">
        <f t="shared" si="80"/>
        <v>235704</v>
      </c>
      <c r="R24" s="444">
        <f t="shared" si="81"/>
        <v>9.7701149425287362E-2</v>
      </c>
      <c r="S24" s="438">
        <f t="shared" ca="1" si="82"/>
        <v>114858.7672413793</v>
      </c>
      <c r="T24" s="438">
        <f t="shared" ca="1" si="83"/>
        <v>14931.639741379309</v>
      </c>
      <c r="U24" s="445">
        <f t="shared" ca="1" si="84"/>
        <v>129790.40698275861</v>
      </c>
      <c r="V24" s="446">
        <f t="shared" ca="1" si="85"/>
        <v>136555.59301724139</v>
      </c>
      <c r="W24" s="447" t="str">
        <f t="shared" ca="1" si="86"/>
        <v>Indoklás szükséges mivel a FEOR: 292,6%</v>
      </c>
      <c r="X24" s="571">
        <f t="shared" ca="1" si="87"/>
        <v>129790.40698275861</v>
      </c>
      <c r="Y24" s="554">
        <f t="shared" ca="1" si="88"/>
        <v>120846</v>
      </c>
      <c r="Z24" s="555">
        <f t="shared" ca="1" si="89"/>
        <v>15710</v>
      </c>
      <c r="AA24" s="464"/>
      <c r="AB24" s="448">
        <v>8392423828</v>
      </c>
      <c r="AC24" s="465" t="s">
        <v>172</v>
      </c>
      <c r="AD24" s="459" t="s">
        <v>45</v>
      </c>
      <c r="AE24" s="450" t="s">
        <v>22</v>
      </c>
      <c r="AF24" s="466" t="s">
        <v>120</v>
      </c>
      <c r="AG24" s="466" t="s">
        <v>157</v>
      </c>
      <c r="AH24" s="451" t="s">
        <v>131</v>
      </c>
      <c r="AI24" s="154">
        <v>45200</v>
      </c>
      <c r="AJ24" s="100" t="str">
        <f>IF(AI24&gt;0,
(IF(AI24&lt;Hónapok!$A$10,Admin!$A$28,
(IF(AI24&lt;Hónapok!$A$22,Admin!$B$28,
(IF(AI24&lt;Hónapok!$A$34,Admin!$C$28,
(IF(AI24&lt;Hónapok!$A$46,Admin!$D$28,"")))))))),"")</f>
        <v>3. mérföldkő</v>
      </c>
      <c r="AK24" s="470" t="s">
        <v>8</v>
      </c>
      <c r="AL24" s="101" t="s">
        <v>26</v>
      </c>
      <c r="AM24" s="899">
        <v>2412500</v>
      </c>
      <c r="AN24" s="860">
        <f t="shared" si="90"/>
        <v>313625</v>
      </c>
      <c r="AO24" s="466">
        <v>174</v>
      </c>
      <c r="AP24" s="467">
        <v>17</v>
      </c>
      <c r="AQ24" s="454">
        <f t="shared" si="91"/>
        <v>9.7701149425287362E-2</v>
      </c>
      <c r="AR24" s="455">
        <f t="shared" si="92"/>
        <v>235704</v>
      </c>
      <c r="AS24" s="455">
        <f t="shared" si="93"/>
        <v>30642</v>
      </c>
      <c r="AT24" s="102">
        <f t="shared" si="94"/>
        <v>9.5289143103860496E-9</v>
      </c>
      <c r="AU24" s="116">
        <v>0.13</v>
      </c>
      <c r="AV24" s="565" t="str">
        <f>VLOOKUP(LEFT(AB24,10),Törzsszám!$A$1:$B$908,2,0)</f>
        <v>10000002</v>
      </c>
      <c r="AW24" s="681">
        <f t="shared" ca="1" si="95"/>
        <v>-129790</v>
      </c>
      <c r="AX24" s="471"/>
      <c r="AY24" s="527"/>
      <c r="AZ24" s="665"/>
      <c r="BA24" s="671"/>
      <c r="BB24" s="649"/>
      <c r="BC24" s="649"/>
      <c r="BD24" s="672"/>
      <c r="BE24" s="450" t="s">
        <v>173</v>
      </c>
      <c r="BF24" s="457"/>
    </row>
    <row r="25" spans="1:58" s="463" customFormat="1" ht="31.5" x14ac:dyDescent="0.25">
      <c r="A25" s="694" t="str">
        <f ca="1">Bérköltség!$B25</f>
        <v>FEOR</v>
      </c>
      <c r="B25" s="694" t="str">
        <f ca="1">IFERROR(
IF(AND(Bérköltség!$F25="",H25="NA"),"HIÁNYOS ADATOK",
IF(Bérköltség!$F25&lt;Bérköltség!$U25,Admin!$B$18,Admin!$B$17)),
"")</f>
        <v>FEOR</v>
      </c>
      <c r="C25" s="437">
        <f>IFERROR(INDEX('Historikus berek_2021-2'!$A$1:$F$903,MATCH(AB25,'Historikus berek_2021-2'!$A$1:$A$903,0),4),"")</f>
        <v>672133.33333333337</v>
      </c>
      <c r="D25" s="438">
        <f t="shared" si="72"/>
        <v>65668.199233716485</v>
      </c>
      <c r="E25" s="437">
        <f t="shared" si="73"/>
        <v>235704</v>
      </c>
      <c r="F25" s="439">
        <f t="shared" si="74"/>
        <v>192140.45486590033</v>
      </c>
      <c r="G25" s="440">
        <f t="shared" si="75"/>
        <v>74205.065134099626</v>
      </c>
      <c r="H25" s="441">
        <f>IFERROR(INDEX('FEOR kodok'!$A$2:$J$1126,MATCH(Bérköltség!AB25,'FEOR kodok'!$B$2:$B$1126,0),8),"NA")</f>
        <v>2117</v>
      </c>
      <c r="I25" s="436">
        <f ca="1">IFERROR(INDEX('FEOR kodok'!$A$2:$J$1126,MATCH(Bérköltség!AB25,'FEOR kodok'!$B$2:$B$1126,0),10),"NA")</f>
        <v>49</v>
      </c>
      <c r="J25" s="442" t="str">
        <f t="shared" ca="1" si="76"/>
        <v>40–49 éves</v>
      </c>
      <c r="K25" s="436" t="str">
        <f>IFERROR(INDEX(admin_feor[#All],MATCH(Bérköltség!H25,admin_feor[[#All],[Foglalkozás]],0),2),"NA")</f>
        <v>Vegyészmérnök</v>
      </c>
      <c r="L25" s="438">
        <f ca="1">IFERROR(
INDEX('Admin - FEOR'!$A$4:$F$465,MATCH(Bérköltség!H25,'Admin - FEOR'!$A$4:$A$465,0),
IF(J25="30 év alatt",3,
IF(J25="30–39 éves",4,
IF(J25="40–49 éves",5,
IF(J25="50 év és afelett",6
)))))*1,"NA")</f>
        <v>824591</v>
      </c>
      <c r="M25" s="438">
        <f t="shared" si="77"/>
        <v>2412500</v>
      </c>
      <c r="N25" s="443">
        <f t="shared" ca="1" si="78"/>
        <v>2.9256928586414355</v>
      </c>
      <c r="O25" s="438">
        <f ca="1">IFERROR(
INDEX('Admin - FEOR'!$A$4:$F$465,MATCH(Bérköltség!H25,'Admin - FEOR'!$A$4:$A$465,0),
IF(J25="30 év alatt",3,
IF(J25="30–39 éves",4,
IF(J25="40–49 éves",5,
IF(J25="50 év és afelett",6
)))))*1.5,"NA")</f>
        <v>1236886.5</v>
      </c>
      <c r="P25" s="438">
        <f t="shared" ca="1" si="79"/>
        <v>120845.2327586207</v>
      </c>
      <c r="Q25" s="438">
        <f t="shared" si="80"/>
        <v>235704</v>
      </c>
      <c r="R25" s="444">
        <f t="shared" si="81"/>
        <v>9.7701149425287362E-2</v>
      </c>
      <c r="S25" s="438">
        <f t="shared" ca="1" si="82"/>
        <v>114858.7672413793</v>
      </c>
      <c r="T25" s="438">
        <f t="shared" ca="1" si="83"/>
        <v>14931.639741379309</v>
      </c>
      <c r="U25" s="445">
        <f t="shared" ca="1" si="84"/>
        <v>129790.40698275861</v>
      </c>
      <c r="V25" s="446">
        <f t="shared" ca="1" si="85"/>
        <v>136555.59301724139</v>
      </c>
      <c r="W25" s="447" t="str">
        <f t="shared" ca="1" si="86"/>
        <v>Indoklás szükséges mivel a FEOR: 292,6%</v>
      </c>
      <c r="X25" s="571">
        <f t="shared" ca="1" si="87"/>
        <v>129790.40698275861</v>
      </c>
      <c r="Y25" s="554">
        <f t="shared" ca="1" si="88"/>
        <v>120846</v>
      </c>
      <c r="Z25" s="555">
        <f t="shared" ca="1" si="89"/>
        <v>15710</v>
      </c>
      <c r="AA25" s="464"/>
      <c r="AB25" s="448">
        <v>8392423828</v>
      </c>
      <c r="AC25" s="465" t="s">
        <v>172</v>
      </c>
      <c r="AD25" s="459" t="s">
        <v>45</v>
      </c>
      <c r="AE25" s="450" t="s">
        <v>22</v>
      </c>
      <c r="AF25" s="466" t="s">
        <v>120</v>
      </c>
      <c r="AG25" s="466" t="s">
        <v>157</v>
      </c>
      <c r="AH25" s="451" t="s">
        <v>131</v>
      </c>
      <c r="AI25" s="154">
        <v>45231</v>
      </c>
      <c r="AJ25" s="100" t="str">
        <f>IF(AI25&gt;0,
(IF(AI25&lt;Hónapok!$A$10,Admin!$A$28,
(IF(AI25&lt;Hónapok!$A$22,Admin!$B$28,
(IF(AI25&lt;Hónapok!$A$34,Admin!$C$28,
(IF(AI25&lt;Hónapok!$A$46,Admin!$D$28,"")))))))),"")</f>
        <v>3. mérföldkő</v>
      </c>
      <c r="AK25" s="470" t="s">
        <v>8</v>
      </c>
      <c r="AL25" s="101" t="s">
        <v>26</v>
      </c>
      <c r="AM25" s="899">
        <v>2412500</v>
      </c>
      <c r="AN25" s="860">
        <f t="shared" si="90"/>
        <v>313625</v>
      </c>
      <c r="AO25" s="466">
        <v>174</v>
      </c>
      <c r="AP25" s="467">
        <v>17</v>
      </c>
      <c r="AQ25" s="454">
        <f t="shared" si="91"/>
        <v>9.7701149425287362E-2</v>
      </c>
      <c r="AR25" s="455">
        <f t="shared" si="92"/>
        <v>235704</v>
      </c>
      <c r="AS25" s="455">
        <f t="shared" si="93"/>
        <v>30642</v>
      </c>
      <c r="AT25" s="102">
        <f t="shared" si="94"/>
        <v>9.5289143103860496E-9</v>
      </c>
      <c r="AU25" s="116">
        <v>0.13</v>
      </c>
      <c r="AV25" s="565" t="str">
        <f>VLOOKUP(LEFT(AB25,10),Törzsszám!$A$1:$B$908,2,0)</f>
        <v>10000002</v>
      </c>
      <c r="AW25" s="681">
        <f t="shared" ca="1" si="95"/>
        <v>-129790</v>
      </c>
      <c r="AX25" s="471"/>
      <c r="AY25" s="527"/>
      <c r="AZ25" s="665"/>
      <c r="BA25" s="671"/>
      <c r="BB25" s="649"/>
      <c r="BC25" s="649"/>
      <c r="BD25" s="672"/>
      <c r="BE25" s="450" t="s">
        <v>173</v>
      </c>
      <c r="BF25" s="457"/>
    </row>
    <row r="26" spans="1:58" s="463" customFormat="1" ht="31.5" x14ac:dyDescent="0.25">
      <c r="A26" s="694" t="str">
        <f ca="1">Bérköltség!$B26</f>
        <v>FEOR</v>
      </c>
      <c r="B26" s="694" t="str">
        <f ca="1">IFERROR(
IF(AND(Bérköltség!$F26="",H26="NA"),"HIÁNYOS ADATOK",
IF(Bérköltség!$F26&lt;Bérköltség!$U26,Admin!$B$18,Admin!$B$17)),
"")</f>
        <v>FEOR</v>
      </c>
      <c r="C26" s="437">
        <f>IFERROR(INDEX('Historikus berek_2021-2'!$A$1:$F$903,MATCH(AB26,'Historikus berek_2021-2'!$A$1:$A$903,0),4),"")</f>
        <v>672133.33333333337</v>
      </c>
      <c r="D26" s="438">
        <f t="shared" si="72"/>
        <v>65668.199233716485</v>
      </c>
      <c r="E26" s="437">
        <f t="shared" si="73"/>
        <v>235704</v>
      </c>
      <c r="F26" s="439">
        <f t="shared" si="74"/>
        <v>192140.45486590033</v>
      </c>
      <c r="G26" s="440">
        <f t="shared" si="75"/>
        <v>74205.065134099626</v>
      </c>
      <c r="H26" s="441">
        <f>IFERROR(INDEX('FEOR kodok'!$A$2:$J$1126,MATCH(Bérköltség!AB26,'FEOR kodok'!$B$2:$B$1126,0),8),"NA")</f>
        <v>2117</v>
      </c>
      <c r="I26" s="436">
        <f ca="1">IFERROR(INDEX('FEOR kodok'!$A$2:$J$1126,MATCH(Bérköltség!AB26,'FEOR kodok'!$B$2:$B$1126,0),10),"NA")</f>
        <v>49</v>
      </c>
      <c r="J26" s="442" t="str">
        <f t="shared" ca="1" si="76"/>
        <v>40–49 éves</v>
      </c>
      <c r="K26" s="436" t="str">
        <f>IFERROR(INDEX(admin_feor[#All],MATCH(Bérköltség!H26,admin_feor[[#All],[Foglalkozás]],0),2),"NA")</f>
        <v>Vegyészmérnök</v>
      </c>
      <c r="L26" s="438">
        <f ca="1">IFERROR(
INDEX('Admin - FEOR'!$A$4:$F$465,MATCH(Bérköltség!H26,'Admin - FEOR'!$A$4:$A$465,0),
IF(J26="30 év alatt",3,
IF(J26="30–39 éves",4,
IF(J26="40–49 éves",5,
IF(J26="50 év és afelett",6
)))))*1,"NA")</f>
        <v>824591</v>
      </c>
      <c r="M26" s="438">
        <f t="shared" si="77"/>
        <v>2412500</v>
      </c>
      <c r="N26" s="443">
        <f t="shared" ca="1" si="78"/>
        <v>2.9256928586414355</v>
      </c>
      <c r="O26" s="438">
        <f ca="1">IFERROR(
INDEX('Admin - FEOR'!$A$4:$F$465,MATCH(Bérköltség!H26,'Admin - FEOR'!$A$4:$A$465,0),
IF(J26="30 év alatt",3,
IF(J26="30–39 éves",4,
IF(J26="40–49 éves",5,
IF(J26="50 év és afelett",6
)))))*1.5,"NA")</f>
        <v>1236886.5</v>
      </c>
      <c r="P26" s="438">
        <f t="shared" ca="1" si="79"/>
        <v>120845.2327586207</v>
      </c>
      <c r="Q26" s="438">
        <f t="shared" si="80"/>
        <v>235704</v>
      </c>
      <c r="R26" s="444">
        <f t="shared" si="81"/>
        <v>9.7701149425287362E-2</v>
      </c>
      <c r="S26" s="438">
        <f t="shared" ca="1" si="82"/>
        <v>114858.7672413793</v>
      </c>
      <c r="T26" s="438">
        <f t="shared" ca="1" si="83"/>
        <v>14931.639741379309</v>
      </c>
      <c r="U26" s="445">
        <f t="shared" ca="1" si="84"/>
        <v>129790.40698275861</v>
      </c>
      <c r="V26" s="446">
        <f t="shared" ca="1" si="85"/>
        <v>136555.59301724139</v>
      </c>
      <c r="W26" s="447" t="str">
        <f t="shared" ca="1" si="86"/>
        <v>Indoklás szükséges mivel a FEOR: 292,6%</v>
      </c>
      <c r="X26" s="571">
        <f t="shared" ca="1" si="87"/>
        <v>129790.40698275861</v>
      </c>
      <c r="Y26" s="554">
        <f t="shared" ca="1" si="88"/>
        <v>120846</v>
      </c>
      <c r="Z26" s="555">
        <f t="shared" ca="1" si="89"/>
        <v>15710</v>
      </c>
      <c r="AA26" s="464"/>
      <c r="AB26" s="448">
        <v>8392423828</v>
      </c>
      <c r="AC26" s="465" t="s">
        <v>172</v>
      </c>
      <c r="AD26" s="459" t="s">
        <v>45</v>
      </c>
      <c r="AE26" s="450" t="s">
        <v>22</v>
      </c>
      <c r="AF26" s="466" t="s">
        <v>120</v>
      </c>
      <c r="AG26" s="466" t="s">
        <v>157</v>
      </c>
      <c r="AH26" s="451" t="s">
        <v>131</v>
      </c>
      <c r="AI26" s="154">
        <v>45261</v>
      </c>
      <c r="AJ26" s="100" t="str">
        <f>IF(AI26&gt;0,
(IF(AI26&lt;Hónapok!$A$10,Admin!$A$28,
(IF(AI26&lt;Hónapok!$A$22,Admin!$B$28,
(IF(AI26&lt;Hónapok!$A$34,Admin!$C$28,
(IF(AI26&lt;Hónapok!$A$46,Admin!$D$28,"")))))))),"")</f>
        <v>3. mérföldkő</v>
      </c>
      <c r="AK26" s="470" t="s">
        <v>8</v>
      </c>
      <c r="AL26" s="101" t="s">
        <v>26</v>
      </c>
      <c r="AM26" s="899">
        <v>2412500</v>
      </c>
      <c r="AN26" s="860">
        <f t="shared" si="90"/>
        <v>313625</v>
      </c>
      <c r="AO26" s="466">
        <v>174</v>
      </c>
      <c r="AP26" s="467">
        <v>17</v>
      </c>
      <c r="AQ26" s="454">
        <f t="shared" si="91"/>
        <v>9.7701149425287362E-2</v>
      </c>
      <c r="AR26" s="455">
        <f t="shared" si="92"/>
        <v>235704</v>
      </c>
      <c r="AS26" s="455">
        <f t="shared" si="93"/>
        <v>30642</v>
      </c>
      <c r="AT26" s="102">
        <f t="shared" si="94"/>
        <v>9.5289143103860496E-9</v>
      </c>
      <c r="AU26" s="116">
        <v>0.13</v>
      </c>
      <c r="AV26" s="565" t="str">
        <f>VLOOKUP(LEFT(AB26,10),Törzsszám!$A$1:$B$908,2,0)</f>
        <v>10000002</v>
      </c>
      <c r="AW26" s="681">
        <f t="shared" ca="1" si="95"/>
        <v>-129790</v>
      </c>
      <c r="AX26" s="471"/>
      <c r="AY26" s="527"/>
      <c r="AZ26" s="665"/>
      <c r="BA26" s="671"/>
      <c r="BB26" s="649"/>
      <c r="BC26" s="649"/>
      <c r="BD26" s="672"/>
      <c r="BE26" s="450" t="s">
        <v>173</v>
      </c>
      <c r="BF26" s="457"/>
    </row>
    <row r="27" spans="1:58" s="463" customFormat="1" ht="31.5" x14ac:dyDescent="0.25">
      <c r="A27" s="694" t="str">
        <f ca="1">Bérköltség!$B27</f>
        <v>FEOR</v>
      </c>
      <c r="B27" s="694" t="str">
        <f ca="1">IFERROR(
IF(AND(Bérköltség!$F27="",H27="NA"),"HIÁNYOS ADATOK",
IF(Bérköltség!$F27&lt;Bérköltség!$U27,Admin!$B$18,Admin!$B$17)),
"")</f>
        <v>FEOR</v>
      </c>
      <c r="C27" s="437">
        <f>IFERROR(INDEX('Historikus berek_2021-2'!$A$1:$F$903,MATCH(AB27,'Historikus berek_2021-2'!$A$1:$A$903,0),4),"")</f>
        <v>672133.33333333337</v>
      </c>
      <c r="D27" s="438">
        <f t="shared" si="72"/>
        <v>65668.199233716485</v>
      </c>
      <c r="E27" s="437">
        <f t="shared" si="73"/>
        <v>235704</v>
      </c>
      <c r="F27" s="439">
        <f t="shared" si="74"/>
        <v>192140.45486590033</v>
      </c>
      <c r="G27" s="440">
        <f t="shared" si="75"/>
        <v>74205.065134099626</v>
      </c>
      <c r="H27" s="441">
        <f>IFERROR(INDEX('FEOR kodok'!$A$2:$J$1126,MATCH(Bérköltség!AB27,'FEOR kodok'!$B$2:$B$1126,0),8),"NA")</f>
        <v>2117</v>
      </c>
      <c r="I27" s="436">
        <f ca="1">IFERROR(INDEX('FEOR kodok'!$A$2:$J$1126,MATCH(Bérköltség!AB27,'FEOR kodok'!$B$2:$B$1126,0),10),"NA")</f>
        <v>49</v>
      </c>
      <c r="J27" s="442" t="str">
        <f t="shared" ca="1" si="76"/>
        <v>40–49 éves</v>
      </c>
      <c r="K27" s="436" t="str">
        <f>IFERROR(INDEX(admin_feor[#All],MATCH(Bérköltség!H27,admin_feor[[#All],[Foglalkozás]],0),2),"NA")</f>
        <v>Vegyészmérnök</v>
      </c>
      <c r="L27" s="438">
        <f ca="1">IFERROR(
INDEX('Admin - FEOR'!$A$4:$F$465,MATCH(Bérköltség!H27,'Admin - FEOR'!$A$4:$A$465,0),
IF(J27="30 év alatt",3,
IF(J27="30–39 éves",4,
IF(J27="40–49 éves",5,
IF(J27="50 év és afelett",6
)))))*1,"NA")</f>
        <v>824591</v>
      </c>
      <c r="M27" s="438">
        <f t="shared" si="77"/>
        <v>2412500</v>
      </c>
      <c r="N27" s="443">
        <f t="shared" ca="1" si="78"/>
        <v>2.9256928586414355</v>
      </c>
      <c r="O27" s="438">
        <f ca="1">IFERROR(
INDEX('Admin - FEOR'!$A$4:$F$465,MATCH(Bérköltség!H27,'Admin - FEOR'!$A$4:$A$465,0),
IF(J27="30 év alatt",3,
IF(J27="30–39 éves",4,
IF(J27="40–49 éves",5,
IF(J27="50 év és afelett",6
)))))*1.5,"NA")</f>
        <v>1236886.5</v>
      </c>
      <c r="P27" s="438">
        <f t="shared" ca="1" si="79"/>
        <v>120845.2327586207</v>
      </c>
      <c r="Q27" s="438">
        <f t="shared" si="80"/>
        <v>235704</v>
      </c>
      <c r="R27" s="444">
        <f t="shared" si="81"/>
        <v>9.7701149425287362E-2</v>
      </c>
      <c r="S27" s="438">
        <f t="shared" ca="1" si="82"/>
        <v>114858.7672413793</v>
      </c>
      <c r="T27" s="438">
        <f t="shared" ca="1" si="83"/>
        <v>14931.639741379309</v>
      </c>
      <c r="U27" s="445">
        <f t="shared" ca="1" si="84"/>
        <v>129790.40698275861</v>
      </c>
      <c r="V27" s="446">
        <f t="shared" ca="1" si="85"/>
        <v>136555.59301724139</v>
      </c>
      <c r="W27" s="447" t="str">
        <f t="shared" ca="1" si="86"/>
        <v>Indoklás szükséges mivel a FEOR: 292,6%</v>
      </c>
      <c r="X27" s="571">
        <f t="shared" ca="1" si="87"/>
        <v>129790.40698275861</v>
      </c>
      <c r="Y27" s="554">
        <f t="shared" ca="1" si="88"/>
        <v>120846</v>
      </c>
      <c r="Z27" s="555">
        <f t="shared" ca="1" si="89"/>
        <v>15710</v>
      </c>
      <c r="AA27" s="464"/>
      <c r="AB27" s="448">
        <v>8392423828</v>
      </c>
      <c r="AC27" s="465" t="s">
        <v>172</v>
      </c>
      <c r="AD27" s="459" t="s">
        <v>45</v>
      </c>
      <c r="AE27" s="450" t="s">
        <v>22</v>
      </c>
      <c r="AF27" s="466" t="s">
        <v>120</v>
      </c>
      <c r="AG27" s="466" t="s">
        <v>157</v>
      </c>
      <c r="AH27" s="451" t="s">
        <v>131</v>
      </c>
      <c r="AI27" s="154">
        <v>45292</v>
      </c>
      <c r="AJ27" s="100" t="str">
        <f>IF(AI27&gt;0,
(IF(AI27&lt;Hónapok!$A$10,Admin!$A$28,
(IF(AI27&lt;Hónapok!$A$22,Admin!$B$28,
(IF(AI27&lt;Hónapok!$A$34,Admin!$C$28,
(IF(AI27&lt;Hónapok!$A$46,Admin!$D$28,"")))))))),"")</f>
        <v>3. mérföldkő</v>
      </c>
      <c r="AK27" s="470" t="s">
        <v>8</v>
      </c>
      <c r="AL27" s="101" t="s">
        <v>26</v>
      </c>
      <c r="AM27" s="899">
        <v>2412500</v>
      </c>
      <c r="AN27" s="860">
        <f t="shared" si="90"/>
        <v>313625</v>
      </c>
      <c r="AO27" s="466">
        <v>174</v>
      </c>
      <c r="AP27" s="467">
        <v>17</v>
      </c>
      <c r="AQ27" s="454">
        <f t="shared" si="91"/>
        <v>9.7701149425287362E-2</v>
      </c>
      <c r="AR27" s="455">
        <f t="shared" si="92"/>
        <v>235704</v>
      </c>
      <c r="AS27" s="455">
        <f t="shared" si="93"/>
        <v>30642</v>
      </c>
      <c r="AT27" s="102">
        <f t="shared" si="94"/>
        <v>9.5289143103860496E-9</v>
      </c>
      <c r="AU27" s="116">
        <v>0.13</v>
      </c>
      <c r="AV27" s="565" t="str">
        <f>VLOOKUP(LEFT(AB27,10),Törzsszám!$A$1:$B$908,2,0)</f>
        <v>10000002</v>
      </c>
      <c r="AW27" s="681">
        <f t="shared" ca="1" si="95"/>
        <v>-129790</v>
      </c>
      <c r="AX27" s="471"/>
      <c r="AY27" s="527"/>
      <c r="AZ27" s="665"/>
      <c r="BA27" s="671"/>
      <c r="BB27" s="649"/>
      <c r="BC27" s="649"/>
      <c r="BD27" s="672"/>
      <c r="BE27" s="450" t="s">
        <v>173</v>
      </c>
      <c r="BF27" s="457"/>
    </row>
    <row r="28" spans="1:58" s="463" customFormat="1" ht="31.5" x14ac:dyDescent="0.25">
      <c r="A28" s="694" t="str">
        <f ca="1">Bérköltség!$B28</f>
        <v>FEOR</v>
      </c>
      <c r="B28" s="694" t="str">
        <f ca="1">IFERROR(
IF(AND(Bérköltség!$F28="",H28="NA"),"HIÁNYOS ADATOK",
IF(Bérköltség!$F28&lt;Bérköltség!$U28,Admin!$B$18,Admin!$B$17)),
"")</f>
        <v>FEOR</v>
      </c>
      <c r="C28" s="437">
        <f>IFERROR(INDEX('Historikus berek_2021-2'!$A$1:$F$903,MATCH(AB28,'Historikus berek_2021-2'!$A$1:$A$903,0),4),"")</f>
        <v>672133.33333333337</v>
      </c>
      <c r="D28" s="438">
        <f t="shared" si="72"/>
        <v>65668.199233716485</v>
      </c>
      <c r="E28" s="437">
        <f t="shared" si="73"/>
        <v>235704</v>
      </c>
      <c r="F28" s="439">
        <f t="shared" si="74"/>
        <v>192140.45486590033</v>
      </c>
      <c r="G28" s="440">
        <f t="shared" si="75"/>
        <v>74205.065134099626</v>
      </c>
      <c r="H28" s="441">
        <f>IFERROR(INDEX('FEOR kodok'!$A$2:$J$1126,MATCH(Bérköltség!AB28,'FEOR kodok'!$B$2:$B$1126,0),8),"NA")</f>
        <v>2117</v>
      </c>
      <c r="I28" s="436">
        <f ca="1">IFERROR(INDEX('FEOR kodok'!$A$2:$J$1126,MATCH(Bérköltség!AB28,'FEOR kodok'!$B$2:$B$1126,0),10),"NA")</f>
        <v>49</v>
      </c>
      <c r="J28" s="442" t="str">
        <f t="shared" ca="1" si="76"/>
        <v>40–49 éves</v>
      </c>
      <c r="K28" s="436" t="str">
        <f>IFERROR(INDEX(admin_feor[#All],MATCH(Bérköltség!H28,admin_feor[[#All],[Foglalkozás]],0),2),"NA")</f>
        <v>Vegyészmérnök</v>
      </c>
      <c r="L28" s="438">
        <f ca="1">IFERROR(
INDEX('Admin - FEOR'!$A$4:$F$465,MATCH(Bérköltség!H28,'Admin - FEOR'!$A$4:$A$465,0),
IF(J28="30 év alatt",3,
IF(J28="30–39 éves",4,
IF(J28="40–49 éves",5,
IF(J28="50 év és afelett",6
)))))*1,"NA")</f>
        <v>824591</v>
      </c>
      <c r="M28" s="438">
        <f t="shared" si="77"/>
        <v>2412500</v>
      </c>
      <c r="N28" s="443">
        <f t="shared" ca="1" si="78"/>
        <v>2.9256928586414355</v>
      </c>
      <c r="O28" s="438">
        <f ca="1">IFERROR(
INDEX('Admin - FEOR'!$A$4:$F$465,MATCH(Bérköltség!H28,'Admin - FEOR'!$A$4:$A$465,0),
IF(J28="30 év alatt",3,
IF(J28="30–39 éves",4,
IF(J28="40–49 éves",5,
IF(J28="50 év és afelett",6
)))))*1.5,"NA")</f>
        <v>1236886.5</v>
      </c>
      <c r="P28" s="438">
        <f t="shared" ca="1" si="79"/>
        <v>120845.2327586207</v>
      </c>
      <c r="Q28" s="438">
        <f t="shared" si="80"/>
        <v>235704</v>
      </c>
      <c r="R28" s="444">
        <f t="shared" si="81"/>
        <v>9.7701149425287362E-2</v>
      </c>
      <c r="S28" s="438">
        <f t="shared" ca="1" si="82"/>
        <v>114858.7672413793</v>
      </c>
      <c r="T28" s="438">
        <f t="shared" ca="1" si="83"/>
        <v>14931.639741379309</v>
      </c>
      <c r="U28" s="445">
        <f t="shared" ca="1" si="84"/>
        <v>129790.40698275861</v>
      </c>
      <c r="V28" s="446">
        <f t="shared" ca="1" si="85"/>
        <v>136555.59301724139</v>
      </c>
      <c r="W28" s="447" t="str">
        <f t="shared" ca="1" si="86"/>
        <v>Indoklás szükséges mivel a FEOR: 292,6%</v>
      </c>
      <c r="X28" s="571">
        <f t="shared" ca="1" si="87"/>
        <v>129790.40698275861</v>
      </c>
      <c r="Y28" s="554">
        <f t="shared" ca="1" si="88"/>
        <v>120846</v>
      </c>
      <c r="Z28" s="555">
        <f t="shared" ca="1" si="89"/>
        <v>15710</v>
      </c>
      <c r="AA28" s="464"/>
      <c r="AB28" s="448">
        <v>8392423828</v>
      </c>
      <c r="AC28" s="465" t="s">
        <v>172</v>
      </c>
      <c r="AD28" s="459" t="s">
        <v>45</v>
      </c>
      <c r="AE28" s="450" t="s">
        <v>22</v>
      </c>
      <c r="AF28" s="466" t="s">
        <v>120</v>
      </c>
      <c r="AG28" s="466" t="s">
        <v>157</v>
      </c>
      <c r="AH28" s="451" t="s">
        <v>131</v>
      </c>
      <c r="AI28" s="154">
        <v>45323</v>
      </c>
      <c r="AJ28" s="100" t="str">
        <f>IF(AI28&gt;0,
(IF(AI28&lt;Hónapok!$A$10,Admin!$A$28,
(IF(AI28&lt;Hónapok!$A$22,Admin!$B$28,
(IF(AI28&lt;Hónapok!$A$34,Admin!$C$28,
(IF(AI28&lt;Hónapok!$A$46,Admin!$D$28,"")))))))),"")</f>
        <v>3. mérföldkő</v>
      </c>
      <c r="AK28" s="470" t="s">
        <v>8</v>
      </c>
      <c r="AL28" s="101" t="s">
        <v>26</v>
      </c>
      <c r="AM28" s="899">
        <v>2412500</v>
      </c>
      <c r="AN28" s="860">
        <f t="shared" si="90"/>
        <v>313625</v>
      </c>
      <c r="AO28" s="466">
        <v>174</v>
      </c>
      <c r="AP28" s="467">
        <v>17</v>
      </c>
      <c r="AQ28" s="454">
        <f t="shared" si="91"/>
        <v>9.7701149425287362E-2</v>
      </c>
      <c r="AR28" s="455">
        <f t="shared" si="92"/>
        <v>235704</v>
      </c>
      <c r="AS28" s="455">
        <f t="shared" si="93"/>
        <v>30642</v>
      </c>
      <c r="AT28" s="102">
        <f t="shared" si="94"/>
        <v>9.5289143103860496E-9</v>
      </c>
      <c r="AU28" s="116">
        <v>0.13</v>
      </c>
      <c r="AV28" s="565" t="str">
        <f>VLOOKUP(LEFT(AB28,10),Törzsszám!$A$1:$B$908,2,0)</f>
        <v>10000002</v>
      </c>
      <c r="AW28" s="681">
        <f t="shared" ca="1" si="95"/>
        <v>-129790</v>
      </c>
      <c r="AX28" s="471"/>
      <c r="AY28" s="527"/>
      <c r="AZ28" s="665"/>
      <c r="BA28" s="671"/>
      <c r="BB28" s="649"/>
      <c r="BC28" s="649"/>
      <c r="BD28" s="672"/>
      <c r="BE28" s="450" t="s">
        <v>173</v>
      </c>
      <c r="BF28" s="457"/>
    </row>
    <row r="29" spans="1:58" s="457" customFormat="1" ht="31.5" x14ac:dyDescent="0.25">
      <c r="A29" s="694" t="str">
        <f ca="1">Bérköltség!$B29</f>
        <v>FEOR</v>
      </c>
      <c r="B29" s="694" t="str">
        <f ca="1">IFERROR(
IF(AND(Bérköltség!$F29="",H29="NA"),"HIÁNYOS ADATOK",
IF(Bérköltség!$F29&lt;Bérköltség!$U29,Admin!$B$18,Admin!$B$17)),
"")</f>
        <v>FEOR</v>
      </c>
      <c r="C29" s="437">
        <f>IFERROR(INDEX('Historikus berek_2021-2'!$A$1:$F$903,MATCH(AB29,'Historikus berek_2021-2'!$A$1:$A$903,0),4),"")</f>
        <v>66000</v>
      </c>
      <c r="D29" s="438">
        <f t="shared" si="5"/>
        <v>66000</v>
      </c>
      <c r="E29" s="437">
        <f t="shared" si="6"/>
        <v>150000</v>
      </c>
      <c r="F29" s="439">
        <f t="shared" si="7"/>
        <v>94919.999999999971</v>
      </c>
      <c r="G29" s="440">
        <f t="shared" si="8"/>
        <v>74580</v>
      </c>
      <c r="H29" s="441">
        <f>IFERROR(INDEX('FEOR kodok'!$A$2:$J$1126,MATCH(Bérköltség!AB29,'FEOR kodok'!$B$2:$B$1126,0),8),"NA")</f>
        <v>2167</v>
      </c>
      <c r="I29" s="436">
        <f ca="1">IFERROR(INDEX('FEOR kodok'!$A$2:$J$1126,MATCH(Bérköltség!AB29,'FEOR kodok'!$B$2:$B$1126,0),10),"NA")</f>
        <v>28</v>
      </c>
      <c r="J29" s="442" t="str">
        <f t="shared" ca="1" si="9"/>
        <v>30 év alatt</v>
      </c>
      <c r="K29" s="436" t="str">
        <f>IFERROR(INDEX(admin_feor[#All],MATCH(Bérköltség!H29,admin_feor[[#All],[Foglalkozás]],0),2),"NA")</f>
        <v>Biológus, botanikus, zoológus és rokon foglalkozású</v>
      </c>
      <c r="L29" s="438">
        <f ca="1">IFERROR(
INDEX('Admin - FEOR'!$A$4:$F$465,MATCH(Bérköltség!H29,'Admin - FEOR'!$A$4:$A$465,0),
IF(J29="30 év alatt",3,
IF(J29="30–39 éves",4,
IF(J29="40–49 éves",5,
IF(J29="50 év és afelett",6
)))))*1,"NA")</f>
        <v>471057</v>
      </c>
      <c r="M29" s="438">
        <f t="shared" si="10"/>
        <v>150000</v>
      </c>
      <c r="N29" s="443">
        <f t="shared" ca="1" si="11"/>
        <v>0.31843280112597838</v>
      </c>
      <c r="O29" s="438">
        <f ca="1">IFERROR(
INDEX('Admin - FEOR'!$A$4:$F$465,MATCH(Bérköltség!H29,'Admin - FEOR'!$A$4:$A$465,0),
IF(J29="30 év alatt",3,
IF(J29="30–39 éves",4,
IF(J29="40–49 éves",5,
IF(J29="50 év és afelett",6
)))))*1.5,"NA")</f>
        <v>706585.5</v>
      </c>
      <c r="P29" s="438">
        <f t="shared" ca="1" si="12"/>
        <v>706585.5</v>
      </c>
      <c r="Q29" s="438">
        <f t="shared" si="13"/>
        <v>150000</v>
      </c>
      <c r="R29" s="444">
        <f t="shared" si="14"/>
        <v>1</v>
      </c>
      <c r="S29" s="438">
        <f t="shared" ca="1" si="15"/>
        <v>0</v>
      </c>
      <c r="T29" s="438">
        <f t="shared" ca="1" si="16"/>
        <v>0</v>
      </c>
      <c r="U29" s="445">
        <f t="shared" ca="1" si="17"/>
        <v>0</v>
      </c>
      <c r="V29" s="446">
        <f t="shared" ca="1" si="18"/>
        <v>169500</v>
      </c>
      <c r="W29" s="447" t="str">
        <f t="shared" ca="1" si="19"/>
        <v>Nem szükséges indoklás.</v>
      </c>
      <c r="X29" s="571">
        <f t="shared" ca="1" si="20"/>
        <v>0</v>
      </c>
      <c r="Y29" s="554">
        <f t="shared" ca="1" si="21"/>
        <v>150000</v>
      </c>
      <c r="Z29" s="555">
        <f t="shared" ca="1" si="22"/>
        <v>19500</v>
      </c>
      <c r="AA29" s="573">
        <v>2</v>
      </c>
      <c r="AB29" s="448">
        <v>8468362336</v>
      </c>
      <c r="AC29" s="449" t="s">
        <v>166</v>
      </c>
      <c r="AD29" s="472" t="s">
        <v>45</v>
      </c>
      <c r="AE29" s="450" t="s">
        <v>24</v>
      </c>
      <c r="AF29" s="99" t="s">
        <v>124</v>
      </c>
      <c r="AG29" s="99" t="s">
        <v>161</v>
      </c>
      <c r="AH29" s="451" t="s">
        <v>131</v>
      </c>
      <c r="AI29" s="154">
        <v>44743</v>
      </c>
      <c r="AJ29" s="100" t="str">
        <f>IF(AI29&gt;0,
(IF(AI29&lt;Hónapok!$A$10,Admin!$A$28,
(IF(AI29&lt;Hónapok!$A$22,Admin!$B$28,
(IF(AI29&lt;Hónapok!$A$34,Admin!$C$28,
(IF(AI29&lt;Hónapok!$A$46,Admin!$D$28,"")))))))),"")</f>
        <v>2. mérföldkő</v>
      </c>
      <c r="AK29" s="452" t="s">
        <v>7</v>
      </c>
      <c r="AL29" s="101" t="s">
        <v>26</v>
      </c>
      <c r="AM29" s="900">
        <v>150000</v>
      </c>
      <c r="AN29" s="860">
        <f t="shared" si="0"/>
        <v>19500</v>
      </c>
      <c r="AO29" s="101">
        <v>87</v>
      </c>
      <c r="AP29" s="453">
        <v>87</v>
      </c>
      <c r="AQ29" s="454">
        <f t="shared" si="1"/>
        <v>1</v>
      </c>
      <c r="AR29" s="455">
        <f t="shared" si="23"/>
        <v>150000</v>
      </c>
      <c r="AS29" s="455">
        <f t="shared" si="2"/>
        <v>19500</v>
      </c>
      <c r="AT29" s="102">
        <f t="shared" si="3"/>
        <v>0</v>
      </c>
      <c r="AU29" s="116">
        <v>0.13</v>
      </c>
      <c r="AV29" s="565" t="str">
        <f>VLOOKUP(LEFT(AB29,10),Törzsszám!$A$1:$B$908,2,0)</f>
        <v>10001815</v>
      </c>
      <c r="AW29" s="615">
        <f t="shared" ca="1" si="24"/>
        <v>0</v>
      </c>
      <c r="AX29" s="473" t="s">
        <v>209</v>
      </c>
      <c r="AY29" s="486"/>
      <c r="AZ29" s="502" t="s">
        <v>4607</v>
      </c>
      <c r="BA29" s="671">
        <v>150000</v>
      </c>
      <c r="BB29" s="649">
        <v>19500</v>
      </c>
      <c r="BC29" s="649">
        <f t="shared" ref="BC29:BD35" ca="1" si="96">Y29-BA29</f>
        <v>0</v>
      </c>
      <c r="BD29" s="672">
        <f t="shared" ca="1" si="96"/>
        <v>0</v>
      </c>
      <c r="BE29" s="450" t="s">
        <v>165</v>
      </c>
    </row>
    <row r="30" spans="1:58" s="457" customFormat="1" ht="31.5" x14ac:dyDescent="0.25">
      <c r="A30" s="694" t="str">
        <f ca="1">Bérköltség!$B30</f>
        <v>FEOR</v>
      </c>
      <c r="B30" s="694" t="str">
        <f ca="1">IFERROR(
IF(AND(Bérköltség!$F30="",H30="NA"),"HIÁNYOS ADATOK",
IF(Bérköltség!$F30&lt;Bérköltség!$U30,Admin!$B$18,Admin!$B$17)),
"")</f>
        <v>FEOR</v>
      </c>
      <c r="C30" s="437">
        <f>IFERROR(INDEX('Historikus berek_2021-2'!$A$1:$F$903,MATCH(AB30,'Historikus berek_2021-2'!$A$1:$A$903,0),4),"")</f>
        <v>66000</v>
      </c>
      <c r="D30" s="438">
        <f t="shared" si="5"/>
        <v>66000</v>
      </c>
      <c r="E30" s="437">
        <f t="shared" si="6"/>
        <v>117391</v>
      </c>
      <c r="F30" s="439">
        <f t="shared" si="7"/>
        <v>58071.829999999987</v>
      </c>
      <c r="G30" s="440">
        <f t="shared" si="8"/>
        <v>74580</v>
      </c>
      <c r="H30" s="441">
        <f>IFERROR(INDEX('FEOR kodok'!$A$2:$J$1126,MATCH(Bérköltség!AB30,'FEOR kodok'!$B$2:$B$1126,0),8),"NA")</f>
        <v>2167</v>
      </c>
      <c r="I30" s="436">
        <f ca="1">IFERROR(INDEX('FEOR kodok'!$A$2:$J$1126,MATCH(Bérköltség!AB30,'FEOR kodok'!$B$2:$B$1126,0),10),"NA")</f>
        <v>28</v>
      </c>
      <c r="J30" s="442" t="str">
        <f t="shared" ca="1" si="9"/>
        <v>30 év alatt</v>
      </c>
      <c r="K30" s="436" t="str">
        <f>IFERROR(INDEX(admin_feor[#All],MATCH(Bérköltség!H30,admin_feor[[#All],[Foglalkozás]],0),2),"NA")</f>
        <v>Biológus, botanikus, zoológus és rokon foglalkozású</v>
      </c>
      <c r="L30" s="438">
        <f ca="1">IFERROR(
INDEX('Admin - FEOR'!$A$4:$F$465,MATCH(Bérköltség!H30,'Admin - FEOR'!$A$4:$A$465,0),
IF(J30="30 év alatt",3,
IF(J30="30–39 éves",4,
IF(J30="40–49 éves",5,
IF(J30="50 év és afelett",6
)))))*1,"NA")</f>
        <v>471057</v>
      </c>
      <c r="M30" s="438">
        <f t="shared" si="10"/>
        <v>117391</v>
      </c>
      <c r="N30" s="443">
        <f t="shared" ca="1" si="11"/>
        <v>0.24920763304653151</v>
      </c>
      <c r="O30" s="438">
        <f ca="1">IFERROR(
INDEX('Admin - FEOR'!$A$4:$F$465,MATCH(Bérköltség!H30,'Admin - FEOR'!$A$4:$A$465,0),
IF(J30="30 év alatt",3,
IF(J30="30–39 éves",4,
IF(J30="40–49 éves",5,
IF(J30="50 év és afelett",6
)))))*1.5,"NA")</f>
        <v>706585.5</v>
      </c>
      <c r="P30" s="438">
        <f t="shared" ca="1" si="12"/>
        <v>706585.5</v>
      </c>
      <c r="Q30" s="438">
        <f t="shared" si="13"/>
        <v>117391</v>
      </c>
      <c r="R30" s="444">
        <f t="shared" si="14"/>
        <v>1</v>
      </c>
      <c r="S30" s="438">
        <f t="shared" ca="1" si="15"/>
        <v>0</v>
      </c>
      <c r="T30" s="438">
        <f t="shared" ca="1" si="16"/>
        <v>0</v>
      </c>
      <c r="U30" s="445">
        <f t="shared" ca="1" si="17"/>
        <v>0</v>
      </c>
      <c r="V30" s="446">
        <f t="shared" ca="1" si="18"/>
        <v>132652</v>
      </c>
      <c r="W30" s="447" t="str">
        <f t="shared" ca="1" si="19"/>
        <v>Nem szükséges indoklás.</v>
      </c>
      <c r="X30" s="571">
        <f t="shared" ca="1" si="20"/>
        <v>0</v>
      </c>
      <c r="Y30" s="554">
        <f t="shared" ca="1" si="21"/>
        <v>117391</v>
      </c>
      <c r="Z30" s="555">
        <f t="shared" ca="1" si="22"/>
        <v>15261</v>
      </c>
      <c r="AA30" s="573">
        <v>2</v>
      </c>
      <c r="AB30" s="448">
        <v>8468362336</v>
      </c>
      <c r="AC30" s="449" t="s">
        <v>166</v>
      </c>
      <c r="AD30" s="472" t="s">
        <v>45</v>
      </c>
      <c r="AE30" s="450" t="s">
        <v>24</v>
      </c>
      <c r="AF30" s="99" t="s">
        <v>124</v>
      </c>
      <c r="AG30" s="99" t="s">
        <v>161</v>
      </c>
      <c r="AH30" s="451" t="s">
        <v>131</v>
      </c>
      <c r="AI30" s="154">
        <v>44774</v>
      </c>
      <c r="AJ30" s="100" t="str">
        <f>IF(AI30&gt;0,
(IF(AI30&lt;Hónapok!$A$10,Admin!$A$28,
(IF(AI30&lt;Hónapok!$A$22,Admin!$B$28,
(IF(AI30&lt;Hónapok!$A$34,Admin!$C$28,
(IF(AI30&lt;Hónapok!$A$46,Admin!$D$28,"")))))))),"")</f>
        <v>2. mérföldkő</v>
      </c>
      <c r="AK30" s="467" t="s">
        <v>7</v>
      </c>
      <c r="AL30" s="101" t="s">
        <v>26</v>
      </c>
      <c r="AM30" s="900">
        <v>117391</v>
      </c>
      <c r="AN30" s="860">
        <f t="shared" si="0"/>
        <v>15261</v>
      </c>
      <c r="AO30" s="101">
        <v>87</v>
      </c>
      <c r="AP30" s="111">
        <v>87</v>
      </c>
      <c r="AQ30" s="454">
        <f t="shared" si="1"/>
        <v>1</v>
      </c>
      <c r="AR30" s="455">
        <f t="shared" si="23"/>
        <v>117391</v>
      </c>
      <c r="AS30" s="455">
        <f t="shared" si="2"/>
        <v>15261</v>
      </c>
      <c r="AT30" s="102">
        <f t="shared" si="3"/>
        <v>0</v>
      </c>
      <c r="AU30" s="116">
        <v>0.13</v>
      </c>
      <c r="AV30" s="565" t="str">
        <f>VLOOKUP(LEFT(AB30,10),Törzsszám!$A$1:$B$908,2,0)</f>
        <v>10001815</v>
      </c>
      <c r="AW30" s="615">
        <f t="shared" ca="1" si="24"/>
        <v>0</v>
      </c>
      <c r="AX30" s="468" t="s">
        <v>218</v>
      </c>
      <c r="AY30" s="502"/>
      <c r="AZ30" s="502" t="s">
        <v>4607</v>
      </c>
      <c r="BA30" s="671">
        <v>117391</v>
      </c>
      <c r="BB30" s="649">
        <v>15261</v>
      </c>
      <c r="BC30" s="649">
        <f t="shared" ca="1" si="96"/>
        <v>0</v>
      </c>
      <c r="BD30" s="672">
        <f t="shared" ca="1" si="96"/>
        <v>0</v>
      </c>
      <c r="BE30" s="450" t="s">
        <v>165</v>
      </c>
    </row>
    <row r="31" spans="1:58" s="457" customFormat="1" ht="31.5" x14ac:dyDescent="0.25">
      <c r="A31" s="694" t="str">
        <f ca="1">Bérköltség!$B31</f>
        <v>FEOR</v>
      </c>
      <c r="B31" s="694" t="str">
        <f ca="1">IFERROR(
IF(AND(Bérköltség!$F31="",H31="NA"),"HIÁNYOS ADATOK",
IF(Bérköltség!$F31&lt;Bérköltség!$U31,Admin!$B$18,Admin!$B$17)),
"")</f>
        <v>FEOR</v>
      </c>
      <c r="C31" s="437">
        <f>IFERROR(INDEX('Historikus berek_2021-2'!$A$1:$F$903,MATCH(AB31,'Historikus berek_2021-2'!$A$1:$A$903,0),4),"")</f>
        <v>66000</v>
      </c>
      <c r="D31" s="438">
        <f t="shared" si="5"/>
        <v>66000</v>
      </c>
      <c r="E31" s="437">
        <f t="shared" si="6"/>
        <v>150000</v>
      </c>
      <c r="F31" s="439">
        <f t="shared" si="7"/>
        <v>94919.999999999971</v>
      </c>
      <c r="G31" s="440">
        <f t="shared" si="8"/>
        <v>74580</v>
      </c>
      <c r="H31" s="441">
        <f>IFERROR(INDEX('FEOR kodok'!$A$2:$J$1126,MATCH(Bérköltség!AB31,'FEOR kodok'!$B$2:$B$1126,0),8),"NA")</f>
        <v>2167</v>
      </c>
      <c r="I31" s="436">
        <f ca="1">IFERROR(INDEX('FEOR kodok'!$A$2:$J$1126,MATCH(Bérköltség!AB31,'FEOR kodok'!$B$2:$B$1126,0),10),"NA")</f>
        <v>28</v>
      </c>
      <c r="J31" s="442" t="str">
        <f t="shared" ca="1" si="9"/>
        <v>30 év alatt</v>
      </c>
      <c r="K31" s="436" t="str">
        <f>IFERROR(INDEX(admin_feor[#All],MATCH(Bérköltség!H31,admin_feor[[#All],[Foglalkozás]],0),2),"NA")</f>
        <v>Biológus, botanikus, zoológus és rokon foglalkozású</v>
      </c>
      <c r="L31" s="438">
        <f ca="1">IFERROR(
INDEX('Admin - FEOR'!$A$4:$F$465,MATCH(Bérköltség!H31,'Admin - FEOR'!$A$4:$A$465,0),
IF(J31="30 év alatt",3,
IF(J31="30–39 éves",4,
IF(J31="40–49 éves",5,
IF(J31="50 év és afelett",6
)))))*1,"NA")</f>
        <v>471057</v>
      </c>
      <c r="M31" s="438">
        <f t="shared" si="10"/>
        <v>150000</v>
      </c>
      <c r="N31" s="443">
        <f t="shared" ca="1" si="11"/>
        <v>0.31843280112597838</v>
      </c>
      <c r="O31" s="438">
        <f ca="1">IFERROR(
INDEX('Admin - FEOR'!$A$4:$F$465,MATCH(Bérköltség!H31,'Admin - FEOR'!$A$4:$A$465,0),
IF(J31="30 év alatt",3,
IF(J31="30–39 éves",4,
IF(J31="40–49 éves",5,
IF(J31="50 év és afelett",6
)))))*1.5,"NA")</f>
        <v>706585.5</v>
      </c>
      <c r="P31" s="438">
        <f t="shared" ca="1" si="12"/>
        <v>706585.5</v>
      </c>
      <c r="Q31" s="438">
        <f t="shared" si="13"/>
        <v>150000</v>
      </c>
      <c r="R31" s="444">
        <f t="shared" si="14"/>
        <v>1</v>
      </c>
      <c r="S31" s="438">
        <f t="shared" ca="1" si="15"/>
        <v>0</v>
      </c>
      <c r="T31" s="438">
        <f t="shared" ca="1" si="16"/>
        <v>0</v>
      </c>
      <c r="U31" s="445">
        <f t="shared" ca="1" si="17"/>
        <v>0</v>
      </c>
      <c r="V31" s="446">
        <f t="shared" ca="1" si="18"/>
        <v>169500</v>
      </c>
      <c r="W31" s="447" t="str">
        <f t="shared" ca="1" si="19"/>
        <v>Nem szükséges indoklás.</v>
      </c>
      <c r="X31" s="571">
        <f t="shared" ca="1" si="20"/>
        <v>0</v>
      </c>
      <c r="Y31" s="554">
        <f t="shared" ca="1" si="21"/>
        <v>150000</v>
      </c>
      <c r="Z31" s="555">
        <f t="shared" ca="1" si="22"/>
        <v>19500</v>
      </c>
      <c r="AA31" s="573">
        <v>2</v>
      </c>
      <c r="AB31" s="448">
        <v>8468362336</v>
      </c>
      <c r="AC31" s="449" t="s">
        <v>166</v>
      </c>
      <c r="AD31" s="472" t="s">
        <v>45</v>
      </c>
      <c r="AE31" s="450" t="s">
        <v>24</v>
      </c>
      <c r="AF31" s="99" t="s">
        <v>124</v>
      </c>
      <c r="AG31" s="99" t="s">
        <v>161</v>
      </c>
      <c r="AH31" s="451" t="s">
        <v>131</v>
      </c>
      <c r="AI31" s="154">
        <v>44805</v>
      </c>
      <c r="AJ31" s="100" t="str">
        <f>IF(AI31&gt;0,
(IF(AI31&lt;Hónapok!$A$10,Admin!$A$28,
(IF(AI31&lt;Hónapok!$A$22,Admin!$B$28,
(IF(AI31&lt;Hónapok!$A$34,Admin!$C$28,
(IF(AI31&lt;Hónapok!$A$46,Admin!$D$28,"")))))))),"")</f>
        <v>2. mérföldkő</v>
      </c>
      <c r="AK31" s="467" t="s">
        <v>7</v>
      </c>
      <c r="AL31" s="101" t="s">
        <v>26</v>
      </c>
      <c r="AM31" s="900">
        <v>150000</v>
      </c>
      <c r="AN31" s="860">
        <f t="shared" si="0"/>
        <v>19500</v>
      </c>
      <c r="AO31" s="101">
        <v>87</v>
      </c>
      <c r="AP31" s="111">
        <v>87</v>
      </c>
      <c r="AQ31" s="454">
        <f t="shared" si="1"/>
        <v>1</v>
      </c>
      <c r="AR31" s="455">
        <f t="shared" si="23"/>
        <v>150000</v>
      </c>
      <c r="AS31" s="455">
        <f t="shared" si="2"/>
        <v>19500</v>
      </c>
      <c r="AT31" s="102">
        <f t="shared" si="3"/>
        <v>0</v>
      </c>
      <c r="AU31" s="116">
        <v>0.13</v>
      </c>
      <c r="AV31" s="565" t="str">
        <f>VLOOKUP(LEFT(AB31,10),Törzsszám!$A$1:$B$908,2,0)</f>
        <v>10001815</v>
      </c>
      <c r="AW31" s="615">
        <f t="shared" ca="1" si="24"/>
        <v>0</v>
      </c>
      <c r="AX31" s="468" t="s">
        <v>228</v>
      </c>
      <c r="AY31" s="486"/>
      <c r="AZ31" s="502" t="s">
        <v>4607</v>
      </c>
      <c r="BA31" s="671">
        <v>150000</v>
      </c>
      <c r="BB31" s="649">
        <v>19500</v>
      </c>
      <c r="BC31" s="649">
        <f t="shared" ca="1" si="96"/>
        <v>0</v>
      </c>
      <c r="BD31" s="672">
        <f t="shared" ca="1" si="96"/>
        <v>0</v>
      </c>
      <c r="BE31" s="450" t="s">
        <v>165</v>
      </c>
    </row>
    <row r="32" spans="1:58" s="457" customFormat="1" ht="31.5" x14ac:dyDescent="0.25">
      <c r="A32" s="694" t="str">
        <f ca="1">Bérköltség!$B32</f>
        <v>FEOR</v>
      </c>
      <c r="B32" s="694" t="str">
        <f ca="1">IFERROR(
IF(AND(Bérköltség!$F32="",H32="NA"),"HIÁNYOS ADATOK",
IF(Bérköltség!$F32&lt;Bérköltség!$U32,Admin!$B$18,Admin!$B$17)),
"")</f>
        <v>FEOR</v>
      </c>
      <c r="C32" s="437">
        <f>IFERROR(INDEX('Historikus berek_2021-2'!$A$1:$F$903,MATCH(AB32,'Historikus berek_2021-2'!$A$1:$A$903,0),4),"")</f>
        <v>66000</v>
      </c>
      <c r="D32" s="438">
        <f t="shared" si="5"/>
        <v>66000</v>
      </c>
      <c r="E32" s="437">
        <f t="shared" si="6"/>
        <v>150000</v>
      </c>
      <c r="F32" s="439">
        <f t="shared" si="7"/>
        <v>94919.999999999971</v>
      </c>
      <c r="G32" s="440">
        <f t="shared" si="8"/>
        <v>74580</v>
      </c>
      <c r="H32" s="441">
        <f>IFERROR(INDEX('FEOR kodok'!$A$2:$J$1126,MATCH(Bérköltség!AB32,'FEOR kodok'!$B$2:$B$1126,0),8),"NA")</f>
        <v>2167</v>
      </c>
      <c r="I32" s="436">
        <f ca="1">IFERROR(INDEX('FEOR kodok'!$A$2:$J$1126,MATCH(Bérköltség!AB32,'FEOR kodok'!$B$2:$B$1126,0),10),"NA")</f>
        <v>28</v>
      </c>
      <c r="J32" s="442" t="str">
        <f t="shared" ca="1" si="9"/>
        <v>30 év alatt</v>
      </c>
      <c r="K32" s="436" t="str">
        <f>IFERROR(INDEX(admin_feor[#All],MATCH(Bérköltség!H32,admin_feor[[#All],[Foglalkozás]],0),2),"NA")</f>
        <v>Biológus, botanikus, zoológus és rokon foglalkozású</v>
      </c>
      <c r="L32" s="438">
        <f ca="1">IFERROR(
INDEX('Admin - FEOR'!$A$4:$F$465,MATCH(Bérköltség!H32,'Admin - FEOR'!$A$4:$A$465,0),
IF(J32="30 év alatt",3,
IF(J32="30–39 éves",4,
IF(J32="40–49 éves",5,
IF(J32="50 év és afelett",6
)))))*1,"NA")</f>
        <v>471057</v>
      </c>
      <c r="M32" s="438">
        <f t="shared" si="10"/>
        <v>150000</v>
      </c>
      <c r="N32" s="443">
        <f t="shared" ca="1" si="11"/>
        <v>0.31843280112597838</v>
      </c>
      <c r="O32" s="438">
        <f ca="1">IFERROR(
INDEX('Admin - FEOR'!$A$4:$F$465,MATCH(Bérköltség!H32,'Admin - FEOR'!$A$4:$A$465,0),
IF(J32="30 év alatt",3,
IF(J32="30–39 éves",4,
IF(J32="40–49 éves",5,
IF(J32="50 év és afelett",6
)))))*1.5,"NA")</f>
        <v>706585.5</v>
      </c>
      <c r="P32" s="438">
        <f t="shared" ca="1" si="12"/>
        <v>706585.5</v>
      </c>
      <c r="Q32" s="438">
        <f t="shared" si="13"/>
        <v>150000</v>
      </c>
      <c r="R32" s="444">
        <f t="shared" si="14"/>
        <v>1</v>
      </c>
      <c r="S32" s="438">
        <f t="shared" ca="1" si="15"/>
        <v>0</v>
      </c>
      <c r="T32" s="438">
        <f t="shared" ca="1" si="16"/>
        <v>0</v>
      </c>
      <c r="U32" s="445">
        <f t="shared" ca="1" si="17"/>
        <v>0</v>
      </c>
      <c r="V32" s="446">
        <f t="shared" ca="1" si="18"/>
        <v>169500</v>
      </c>
      <c r="W32" s="447" t="str">
        <f t="shared" ca="1" si="19"/>
        <v>Nem szükséges indoklás.</v>
      </c>
      <c r="X32" s="571">
        <f t="shared" ca="1" si="20"/>
        <v>0</v>
      </c>
      <c r="Y32" s="554">
        <f t="shared" ca="1" si="21"/>
        <v>150000</v>
      </c>
      <c r="Z32" s="555">
        <f t="shared" ca="1" si="22"/>
        <v>19500</v>
      </c>
      <c r="AA32" s="573">
        <v>2</v>
      </c>
      <c r="AB32" s="448">
        <v>8468362336</v>
      </c>
      <c r="AC32" s="449" t="s">
        <v>166</v>
      </c>
      <c r="AD32" s="472" t="s">
        <v>45</v>
      </c>
      <c r="AE32" s="450" t="s">
        <v>24</v>
      </c>
      <c r="AF32" s="99" t="s">
        <v>124</v>
      </c>
      <c r="AG32" s="99" t="s">
        <v>161</v>
      </c>
      <c r="AH32" s="451" t="s">
        <v>131</v>
      </c>
      <c r="AI32" s="154">
        <v>44835</v>
      </c>
      <c r="AJ32" s="100" t="str">
        <f>IF(AI32&gt;0,
(IF(AI32&lt;Hónapok!$A$10,Admin!$A$28,
(IF(AI32&lt;Hónapok!$A$22,Admin!$B$28,
(IF(AI32&lt;Hónapok!$A$34,Admin!$C$28,
(IF(AI32&lt;Hónapok!$A$46,Admin!$D$28,"")))))))),"")</f>
        <v>2. mérföldkő</v>
      </c>
      <c r="AK32" s="469" t="s">
        <v>7</v>
      </c>
      <c r="AL32" s="101" t="s">
        <v>26</v>
      </c>
      <c r="AM32" s="900">
        <v>150000</v>
      </c>
      <c r="AN32" s="860">
        <f t="shared" si="0"/>
        <v>19500</v>
      </c>
      <c r="AO32" s="101">
        <v>87</v>
      </c>
      <c r="AP32" s="111">
        <v>87</v>
      </c>
      <c r="AQ32" s="454">
        <f t="shared" si="1"/>
        <v>1</v>
      </c>
      <c r="AR32" s="455">
        <f t="shared" si="23"/>
        <v>150000</v>
      </c>
      <c r="AS32" s="455">
        <f t="shared" si="2"/>
        <v>19500</v>
      </c>
      <c r="AT32" s="102">
        <f t="shared" si="3"/>
        <v>0</v>
      </c>
      <c r="AU32" s="116">
        <v>0.13</v>
      </c>
      <c r="AV32" s="565" t="str">
        <f>VLOOKUP(LEFT(AB32,10),Törzsszám!$A$1:$B$908,2,0)</f>
        <v>10001815</v>
      </c>
      <c r="AW32" s="615">
        <f t="shared" ca="1" si="24"/>
        <v>0</v>
      </c>
      <c r="AX32" s="468" t="s">
        <v>251</v>
      </c>
      <c r="AY32" s="486"/>
      <c r="AZ32" s="502" t="s">
        <v>4607</v>
      </c>
      <c r="BA32" s="671">
        <v>150000</v>
      </c>
      <c r="BB32" s="649">
        <v>19500</v>
      </c>
      <c r="BC32" s="649">
        <f t="shared" ca="1" si="96"/>
        <v>0</v>
      </c>
      <c r="BD32" s="672">
        <f t="shared" ca="1" si="96"/>
        <v>0</v>
      </c>
      <c r="BE32" s="450" t="s">
        <v>165</v>
      </c>
    </row>
    <row r="33" spans="1:57" s="457" customFormat="1" ht="31.5" x14ac:dyDescent="0.25">
      <c r="A33" s="694" t="str">
        <f ca="1">Bérköltség!$B33</f>
        <v>FEOR</v>
      </c>
      <c r="B33" s="694" t="str">
        <f ca="1">IFERROR(
IF(AND(Bérköltség!$F33="",H33="NA"),"HIÁNYOS ADATOK",
IF(Bérköltség!$F33&lt;Bérköltség!$U33,Admin!$B$18,Admin!$B$17)),
"")</f>
        <v>FEOR</v>
      </c>
      <c r="C33" s="437">
        <f>IFERROR(INDEX('Historikus berek_2021-2'!$A$1:$F$903,MATCH(AB33,'Historikus berek_2021-2'!$A$1:$A$903,0),4),"")</f>
        <v>66000</v>
      </c>
      <c r="D33" s="438">
        <f t="shared" si="5"/>
        <v>66000</v>
      </c>
      <c r="E33" s="437">
        <f t="shared" si="6"/>
        <v>150000</v>
      </c>
      <c r="F33" s="439">
        <f t="shared" si="7"/>
        <v>94919.999999999971</v>
      </c>
      <c r="G33" s="440">
        <f t="shared" si="8"/>
        <v>74580</v>
      </c>
      <c r="H33" s="441">
        <f>IFERROR(INDEX('FEOR kodok'!$A$2:$J$1126,MATCH(Bérköltség!AB33,'FEOR kodok'!$B$2:$B$1126,0),8),"NA")</f>
        <v>2167</v>
      </c>
      <c r="I33" s="436">
        <f ca="1">IFERROR(INDEX('FEOR kodok'!$A$2:$J$1126,MATCH(Bérköltség!AB33,'FEOR kodok'!$B$2:$B$1126,0),10),"NA")</f>
        <v>28</v>
      </c>
      <c r="J33" s="442" t="str">
        <f t="shared" ca="1" si="9"/>
        <v>30 év alatt</v>
      </c>
      <c r="K33" s="436" t="str">
        <f>IFERROR(INDEX(admin_feor[#All],MATCH(Bérköltség!H33,admin_feor[[#All],[Foglalkozás]],0),2),"NA")</f>
        <v>Biológus, botanikus, zoológus és rokon foglalkozású</v>
      </c>
      <c r="L33" s="438">
        <f ca="1">IFERROR(
INDEX('Admin - FEOR'!$A$4:$F$465,MATCH(Bérköltség!H33,'Admin - FEOR'!$A$4:$A$465,0),
IF(J33="30 év alatt",3,
IF(J33="30–39 éves",4,
IF(J33="40–49 éves",5,
IF(J33="50 év és afelett",6
)))))*1,"NA")</f>
        <v>471057</v>
      </c>
      <c r="M33" s="438">
        <f t="shared" si="10"/>
        <v>150000</v>
      </c>
      <c r="N33" s="443">
        <f t="shared" ca="1" si="11"/>
        <v>0.31843280112597838</v>
      </c>
      <c r="O33" s="438">
        <f ca="1">IFERROR(
INDEX('Admin - FEOR'!$A$4:$F$465,MATCH(Bérköltség!H33,'Admin - FEOR'!$A$4:$A$465,0),
IF(J33="30 év alatt",3,
IF(J33="30–39 éves",4,
IF(J33="40–49 éves",5,
IF(J33="50 év és afelett",6
)))))*1.5,"NA")</f>
        <v>706585.5</v>
      </c>
      <c r="P33" s="438">
        <f t="shared" ca="1" si="12"/>
        <v>706585.5</v>
      </c>
      <c r="Q33" s="438">
        <f t="shared" si="13"/>
        <v>150000</v>
      </c>
      <c r="R33" s="444">
        <f t="shared" si="14"/>
        <v>1</v>
      </c>
      <c r="S33" s="438">
        <f t="shared" ca="1" si="15"/>
        <v>0</v>
      </c>
      <c r="T33" s="438">
        <f t="shared" ca="1" si="16"/>
        <v>0</v>
      </c>
      <c r="U33" s="445">
        <f t="shared" ca="1" si="17"/>
        <v>0</v>
      </c>
      <c r="V33" s="446">
        <f t="shared" ca="1" si="18"/>
        <v>169500</v>
      </c>
      <c r="W33" s="447" t="str">
        <f t="shared" ca="1" si="19"/>
        <v>Nem szükséges indoklás.</v>
      </c>
      <c r="X33" s="571">
        <f t="shared" ca="1" si="20"/>
        <v>0</v>
      </c>
      <c r="Y33" s="554">
        <f t="shared" ca="1" si="21"/>
        <v>150000</v>
      </c>
      <c r="Z33" s="555">
        <f t="shared" ca="1" si="22"/>
        <v>19500</v>
      </c>
      <c r="AA33" s="573">
        <v>2</v>
      </c>
      <c r="AB33" s="448">
        <v>8468362336</v>
      </c>
      <c r="AC33" s="449" t="s">
        <v>166</v>
      </c>
      <c r="AD33" s="472" t="s">
        <v>45</v>
      </c>
      <c r="AE33" s="450" t="s">
        <v>24</v>
      </c>
      <c r="AF33" s="99" t="s">
        <v>124</v>
      </c>
      <c r="AG33" s="99" t="s">
        <v>161</v>
      </c>
      <c r="AH33" s="451" t="s">
        <v>131</v>
      </c>
      <c r="AI33" s="154">
        <v>44866</v>
      </c>
      <c r="AJ33" s="100" t="str">
        <f>IF(AI33&gt;0,
(IF(AI33&lt;Hónapok!$A$10,Admin!$A$28,
(IF(AI33&lt;Hónapok!$A$22,Admin!$B$28,
(IF(AI33&lt;Hónapok!$A$34,Admin!$C$28,
(IF(AI33&lt;Hónapok!$A$46,Admin!$D$28,"")))))))),"")</f>
        <v>2. mérföldkő</v>
      </c>
      <c r="AK33" s="469" t="s">
        <v>7</v>
      </c>
      <c r="AL33" s="101" t="s">
        <v>26</v>
      </c>
      <c r="AM33" s="900">
        <v>150000</v>
      </c>
      <c r="AN33" s="860">
        <f t="shared" si="0"/>
        <v>19500</v>
      </c>
      <c r="AO33" s="101">
        <v>87</v>
      </c>
      <c r="AP33" s="111">
        <v>87</v>
      </c>
      <c r="AQ33" s="454">
        <f t="shared" si="1"/>
        <v>1</v>
      </c>
      <c r="AR33" s="455">
        <f t="shared" si="23"/>
        <v>150000</v>
      </c>
      <c r="AS33" s="455">
        <f t="shared" si="2"/>
        <v>19500</v>
      </c>
      <c r="AT33" s="102">
        <f t="shared" si="3"/>
        <v>0</v>
      </c>
      <c r="AU33" s="116">
        <v>0.13</v>
      </c>
      <c r="AV33" s="565" t="str">
        <f>VLOOKUP(LEFT(AB33,10),Törzsszám!$A$1:$B$908,2,0)</f>
        <v>10001815</v>
      </c>
      <c r="AW33" s="615">
        <f t="shared" ca="1" si="24"/>
        <v>0</v>
      </c>
      <c r="AX33" s="468" t="s">
        <v>260</v>
      </c>
      <c r="AY33" s="486"/>
      <c r="AZ33" s="502" t="s">
        <v>4607</v>
      </c>
      <c r="BA33" s="671">
        <v>150000</v>
      </c>
      <c r="BB33" s="649">
        <v>19500</v>
      </c>
      <c r="BC33" s="649">
        <f t="shared" ca="1" si="96"/>
        <v>0</v>
      </c>
      <c r="BD33" s="672">
        <f t="shared" ca="1" si="96"/>
        <v>0</v>
      </c>
      <c r="BE33" s="450" t="s">
        <v>165</v>
      </c>
    </row>
    <row r="34" spans="1:57" s="457" customFormat="1" ht="31.5" x14ac:dyDescent="0.25">
      <c r="A34" s="694" t="str">
        <f ca="1">Bérköltség!$B34</f>
        <v>FEOR</v>
      </c>
      <c r="B34" s="694" t="str">
        <f ca="1">IFERROR(
IF(AND(Bérköltség!$F34="",H34="NA"),"HIÁNYOS ADATOK",
IF(Bérköltség!$F34&lt;Bérköltség!$U34,Admin!$B$18,Admin!$B$17)),
"")</f>
        <v>FEOR</v>
      </c>
      <c r="C34" s="437">
        <f>IFERROR(INDEX('Historikus berek_2021-2'!$A$1:$F$903,MATCH(AB34,'Historikus berek_2021-2'!$A$1:$A$903,0),4),"")</f>
        <v>66000</v>
      </c>
      <c r="D34" s="438">
        <f t="shared" si="5"/>
        <v>66000</v>
      </c>
      <c r="E34" s="437">
        <f t="shared" si="6"/>
        <v>150000</v>
      </c>
      <c r="F34" s="439">
        <f t="shared" si="7"/>
        <v>94919.999999999971</v>
      </c>
      <c r="G34" s="440">
        <f t="shared" si="8"/>
        <v>74580</v>
      </c>
      <c r="H34" s="441">
        <f>IFERROR(INDEX('FEOR kodok'!$A$2:$J$1126,MATCH(Bérköltség!AB34,'FEOR kodok'!$B$2:$B$1126,0),8),"NA")</f>
        <v>2167</v>
      </c>
      <c r="I34" s="436">
        <f ca="1">IFERROR(INDEX('FEOR kodok'!$A$2:$J$1126,MATCH(Bérköltség!AB34,'FEOR kodok'!$B$2:$B$1126,0),10),"NA")</f>
        <v>28</v>
      </c>
      <c r="J34" s="442" t="str">
        <f t="shared" ca="1" si="9"/>
        <v>30 év alatt</v>
      </c>
      <c r="K34" s="436" t="str">
        <f>IFERROR(INDEX(admin_feor[#All],MATCH(Bérköltség!H34,admin_feor[[#All],[Foglalkozás]],0),2),"NA")</f>
        <v>Biológus, botanikus, zoológus és rokon foglalkozású</v>
      </c>
      <c r="L34" s="438">
        <f ca="1">IFERROR(
INDEX('Admin - FEOR'!$A$4:$F$465,MATCH(Bérköltség!H34,'Admin - FEOR'!$A$4:$A$465,0),
IF(J34="30 év alatt",3,
IF(J34="30–39 éves",4,
IF(J34="40–49 éves",5,
IF(J34="50 év és afelett",6
)))))*1,"NA")</f>
        <v>471057</v>
      </c>
      <c r="M34" s="438">
        <f t="shared" si="10"/>
        <v>150000</v>
      </c>
      <c r="N34" s="443">
        <f t="shared" ca="1" si="11"/>
        <v>0.31843280112597838</v>
      </c>
      <c r="O34" s="438">
        <f ca="1">IFERROR(
INDEX('Admin - FEOR'!$A$4:$F$465,MATCH(Bérköltség!H34,'Admin - FEOR'!$A$4:$A$465,0),
IF(J34="30 év alatt",3,
IF(J34="30–39 éves",4,
IF(J34="40–49 éves",5,
IF(J34="50 év és afelett",6
)))))*1.5,"NA")</f>
        <v>706585.5</v>
      </c>
      <c r="P34" s="438">
        <f t="shared" ca="1" si="12"/>
        <v>706585.5</v>
      </c>
      <c r="Q34" s="438">
        <f t="shared" si="13"/>
        <v>150000</v>
      </c>
      <c r="R34" s="444">
        <f t="shared" si="14"/>
        <v>1</v>
      </c>
      <c r="S34" s="438">
        <f t="shared" ca="1" si="15"/>
        <v>0</v>
      </c>
      <c r="T34" s="438">
        <f t="shared" ca="1" si="16"/>
        <v>0</v>
      </c>
      <c r="U34" s="445">
        <f t="shared" ca="1" si="17"/>
        <v>0</v>
      </c>
      <c r="V34" s="446">
        <f t="shared" ca="1" si="18"/>
        <v>169500</v>
      </c>
      <c r="W34" s="447" t="str">
        <f t="shared" ca="1" si="19"/>
        <v>Nem szükséges indoklás.</v>
      </c>
      <c r="X34" s="571">
        <f t="shared" ca="1" si="20"/>
        <v>0</v>
      </c>
      <c r="Y34" s="554">
        <f t="shared" ca="1" si="21"/>
        <v>150000</v>
      </c>
      <c r="Z34" s="555">
        <f t="shared" ca="1" si="22"/>
        <v>19500</v>
      </c>
      <c r="AA34" s="573">
        <v>2</v>
      </c>
      <c r="AB34" s="474">
        <v>8468362336</v>
      </c>
      <c r="AC34" s="475" t="s">
        <v>166</v>
      </c>
      <c r="AD34" s="472" t="s">
        <v>45</v>
      </c>
      <c r="AE34" s="476" t="s">
        <v>24</v>
      </c>
      <c r="AF34" s="247" t="s">
        <v>124</v>
      </c>
      <c r="AG34" s="247" t="s">
        <v>161</v>
      </c>
      <c r="AH34" s="451" t="s">
        <v>131</v>
      </c>
      <c r="AI34" s="154">
        <v>44896</v>
      </c>
      <c r="AJ34" s="100" t="str">
        <f>IF(AI34&gt;0,
(IF(AI34&lt;Hónapok!$A$10,Admin!$A$28,
(IF(AI34&lt;Hónapok!$A$22,Admin!$B$28,
(IF(AI34&lt;Hónapok!$A$34,Admin!$C$28,
(IF(AI34&lt;Hónapok!$A$46,Admin!$D$28,"")))))))),"")</f>
        <v>2. mérföldkő</v>
      </c>
      <c r="AK34" s="469" t="s">
        <v>7</v>
      </c>
      <c r="AL34" s="101" t="s">
        <v>26</v>
      </c>
      <c r="AM34" s="900">
        <v>150000</v>
      </c>
      <c r="AN34" s="860">
        <f t="shared" si="0"/>
        <v>19500</v>
      </c>
      <c r="AO34" s="477">
        <v>87</v>
      </c>
      <c r="AP34" s="478">
        <v>87</v>
      </c>
      <c r="AQ34" s="454">
        <f t="shared" si="1"/>
        <v>1</v>
      </c>
      <c r="AR34" s="455">
        <f t="shared" si="23"/>
        <v>150000</v>
      </c>
      <c r="AS34" s="455">
        <f t="shared" si="2"/>
        <v>19500</v>
      </c>
      <c r="AT34" s="102">
        <f t="shared" si="3"/>
        <v>0</v>
      </c>
      <c r="AU34" s="116">
        <v>0.13</v>
      </c>
      <c r="AV34" s="565" t="str">
        <f>VLOOKUP(LEFT(AB34,10),Törzsszám!$A$1:$B$908,2,0)</f>
        <v>10001815</v>
      </c>
      <c r="AW34" s="615">
        <f t="shared" ca="1" si="24"/>
        <v>0</v>
      </c>
      <c r="AX34" s="471" t="s">
        <v>262</v>
      </c>
      <c r="AY34" s="503"/>
      <c r="AZ34" s="502" t="s">
        <v>4607</v>
      </c>
      <c r="BA34" s="671">
        <v>150000</v>
      </c>
      <c r="BB34" s="649">
        <v>19500</v>
      </c>
      <c r="BC34" s="649">
        <f t="shared" ca="1" si="96"/>
        <v>0</v>
      </c>
      <c r="BD34" s="672">
        <f t="shared" ca="1" si="96"/>
        <v>0</v>
      </c>
      <c r="BE34" s="450" t="s">
        <v>165</v>
      </c>
    </row>
    <row r="35" spans="1:57" s="457" customFormat="1" ht="31.5" x14ac:dyDescent="0.25">
      <c r="A35" s="694" t="str">
        <f ca="1">Bérköltség!$B35</f>
        <v>FEOR</v>
      </c>
      <c r="B35" s="694" t="str">
        <f ca="1">IFERROR(
IF(AND(Bérköltség!$F35="",H35="NA"),"HIÁNYOS ADATOK",
IF(Bérköltség!$F35&lt;Bérköltség!$U35,Admin!$B$18,Admin!$B$17)),
"")</f>
        <v>FEOR</v>
      </c>
      <c r="C35" s="437">
        <f>IFERROR(INDEX('Historikus berek_2021-2'!$A$1:$F$903,MATCH(AB35,'Historikus berek_2021-2'!$A$1:$A$903,0),4),"")</f>
        <v>66000</v>
      </c>
      <c r="D35" s="438">
        <f t="shared" si="5"/>
        <v>66000</v>
      </c>
      <c r="E35" s="437">
        <f t="shared" si="6"/>
        <v>150000</v>
      </c>
      <c r="F35" s="439">
        <f t="shared" si="7"/>
        <v>94919.999999999971</v>
      </c>
      <c r="G35" s="440">
        <f t="shared" si="8"/>
        <v>74580</v>
      </c>
      <c r="H35" s="441">
        <f>IFERROR(INDEX('FEOR kodok'!$A$2:$J$1126,MATCH(Bérköltség!AB35,'FEOR kodok'!$B$2:$B$1126,0),8),"NA")</f>
        <v>2167</v>
      </c>
      <c r="I35" s="436">
        <f ca="1">IFERROR(INDEX('FEOR kodok'!$A$2:$J$1126,MATCH(Bérköltség!AB35,'FEOR kodok'!$B$2:$B$1126,0),10),"NA")</f>
        <v>28</v>
      </c>
      <c r="J35" s="442" t="str">
        <f t="shared" ca="1" si="9"/>
        <v>30 év alatt</v>
      </c>
      <c r="K35" s="436" t="str">
        <f>IFERROR(INDEX(admin_feor[#All],MATCH(Bérköltség!H35,admin_feor[[#All],[Foglalkozás]],0),2),"NA")</f>
        <v>Biológus, botanikus, zoológus és rokon foglalkozású</v>
      </c>
      <c r="L35" s="438">
        <f ca="1">IFERROR(
INDEX('Admin - FEOR'!$A$4:$F$465,MATCH(Bérköltség!H35,'Admin - FEOR'!$A$4:$A$465,0),
IF(J35="30 év alatt",3,
IF(J35="30–39 éves",4,
IF(J35="40–49 éves",5,
IF(J35="50 év és afelett",6
)))))*1,"NA")</f>
        <v>471057</v>
      </c>
      <c r="M35" s="438">
        <f t="shared" si="10"/>
        <v>150000</v>
      </c>
      <c r="N35" s="443">
        <f t="shared" ca="1" si="11"/>
        <v>0.31843280112597838</v>
      </c>
      <c r="O35" s="438">
        <f ca="1">IFERROR(
INDEX('Admin - FEOR'!$A$4:$F$465,MATCH(Bérköltség!H35,'Admin - FEOR'!$A$4:$A$465,0),
IF(J35="30 év alatt",3,
IF(J35="30–39 éves",4,
IF(J35="40–49 éves",5,
IF(J35="50 év és afelett",6
)))))*1.5,"NA")</f>
        <v>706585.5</v>
      </c>
      <c r="P35" s="438">
        <f t="shared" ca="1" si="12"/>
        <v>706585.5</v>
      </c>
      <c r="Q35" s="438">
        <f t="shared" si="13"/>
        <v>150000</v>
      </c>
      <c r="R35" s="444">
        <f t="shared" si="14"/>
        <v>1</v>
      </c>
      <c r="S35" s="438">
        <f t="shared" ca="1" si="15"/>
        <v>0</v>
      </c>
      <c r="T35" s="438">
        <f t="shared" ca="1" si="16"/>
        <v>0</v>
      </c>
      <c r="U35" s="445">
        <f t="shared" ca="1" si="17"/>
        <v>0</v>
      </c>
      <c r="V35" s="446">
        <f t="shared" ca="1" si="18"/>
        <v>169500</v>
      </c>
      <c r="W35" s="447" t="str">
        <f t="shared" ca="1" si="19"/>
        <v>Nem szükséges indoklás.</v>
      </c>
      <c r="X35" s="571">
        <f t="shared" ca="1" si="20"/>
        <v>0</v>
      </c>
      <c r="Y35" s="554">
        <f t="shared" ca="1" si="21"/>
        <v>150000</v>
      </c>
      <c r="Z35" s="555">
        <f t="shared" ca="1" si="22"/>
        <v>19500</v>
      </c>
      <c r="AA35" s="573">
        <v>2</v>
      </c>
      <c r="AB35" s="474">
        <v>8468362336</v>
      </c>
      <c r="AC35" s="475" t="s">
        <v>166</v>
      </c>
      <c r="AD35" s="472" t="s">
        <v>45</v>
      </c>
      <c r="AE35" s="476" t="s">
        <v>24</v>
      </c>
      <c r="AF35" s="247" t="s">
        <v>124</v>
      </c>
      <c r="AG35" s="247" t="s">
        <v>161</v>
      </c>
      <c r="AH35" s="451" t="s">
        <v>131</v>
      </c>
      <c r="AI35" s="154">
        <v>44927</v>
      </c>
      <c r="AJ35" s="100" t="str">
        <f>IF(AI35&gt;0,
(IF(AI35&lt;Hónapok!$A$10,Admin!$A$28,
(IF(AI35&lt;Hónapok!$A$22,Admin!$B$28,
(IF(AI35&lt;Hónapok!$A$34,Admin!$C$28,
(IF(AI35&lt;Hónapok!$A$46,Admin!$D$28,"")))))))),"")</f>
        <v>2. mérföldkő</v>
      </c>
      <c r="AK35" s="469" t="s">
        <v>7</v>
      </c>
      <c r="AL35" s="101" t="s">
        <v>26</v>
      </c>
      <c r="AM35" s="900">
        <v>150000</v>
      </c>
      <c r="AN35" s="860">
        <f t="shared" si="0"/>
        <v>19500</v>
      </c>
      <c r="AO35" s="477">
        <v>87</v>
      </c>
      <c r="AP35" s="478">
        <v>87</v>
      </c>
      <c r="AQ35" s="454">
        <f t="shared" si="1"/>
        <v>1</v>
      </c>
      <c r="AR35" s="455">
        <f t="shared" si="23"/>
        <v>150000</v>
      </c>
      <c r="AS35" s="455">
        <f t="shared" si="2"/>
        <v>19500</v>
      </c>
      <c r="AT35" s="102">
        <f t="shared" si="3"/>
        <v>0</v>
      </c>
      <c r="AU35" s="116">
        <v>0.13</v>
      </c>
      <c r="AV35" s="565" t="str">
        <f>VLOOKUP(LEFT(AB35,10),Törzsszám!$A$1:$B$908,2,0)</f>
        <v>10001815</v>
      </c>
      <c r="AW35" s="615">
        <f t="shared" ca="1" si="24"/>
        <v>0</v>
      </c>
      <c r="AX35" s="473" t="s">
        <v>2518</v>
      </c>
      <c r="AY35" s="503"/>
      <c r="AZ35" s="502" t="s">
        <v>4607</v>
      </c>
      <c r="BA35" s="671">
        <v>150000</v>
      </c>
      <c r="BB35" s="649">
        <v>19500</v>
      </c>
      <c r="BC35" s="649">
        <f t="shared" ca="1" si="96"/>
        <v>0</v>
      </c>
      <c r="BD35" s="672">
        <f t="shared" ca="1" si="96"/>
        <v>0</v>
      </c>
      <c r="BE35" s="450" t="s">
        <v>165</v>
      </c>
    </row>
    <row r="36" spans="1:57" s="457" customFormat="1" ht="31.5" x14ac:dyDescent="0.25">
      <c r="A36" s="694" t="str">
        <f ca="1">Bérköltség!$B36</f>
        <v>FEOR</v>
      </c>
      <c r="B36" s="694" t="str">
        <f ca="1">IFERROR(
IF(AND(Bérköltség!$F36="",H36="NA"),"HIÁNYOS ADATOK",
IF(Bérköltség!$F36&lt;Bérköltség!$U36,Admin!$B$18,Admin!$B$17)),
"")</f>
        <v>FEOR</v>
      </c>
      <c r="C36" s="437">
        <f>IFERROR(INDEX('Historikus berek_2021-2'!$A$1:$F$903,MATCH(AB36,'Historikus berek_2021-2'!$A$1:$A$903,0),4),"")</f>
        <v>66000</v>
      </c>
      <c r="D36" s="438">
        <f t="shared" si="5"/>
        <v>66000</v>
      </c>
      <c r="E36" s="437">
        <f t="shared" si="6"/>
        <v>150000</v>
      </c>
      <c r="F36" s="439">
        <f t="shared" si="7"/>
        <v>94919.999999999971</v>
      </c>
      <c r="G36" s="440">
        <f t="shared" si="8"/>
        <v>74580</v>
      </c>
      <c r="H36" s="441">
        <f>IFERROR(INDEX('FEOR kodok'!$A$2:$J$1126,MATCH(Bérköltség!AB36,'FEOR kodok'!$B$2:$B$1126,0),8),"NA")</f>
        <v>2167</v>
      </c>
      <c r="I36" s="436">
        <f ca="1">IFERROR(INDEX('FEOR kodok'!$A$2:$J$1126,MATCH(Bérköltség!AB36,'FEOR kodok'!$B$2:$B$1126,0),10),"NA")</f>
        <v>28</v>
      </c>
      <c r="J36" s="442" t="str">
        <f t="shared" ca="1" si="9"/>
        <v>30 év alatt</v>
      </c>
      <c r="K36" s="436" t="str">
        <f>IFERROR(INDEX(admin_feor[#All],MATCH(Bérköltség!H36,admin_feor[[#All],[Foglalkozás]],0),2),"NA")</f>
        <v>Biológus, botanikus, zoológus és rokon foglalkozású</v>
      </c>
      <c r="L36" s="438">
        <f ca="1">IFERROR(
INDEX('Admin - FEOR'!$A$4:$F$465,MATCH(Bérköltség!H36,'Admin - FEOR'!$A$4:$A$465,0),
IF(J36="30 év alatt",3,
IF(J36="30–39 éves",4,
IF(J36="40–49 éves",5,
IF(J36="50 év és afelett",6
)))))*1,"NA")</f>
        <v>471057</v>
      </c>
      <c r="M36" s="438">
        <f t="shared" si="10"/>
        <v>150000</v>
      </c>
      <c r="N36" s="443">
        <f t="shared" ca="1" si="11"/>
        <v>0.31843280112597838</v>
      </c>
      <c r="O36" s="438">
        <f ca="1">IFERROR(
INDEX('Admin - FEOR'!$A$4:$F$465,MATCH(Bérköltség!H36,'Admin - FEOR'!$A$4:$A$465,0),
IF(J36="30 év alatt",3,
IF(J36="30–39 éves",4,
IF(J36="40–49 éves",5,
IF(J36="50 év és afelett",6
)))))*1.5,"NA")</f>
        <v>706585.5</v>
      </c>
      <c r="P36" s="438">
        <f t="shared" ca="1" si="12"/>
        <v>706585.5</v>
      </c>
      <c r="Q36" s="438">
        <f t="shared" si="13"/>
        <v>150000</v>
      </c>
      <c r="R36" s="444">
        <f t="shared" si="14"/>
        <v>1</v>
      </c>
      <c r="S36" s="438">
        <f t="shared" ca="1" si="15"/>
        <v>0</v>
      </c>
      <c r="T36" s="438">
        <f t="shared" ca="1" si="16"/>
        <v>0</v>
      </c>
      <c r="U36" s="445">
        <f t="shared" ca="1" si="17"/>
        <v>0</v>
      </c>
      <c r="V36" s="446">
        <f t="shared" ca="1" si="18"/>
        <v>169500</v>
      </c>
      <c r="W36" s="447" t="str">
        <f t="shared" ca="1" si="19"/>
        <v>Nem szükséges indoklás.</v>
      </c>
      <c r="X36" s="571">
        <f t="shared" ca="1" si="20"/>
        <v>0</v>
      </c>
      <c r="Y36" s="554">
        <f t="shared" ca="1" si="21"/>
        <v>150000</v>
      </c>
      <c r="Z36" s="555">
        <f t="shared" ca="1" si="22"/>
        <v>19500</v>
      </c>
      <c r="AA36" s="477"/>
      <c r="AB36" s="474">
        <v>8468362336</v>
      </c>
      <c r="AC36" s="475" t="s">
        <v>166</v>
      </c>
      <c r="AD36" s="472" t="s">
        <v>45</v>
      </c>
      <c r="AE36" s="476" t="s">
        <v>24</v>
      </c>
      <c r="AF36" s="247" t="s">
        <v>124</v>
      </c>
      <c r="AG36" s="247" t="s">
        <v>161</v>
      </c>
      <c r="AH36" s="451" t="s">
        <v>131</v>
      </c>
      <c r="AI36" s="154">
        <v>44958</v>
      </c>
      <c r="AJ36" s="100" t="str">
        <f>IF(AI36&gt;0,
(IF(AI36&lt;Hónapok!$A$10,Admin!$A$28,
(IF(AI36&lt;Hónapok!$A$22,Admin!$B$28,
(IF(AI36&lt;Hónapok!$A$34,Admin!$C$28,
(IF(AI36&lt;Hónapok!$A$46,Admin!$D$28,"")))))))),"")</f>
        <v>2. mérföldkő</v>
      </c>
      <c r="AK36" s="469" t="s">
        <v>7</v>
      </c>
      <c r="AL36" s="101" t="s">
        <v>26</v>
      </c>
      <c r="AM36" s="900">
        <v>150000</v>
      </c>
      <c r="AN36" s="860">
        <f t="shared" si="0"/>
        <v>19500</v>
      </c>
      <c r="AO36" s="477">
        <v>87</v>
      </c>
      <c r="AP36" s="478">
        <v>87</v>
      </c>
      <c r="AQ36" s="454">
        <f t="shared" si="1"/>
        <v>1</v>
      </c>
      <c r="AR36" s="455">
        <f t="shared" si="23"/>
        <v>150000</v>
      </c>
      <c r="AS36" s="455">
        <f t="shared" si="2"/>
        <v>19500</v>
      </c>
      <c r="AT36" s="102">
        <f t="shared" si="3"/>
        <v>0</v>
      </c>
      <c r="AU36" s="116">
        <v>0.13</v>
      </c>
      <c r="AV36" s="565" t="str">
        <f>VLOOKUP(LEFT(AB36,10),Törzsszám!$A$1:$B$908,2,0)</f>
        <v>10001815</v>
      </c>
      <c r="AW36" s="615">
        <f t="shared" ca="1" si="24"/>
        <v>0</v>
      </c>
      <c r="AX36" s="537" t="s">
        <v>4557</v>
      </c>
      <c r="AY36" s="503"/>
      <c r="AZ36" s="504"/>
      <c r="BA36" s="671"/>
      <c r="BB36" s="649"/>
      <c r="BC36" s="649"/>
      <c r="BD36" s="672"/>
      <c r="BE36" s="450" t="s">
        <v>165</v>
      </c>
    </row>
    <row r="37" spans="1:57" s="457" customFormat="1" ht="31.5" x14ac:dyDescent="0.25">
      <c r="A37" s="694" t="str">
        <f ca="1">Bérköltség!$B37</f>
        <v>FEOR</v>
      </c>
      <c r="B37" s="694" t="str">
        <f ca="1">IFERROR(
IF(AND(Bérköltség!$F37="",H37="NA"),"HIÁNYOS ADATOK",
IF(Bérköltség!$F37&lt;Bérköltség!$U37,Admin!$B$18,Admin!$B$17)),
"")</f>
        <v>FEOR</v>
      </c>
      <c r="C37" s="437">
        <f>IFERROR(INDEX('Historikus berek_2021-2'!$A$1:$F$903,MATCH(AB37,'Historikus berek_2021-2'!$A$1:$A$903,0),4),"")</f>
        <v>66000</v>
      </c>
      <c r="D37" s="438">
        <f t="shared" si="5"/>
        <v>66000</v>
      </c>
      <c r="E37" s="437">
        <f t="shared" si="6"/>
        <v>172500</v>
      </c>
      <c r="F37" s="439">
        <f t="shared" si="7"/>
        <v>120344.99999999997</v>
      </c>
      <c r="G37" s="440">
        <f t="shared" si="8"/>
        <v>74580</v>
      </c>
      <c r="H37" s="441">
        <f>IFERROR(INDEX('FEOR kodok'!$A$2:$J$1126,MATCH(Bérköltség!AB37,'FEOR kodok'!$B$2:$B$1126,0),8),"NA")</f>
        <v>2167</v>
      </c>
      <c r="I37" s="436">
        <f ca="1">IFERROR(INDEX('FEOR kodok'!$A$2:$J$1126,MATCH(Bérköltség!AB37,'FEOR kodok'!$B$2:$B$1126,0),10),"NA")</f>
        <v>28</v>
      </c>
      <c r="J37" s="442" t="str">
        <f t="shared" ca="1" si="9"/>
        <v>30 év alatt</v>
      </c>
      <c r="K37" s="436" t="str">
        <f>IFERROR(INDEX(admin_feor[#All],MATCH(Bérköltség!H37,admin_feor[[#All],[Foglalkozás]],0),2),"NA")</f>
        <v>Biológus, botanikus, zoológus és rokon foglalkozású</v>
      </c>
      <c r="L37" s="438">
        <f ca="1">IFERROR(
INDEX('Admin - FEOR'!$A$4:$F$465,MATCH(Bérköltség!H37,'Admin - FEOR'!$A$4:$A$465,0),
IF(J37="30 év alatt",3,
IF(J37="30–39 éves",4,
IF(J37="40–49 éves",5,
IF(J37="50 év és afelett",6
)))))*1,"NA")</f>
        <v>471057</v>
      </c>
      <c r="M37" s="438">
        <f t="shared" si="10"/>
        <v>172500</v>
      </c>
      <c r="N37" s="443">
        <f t="shared" ca="1" si="11"/>
        <v>0.36619772129487516</v>
      </c>
      <c r="O37" s="438">
        <f ca="1">IFERROR(
INDEX('Admin - FEOR'!$A$4:$F$465,MATCH(Bérköltség!H37,'Admin - FEOR'!$A$4:$A$465,0),
IF(J37="30 év alatt",3,
IF(J37="30–39 éves",4,
IF(J37="40–49 éves",5,
IF(J37="50 év és afelett",6
)))))*1.5,"NA")</f>
        <v>706585.5</v>
      </c>
      <c r="P37" s="438">
        <f t="shared" ca="1" si="12"/>
        <v>706585.5</v>
      </c>
      <c r="Q37" s="438">
        <f t="shared" si="13"/>
        <v>172500</v>
      </c>
      <c r="R37" s="444">
        <f t="shared" si="14"/>
        <v>1</v>
      </c>
      <c r="S37" s="438">
        <f t="shared" ca="1" si="15"/>
        <v>0</v>
      </c>
      <c r="T37" s="438">
        <f t="shared" ca="1" si="16"/>
        <v>0</v>
      </c>
      <c r="U37" s="445">
        <f t="shared" ca="1" si="17"/>
        <v>0</v>
      </c>
      <c r="V37" s="446">
        <f t="shared" ca="1" si="18"/>
        <v>194925</v>
      </c>
      <c r="W37" s="447" t="str">
        <f t="shared" ca="1" si="19"/>
        <v>Nem szükséges indoklás.</v>
      </c>
      <c r="X37" s="571">
        <f t="shared" ca="1" si="20"/>
        <v>0</v>
      </c>
      <c r="Y37" s="554">
        <f t="shared" ca="1" si="21"/>
        <v>172500</v>
      </c>
      <c r="Z37" s="555">
        <f t="shared" ca="1" si="22"/>
        <v>22425</v>
      </c>
      <c r="AA37" s="477"/>
      <c r="AB37" s="474">
        <v>8468362336</v>
      </c>
      <c r="AC37" s="475" t="s">
        <v>166</v>
      </c>
      <c r="AD37" s="472" t="s">
        <v>45</v>
      </c>
      <c r="AE37" s="476" t="s">
        <v>24</v>
      </c>
      <c r="AF37" s="247" t="s">
        <v>124</v>
      </c>
      <c r="AG37" s="247" t="s">
        <v>161</v>
      </c>
      <c r="AH37" s="451" t="s">
        <v>131</v>
      </c>
      <c r="AI37" s="154">
        <v>44986</v>
      </c>
      <c r="AJ37" s="100" t="str">
        <f>IF(AI37&gt;0,
(IF(AI37&lt;Hónapok!$A$10,Admin!$A$28,
(IF(AI37&lt;Hónapok!$A$22,Admin!$B$28,
(IF(AI37&lt;Hónapok!$A$34,Admin!$C$28,
(IF(AI37&lt;Hónapok!$A$46,Admin!$D$28,"")))))))),"")</f>
        <v>3. mérföldkő</v>
      </c>
      <c r="AK37" s="470" t="s">
        <v>7</v>
      </c>
      <c r="AL37" s="101" t="s">
        <v>26</v>
      </c>
      <c r="AM37" s="900">
        <v>172500</v>
      </c>
      <c r="AN37" s="860">
        <f t="shared" si="0"/>
        <v>22425</v>
      </c>
      <c r="AO37" s="477">
        <v>87</v>
      </c>
      <c r="AP37" s="478">
        <v>87</v>
      </c>
      <c r="AQ37" s="454">
        <f t="shared" si="1"/>
        <v>1</v>
      </c>
      <c r="AR37" s="455">
        <f t="shared" si="23"/>
        <v>172500</v>
      </c>
      <c r="AS37" s="455">
        <f t="shared" si="2"/>
        <v>22425</v>
      </c>
      <c r="AT37" s="102">
        <f t="shared" si="3"/>
        <v>0</v>
      </c>
      <c r="AU37" s="116">
        <v>0.13</v>
      </c>
      <c r="AV37" s="565" t="str">
        <f>VLOOKUP(LEFT(AB37,10),Törzsszám!$A$1:$B$908,2,0)</f>
        <v>10001815</v>
      </c>
      <c r="AW37" s="681">
        <f t="shared" ca="1" si="24"/>
        <v>0</v>
      </c>
      <c r="AX37" s="471" t="s">
        <v>4561</v>
      </c>
      <c r="AY37" s="503"/>
      <c r="AZ37" s="504"/>
      <c r="BA37" s="671"/>
      <c r="BB37" s="649"/>
      <c r="BC37" s="649"/>
      <c r="BD37" s="672"/>
      <c r="BE37" s="450" t="s">
        <v>165</v>
      </c>
    </row>
    <row r="38" spans="1:57" s="457" customFormat="1" ht="31.5" x14ac:dyDescent="0.25">
      <c r="A38" s="694" t="str">
        <f ca="1">Bérköltség!$B38</f>
        <v>FEOR</v>
      </c>
      <c r="B38" s="694" t="str">
        <f ca="1">IFERROR(
IF(AND(Bérköltség!$F38="",H38="NA"),"HIÁNYOS ADATOK",
IF(Bérköltség!$F38&lt;Bérköltség!$U38,Admin!$B$18,Admin!$B$17)),
"")</f>
        <v>FEOR</v>
      </c>
      <c r="C38" s="437">
        <f>IFERROR(INDEX('Historikus berek_2021-2'!$A$1:$F$903,MATCH(AB38,'Historikus berek_2021-2'!$A$1:$A$903,0),4),"")</f>
        <v>66000</v>
      </c>
      <c r="D38" s="438">
        <f t="shared" si="5"/>
        <v>66000</v>
      </c>
      <c r="E38" s="437">
        <f t="shared" si="6"/>
        <v>172500</v>
      </c>
      <c r="F38" s="439">
        <f t="shared" si="7"/>
        <v>120344.99999999997</v>
      </c>
      <c r="G38" s="440">
        <f t="shared" si="8"/>
        <v>74580</v>
      </c>
      <c r="H38" s="441">
        <f>IFERROR(INDEX('FEOR kodok'!$A$2:$J$1126,MATCH(Bérköltség!AB38,'FEOR kodok'!$B$2:$B$1126,0),8),"NA")</f>
        <v>2167</v>
      </c>
      <c r="I38" s="436">
        <f ca="1">IFERROR(INDEX('FEOR kodok'!$A$2:$J$1126,MATCH(Bérköltség!AB38,'FEOR kodok'!$B$2:$B$1126,0),10),"NA")</f>
        <v>28</v>
      </c>
      <c r="J38" s="442" t="str">
        <f t="shared" ca="1" si="9"/>
        <v>30 év alatt</v>
      </c>
      <c r="K38" s="436" t="str">
        <f>IFERROR(INDEX(admin_feor[#All],MATCH(Bérköltség!H38,admin_feor[[#All],[Foglalkozás]],0),2),"NA")</f>
        <v>Biológus, botanikus, zoológus és rokon foglalkozású</v>
      </c>
      <c r="L38" s="438">
        <f ca="1">IFERROR(
INDEX('Admin - FEOR'!$A$4:$F$465,MATCH(Bérköltség!H38,'Admin - FEOR'!$A$4:$A$465,0),
IF(J38="30 év alatt",3,
IF(J38="30–39 éves",4,
IF(J38="40–49 éves",5,
IF(J38="50 év és afelett",6
)))))*1,"NA")</f>
        <v>471057</v>
      </c>
      <c r="M38" s="438">
        <f t="shared" si="10"/>
        <v>172500</v>
      </c>
      <c r="N38" s="443">
        <f t="shared" ca="1" si="11"/>
        <v>0.36619772129487516</v>
      </c>
      <c r="O38" s="438">
        <f ca="1">IFERROR(
INDEX('Admin - FEOR'!$A$4:$F$465,MATCH(Bérköltség!H38,'Admin - FEOR'!$A$4:$A$465,0),
IF(J38="30 év alatt",3,
IF(J38="30–39 éves",4,
IF(J38="40–49 éves",5,
IF(J38="50 év és afelett",6
)))))*1.5,"NA")</f>
        <v>706585.5</v>
      </c>
      <c r="P38" s="438">
        <f t="shared" ca="1" si="12"/>
        <v>706585.5</v>
      </c>
      <c r="Q38" s="438">
        <f t="shared" si="13"/>
        <v>172500</v>
      </c>
      <c r="R38" s="444">
        <f t="shared" si="14"/>
        <v>1</v>
      </c>
      <c r="S38" s="438">
        <f t="shared" ca="1" si="15"/>
        <v>0</v>
      </c>
      <c r="T38" s="438">
        <f t="shared" ca="1" si="16"/>
        <v>0</v>
      </c>
      <c r="U38" s="445">
        <f t="shared" ca="1" si="17"/>
        <v>0</v>
      </c>
      <c r="V38" s="446">
        <f t="shared" ca="1" si="18"/>
        <v>194925</v>
      </c>
      <c r="W38" s="447" t="str">
        <f t="shared" ca="1" si="19"/>
        <v>Nem szükséges indoklás.</v>
      </c>
      <c r="X38" s="571">
        <f t="shared" ca="1" si="20"/>
        <v>0</v>
      </c>
      <c r="Y38" s="554">
        <f t="shared" ca="1" si="21"/>
        <v>172500</v>
      </c>
      <c r="Z38" s="555">
        <f t="shared" ca="1" si="22"/>
        <v>22425</v>
      </c>
      <c r="AA38" s="477"/>
      <c r="AB38" s="474">
        <v>8468362336</v>
      </c>
      <c r="AC38" s="475" t="s">
        <v>166</v>
      </c>
      <c r="AD38" s="472" t="s">
        <v>45</v>
      </c>
      <c r="AE38" s="476" t="s">
        <v>24</v>
      </c>
      <c r="AF38" s="247" t="s">
        <v>124</v>
      </c>
      <c r="AG38" s="247" t="s">
        <v>161</v>
      </c>
      <c r="AH38" s="451" t="s">
        <v>131</v>
      </c>
      <c r="AI38" s="154">
        <v>45017</v>
      </c>
      <c r="AJ38" s="100" t="str">
        <f>IF(AI38&gt;0,
(IF(AI38&lt;Hónapok!$A$10,Admin!$A$28,
(IF(AI38&lt;Hónapok!$A$22,Admin!$B$28,
(IF(AI38&lt;Hónapok!$A$34,Admin!$C$28,
(IF(AI38&lt;Hónapok!$A$46,Admin!$D$28,"")))))))),"")</f>
        <v>3. mérföldkő</v>
      </c>
      <c r="AK38" s="470" t="s">
        <v>7</v>
      </c>
      <c r="AL38" s="477" t="s">
        <v>26</v>
      </c>
      <c r="AM38" s="900">
        <v>172500</v>
      </c>
      <c r="AN38" s="860">
        <f t="shared" si="0"/>
        <v>22425</v>
      </c>
      <c r="AO38" s="477">
        <v>87</v>
      </c>
      <c r="AP38" s="478">
        <v>87</v>
      </c>
      <c r="AQ38" s="454">
        <f t="shared" si="1"/>
        <v>1</v>
      </c>
      <c r="AR38" s="455">
        <f t="shared" si="23"/>
        <v>172500</v>
      </c>
      <c r="AS38" s="455">
        <f t="shared" si="2"/>
        <v>22425</v>
      </c>
      <c r="AT38" s="102">
        <f t="shared" si="3"/>
        <v>0</v>
      </c>
      <c r="AU38" s="116">
        <v>0.13</v>
      </c>
      <c r="AV38" s="565" t="str">
        <f>VLOOKUP(LEFT(AB38,10),Törzsszám!$A$1:$B$908,2,0)</f>
        <v>10001815</v>
      </c>
      <c r="AW38" s="681">
        <f t="shared" ca="1" si="24"/>
        <v>0</v>
      </c>
      <c r="AX38" s="471" t="s">
        <v>4581</v>
      </c>
      <c r="AY38" s="503"/>
      <c r="AZ38" s="504"/>
      <c r="BA38" s="671"/>
      <c r="BB38" s="649"/>
      <c r="BC38" s="649"/>
      <c r="BD38" s="672"/>
      <c r="BE38" s="450" t="s">
        <v>165</v>
      </c>
    </row>
    <row r="39" spans="1:57" s="457" customFormat="1" ht="31.5" x14ac:dyDescent="0.25">
      <c r="A39" s="694" t="str">
        <f ca="1">Bérköltség!$B39</f>
        <v>FEOR</v>
      </c>
      <c r="B39" s="694" t="str">
        <f ca="1">IFERROR(
IF(AND(Bérköltség!$F39="",H39="NA"),"HIÁNYOS ADATOK",
IF(Bérköltség!$F39&lt;Bérköltség!$U39,Admin!$B$18,Admin!$B$17)),
"")</f>
        <v>FEOR</v>
      </c>
      <c r="C39" s="437">
        <f>IFERROR(INDEX('Historikus berek_2021-2'!$A$1:$F$903,MATCH(AB39,'Historikus berek_2021-2'!$A$1:$A$903,0),4),"")</f>
        <v>66000</v>
      </c>
      <c r="D39" s="438">
        <f t="shared" si="5"/>
        <v>66000</v>
      </c>
      <c r="E39" s="437">
        <f t="shared" si="6"/>
        <v>172500</v>
      </c>
      <c r="F39" s="439">
        <f t="shared" si="7"/>
        <v>120344.99999999997</v>
      </c>
      <c r="G39" s="440">
        <f t="shared" si="8"/>
        <v>74580</v>
      </c>
      <c r="H39" s="441">
        <f>IFERROR(INDEX('FEOR kodok'!$A$2:$J$1126,MATCH(Bérköltség!AB39,'FEOR kodok'!$B$2:$B$1126,0),8),"NA")</f>
        <v>2167</v>
      </c>
      <c r="I39" s="436">
        <f ca="1">IFERROR(INDEX('FEOR kodok'!$A$2:$J$1126,MATCH(Bérköltség!AB39,'FEOR kodok'!$B$2:$B$1126,0),10),"NA")</f>
        <v>28</v>
      </c>
      <c r="J39" s="442" t="str">
        <f t="shared" ca="1" si="9"/>
        <v>30 év alatt</v>
      </c>
      <c r="K39" s="436" t="str">
        <f>IFERROR(INDEX(admin_feor[#All],MATCH(Bérköltség!H39,admin_feor[[#All],[Foglalkozás]],0),2),"NA")</f>
        <v>Biológus, botanikus, zoológus és rokon foglalkozású</v>
      </c>
      <c r="L39" s="438">
        <f ca="1">IFERROR(
INDEX('Admin - FEOR'!$A$4:$F$465,MATCH(Bérköltség!H39,'Admin - FEOR'!$A$4:$A$465,0),
IF(J39="30 év alatt",3,
IF(J39="30–39 éves",4,
IF(J39="40–49 éves",5,
IF(J39="50 év és afelett",6
)))))*1,"NA")</f>
        <v>471057</v>
      </c>
      <c r="M39" s="438">
        <f t="shared" si="10"/>
        <v>172500</v>
      </c>
      <c r="N39" s="443">
        <f t="shared" ca="1" si="11"/>
        <v>0.36619772129487516</v>
      </c>
      <c r="O39" s="438">
        <f ca="1">IFERROR(
INDEX('Admin - FEOR'!$A$4:$F$465,MATCH(Bérköltség!H39,'Admin - FEOR'!$A$4:$A$465,0),
IF(J39="30 év alatt",3,
IF(J39="30–39 éves",4,
IF(J39="40–49 éves",5,
IF(J39="50 év és afelett",6
)))))*1.5,"NA")</f>
        <v>706585.5</v>
      </c>
      <c r="P39" s="438">
        <f t="shared" ca="1" si="12"/>
        <v>706585.5</v>
      </c>
      <c r="Q39" s="438">
        <f t="shared" si="13"/>
        <v>172500</v>
      </c>
      <c r="R39" s="444">
        <f t="shared" si="14"/>
        <v>1</v>
      </c>
      <c r="S39" s="438">
        <f t="shared" ca="1" si="15"/>
        <v>0</v>
      </c>
      <c r="T39" s="438">
        <f t="shared" ca="1" si="16"/>
        <v>0</v>
      </c>
      <c r="U39" s="445">
        <f t="shared" ca="1" si="17"/>
        <v>0</v>
      </c>
      <c r="V39" s="446">
        <f t="shared" ca="1" si="18"/>
        <v>194925</v>
      </c>
      <c r="W39" s="447" t="str">
        <f t="shared" ca="1" si="19"/>
        <v>Nem szükséges indoklás.</v>
      </c>
      <c r="X39" s="571">
        <f t="shared" ca="1" si="20"/>
        <v>0</v>
      </c>
      <c r="Y39" s="554">
        <f t="shared" ca="1" si="21"/>
        <v>172500</v>
      </c>
      <c r="Z39" s="555">
        <f t="shared" ca="1" si="22"/>
        <v>22425</v>
      </c>
      <c r="AA39" s="477"/>
      <c r="AB39" s="474">
        <v>8468362336</v>
      </c>
      <c r="AC39" s="475" t="s">
        <v>166</v>
      </c>
      <c r="AD39" s="472" t="s">
        <v>45</v>
      </c>
      <c r="AE39" s="476" t="s">
        <v>24</v>
      </c>
      <c r="AF39" s="247" t="s">
        <v>124</v>
      </c>
      <c r="AG39" s="247" t="s">
        <v>161</v>
      </c>
      <c r="AH39" s="451" t="s">
        <v>131</v>
      </c>
      <c r="AI39" s="154">
        <v>45047</v>
      </c>
      <c r="AJ39" s="100" t="str">
        <f>IF(AI39&gt;0,
(IF(AI39&lt;Hónapok!$A$10,Admin!$A$28,
(IF(AI39&lt;Hónapok!$A$22,Admin!$B$28,
(IF(AI39&lt;Hónapok!$A$34,Admin!$C$28,
(IF(AI39&lt;Hónapok!$A$46,Admin!$D$28,"")))))))),"")</f>
        <v>3. mérföldkő</v>
      </c>
      <c r="AK39" s="470" t="s">
        <v>7</v>
      </c>
      <c r="AL39" s="477" t="s">
        <v>26</v>
      </c>
      <c r="AM39" s="900">
        <v>172500</v>
      </c>
      <c r="AN39" s="860">
        <f t="shared" si="0"/>
        <v>22425</v>
      </c>
      <c r="AO39" s="477">
        <v>87</v>
      </c>
      <c r="AP39" s="478">
        <v>87</v>
      </c>
      <c r="AQ39" s="454">
        <f t="shared" si="1"/>
        <v>1</v>
      </c>
      <c r="AR39" s="455">
        <f t="shared" si="23"/>
        <v>172500</v>
      </c>
      <c r="AS39" s="455">
        <f t="shared" si="2"/>
        <v>22425</v>
      </c>
      <c r="AT39" s="102">
        <f t="shared" si="3"/>
        <v>0</v>
      </c>
      <c r="AU39" s="116">
        <v>0.13</v>
      </c>
      <c r="AV39" s="565" t="str">
        <f>VLOOKUP(LEFT(AB39,10),Törzsszám!$A$1:$B$908,2,0)</f>
        <v>10001815</v>
      </c>
      <c r="AW39" s="681">
        <f t="shared" ca="1" si="24"/>
        <v>0</v>
      </c>
      <c r="AX39" s="471" t="s">
        <v>4596</v>
      </c>
      <c r="AY39" s="503"/>
      <c r="AZ39" s="504"/>
      <c r="BA39" s="671"/>
      <c r="BB39" s="649"/>
      <c r="BC39" s="649"/>
      <c r="BD39" s="672"/>
      <c r="BE39" s="450" t="s">
        <v>165</v>
      </c>
    </row>
    <row r="40" spans="1:57" s="457" customFormat="1" ht="31.5" x14ac:dyDescent="0.25">
      <c r="A40" s="694" t="str">
        <f ca="1">Bérköltség!$B40</f>
        <v>FEOR</v>
      </c>
      <c r="B40" s="694" t="str">
        <f ca="1">IFERROR(
IF(AND(Bérköltség!$F40="",H40="NA"),"HIÁNYOS ADATOK",
IF(Bérköltség!$F40&lt;Bérköltség!$U40,Admin!$B$18,Admin!$B$17)),
"")</f>
        <v>FEOR</v>
      </c>
      <c r="C40" s="437">
        <f>IFERROR(INDEX('Historikus berek_2021-2'!$A$1:$F$903,MATCH(AB40,'Historikus berek_2021-2'!$A$1:$A$903,0),4),"")</f>
        <v>66000</v>
      </c>
      <c r="D40" s="438">
        <f t="shared" si="5"/>
        <v>66000</v>
      </c>
      <c r="E40" s="437">
        <f t="shared" si="6"/>
        <v>172500</v>
      </c>
      <c r="F40" s="439">
        <f t="shared" si="7"/>
        <v>120344.99999999997</v>
      </c>
      <c r="G40" s="440">
        <f t="shared" si="8"/>
        <v>74580</v>
      </c>
      <c r="H40" s="441">
        <f>IFERROR(INDEX('FEOR kodok'!$A$2:$J$1126,MATCH(Bérköltség!AB40,'FEOR kodok'!$B$2:$B$1126,0),8),"NA")</f>
        <v>2167</v>
      </c>
      <c r="I40" s="436">
        <f ca="1">IFERROR(INDEX('FEOR kodok'!$A$2:$J$1126,MATCH(Bérköltség!AB40,'FEOR kodok'!$B$2:$B$1126,0),10),"NA")</f>
        <v>28</v>
      </c>
      <c r="J40" s="442" t="str">
        <f t="shared" ca="1" si="9"/>
        <v>30 év alatt</v>
      </c>
      <c r="K40" s="436" t="str">
        <f>IFERROR(INDEX(admin_feor[#All],MATCH(Bérköltség!H40,admin_feor[[#All],[Foglalkozás]],0),2),"NA")</f>
        <v>Biológus, botanikus, zoológus és rokon foglalkozású</v>
      </c>
      <c r="L40" s="438">
        <f ca="1">IFERROR(
INDEX('Admin - FEOR'!$A$4:$F$465,MATCH(Bérköltség!H40,'Admin - FEOR'!$A$4:$A$465,0),
IF(J40="30 év alatt",3,
IF(J40="30–39 éves",4,
IF(J40="40–49 éves",5,
IF(J40="50 év és afelett",6
)))))*1,"NA")</f>
        <v>471057</v>
      </c>
      <c r="M40" s="438">
        <f t="shared" si="10"/>
        <v>172500</v>
      </c>
      <c r="N40" s="443">
        <f t="shared" ca="1" si="11"/>
        <v>0.36619772129487516</v>
      </c>
      <c r="O40" s="438">
        <f ca="1">IFERROR(
INDEX('Admin - FEOR'!$A$4:$F$465,MATCH(Bérköltség!H40,'Admin - FEOR'!$A$4:$A$465,0),
IF(J40="30 év alatt",3,
IF(J40="30–39 éves",4,
IF(J40="40–49 éves",5,
IF(J40="50 év és afelett",6
)))))*1.5,"NA")</f>
        <v>706585.5</v>
      </c>
      <c r="P40" s="438">
        <f t="shared" ca="1" si="12"/>
        <v>706585.5</v>
      </c>
      <c r="Q40" s="438">
        <f t="shared" si="13"/>
        <v>172500</v>
      </c>
      <c r="R40" s="444">
        <f t="shared" si="14"/>
        <v>1</v>
      </c>
      <c r="S40" s="438">
        <f t="shared" ca="1" si="15"/>
        <v>0</v>
      </c>
      <c r="T40" s="438">
        <f t="shared" ca="1" si="16"/>
        <v>0</v>
      </c>
      <c r="U40" s="445">
        <f t="shared" ca="1" si="17"/>
        <v>0</v>
      </c>
      <c r="V40" s="446">
        <f t="shared" ca="1" si="18"/>
        <v>194925</v>
      </c>
      <c r="W40" s="447" t="str">
        <f t="shared" ca="1" si="19"/>
        <v>Nem szükséges indoklás.</v>
      </c>
      <c r="X40" s="571">
        <f t="shared" ca="1" si="20"/>
        <v>0</v>
      </c>
      <c r="Y40" s="554">
        <f t="shared" ca="1" si="21"/>
        <v>172500</v>
      </c>
      <c r="Z40" s="555">
        <f t="shared" ca="1" si="22"/>
        <v>22425</v>
      </c>
      <c r="AA40" s="477"/>
      <c r="AB40" s="474">
        <v>8468362336</v>
      </c>
      <c r="AC40" s="475" t="s">
        <v>166</v>
      </c>
      <c r="AD40" s="472" t="s">
        <v>45</v>
      </c>
      <c r="AE40" s="476" t="s">
        <v>24</v>
      </c>
      <c r="AF40" s="247" t="s">
        <v>124</v>
      </c>
      <c r="AG40" s="247" t="s">
        <v>161</v>
      </c>
      <c r="AH40" s="451" t="s">
        <v>131</v>
      </c>
      <c r="AI40" s="154">
        <v>45078</v>
      </c>
      <c r="AJ40" s="100" t="str">
        <f>IF(AI40&gt;0,
(IF(AI40&lt;Hónapok!$A$10,Admin!$A$28,
(IF(AI40&lt;Hónapok!$A$22,Admin!$B$28,
(IF(AI40&lt;Hónapok!$A$34,Admin!$C$28,
(IF(AI40&lt;Hónapok!$A$46,Admin!$D$28,"")))))))),"")</f>
        <v>3. mérföldkő</v>
      </c>
      <c r="AK40" s="470" t="s">
        <v>7</v>
      </c>
      <c r="AL40" s="477" t="s">
        <v>26</v>
      </c>
      <c r="AM40" s="900">
        <v>172500</v>
      </c>
      <c r="AN40" s="860">
        <f t="shared" si="0"/>
        <v>22425</v>
      </c>
      <c r="AO40" s="477">
        <v>87</v>
      </c>
      <c r="AP40" s="478">
        <v>87</v>
      </c>
      <c r="AQ40" s="843">
        <f t="shared" si="1"/>
        <v>1</v>
      </c>
      <c r="AR40" s="455">
        <f t="shared" si="23"/>
        <v>172500</v>
      </c>
      <c r="AS40" s="455">
        <f t="shared" si="2"/>
        <v>22425</v>
      </c>
      <c r="AT40" s="102">
        <f t="shared" si="3"/>
        <v>0</v>
      </c>
      <c r="AU40" s="116">
        <v>0.13</v>
      </c>
      <c r="AV40" s="565" t="str">
        <f>VLOOKUP(LEFT(AB40,10),Törzsszám!$A$1:$B$908,2,0)</f>
        <v>10001815</v>
      </c>
      <c r="AW40" s="681">
        <f t="shared" ca="1" si="24"/>
        <v>0</v>
      </c>
      <c r="AX40" s="471" t="s">
        <v>4606</v>
      </c>
      <c r="AY40" s="503"/>
      <c r="AZ40" s="504"/>
      <c r="BA40" s="671"/>
      <c r="BB40" s="649"/>
      <c r="BC40" s="649"/>
      <c r="BD40" s="672"/>
      <c r="BE40" s="450" t="s">
        <v>165</v>
      </c>
    </row>
    <row r="41" spans="1:57" s="457" customFormat="1" ht="31.5" x14ac:dyDescent="0.25">
      <c r="A41" s="694" t="str">
        <f ca="1">Bérköltség!$B41</f>
        <v>FEOR</v>
      </c>
      <c r="B41" s="694" t="str">
        <f ca="1">IFERROR(
IF(AND(Bérköltség!$F41="",H41="NA"),"HIÁNYOS ADATOK",
IF(Bérköltség!$F41&lt;Bérköltség!$U41,Admin!$B$18,Admin!$B$17)),
"")</f>
        <v>FEOR</v>
      </c>
      <c r="C41" s="437">
        <f>IFERROR(INDEX('Historikus berek_2021-2'!$A$1:$F$903,MATCH(AB41,'Historikus berek_2021-2'!$A$1:$A$903,0),4),"")</f>
        <v>66000</v>
      </c>
      <c r="D41" s="438">
        <f t="shared" ref="D41:D45" si="97">IFERROR(C41*AQ41,"NA")</f>
        <v>66000</v>
      </c>
      <c r="E41" s="437">
        <f t="shared" ref="E41:E45" si="98">AR41</f>
        <v>172500</v>
      </c>
      <c r="F41" s="439">
        <f t="shared" ref="F41:F45" si="99">IFERROR(IF((E41*(1+AU41)-D41*(1+AU41))&lt;0,0,(E41*(1+AU41)-D41*(1+AU41))),"")</f>
        <v>120344.99999999997</v>
      </c>
      <c r="G41" s="440">
        <f t="shared" ref="G41:G45" si="100">IFERROR((E41*(1+AU41)-F41),"")</f>
        <v>74580</v>
      </c>
      <c r="H41" s="441">
        <f>IFERROR(INDEX('FEOR kodok'!$A$2:$J$1126,MATCH(Bérköltség!AB41,'FEOR kodok'!$B$2:$B$1126,0),8),"NA")</f>
        <v>2167</v>
      </c>
      <c r="I41" s="436">
        <f ca="1">IFERROR(INDEX('FEOR kodok'!$A$2:$J$1126,MATCH(Bérköltség!AB41,'FEOR kodok'!$B$2:$B$1126,0),10),"NA")</f>
        <v>28</v>
      </c>
      <c r="J41" s="442" t="str">
        <f t="shared" ref="J41:J45" ca="1" si="101">IF(I41="NA","NA",
IF(I41&lt;30,"30 év alatt",
IF(AND(I41&gt;=30,I41&lt;=39),"30–39 éves",
IF(AND(I41&gt;=40,I41&lt;=49),"40–49 éves",
IF(I41&gt;=50,"50 év és afelett",
"")))))</f>
        <v>30 év alatt</v>
      </c>
      <c r="K41" s="436" t="str">
        <f>IFERROR(INDEX(admin_feor[#All],MATCH(Bérköltség!H41,admin_feor[[#All],[Foglalkozás]],0),2),"NA")</f>
        <v>Biológus, botanikus, zoológus és rokon foglalkozású</v>
      </c>
      <c r="L41" s="438">
        <f ca="1">IFERROR(
INDEX('Admin - FEOR'!$A$4:$F$465,MATCH(Bérköltség!H41,'Admin - FEOR'!$A$4:$A$465,0),
IF(J41="30 év alatt",3,
IF(J41="30–39 éves",4,
IF(J41="40–49 éves",5,
IF(J41="50 év és afelett",6
)))))*1,"NA")</f>
        <v>471057</v>
      </c>
      <c r="M41" s="438">
        <f t="shared" ref="M41:M45" si="102">AM41</f>
        <v>172500</v>
      </c>
      <c r="N41" s="443">
        <f t="shared" ref="N41:N45" ca="1" si="103">IFERROR(
M41/L41,"NA")</f>
        <v>0.36619772129487516</v>
      </c>
      <c r="O41" s="438">
        <f ca="1">IFERROR(
INDEX('Admin - FEOR'!$A$4:$F$465,MATCH(Bérköltség!H41,'Admin - FEOR'!$A$4:$A$465,0),
IF(J41="30 év alatt",3,
IF(J41="30–39 éves",4,
IF(J41="40–49 éves",5,
IF(J41="50 év és afelett",6
)))))*1.5,"NA")</f>
        <v>706585.5</v>
      </c>
      <c r="P41" s="438">
        <f t="shared" ref="P41:P45" ca="1" si="104">IFERROR(
AQ41*O41,"NA")</f>
        <v>706585.5</v>
      </c>
      <c r="Q41" s="438">
        <f t="shared" ref="Q41:Q45" si="105">IFERROR(AR41,"")</f>
        <v>172500</v>
      </c>
      <c r="R41" s="444">
        <f t="shared" ref="R41:R45" si="106">IFERROR(AQ41,"")</f>
        <v>1</v>
      </c>
      <c r="S41" s="438">
        <f t="shared" ref="S41:S45" ca="1" si="107">IFERROR(
IF(AR41-P41&lt;0,0,AR41-P41),"NA")</f>
        <v>0</v>
      </c>
      <c r="T41" s="438">
        <f t="shared" ref="T41:T45" ca="1" si="108">IFERROR(
S41*AU41,"NA")</f>
        <v>0</v>
      </c>
      <c r="U41" s="445">
        <f t="shared" ref="U41:U45" ca="1" si="109">IFERROR(
S41+T41,"NA")</f>
        <v>0</v>
      </c>
      <c r="V41" s="446">
        <f t="shared" ref="V41:V45" ca="1" si="110">IFERROR(
IF(U41&gt;0,AR41+AS41-U41,AR41+AS41),"NA")</f>
        <v>194925</v>
      </c>
      <c r="W41" s="447" t="str">
        <f t="shared" ref="W41:W45" ca="1" si="111">IF(P41="NA","FEOR hiányzik",
IF(AND(N41&gt;1,A41="FEOR"),CONCATENATE("Indoklás szükséges mivel a FEOR: ",ROUND(N41*100,1),"%"),"Nem szükséges indoklás.")
)</f>
        <v>Nem szükséges indoklás.</v>
      </c>
      <c r="X41" s="571">
        <f t="shared" ref="X41:X45" ca="1" si="112">IF(A41="FEOR",U41,IF(A41="HIÁNYOS ADATOK","HIÁNYOS ADATOK",F41))</f>
        <v>0</v>
      </c>
      <c r="Y41" s="554">
        <f t="shared" ref="Y41:Y45" ca="1" si="113">IF(A41="FEOR",ROUND(V41/(1+AU41),0),IF(A41="HIÁNYOS ADATOK","HIÁNYOS ADATOK",ROUND(G41/(1+AU41),0)))</f>
        <v>172500</v>
      </c>
      <c r="Z41" s="555">
        <f t="shared" ref="Z41:Z45" ca="1" si="114">IF(A41="FEOR",ROUND(V41-Y41,0),IF(A41="HIÁNYOS ADATOK","HIÁNYOS ADATOK",ROUND(G41-Y41,0)))</f>
        <v>22425</v>
      </c>
      <c r="AA41" s="477"/>
      <c r="AB41" s="474">
        <v>8468362336</v>
      </c>
      <c r="AC41" s="475" t="s">
        <v>166</v>
      </c>
      <c r="AD41" s="472" t="s">
        <v>45</v>
      </c>
      <c r="AE41" s="476" t="s">
        <v>24</v>
      </c>
      <c r="AF41" s="247" t="s">
        <v>124</v>
      </c>
      <c r="AG41" s="247" t="s">
        <v>161</v>
      </c>
      <c r="AH41" s="451" t="s">
        <v>131</v>
      </c>
      <c r="AI41" s="154">
        <v>45108</v>
      </c>
      <c r="AJ41" s="100" t="str">
        <f>IF(AI41&gt;0,
(IF(AI41&lt;Hónapok!$A$10,Admin!$A$28,
(IF(AI41&lt;Hónapok!$A$22,Admin!$B$28,
(IF(AI41&lt;Hónapok!$A$34,Admin!$C$28,
(IF(AI41&lt;Hónapok!$A$46,Admin!$D$28,"")))))))),"")</f>
        <v>3. mérföldkő</v>
      </c>
      <c r="AK41" s="470" t="s">
        <v>7</v>
      </c>
      <c r="AL41" s="477" t="s">
        <v>26</v>
      </c>
      <c r="AM41" s="900">
        <v>172500</v>
      </c>
      <c r="AN41" s="860">
        <f t="shared" ref="AN41:AN45" si="115">IFERROR(ROUND(AM41*AU41,0),"")</f>
        <v>22425</v>
      </c>
      <c r="AO41" s="477">
        <v>87</v>
      </c>
      <c r="AP41" s="478">
        <v>87</v>
      </c>
      <c r="AQ41" s="682">
        <f t="shared" ref="AQ41:AQ45" si="116">IFERROR(AP41/AO41,"")</f>
        <v>1</v>
      </c>
      <c r="AR41" s="455">
        <f t="shared" ref="AR41:AR45" si="117">IFERROR(ROUND(AM41*AP41/AO41,0),"")</f>
        <v>172500</v>
      </c>
      <c r="AS41" s="455">
        <f t="shared" ref="AS41:AS45" si="118">IFERROR(ROUND(AR41*AU41,0),"")</f>
        <v>22425</v>
      </c>
      <c r="AT41" s="102">
        <f t="shared" ref="AT41:AT45" si="119">IFERROR(AP41/AO41-AR41/AM41,"")</f>
        <v>0</v>
      </c>
      <c r="AU41" s="116">
        <v>0.13</v>
      </c>
      <c r="AV41" s="565" t="str">
        <f>VLOOKUP(LEFT(AB41,10),Törzsszám!$A$1:$B$908,2,0)</f>
        <v>10001815</v>
      </c>
      <c r="AW41" s="681">
        <f t="shared" ref="AW41:AW45" ca="1" si="120">(Y41+Z41)-(AR41+AS41)</f>
        <v>0</v>
      </c>
      <c r="AX41" s="471" t="s">
        <v>4610</v>
      </c>
      <c r="AY41" s="503"/>
      <c r="AZ41" s="504"/>
      <c r="BA41" s="671"/>
      <c r="BB41" s="649"/>
      <c r="BC41" s="649"/>
      <c r="BD41" s="672"/>
      <c r="BE41" s="450" t="s">
        <v>165</v>
      </c>
    </row>
    <row r="42" spans="1:57" s="457" customFormat="1" ht="31.5" x14ac:dyDescent="0.25">
      <c r="A42" s="694" t="str">
        <f ca="1">Bérköltség!$B42</f>
        <v>FEOR</v>
      </c>
      <c r="B42" s="694" t="str">
        <f ca="1">IFERROR(
IF(AND(Bérköltség!$F42="",H42="NA"),"HIÁNYOS ADATOK",
IF(Bérköltség!$F42&lt;Bérköltség!$U42,Admin!$B$18,Admin!$B$17)),
"")</f>
        <v>FEOR</v>
      </c>
      <c r="C42" s="437">
        <f>IFERROR(INDEX('Historikus berek_2021-2'!$A$1:$F$903,MATCH(AB42,'Historikus berek_2021-2'!$A$1:$A$903,0),4),"")</f>
        <v>66000</v>
      </c>
      <c r="D42" s="438">
        <f t="shared" si="97"/>
        <v>66000</v>
      </c>
      <c r="E42" s="437">
        <f t="shared" si="98"/>
        <v>172500</v>
      </c>
      <c r="F42" s="439">
        <f t="shared" si="99"/>
        <v>120344.99999999997</v>
      </c>
      <c r="G42" s="440">
        <f t="shared" si="100"/>
        <v>74580</v>
      </c>
      <c r="H42" s="441">
        <f>IFERROR(INDEX('FEOR kodok'!$A$2:$J$1126,MATCH(Bérköltség!AB42,'FEOR kodok'!$B$2:$B$1126,0),8),"NA")</f>
        <v>2167</v>
      </c>
      <c r="I42" s="436">
        <f ca="1">IFERROR(INDEX('FEOR kodok'!$A$2:$J$1126,MATCH(Bérköltség!AB42,'FEOR kodok'!$B$2:$B$1126,0),10),"NA")</f>
        <v>28</v>
      </c>
      <c r="J42" s="442" t="str">
        <f t="shared" ca="1" si="101"/>
        <v>30 év alatt</v>
      </c>
      <c r="K42" s="436" t="str">
        <f>IFERROR(INDEX(admin_feor[#All],MATCH(Bérköltség!H42,admin_feor[[#All],[Foglalkozás]],0),2),"NA")</f>
        <v>Biológus, botanikus, zoológus és rokon foglalkozású</v>
      </c>
      <c r="L42" s="438">
        <f ca="1">IFERROR(
INDEX('Admin - FEOR'!$A$4:$F$465,MATCH(Bérköltség!H42,'Admin - FEOR'!$A$4:$A$465,0),
IF(J42="30 év alatt",3,
IF(J42="30–39 éves",4,
IF(J42="40–49 éves",5,
IF(J42="50 év és afelett",6
)))))*1,"NA")</f>
        <v>471057</v>
      </c>
      <c r="M42" s="438">
        <f t="shared" si="102"/>
        <v>172500</v>
      </c>
      <c r="N42" s="443">
        <f t="shared" ca="1" si="103"/>
        <v>0.36619772129487516</v>
      </c>
      <c r="O42" s="438">
        <f ca="1">IFERROR(
INDEX('Admin - FEOR'!$A$4:$F$465,MATCH(Bérköltség!H42,'Admin - FEOR'!$A$4:$A$465,0),
IF(J42="30 év alatt",3,
IF(J42="30–39 éves",4,
IF(J42="40–49 éves",5,
IF(J42="50 év és afelett",6
)))))*1.5,"NA")</f>
        <v>706585.5</v>
      </c>
      <c r="P42" s="438">
        <f t="shared" ca="1" si="104"/>
        <v>706585.5</v>
      </c>
      <c r="Q42" s="438">
        <f t="shared" si="105"/>
        <v>172500</v>
      </c>
      <c r="R42" s="444">
        <f t="shared" si="106"/>
        <v>1</v>
      </c>
      <c r="S42" s="438">
        <f t="shared" ca="1" si="107"/>
        <v>0</v>
      </c>
      <c r="T42" s="438">
        <f t="shared" ca="1" si="108"/>
        <v>0</v>
      </c>
      <c r="U42" s="445">
        <f t="shared" ca="1" si="109"/>
        <v>0</v>
      </c>
      <c r="V42" s="446">
        <f t="shared" ca="1" si="110"/>
        <v>194925</v>
      </c>
      <c r="W42" s="447" t="str">
        <f t="shared" ca="1" si="111"/>
        <v>Nem szükséges indoklás.</v>
      </c>
      <c r="X42" s="571">
        <f t="shared" ca="1" si="112"/>
        <v>0</v>
      </c>
      <c r="Y42" s="554">
        <f t="shared" ca="1" si="113"/>
        <v>172500</v>
      </c>
      <c r="Z42" s="555">
        <f t="shared" ca="1" si="114"/>
        <v>22425</v>
      </c>
      <c r="AA42" s="477"/>
      <c r="AB42" s="474">
        <v>8468362336</v>
      </c>
      <c r="AC42" s="475" t="s">
        <v>166</v>
      </c>
      <c r="AD42" s="472" t="s">
        <v>45</v>
      </c>
      <c r="AE42" s="476" t="s">
        <v>24</v>
      </c>
      <c r="AF42" s="247" t="s">
        <v>124</v>
      </c>
      <c r="AG42" s="247" t="s">
        <v>161</v>
      </c>
      <c r="AH42" s="451" t="s">
        <v>131</v>
      </c>
      <c r="AI42" s="154">
        <v>45139</v>
      </c>
      <c r="AJ42" s="100" t="str">
        <f>IF(AI42&gt;0,
(IF(AI42&lt;Hónapok!$A$10,Admin!$A$28,
(IF(AI42&lt;Hónapok!$A$22,Admin!$B$28,
(IF(AI42&lt;Hónapok!$A$34,Admin!$C$28,
(IF(AI42&lt;Hónapok!$A$46,Admin!$D$28,"")))))))),"")</f>
        <v>3. mérföldkő</v>
      </c>
      <c r="AK42" s="470" t="s">
        <v>7</v>
      </c>
      <c r="AL42" s="477" t="s">
        <v>26</v>
      </c>
      <c r="AM42" s="900">
        <v>172500</v>
      </c>
      <c r="AN42" s="860">
        <f t="shared" si="115"/>
        <v>22425</v>
      </c>
      <c r="AO42" s="477">
        <v>87</v>
      </c>
      <c r="AP42" s="478">
        <v>87</v>
      </c>
      <c r="AQ42" s="454">
        <f t="shared" si="116"/>
        <v>1</v>
      </c>
      <c r="AR42" s="455">
        <f t="shared" si="117"/>
        <v>172500</v>
      </c>
      <c r="AS42" s="455">
        <f t="shared" si="118"/>
        <v>22425</v>
      </c>
      <c r="AT42" s="102">
        <f t="shared" si="119"/>
        <v>0</v>
      </c>
      <c r="AU42" s="116">
        <v>0.13</v>
      </c>
      <c r="AV42" s="565" t="str">
        <f>VLOOKUP(LEFT(AB42,10),Törzsszám!$A$1:$B$908,2,0)</f>
        <v>10001815</v>
      </c>
      <c r="AW42" s="681">
        <f t="shared" ca="1" si="120"/>
        <v>0</v>
      </c>
      <c r="AX42" s="471" t="s">
        <v>4613</v>
      </c>
      <c r="AY42" s="503"/>
      <c r="AZ42" s="504"/>
      <c r="BA42" s="671"/>
      <c r="BB42" s="649"/>
      <c r="BC42" s="649"/>
      <c r="BD42" s="672"/>
      <c r="BE42" s="450" t="s">
        <v>165</v>
      </c>
    </row>
    <row r="43" spans="1:57" s="457" customFormat="1" ht="31.5" x14ac:dyDescent="0.25">
      <c r="A43" s="694" t="str">
        <f ca="1">Bérköltség!$B43</f>
        <v>FEOR</v>
      </c>
      <c r="B43" s="694" t="str">
        <f ca="1">IFERROR(
IF(AND(Bérköltség!$F43="",H43="NA"),"HIÁNYOS ADATOK",
IF(Bérköltség!$F43&lt;Bérköltség!$U43,Admin!$B$18,Admin!$B$17)),
"")</f>
        <v>FEOR</v>
      </c>
      <c r="C43" s="437">
        <f>IFERROR(INDEX('Historikus berek_2021-2'!$A$1:$F$903,MATCH(AB43,'Historikus berek_2021-2'!$A$1:$A$903,0),4),"")</f>
        <v>66000</v>
      </c>
      <c r="D43" s="438">
        <f t="shared" si="97"/>
        <v>66000</v>
      </c>
      <c r="E43" s="437">
        <f t="shared" si="98"/>
        <v>172500</v>
      </c>
      <c r="F43" s="439">
        <f t="shared" si="99"/>
        <v>120344.99999999997</v>
      </c>
      <c r="G43" s="440">
        <f t="shared" si="100"/>
        <v>74580</v>
      </c>
      <c r="H43" s="441">
        <f>IFERROR(INDEX('FEOR kodok'!$A$2:$J$1126,MATCH(Bérköltség!AB43,'FEOR kodok'!$B$2:$B$1126,0),8),"NA")</f>
        <v>2167</v>
      </c>
      <c r="I43" s="436">
        <f ca="1">IFERROR(INDEX('FEOR kodok'!$A$2:$J$1126,MATCH(Bérköltség!AB43,'FEOR kodok'!$B$2:$B$1126,0),10),"NA")</f>
        <v>28</v>
      </c>
      <c r="J43" s="442" t="str">
        <f t="shared" ca="1" si="101"/>
        <v>30 év alatt</v>
      </c>
      <c r="K43" s="436" t="str">
        <f>IFERROR(INDEX(admin_feor[#All],MATCH(Bérköltség!H43,admin_feor[[#All],[Foglalkozás]],0),2),"NA")</f>
        <v>Biológus, botanikus, zoológus és rokon foglalkozású</v>
      </c>
      <c r="L43" s="438">
        <f ca="1">IFERROR(
INDEX('Admin - FEOR'!$A$4:$F$465,MATCH(Bérköltség!H43,'Admin - FEOR'!$A$4:$A$465,0),
IF(J43="30 év alatt",3,
IF(J43="30–39 éves",4,
IF(J43="40–49 éves",5,
IF(J43="50 év és afelett",6
)))))*1,"NA")</f>
        <v>471057</v>
      </c>
      <c r="M43" s="438">
        <f t="shared" si="102"/>
        <v>172500</v>
      </c>
      <c r="N43" s="443">
        <f t="shared" ca="1" si="103"/>
        <v>0.36619772129487516</v>
      </c>
      <c r="O43" s="438">
        <f ca="1">IFERROR(
INDEX('Admin - FEOR'!$A$4:$F$465,MATCH(Bérköltség!H43,'Admin - FEOR'!$A$4:$A$465,0),
IF(J43="30 év alatt",3,
IF(J43="30–39 éves",4,
IF(J43="40–49 éves",5,
IF(J43="50 év és afelett",6
)))))*1.5,"NA")</f>
        <v>706585.5</v>
      </c>
      <c r="P43" s="438">
        <f t="shared" ca="1" si="104"/>
        <v>706585.5</v>
      </c>
      <c r="Q43" s="438">
        <f t="shared" si="105"/>
        <v>172500</v>
      </c>
      <c r="R43" s="444">
        <f t="shared" si="106"/>
        <v>1</v>
      </c>
      <c r="S43" s="438">
        <f t="shared" ca="1" si="107"/>
        <v>0</v>
      </c>
      <c r="T43" s="438">
        <f t="shared" ca="1" si="108"/>
        <v>0</v>
      </c>
      <c r="U43" s="445">
        <f t="shared" ca="1" si="109"/>
        <v>0</v>
      </c>
      <c r="V43" s="446">
        <f t="shared" ca="1" si="110"/>
        <v>194925</v>
      </c>
      <c r="W43" s="447" t="str">
        <f t="shared" ca="1" si="111"/>
        <v>Nem szükséges indoklás.</v>
      </c>
      <c r="X43" s="571">
        <f t="shared" ca="1" si="112"/>
        <v>0</v>
      </c>
      <c r="Y43" s="554">
        <f t="shared" ca="1" si="113"/>
        <v>172500</v>
      </c>
      <c r="Z43" s="555">
        <f t="shared" ca="1" si="114"/>
        <v>22425</v>
      </c>
      <c r="AA43" s="477"/>
      <c r="AB43" s="474">
        <v>8468362336</v>
      </c>
      <c r="AC43" s="475" t="s">
        <v>166</v>
      </c>
      <c r="AD43" s="472" t="s">
        <v>45</v>
      </c>
      <c r="AE43" s="476" t="s">
        <v>24</v>
      </c>
      <c r="AF43" s="247" t="s">
        <v>124</v>
      </c>
      <c r="AG43" s="247" t="s">
        <v>161</v>
      </c>
      <c r="AH43" s="451" t="s">
        <v>131</v>
      </c>
      <c r="AI43" s="154">
        <v>45170</v>
      </c>
      <c r="AJ43" s="100" t="str">
        <f>IF(AI43&gt;0,
(IF(AI43&lt;Hónapok!$A$10,Admin!$A$28,
(IF(AI43&lt;Hónapok!$A$22,Admin!$B$28,
(IF(AI43&lt;Hónapok!$A$34,Admin!$C$28,
(IF(AI43&lt;Hónapok!$A$46,Admin!$D$28,"")))))))),"")</f>
        <v>3. mérföldkő</v>
      </c>
      <c r="AK43" s="470" t="s">
        <v>7</v>
      </c>
      <c r="AL43" s="477" t="s">
        <v>26</v>
      </c>
      <c r="AM43" s="900">
        <v>172500</v>
      </c>
      <c r="AN43" s="860">
        <f t="shared" si="115"/>
        <v>22425</v>
      </c>
      <c r="AO43" s="477">
        <v>87</v>
      </c>
      <c r="AP43" s="478">
        <v>87</v>
      </c>
      <c r="AQ43" s="454">
        <f t="shared" si="116"/>
        <v>1</v>
      </c>
      <c r="AR43" s="455">
        <f t="shared" si="117"/>
        <v>172500</v>
      </c>
      <c r="AS43" s="455">
        <f t="shared" si="118"/>
        <v>22425</v>
      </c>
      <c r="AT43" s="102">
        <f t="shared" si="119"/>
        <v>0</v>
      </c>
      <c r="AU43" s="116">
        <v>0.13</v>
      </c>
      <c r="AV43" s="565" t="str">
        <f>VLOOKUP(LEFT(AB43,10),Törzsszám!$A$1:$B$908,2,0)</f>
        <v>10001815</v>
      </c>
      <c r="AW43" s="681">
        <f t="shared" ca="1" si="120"/>
        <v>0</v>
      </c>
      <c r="AX43" s="471" t="s">
        <v>4618</v>
      </c>
      <c r="AY43" s="503"/>
      <c r="AZ43" s="504"/>
      <c r="BA43" s="671"/>
      <c r="BB43" s="649"/>
      <c r="BC43" s="649"/>
      <c r="BD43" s="672"/>
      <c r="BE43" s="450" t="s">
        <v>165</v>
      </c>
    </row>
    <row r="44" spans="1:57" s="457" customFormat="1" ht="31.5" x14ac:dyDescent="0.25">
      <c r="A44" s="694" t="str">
        <f ca="1">Bérköltség!$B44</f>
        <v>FEOR</v>
      </c>
      <c r="B44" s="694" t="str">
        <f ca="1">IFERROR(
IF(AND(Bérköltség!$F44="",H44="NA"),"HIÁNYOS ADATOK",
IF(Bérköltség!$F44&lt;Bérköltség!$U44,Admin!$B$18,Admin!$B$17)),
"")</f>
        <v>FEOR</v>
      </c>
      <c r="C44" s="437">
        <f>IFERROR(INDEX('Historikus berek_2021-2'!$A$1:$F$903,MATCH(AB44,'Historikus berek_2021-2'!$A$1:$A$903,0),4),"")</f>
        <v>66000</v>
      </c>
      <c r="D44" s="438">
        <f t="shared" si="97"/>
        <v>66000</v>
      </c>
      <c r="E44" s="437">
        <f t="shared" si="98"/>
        <v>172500</v>
      </c>
      <c r="F44" s="439">
        <f t="shared" si="99"/>
        <v>120344.99999999997</v>
      </c>
      <c r="G44" s="440">
        <f t="shared" si="100"/>
        <v>74580</v>
      </c>
      <c r="H44" s="441">
        <f>IFERROR(INDEX('FEOR kodok'!$A$2:$J$1126,MATCH(Bérköltség!AB44,'FEOR kodok'!$B$2:$B$1126,0),8),"NA")</f>
        <v>2167</v>
      </c>
      <c r="I44" s="436">
        <f ca="1">IFERROR(INDEX('FEOR kodok'!$A$2:$J$1126,MATCH(Bérköltség!AB44,'FEOR kodok'!$B$2:$B$1126,0),10),"NA")</f>
        <v>28</v>
      </c>
      <c r="J44" s="442" t="str">
        <f t="shared" ca="1" si="101"/>
        <v>30 év alatt</v>
      </c>
      <c r="K44" s="436" t="str">
        <f>IFERROR(INDEX(admin_feor[#All],MATCH(Bérköltség!H44,admin_feor[[#All],[Foglalkozás]],0),2),"NA")</f>
        <v>Biológus, botanikus, zoológus és rokon foglalkozású</v>
      </c>
      <c r="L44" s="438">
        <f ca="1">IFERROR(
INDEX('Admin - FEOR'!$A$4:$F$465,MATCH(Bérköltség!H44,'Admin - FEOR'!$A$4:$A$465,0),
IF(J44="30 év alatt",3,
IF(J44="30–39 éves",4,
IF(J44="40–49 éves",5,
IF(J44="50 év és afelett",6
)))))*1,"NA")</f>
        <v>471057</v>
      </c>
      <c r="M44" s="438">
        <f t="shared" si="102"/>
        <v>172500</v>
      </c>
      <c r="N44" s="443">
        <f t="shared" ca="1" si="103"/>
        <v>0.36619772129487516</v>
      </c>
      <c r="O44" s="438">
        <f ca="1">IFERROR(
INDEX('Admin - FEOR'!$A$4:$F$465,MATCH(Bérköltség!H44,'Admin - FEOR'!$A$4:$A$465,0),
IF(J44="30 év alatt",3,
IF(J44="30–39 éves",4,
IF(J44="40–49 éves",5,
IF(J44="50 év és afelett",6
)))))*1.5,"NA")</f>
        <v>706585.5</v>
      </c>
      <c r="P44" s="438">
        <f t="shared" ca="1" si="104"/>
        <v>706585.5</v>
      </c>
      <c r="Q44" s="438">
        <f t="shared" si="105"/>
        <v>172500</v>
      </c>
      <c r="R44" s="444">
        <f t="shared" si="106"/>
        <v>1</v>
      </c>
      <c r="S44" s="438">
        <f t="shared" ca="1" si="107"/>
        <v>0</v>
      </c>
      <c r="T44" s="438">
        <f t="shared" ca="1" si="108"/>
        <v>0</v>
      </c>
      <c r="U44" s="445">
        <f t="shared" ca="1" si="109"/>
        <v>0</v>
      </c>
      <c r="V44" s="446">
        <f t="shared" ca="1" si="110"/>
        <v>194925</v>
      </c>
      <c r="W44" s="447" t="str">
        <f t="shared" ca="1" si="111"/>
        <v>Nem szükséges indoklás.</v>
      </c>
      <c r="X44" s="571">
        <f t="shared" ca="1" si="112"/>
        <v>0</v>
      </c>
      <c r="Y44" s="554">
        <f t="shared" ca="1" si="113"/>
        <v>172500</v>
      </c>
      <c r="Z44" s="555">
        <f t="shared" ca="1" si="114"/>
        <v>22425</v>
      </c>
      <c r="AA44" s="477"/>
      <c r="AB44" s="474">
        <v>8468362336</v>
      </c>
      <c r="AC44" s="475" t="s">
        <v>166</v>
      </c>
      <c r="AD44" s="472" t="s">
        <v>45</v>
      </c>
      <c r="AE44" s="476" t="s">
        <v>24</v>
      </c>
      <c r="AF44" s="247" t="s">
        <v>124</v>
      </c>
      <c r="AG44" s="247" t="s">
        <v>161</v>
      </c>
      <c r="AH44" s="451" t="s">
        <v>131</v>
      </c>
      <c r="AI44" s="154">
        <v>45200</v>
      </c>
      <c r="AJ44" s="100" t="str">
        <f>IF(AI44&gt;0,
(IF(AI44&lt;Hónapok!$A$10,Admin!$A$28,
(IF(AI44&lt;Hónapok!$A$22,Admin!$B$28,
(IF(AI44&lt;Hónapok!$A$34,Admin!$C$28,
(IF(AI44&lt;Hónapok!$A$46,Admin!$D$28,"")))))))),"")</f>
        <v>3. mérföldkő</v>
      </c>
      <c r="AK44" s="470" t="s">
        <v>8</v>
      </c>
      <c r="AL44" s="477" t="s">
        <v>26</v>
      </c>
      <c r="AM44" s="900">
        <v>172500</v>
      </c>
      <c r="AN44" s="860">
        <f t="shared" si="115"/>
        <v>22425</v>
      </c>
      <c r="AO44" s="477">
        <v>87</v>
      </c>
      <c r="AP44" s="478">
        <v>87</v>
      </c>
      <c r="AQ44" s="454">
        <f t="shared" si="116"/>
        <v>1</v>
      </c>
      <c r="AR44" s="455">
        <f t="shared" si="117"/>
        <v>172500</v>
      </c>
      <c r="AS44" s="455">
        <f t="shared" si="118"/>
        <v>22425</v>
      </c>
      <c r="AT44" s="102">
        <f t="shared" si="119"/>
        <v>0</v>
      </c>
      <c r="AU44" s="116">
        <v>0.13</v>
      </c>
      <c r="AV44" s="565" t="str">
        <f>VLOOKUP(LEFT(AB44,10),Törzsszám!$A$1:$B$908,2,0)</f>
        <v>10001815</v>
      </c>
      <c r="AW44" s="681">
        <f t="shared" ca="1" si="120"/>
        <v>0</v>
      </c>
      <c r="AX44" s="473"/>
      <c r="AY44" s="503"/>
      <c r="AZ44" s="504"/>
      <c r="BA44" s="671"/>
      <c r="BB44" s="649"/>
      <c r="BC44" s="649"/>
      <c r="BD44" s="672"/>
      <c r="BE44" s="450" t="s">
        <v>165</v>
      </c>
    </row>
    <row r="45" spans="1:57" s="457" customFormat="1" ht="31.5" x14ac:dyDescent="0.25">
      <c r="A45" s="694" t="str">
        <f ca="1">Bérköltség!$B45</f>
        <v>FEOR</v>
      </c>
      <c r="B45" s="694" t="str">
        <f ca="1">IFERROR(
IF(AND(Bérköltség!$F45="",H45="NA"),"HIÁNYOS ADATOK",
IF(Bérköltség!$F45&lt;Bérköltség!$U45,Admin!$B$18,Admin!$B$17)),
"")</f>
        <v>FEOR</v>
      </c>
      <c r="C45" s="437">
        <f>IFERROR(INDEX('Historikus berek_2021-2'!$A$1:$F$903,MATCH(AB45,'Historikus berek_2021-2'!$A$1:$A$903,0),4),"")</f>
        <v>66000</v>
      </c>
      <c r="D45" s="438">
        <f t="shared" si="97"/>
        <v>66000</v>
      </c>
      <c r="E45" s="437">
        <f t="shared" si="98"/>
        <v>172500</v>
      </c>
      <c r="F45" s="439">
        <f t="shared" si="99"/>
        <v>120344.99999999997</v>
      </c>
      <c r="G45" s="440">
        <f t="shared" si="100"/>
        <v>74580</v>
      </c>
      <c r="H45" s="441">
        <f>IFERROR(INDEX('FEOR kodok'!$A$2:$J$1126,MATCH(Bérköltség!AB45,'FEOR kodok'!$B$2:$B$1126,0),8),"NA")</f>
        <v>2167</v>
      </c>
      <c r="I45" s="436">
        <f ca="1">IFERROR(INDEX('FEOR kodok'!$A$2:$J$1126,MATCH(Bérköltség!AB45,'FEOR kodok'!$B$2:$B$1126,0),10),"NA")</f>
        <v>28</v>
      </c>
      <c r="J45" s="442" t="str">
        <f t="shared" ca="1" si="101"/>
        <v>30 év alatt</v>
      </c>
      <c r="K45" s="436" t="str">
        <f>IFERROR(INDEX(admin_feor[#All],MATCH(Bérköltség!H45,admin_feor[[#All],[Foglalkozás]],0),2),"NA")</f>
        <v>Biológus, botanikus, zoológus és rokon foglalkozású</v>
      </c>
      <c r="L45" s="438">
        <f ca="1">IFERROR(
INDEX('Admin - FEOR'!$A$4:$F$465,MATCH(Bérköltség!H45,'Admin - FEOR'!$A$4:$A$465,0),
IF(J45="30 év alatt",3,
IF(J45="30–39 éves",4,
IF(J45="40–49 éves",5,
IF(J45="50 év és afelett",6
)))))*1,"NA")</f>
        <v>471057</v>
      </c>
      <c r="M45" s="438">
        <f t="shared" si="102"/>
        <v>172500</v>
      </c>
      <c r="N45" s="443">
        <f t="shared" ca="1" si="103"/>
        <v>0.36619772129487516</v>
      </c>
      <c r="O45" s="438">
        <f ca="1">IFERROR(
INDEX('Admin - FEOR'!$A$4:$F$465,MATCH(Bérköltség!H45,'Admin - FEOR'!$A$4:$A$465,0),
IF(J45="30 év alatt",3,
IF(J45="30–39 éves",4,
IF(J45="40–49 éves",5,
IF(J45="50 év és afelett",6
)))))*1.5,"NA")</f>
        <v>706585.5</v>
      </c>
      <c r="P45" s="438">
        <f t="shared" ca="1" si="104"/>
        <v>706585.5</v>
      </c>
      <c r="Q45" s="438">
        <f t="shared" si="105"/>
        <v>172500</v>
      </c>
      <c r="R45" s="444">
        <f t="shared" si="106"/>
        <v>1</v>
      </c>
      <c r="S45" s="438">
        <f t="shared" ca="1" si="107"/>
        <v>0</v>
      </c>
      <c r="T45" s="438">
        <f t="shared" ca="1" si="108"/>
        <v>0</v>
      </c>
      <c r="U45" s="445">
        <f t="shared" ca="1" si="109"/>
        <v>0</v>
      </c>
      <c r="V45" s="446">
        <f t="shared" ca="1" si="110"/>
        <v>194925</v>
      </c>
      <c r="W45" s="447" t="str">
        <f t="shared" ca="1" si="111"/>
        <v>Nem szükséges indoklás.</v>
      </c>
      <c r="X45" s="571">
        <f t="shared" ca="1" si="112"/>
        <v>0</v>
      </c>
      <c r="Y45" s="554">
        <f t="shared" ca="1" si="113"/>
        <v>172500</v>
      </c>
      <c r="Z45" s="555">
        <f t="shared" ca="1" si="114"/>
        <v>22425</v>
      </c>
      <c r="AA45" s="477"/>
      <c r="AB45" s="474">
        <v>8468362336</v>
      </c>
      <c r="AC45" s="475" t="s">
        <v>166</v>
      </c>
      <c r="AD45" s="472" t="s">
        <v>45</v>
      </c>
      <c r="AE45" s="476" t="s">
        <v>24</v>
      </c>
      <c r="AF45" s="247" t="s">
        <v>124</v>
      </c>
      <c r="AG45" s="247" t="s">
        <v>161</v>
      </c>
      <c r="AH45" s="451" t="s">
        <v>131</v>
      </c>
      <c r="AI45" s="154">
        <v>45231</v>
      </c>
      <c r="AJ45" s="100" t="str">
        <f>IF(AI45&gt;0,
(IF(AI45&lt;Hónapok!$A$10,Admin!$A$28,
(IF(AI45&lt;Hónapok!$A$22,Admin!$B$28,
(IF(AI45&lt;Hónapok!$A$34,Admin!$C$28,
(IF(AI45&lt;Hónapok!$A$46,Admin!$D$28,"")))))))),"")</f>
        <v>3. mérföldkő</v>
      </c>
      <c r="AK45" s="470" t="s">
        <v>8</v>
      </c>
      <c r="AL45" s="477" t="s">
        <v>26</v>
      </c>
      <c r="AM45" s="900">
        <v>172500</v>
      </c>
      <c r="AN45" s="860">
        <f t="shared" si="115"/>
        <v>22425</v>
      </c>
      <c r="AO45" s="477">
        <v>87</v>
      </c>
      <c r="AP45" s="478">
        <v>87</v>
      </c>
      <c r="AQ45" s="454">
        <f t="shared" si="116"/>
        <v>1</v>
      </c>
      <c r="AR45" s="455">
        <f t="shared" si="117"/>
        <v>172500</v>
      </c>
      <c r="AS45" s="455">
        <f t="shared" si="118"/>
        <v>22425</v>
      </c>
      <c r="AT45" s="102">
        <f t="shared" si="119"/>
        <v>0</v>
      </c>
      <c r="AU45" s="116">
        <v>0.13</v>
      </c>
      <c r="AV45" s="565" t="str">
        <f>VLOOKUP(LEFT(AB45,10),Törzsszám!$A$1:$B$908,2,0)</f>
        <v>10001815</v>
      </c>
      <c r="AW45" s="681">
        <f t="shared" ca="1" si="120"/>
        <v>0</v>
      </c>
      <c r="AX45" s="473"/>
      <c r="AY45" s="503"/>
      <c r="AZ45" s="504"/>
      <c r="BA45" s="671"/>
      <c r="BB45" s="649"/>
      <c r="BC45" s="649"/>
      <c r="BD45" s="672"/>
      <c r="BE45" s="450" t="s">
        <v>165</v>
      </c>
    </row>
    <row r="46" spans="1:57" s="457" customFormat="1" ht="31.5" x14ac:dyDescent="0.25">
      <c r="A46" s="694" t="str">
        <f ca="1">Bérköltség!$B46</f>
        <v>FEOR</v>
      </c>
      <c r="B46" s="694" t="str">
        <f ca="1">IFERROR(
IF(AND(Bérköltség!$F46="",H46="NA"),"HIÁNYOS ADATOK",
IF(Bérköltség!$F46&lt;Bérköltség!$U46,Admin!$B$18,Admin!$B$17)),
"")</f>
        <v>FEOR</v>
      </c>
      <c r="C46" s="437">
        <f>IFERROR(INDEX('Historikus berek_2021-2'!$A$1:$F$903,MATCH(AB46,'Historikus berek_2021-2'!$A$1:$A$903,0),4),"")</f>
        <v>304933.33333333331</v>
      </c>
      <c r="D46" s="438">
        <f t="shared" si="5"/>
        <v>304933.33333333331</v>
      </c>
      <c r="E46" s="437">
        <f t="shared" si="6"/>
        <v>474999</v>
      </c>
      <c r="F46" s="439">
        <f t="shared" si="7"/>
        <v>192174.20333333337</v>
      </c>
      <c r="G46" s="440">
        <f t="shared" si="8"/>
        <v>344574.66666666663</v>
      </c>
      <c r="H46" s="441">
        <f>IFERROR(INDEX('FEOR kodok'!$A$2:$J$1126,MATCH(Bérköltség!AB46,'FEOR kodok'!$B$2:$B$1126,0),8),"NA")</f>
        <v>2167</v>
      </c>
      <c r="I46" s="436">
        <f ca="1">IFERROR(INDEX('FEOR kodok'!$A$2:$J$1126,MATCH(Bérköltség!AB46,'FEOR kodok'!$B$2:$B$1126,0),10),"NA")</f>
        <v>43</v>
      </c>
      <c r="J46" s="442" t="str">
        <f t="shared" ca="1" si="9"/>
        <v>40–49 éves</v>
      </c>
      <c r="K46" s="436" t="str">
        <f>IFERROR(INDEX(admin_feor[#All],MATCH(Bérköltség!H46,admin_feor[[#All],[Foglalkozás]],0),2),"NA")</f>
        <v>Biológus, botanikus, zoológus és rokon foglalkozású</v>
      </c>
      <c r="L46" s="438">
        <f ca="1">IFERROR(
INDEX('Admin - FEOR'!$A$4:$F$465,MATCH(Bérköltség!H46,'Admin - FEOR'!$A$4:$A$465,0),
IF(J46="30 év alatt",3,
IF(J46="30–39 éves",4,
IF(J46="40–49 éves",5,
IF(J46="50 év és afelett",6
)))))*1,"NA")</f>
        <v>749359</v>
      </c>
      <c r="M46" s="438">
        <f t="shared" si="10"/>
        <v>474999</v>
      </c>
      <c r="N46" s="443">
        <f t="shared" ca="1" si="11"/>
        <v>0.63387375076565433</v>
      </c>
      <c r="O46" s="438">
        <f ca="1">IFERROR(
INDEX('Admin - FEOR'!$A$4:$F$465,MATCH(Bérköltség!H46,'Admin - FEOR'!$A$4:$A$465,0),
IF(J46="30 év alatt",3,
IF(J46="30–39 éves",4,
IF(J46="40–49 éves",5,
IF(J46="50 év és afelett",6
)))))*1.5,"NA")</f>
        <v>1124038.5</v>
      </c>
      <c r="P46" s="438">
        <f t="shared" ca="1" si="12"/>
        <v>1124038.5</v>
      </c>
      <c r="Q46" s="438">
        <f t="shared" si="13"/>
        <v>474999</v>
      </c>
      <c r="R46" s="444">
        <f t="shared" si="14"/>
        <v>1</v>
      </c>
      <c r="S46" s="438">
        <f t="shared" ca="1" si="15"/>
        <v>0</v>
      </c>
      <c r="T46" s="438">
        <f t="shared" ca="1" si="16"/>
        <v>0</v>
      </c>
      <c r="U46" s="445">
        <f t="shared" ca="1" si="17"/>
        <v>0</v>
      </c>
      <c r="V46" s="446">
        <f t="shared" ca="1" si="18"/>
        <v>536749</v>
      </c>
      <c r="W46" s="447" t="str">
        <f t="shared" ca="1" si="19"/>
        <v>Nem szükséges indoklás.</v>
      </c>
      <c r="X46" s="571">
        <f t="shared" ca="1" si="20"/>
        <v>0</v>
      </c>
      <c r="Y46" s="554">
        <f t="shared" ca="1" si="21"/>
        <v>474999</v>
      </c>
      <c r="Z46" s="555">
        <f t="shared" ca="1" si="22"/>
        <v>61750</v>
      </c>
      <c r="AA46" s="573">
        <v>2</v>
      </c>
      <c r="AB46" s="474">
        <v>8415712928</v>
      </c>
      <c r="AC46" s="475" t="s">
        <v>226</v>
      </c>
      <c r="AD46" s="472" t="s">
        <v>45</v>
      </c>
      <c r="AE46" s="476" t="s">
        <v>22</v>
      </c>
      <c r="AF46" s="247" t="s">
        <v>125</v>
      </c>
      <c r="AG46" s="247" t="s">
        <v>194</v>
      </c>
      <c r="AH46" s="451" t="s">
        <v>131</v>
      </c>
      <c r="AI46" s="154">
        <v>44866</v>
      </c>
      <c r="AJ46" s="100" t="str">
        <f>IF(AI46&gt;0,
(IF(AI46&lt;Hónapok!$A$10,Admin!$A$28,
(IF(AI46&lt;Hónapok!$A$22,Admin!$B$28,
(IF(AI46&lt;Hónapok!$A$34,Admin!$C$28,
(IF(AI46&lt;Hónapok!$A$46,Admin!$D$28,"")))))))),"")</f>
        <v>2. mérföldkő</v>
      </c>
      <c r="AK46" s="470" t="s">
        <v>7</v>
      </c>
      <c r="AL46" s="477" t="s">
        <v>26</v>
      </c>
      <c r="AM46" s="900">
        <v>474999</v>
      </c>
      <c r="AN46" s="860">
        <f t="shared" si="0"/>
        <v>61750</v>
      </c>
      <c r="AO46" s="477">
        <v>174</v>
      </c>
      <c r="AP46" s="478">
        <v>174</v>
      </c>
      <c r="AQ46" s="454">
        <f t="shared" si="1"/>
        <v>1</v>
      </c>
      <c r="AR46" s="455">
        <f t="shared" si="23"/>
        <v>474999</v>
      </c>
      <c r="AS46" s="455">
        <f t="shared" si="2"/>
        <v>61750</v>
      </c>
      <c r="AT46" s="102">
        <f t="shared" si="3"/>
        <v>0</v>
      </c>
      <c r="AU46" s="116">
        <v>0.13</v>
      </c>
      <c r="AV46" s="565" t="str">
        <f>VLOOKUP(LEFT(AB46,10),Törzsszám!$A$1:$B$908,2,0)</f>
        <v>10000433</v>
      </c>
      <c r="AW46" s="615">
        <f t="shared" ca="1" si="24"/>
        <v>0</v>
      </c>
      <c r="AX46" s="473" t="s">
        <v>260</v>
      </c>
      <c r="AY46" s="503"/>
      <c r="AZ46" s="502" t="s">
        <v>4607</v>
      </c>
      <c r="BA46" s="671">
        <v>474999</v>
      </c>
      <c r="BB46" s="649">
        <v>61750</v>
      </c>
      <c r="BC46" s="649">
        <f t="shared" ref="BC46:BD48" ca="1" si="121">Y46-BA46</f>
        <v>0</v>
      </c>
      <c r="BD46" s="672">
        <f t="shared" ca="1" si="121"/>
        <v>0</v>
      </c>
      <c r="BE46" s="450" t="s">
        <v>201</v>
      </c>
    </row>
    <row r="47" spans="1:57" s="457" customFormat="1" ht="31.5" x14ac:dyDescent="0.25">
      <c r="A47" s="694" t="str">
        <f ca="1">Bérköltség!$B47</f>
        <v>FEOR</v>
      </c>
      <c r="B47" s="694" t="str">
        <f ca="1">IFERROR(
IF(AND(Bérköltség!$F47="",H47="NA"),"HIÁNYOS ADATOK",
IF(Bérköltség!$F47&lt;Bérköltség!$U47,Admin!$B$18,Admin!$B$17)),
"")</f>
        <v>FEOR</v>
      </c>
      <c r="C47" s="437">
        <f>IFERROR(INDEX('Historikus berek_2021-2'!$A$1:$F$903,MATCH(AB47,'Historikus berek_2021-2'!$A$1:$A$903,0),4),"")</f>
        <v>304933.33333333331</v>
      </c>
      <c r="D47" s="438">
        <f t="shared" si="5"/>
        <v>304933.33333333331</v>
      </c>
      <c r="E47" s="437">
        <f t="shared" si="6"/>
        <v>475000</v>
      </c>
      <c r="F47" s="439">
        <f t="shared" si="7"/>
        <v>192175.33333333337</v>
      </c>
      <c r="G47" s="440">
        <f t="shared" si="8"/>
        <v>344574.66666666663</v>
      </c>
      <c r="H47" s="441">
        <f>IFERROR(INDEX('FEOR kodok'!$A$2:$J$1126,MATCH(Bérköltség!AB47,'FEOR kodok'!$B$2:$B$1126,0),8),"NA")</f>
        <v>2167</v>
      </c>
      <c r="I47" s="436">
        <f ca="1">IFERROR(INDEX('FEOR kodok'!$A$2:$J$1126,MATCH(Bérköltség!AB47,'FEOR kodok'!$B$2:$B$1126,0),10),"NA")</f>
        <v>43</v>
      </c>
      <c r="J47" s="442" t="str">
        <f t="shared" ca="1" si="9"/>
        <v>40–49 éves</v>
      </c>
      <c r="K47" s="436" t="str">
        <f>IFERROR(INDEX(admin_feor[#All],MATCH(Bérköltség!H47,admin_feor[[#All],[Foglalkozás]],0),2),"NA")</f>
        <v>Biológus, botanikus, zoológus és rokon foglalkozású</v>
      </c>
      <c r="L47" s="438">
        <f ca="1">IFERROR(
INDEX('Admin - FEOR'!$A$4:$F$465,MATCH(Bérköltség!H47,'Admin - FEOR'!$A$4:$A$465,0),
IF(J47="30 év alatt",3,
IF(J47="30–39 éves",4,
IF(J47="40–49 éves",5,
IF(J47="50 év és afelett",6
)))))*1,"NA")</f>
        <v>749359</v>
      </c>
      <c r="M47" s="438">
        <f t="shared" si="10"/>
        <v>475000</v>
      </c>
      <c r="N47" s="443">
        <f t="shared" ca="1" si="11"/>
        <v>0.63387508523951808</v>
      </c>
      <c r="O47" s="438">
        <f ca="1">IFERROR(
INDEX('Admin - FEOR'!$A$4:$F$465,MATCH(Bérköltség!H47,'Admin - FEOR'!$A$4:$A$465,0),
IF(J47="30 év alatt",3,
IF(J47="30–39 éves",4,
IF(J47="40–49 éves",5,
IF(J47="50 év és afelett",6
)))))*1.5,"NA")</f>
        <v>1124038.5</v>
      </c>
      <c r="P47" s="438">
        <f t="shared" ca="1" si="12"/>
        <v>1124038.5</v>
      </c>
      <c r="Q47" s="438">
        <f t="shared" si="13"/>
        <v>475000</v>
      </c>
      <c r="R47" s="444">
        <f t="shared" si="14"/>
        <v>1</v>
      </c>
      <c r="S47" s="438">
        <f t="shared" ca="1" si="15"/>
        <v>0</v>
      </c>
      <c r="T47" s="438">
        <f t="shared" ca="1" si="16"/>
        <v>0</v>
      </c>
      <c r="U47" s="445">
        <f t="shared" ca="1" si="17"/>
        <v>0</v>
      </c>
      <c r="V47" s="446">
        <f t="shared" ca="1" si="18"/>
        <v>536750</v>
      </c>
      <c r="W47" s="447" t="str">
        <f t="shared" ca="1" si="19"/>
        <v>Nem szükséges indoklás.</v>
      </c>
      <c r="X47" s="571">
        <f t="shared" ca="1" si="20"/>
        <v>0</v>
      </c>
      <c r="Y47" s="554">
        <f t="shared" ca="1" si="21"/>
        <v>475000</v>
      </c>
      <c r="Z47" s="555">
        <f t="shared" ca="1" si="22"/>
        <v>61750</v>
      </c>
      <c r="AA47" s="573">
        <v>2</v>
      </c>
      <c r="AB47" s="474">
        <v>8415712928</v>
      </c>
      <c r="AC47" s="475" t="s">
        <v>226</v>
      </c>
      <c r="AD47" s="472" t="s">
        <v>45</v>
      </c>
      <c r="AE47" s="476" t="s">
        <v>22</v>
      </c>
      <c r="AF47" s="247" t="s">
        <v>125</v>
      </c>
      <c r="AG47" s="247" t="s">
        <v>194</v>
      </c>
      <c r="AH47" s="451" t="s">
        <v>131</v>
      </c>
      <c r="AI47" s="154">
        <v>44896</v>
      </c>
      <c r="AJ47" s="100" t="str">
        <f>IF(AI47&gt;0,
(IF(AI47&lt;Hónapok!$A$10,Admin!$A$28,
(IF(AI47&lt;Hónapok!$A$22,Admin!$B$28,
(IF(AI47&lt;Hónapok!$A$34,Admin!$C$28,
(IF(AI47&lt;Hónapok!$A$46,Admin!$D$28,"")))))))),"")</f>
        <v>2. mérföldkő</v>
      </c>
      <c r="AK47" s="470" t="s">
        <v>7</v>
      </c>
      <c r="AL47" s="477" t="s">
        <v>26</v>
      </c>
      <c r="AM47" s="900">
        <v>475000</v>
      </c>
      <c r="AN47" s="860">
        <f t="shared" si="0"/>
        <v>61750</v>
      </c>
      <c r="AO47" s="477">
        <v>174</v>
      </c>
      <c r="AP47" s="478">
        <v>174</v>
      </c>
      <c r="AQ47" s="454">
        <f t="shared" si="1"/>
        <v>1</v>
      </c>
      <c r="AR47" s="455">
        <f t="shared" si="23"/>
        <v>475000</v>
      </c>
      <c r="AS47" s="455">
        <f t="shared" si="2"/>
        <v>61750</v>
      </c>
      <c r="AT47" s="102">
        <f t="shared" si="3"/>
        <v>0</v>
      </c>
      <c r="AU47" s="116">
        <v>0.13</v>
      </c>
      <c r="AV47" s="565" t="str">
        <f>VLOOKUP(LEFT(AB47,10),Törzsszám!$A$1:$B$908,2,0)</f>
        <v>10000433</v>
      </c>
      <c r="AW47" s="615">
        <f t="shared" ca="1" si="24"/>
        <v>0</v>
      </c>
      <c r="AX47" s="473" t="s">
        <v>262</v>
      </c>
      <c r="AY47" s="503"/>
      <c r="AZ47" s="502" t="s">
        <v>4607</v>
      </c>
      <c r="BA47" s="671">
        <v>475000</v>
      </c>
      <c r="BB47" s="649">
        <v>61750</v>
      </c>
      <c r="BC47" s="649">
        <f t="shared" ca="1" si="121"/>
        <v>0</v>
      </c>
      <c r="BD47" s="672">
        <f t="shared" ca="1" si="121"/>
        <v>0</v>
      </c>
      <c r="BE47" s="450" t="s">
        <v>201</v>
      </c>
    </row>
    <row r="48" spans="1:57" s="457" customFormat="1" ht="31.5" x14ac:dyDescent="0.25">
      <c r="A48" s="694" t="str">
        <f ca="1">Bérköltség!$B48</f>
        <v>FEOR</v>
      </c>
      <c r="B48" s="694" t="str">
        <f ca="1">IFERROR(
IF(AND(Bérköltség!$F48="",H48="NA"),"HIÁNYOS ADATOK",
IF(Bérköltség!$F48&lt;Bérköltség!$U48,Admin!$B$18,Admin!$B$17)),
"")</f>
        <v>FEOR</v>
      </c>
      <c r="C48" s="437">
        <f>IFERROR(INDEX('Historikus berek_2021-2'!$A$1:$F$903,MATCH(AB48,'Historikus berek_2021-2'!$A$1:$A$903,0),4),"")</f>
        <v>304933.33333333331</v>
      </c>
      <c r="D48" s="438">
        <f t="shared" si="5"/>
        <v>304933.33333333331</v>
      </c>
      <c r="E48" s="437">
        <f t="shared" si="6"/>
        <v>475000</v>
      </c>
      <c r="F48" s="439">
        <f t="shared" si="7"/>
        <v>192175.33333333337</v>
      </c>
      <c r="G48" s="440">
        <f t="shared" si="8"/>
        <v>344574.66666666663</v>
      </c>
      <c r="H48" s="441">
        <f>IFERROR(INDEX('FEOR kodok'!$A$2:$J$1126,MATCH(Bérköltség!AB48,'FEOR kodok'!$B$2:$B$1126,0),8),"NA")</f>
        <v>2167</v>
      </c>
      <c r="I48" s="436">
        <f ca="1">IFERROR(INDEX('FEOR kodok'!$A$2:$J$1126,MATCH(Bérköltség!AB48,'FEOR kodok'!$B$2:$B$1126,0),10),"NA")</f>
        <v>43</v>
      </c>
      <c r="J48" s="442" t="str">
        <f t="shared" ca="1" si="9"/>
        <v>40–49 éves</v>
      </c>
      <c r="K48" s="436" t="str">
        <f>IFERROR(INDEX(admin_feor[#All],MATCH(Bérköltség!H48,admin_feor[[#All],[Foglalkozás]],0),2),"NA")</f>
        <v>Biológus, botanikus, zoológus és rokon foglalkozású</v>
      </c>
      <c r="L48" s="438">
        <f ca="1">IFERROR(
INDEX('Admin - FEOR'!$A$4:$F$465,MATCH(Bérköltség!H48,'Admin - FEOR'!$A$4:$A$465,0),
IF(J48="30 év alatt",3,
IF(J48="30–39 éves",4,
IF(J48="40–49 éves",5,
IF(J48="50 év és afelett",6
)))))*1,"NA")</f>
        <v>749359</v>
      </c>
      <c r="M48" s="438">
        <f t="shared" si="10"/>
        <v>475000</v>
      </c>
      <c r="N48" s="443">
        <f t="shared" ca="1" si="11"/>
        <v>0.63387508523951808</v>
      </c>
      <c r="O48" s="438">
        <f ca="1">IFERROR(
INDEX('Admin - FEOR'!$A$4:$F$465,MATCH(Bérköltség!H48,'Admin - FEOR'!$A$4:$A$465,0),
IF(J48="30 év alatt",3,
IF(J48="30–39 éves",4,
IF(J48="40–49 éves",5,
IF(J48="50 év és afelett",6
)))))*1.5,"NA")</f>
        <v>1124038.5</v>
      </c>
      <c r="P48" s="438">
        <f t="shared" ca="1" si="12"/>
        <v>1124038.5</v>
      </c>
      <c r="Q48" s="438">
        <f t="shared" si="13"/>
        <v>475000</v>
      </c>
      <c r="R48" s="444">
        <f t="shared" si="14"/>
        <v>1</v>
      </c>
      <c r="S48" s="438">
        <f t="shared" ca="1" si="15"/>
        <v>0</v>
      </c>
      <c r="T48" s="438">
        <f t="shared" ca="1" si="16"/>
        <v>0</v>
      </c>
      <c r="U48" s="445">
        <f t="shared" ca="1" si="17"/>
        <v>0</v>
      </c>
      <c r="V48" s="446">
        <f t="shared" ca="1" si="18"/>
        <v>536750</v>
      </c>
      <c r="W48" s="447" t="str">
        <f t="shared" ca="1" si="19"/>
        <v>Nem szükséges indoklás.</v>
      </c>
      <c r="X48" s="571">
        <f t="shared" ca="1" si="20"/>
        <v>0</v>
      </c>
      <c r="Y48" s="554">
        <f t="shared" ca="1" si="21"/>
        <v>475000</v>
      </c>
      <c r="Z48" s="555">
        <f t="shared" ca="1" si="22"/>
        <v>61750</v>
      </c>
      <c r="AA48" s="573">
        <v>2</v>
      </c>
      <c r="AB48" s="474">
        <v>8415712928</v>
      </c>
      <c r="AC48" s="475" t="s">
        <v>226</v>
      </c>
      <c r="AD48" s="472" t="s">
        <v>45</v>
      </c>
      <c r="AE48" s="476" t="s">
        <v>22</v>
      </c>
      <c r="AF48" s="247" t="s">
        <v>125</v>
      </c>
      <c r="AG48" s="247" t="s">
        <v>194</v>
      </c>
      <c r="AH48" s="451" t="s">
        <v>131</v>
      </c>
      <c r="AI48" s="154">
        <v>44927</v>
      </c>
      <c r="AJ48" s="100" t="str">
        <f>IF(AI48&gt;0,
(IF(AI48&lt;Hónapok!$A$10,Admin!$A$28,
(IF(AI48&lt;Hónapok!$A$22,Admin!$B$28,
(IF(AI48&lt;Hónapok!$A$34,Admin!$C$28,
(IF(AI48&lt;Hónapok!$A$46,Admin!$D$28,"")))))))),"")</f>
        <v>2. mérföldkő</v>
      </c>
      <c r="AK48" s="470" t="s">
        <v>7</v>
      </c>
      <c r="AL48" s="477" t="s">
        <v>26</v>
      </c>
      <c r="AM48" s="900">
        <v>475000</v>
      </c>
      <c r="AN48" s="860">
        <f t="shared" si="0"/>
        <v>61750</v>
      </c>
      <c r="AO48" s="477">
        <v>174</v>
      </c>
      <c r="AP48" s="478">
        <v>174</v>
      </c>
      <c r="AQ48" s="454">
        <f t="shared" si="1"/>
        <v>1</v>
      </c>
      <c r="AR48" s="455">
        <f t="shared" si="23"/>
        <v>475000</v>
      </c>
      <c r="AS48" s="455">
        <f t="shared" si="2"/>
        <v>61750</v>
      </c>
      <c r="AT48" s="102">
        <f t="shared" si="3"/>
        <v>0</v>
      </c>
      <c r="AU48" s="116">
        <v>0.13</v>
      </c>
      <c r="AV48" s="565" t="str">
        <f>VLOOKUP(LEFT(AB48,10),Törzsszám!$A$1:$B$908,2,0)</f>
        <v>10000433</v>
      </c>
      <c r="AW48" s="615">
        <f t="shared" ca="1" si="24"/>
        <v>0</v>
      </c>
      <c r="AX48" s="473" t="s">
        <v>2518</v>
      </c>
      <c r="AY48" s="503"/>
      <c r="AZ48" s="502" t="s">
        <v>4607</v>
      </c>
      <c r="BA48" s="671">
        <v>475000</v>
      </c>
      <c r="BB48" s="649">
        <v>61750</v>
      </c>
      <c r="BC48" s="649">
        <f t="shared" ca="1" si="121"/>
        <v>0</v>
      </c>
      <c r="BD48" s="672">
        <f t="shared" ca="1" si="121"/>
        <v>0</v>
      </c>
      <c r="BE48" s="450" t="s">
        <v>201</v>
      </c>
    </row>
    <row r="49" spans="1:57" s="457" customFormat="1" ht="31.5" x14ac:dyDescent="0.25">
      <c r="A49" s="694" t="str">
        <f ca="1">Bérköltség!$B49</f>
        <v>FEOR</v>
      </c>
      <c r="B49" s="694" t="str">
        <f ca="1">IFERROR(
IF(AND(Bérköltség!$F49="",H49="NA"),"HIÁNYOS ADATOK",
IF(Bérköltség!$F49&lt;Bérköltség!$U49,Admin!$B$18,Admin!$B$17)),
"")</f>
        <v>FEOR</v>
      </c>
      <c r="C49" s="437">
        <f>IFERROR(INDEX('Historikus berek_2021-2'!$A$1:$F$903,MATCH(AB49,'Historikus berek_2021-2'!$A$1:$A$903,0),4),"")</f>
        <v>304933.33333333331</v>
      </c>
      <c r="D49" s="438">
        <f t="shared" si="5"/>
        <v>304933.33333333331</v>
      </c>
      <c r="E49" s="437">
        <f t="shared" si="6"/>
        <v>427500</v>
      </c>
      <c r="F49" s="439">
        <f t="shared" si="7"/>
        <v>138500.33333333331</v>
      </c>
      <c r="G49" s="440">
        <f t="shared" si="8"/>
        <v>344574.66666666663</v>
      </c>
      <c r="H49" s="441">
        <f>IFERROR(INDEX('FEOR kodok'!$A$2:$J$1126,MATCH(Bérköltség!AB49,'FEOR kodok'!$B$2:$B$1126,0),8),"NA")</f>
        <v>2167</v>
      </c>
      <c r="I49" s="436">
        <f ca="1">IFERROR(INDEX('FEOR kodok'!$A$2:$J$1126,MATCH(Bérköltség!AB49,'FEOR kodok'!$B$2:$B$1126,0),10),"NA")</f>
        <v>43</v>
      </c>
      <c r="J49" s="442" t="str">
        <f t="shared" ca="1" si="9"/>
        <v>40–49 éves</v>
      </c>
      <c r="K49" s="436" t="str">
        <f>IFERROR(INDEX(admin_feor[#All],MATCH(Bérköltség!H49,admin_feor[[#All],[Foglalkozás]],0),2),"NA")</f>
        <v>Biológus, botanikus, zoológus és rokon foglalkozású</v>
      </c>
      <c r="L49" s="438">
        <f ca="1">IFERROR(
INDEX('Admin - FEOR'!$A$4:$F$465,MATCH(Bérköltség!H49,'Admin - FEOR'!$A$4:$A$465,0),
IF(J49="30 év alatt",3,
IF(J49="30–39 éves",4,
IF(J49="40–49 éves",5,
IF(J49="50 év és afelett",6
)))))*1,"NA")</f>
        <v>749359</v>
      </c>
      <c r="M49" s="438">
        <f t="shared" si="10"/>
        <v>427500</v>
      </c>
      <c r="N49" s="443">
        <f t="shared" ca="1" si="11"/>
        <v>0.57048757671556627</v>
      </c>
      <c r="O49" s="438">
        <f ca="1">IFERROR(
INDEX('Admin - FEOR'!$A$4:$F$465,MATCH(Bérköltség!H49,'Admin - FEOR'!$A$4:$A$465,0),
IF(J49="30 év alatt",3,
IF(J49="30–39 éves",4,
IF(J49="40–49 éves",5,
IF(J49="50 év és afelett",6
)))))*1.5,"NA")</f>
        <v>1124038.5</v>
      </c>
      <c r="P49" s="438">
        <f t="shared" ca="1" si="12"/>
        <v>1124038.5</v>
      </c>
      <c r="Q49" s="438">
        <f t="shared" si="13"/>
        <v>427500</v>
      </c>
      <c r="R49" s="444">
        <f t="shared" si="14"/>
        <v>1</v>
      </c>
      <c r="S49" s="438">
        <f t="shared" ca="1" si="15"/>
        <v>0</v>
      </c>
      <c r="T49" s="438">
        <f t="shared" ca="1" si="16"/>
        <v>0</v>
      </c>
      <c r="U49" s="445">
        <f t="shared" ca="1" si="17"/>
        <v>0</v>
      </c>
      <c r="V49" s="446">
        <f t="shared" ca="1" si="18"/>
        <v>483075</v>
      </c>
      <c r="W49" s="447" t="str">
        <f t="shared" ca="1" si="19"/>
        <v>Nem szükséges indoklás.</v>
      </c>
      <c r="X49" s="571">
        <f t="shared" ca="1" si="20"/>
        <v>0</v>
      </c>
      <c r="Y49" s="554">
        <f t="shared" ca="1" si="21"/>
        <v>427500</v>
      </c>
      <c r="Z49" s="555">
        <f t="shared" ca="1" si="22"/>
        <v>55575</v>
      </c>
      <c r="AA49" s="477"/>
      <c r="AB49" s="474">
        <v>8415712928</v>
      </c>
      <c r="AC49" s="475" t="s">
        <v>226</v>
      </c>
      <c r="AD49" s="472" t="s">
        <v>45</v>
      </c>
      <c r="AE49" s="476" t="s">
        <v>22</v>
      </c>
      <c r="AF49" s="247" t="s">
        <v>125</v>
      </c>
      <c r="AG49" s="247" t="s">
        <v>194</v>
      </c>
      <c r="AH49" s="451" t="s">
        <v>131</v>
      </c>
      <c r="AI49" s="154">
        <v>44958</v>
      </c>
      <c r="AJ49" s="100" t="str">
        <f>IF(AI49&gt;0,
(IF(AI49&lt;Hónapok!$A$10,Admin!$A$28,
(IF(AI49&lt;Hónapok!$A$22,Admin!$B$28,
(IF(AI49&lt;Hónapok!$A$34,Admin!$C$28,
(IF(AI49&lt;Hónapok!$A$46,Admin!$D$28,"")))))))),"")</f>
        <v>2. mérföldkő</v>
      </c>
      <c r="AK49" s="470" t="s">
        <v>7</v>
      </c>
      <c r="AL49" s="477" t="s">
        <v>26</v>
      </c>
      <c r="AM49" s="900">
        <v>427500</v>
      </c>
      <c r="AN49" s="860">
        <f t="shared" si="0"/>
        <v>55575</v>
      </c>
      <c r="AO49" s="477">
        <v>174</v>
      </c>
      <c r="AP49" s="478">
        <v>174</v>
      </c>
      <c r="AQ49" s="454">
        <f t="shared" si="1"/>
        <v>1</v>
      </c>
      <c r="AR49" s="455">
        <f t="shared" si="23"/>
        <v>427500</v>
      </c>
      <c r="AS49" s="455">
        <f t="shared" si="2"/>
        <v>55575</v>
      </c>
      <c r="AT49" s="102">
        <f t="shared" si="3"/>
        <v>0</v>
      </c>
      <c r="AU49" s="116">
        <v>0.13</v>
      </c>
      <c r="AV49" s="565" t="str">
        <f>VLOOKUP(LEFT(AB49,10),Törzsszám!$A$1:$B$908,2,0)</f>
        <v>10000433</v>
      </c>
      <c r="AW49" s="615">
        <f t="shared" ca="1" si="24"/>
        <v>0</v>
      </c>
      <c r="AX49" s="537" t="s">
        <v>4557</v>
      </c>
      <c r="AY49" s="503"/>
      <c r="AZ49" s="504"/>
      <c r="BA49" s="671"/>
      <c r="BB49" s="649"/>
      <c r="BC49" s="649"/>
      <c r="BD49" s="672"/>
      <c r="BE49" s="450" t="s">
        <v>201</v>
      </c>
    </row>
    <row r="50" spans="1:57" s="457" customFormat="1" ht="31.5" x14ac:dyDescent="0.25">
      <c r="A50" s="694" t="str">
        <f ca="1">Bérköltség!$B50</f>
        <v>FEOR</v>
      </c>
      <c r="B50" s="694" t="str">
        <f ca="1">IFERROR(
IF(AND(Bérköltség!$F50="",H50="NA"),"HIÁNYOS ADATOK",
IF(Bérköltség!$F50&lt;Bérköltség!$U50,Admin!$B$18,Admin!$B$17)),
"")</f>
        <v>FEOR</v>
      </c>
      <c r="C50" s="437">
        <f>IFERROR(INDEX('Historikus berek_2021-2'!$A$1:$F$903,MATCH(AB50,'Historikus berek_2021-2'!$A$1:$A$903,0),4),"")</f>
        <v>304933.33333333331</v>
      </c>
      <c r="D50" s="438">
        <f t="shared" si="5"/>
        <v>304933.33333333331</v>
      </c>
      <c r="E50" s="437">
        <f t="shared" si="6"/>
        <v>475000</v>
      </c>
      <c r="F50" s="439">
        <f t="shared" si="7"/>
        <v>192175.33333333337</v>
      </c>
      <c r="G50" s="440">
        <f t="shared" si="8"/>
        <v>344574.66666666663</v>
      </c>
      <c r="H50" s="441">
        <f>IFERROR(INDEX('FEOR kodok'!$A$2:$J$1126,MATCH(Bérköltség!AB50,'FEOR kodok'!$B$2:$B$1126,0),8),"NA")</f>
        <v>2167</v>
      </c>
      <c r="I50" s="436">
        <f ca="1">IFERROR(INDEX('FEOR kodok'!$A$2:$J$1126,MATCH(Bérköltség!AB50,'FEOR kodok'!$B$2:$B$1126,0),10),"NA")</f>
        <v>43</v>
      </c>
      <c r="J50" s="442" t="str">
        <f t="shared" ca="1" si="9"/>
        <v>40–49 éves</v>
      </c>
      <c r="K50" s="436" t="str">
        <f>IFERROR(INDEX(admin_feor[#All],MATCH(Bérköltség!H50,admin_feor[[#All],[Foglalkozás]],0),2),"NA")</f>
        <v>Biológus, botanikus, zoológus és rokon foglalkozású</v>
      </c>
      <c r="L50" s="438">
        <f ca="1">IFERROR(
INDEX('Admin - FEOR'!$A$4:$F$465,MATCH(Bérköltség!H50,'Admin - FEOR'!$A$4:$A$465,0),
IF(J50="30 év alatt",3,
IF(J50="30–39 éves",4,
IF(J50="40–49 éves",5,
IF(J50="50 év és afelett",6
)))))*1,"NA")</f>
        <v>749359</v>
      </c>
      <c r="M50" s="438">
        <f t="shared" si="10"/>
        <v>475000</v>
      </c>
      <c r="N50" s="443">
        <f t="shared" ca="1" si="11"/>
        <v>0.63387508523951808</v>
      </c>
      <c r="O50" s="438">
        <f ca="1">IFERROR(
INDEX('Admin - FEOR'!$A$4:$F$465,MATCH(Bérköltség!H50,'Admin - FEOR'!$A$4:$A$465,0),
IF(J50="30 év alatt",3,
IF(J50="30–39 éves",4,
IF(J50="40–49 éves",5,
IF(J50="50 év és afelett",6
)))))*1.5,"NA")</f>
        <v>1124038.5</v>
      </c>
      <c r="P50" s="438">
        <f t="shared" ca="1" si="12"/>
        <v>1124038.5</v>
      </c>
      <c r="Q50" s="438">
        <f t="shared" si="13"/>
        <v>475000</v>
      </c>
      <c r="R50" s="444">
        <f t="shared" si="14"/>
        <v>1</v>
      </c>
      <c r="S50" s="438">
        <f t="shared" ca="1" si="15"/>
        <v>0</v>
      </c>
      <c r="T50" s="438">
        <f t="shared" ca="1" si="16"/>
        <v>0</v>
      </c>
      <c r="U50" s="445">
        <f t="shared" ca="1" si="17"/>
        <v>0</v>
      </c>
      <c r="V50" s="446">
        <f t="shared" ca="1" si="18"/>
        <v>536750</v>
      </c>
      <c r="W50" s="447" t="str">
        <f t="shared" ca="1" si="19"/>
        <v>Nem szükséges indoklás.</v>
      </c>
      <c r="X50" s="571">
        <f t="shared" ca="1" si="20"/>
        <v>0</v>
      </c>
      <c r="Y50" s="554">
        <f t="shared" ca="1" si="21"/>
        <v>475000</v>
      </c>
      <c r="Z50" s="555">
        <f t="shared" ca="1" si="22"/>
        <v>61750</v>
      </c>
      <c r="AA50" s="477"/>
      <c r="AB50" s="474">
        <v>8415712928</v>
      </c>
      <c r="AC50" s="475" t="s">
        <v>226</v>
      </c>
      <c r="AD50" s="472" t="s">
        <v>45</v>
      </c>
      <c r="AE50" s="476" t="s">
        <v>22</v>
      </c>
      <c r="AF50" s="247" t="s">
        <v>125</v>
      </c>
      <c r="AG50" s="247" t="s">
        <v>194</v>
      </c>
      <c r="AH50" s="451" t="s">
        <v>131</v>
      </c>
      <c r="AI50" s="154">
        <v>44986</v>
      </c>
      <c r="AJ50" s="100" t="str">
        <f>IF(AI50&gt;0,
(IF(AI50&lt;Hónapok!$A$10,Admin!$A$28,
(IF(AI50&lt;Hónapok!$A$22,Admin!$B$28,
(IF(AI50&lt;Hónapok!$A$34,Admin!$C$28,
(IF(AI50&lt;Hónapok!$A$46,Admin!$D$28,"")))))))),"")</f>
        <v>3. mérföldkő</v>
      </c>
      <c r="AK50" s="470" t="s">
        <v>7</v>
      </c>
      <c r="AL50" s="477" t="s">
        <v>26</v>
      </c>
      <c r="AM50" s="900">
        <v>475000</v>
      </c>
      <c r="AN50" s="860">
        <f t="shared" si="0"/>
        <v>61750</v>
      </c>
      <c r="AO50" s="477">
        <v>174</v>
      </c>
      <c r="AP50" s="478">
        <v>174</v>
      </c>
      <c r="AQ50" s="454">
        <f t="shared" si="1"/>
        <v>1</v>
      </c>
      <c r="AR50" s="455">
        <f t="shared" si="23"/>
        <v>475000</v>
      </c>
      <c r="AS50" s="455">
        <f t="shared" si="2"/>
        <v>61750</v>
      </c>
      <c r="AT50" s="102">
        <f t="shared" si="3"/>
        <v>0</v>
      </c>
      <c r="AU50" s="116">
        <v>0.13</v>
      </c>
      <c r="AV50" s="565" t="str">
        <f>VLOOKUP(LEFT(AB50,10),Törzsszám!$A$1:$B$908,2,0)</f>
        <v>10000433</v>
      </c>
      <c r="AW50" s="615">
        <f t="shared" ca="1" si="24"/>
        <v>0</v>
      </c>
      <c r="AX50" s="471" t="s">
        <v>4561</v>
      </c>
      <c r="AY50" s="552"/>
      <c r="AZ50" s="798"/>
      <c r="BA50" s="671"/>
      <c r="BB50" s="649"/>
      <c r="BC50" s="649"/>
      <c r="BD50" s="672"/>
      <c r="BE50" s="450" t="s">
        <v>201</v>
      </c>
    </row>
    <row r="51" spans="1:57" s="457" customFormat="1" ht="31.5" x14ac:dyDescent="0.25">
      <c r="A51" s="694" t="str">
        <f ca="1">Bérköltség!$B51</f>
        <v>FEOR</v>
      </c>
      <c r="B51" s="694" t="str">
        <f ca="1">IFERROR(
IF(AND(Bérköltség!$F51="",H51="NA"),"HIÁNYOS ADATOK",
IF(Bérköltség!$F51&lt;Bérköltség!$U51,Admin!$B$18,Admin!$B$17)),
"")</f>
        <v>FEOR</v>
      </c>
      <c r="C51" s="437">
        <f>IFERROR(INDEX('Historikus berek_2021-2'!$A$1:$F$903,MATCH(AB51,'Historikus berek_2021-2'!$A$1:$A$903,0),4),"")</f>
        <v>304933.33333333331</v>
      </c>
      <c r="D51" s="438">
        <f t="shared" si="5"/>
        <v>304933.33333333331</v>
      </c>
      <c r="E51" s="437">
        <f t="shared" si="6"/>
        <v>475000</v>
      </c>
      <c r="F51" s="439">
        <f t="shared" si="7"/>
        <v>192175.33333333337</v>
      </c>
      <c r="G51" s="440">
        <f t="shared" si="8"/>
        <v>344574.66666666663</v>
      </c>
      <c r="H51" s="441">
        <f>IFERROR(INDEX('FEOR kodok'!$A$2:$J$1126,MATCH(Bérköltség!AB51,'FEOR kodok'!$B$2:$B$1126,0),8),"NA")</f>
        <v>2167</v>
      </c>
      <c r="I51" s="436">
        <f ca="1">IFERROR(INDEX('FEOR kodok'!$A$2:$J$1126,MATCH(Bérköltség!AB51,'FEOR kodok'!$B$2:$B$1126,0),10),"NA")</f>
        <v>43</v>
      </c>
      <c r="J51" s="442" t="str">
        <f t="shared" ca="1" si="9"/>
        <v>40–49 éves</v>
      </c>
      <c r="K51" s="436" t="str">
        <f>IFERROR(INDEX(admin_feor[#All],MATCH(Bérköltség!H51,admin_feor[[#All],[Foglalkozás]],0),2),"NA")</f>
        <v>Biológus, botanikus, zoológus és rokon foglalkozású</v>
      </c>
      <c r="L51" s="438">
        <f ca="1">IFERROR(
INDEX('Admin - FEOR'!$A$4:$F$465,MATCH(Bérköltség!H51,'Admin - FEOR'!$A$4:$A$465,0),
IF(J51="30 év alatt",3,
IF(J51="30–39 éves",4,
IF(J51="40–49 éves",5,
IF(J51="50 év és afelett",6
)))))*1,"NA")</f>
        <v>749359</v>
      </c>
      <c r="M51" s="438">
        <f t="shared" si="10"/>
        <v>475000</v>
      </c>
      <c r="N51" s="443">
        <f t="shared" ca="1" si="11"/>
        <v>0.63387508523951808</v>
      </c>
      <c r="O51" s="438">
        <f ca="1">IFERROR(
INDEX('Admin - FEOR'!$A$4:$F$465,MATCH(Bérköltség!H51,'Admin - FEOR'!$A$4:$A$465,0),
IF(J51="30 év alatt",3,
IF(J51="30–39 éves",4,
IF(J51="40–49 éves",5,
IF(J51="50 év és afelett",6
)))))*1.5,"NA")</f>
        <v>1124038.5</v>
      </c>
      <c r="P51" s="438">
        <f t="shared" ca="1" si="12"/>
        <v>1124038.5</v>
      </c>
      <c r="Q51" s="438">
        <f t="shared" si="13"/>
        <v>475000</v>
      </c>
      <c r="R51" s="444">
        <f t="shared" si="14"/>
        <v>1</v>
      </c>
      <c r="S51" s="438">
        <f t="shared" ca="1" si="15"/>
        <v>0</v>
      </c>
      <c r="T51" s="438">
        <f t="shared" ca="1" si="16"/>
        <v>0</v>
      </c>
      <c r="U51" s="445">
        <f t="shared" ca="1" si="17"/>
        <v>0</v>
      </c>
      <c r="V51" s="446">
        <f t="shared" ca="1" si="18"/>
        <v>536750</v>
      </c>
      <c r="W51" s="447" t="str">
        <f t="shared" ca="1" si="19"/>
        <v>Nem szükséges indoklás.</v>
      </c>
      <c r="X51" s="571">
        <f t="shared" ca="1" si="20"/>
        <v>0</v>
      </c>
      <c r="Y51" s="554">
        <f t="shared" ca="1" si="21"/>
        <v>475000</v>
      </c>
      <c r="Z51" s="555">
        <f t="shared" ca="1" si="22"/>
        <v>61750</v>
      </c>
      <c r="AA51" s="477"/>
      <c r="AB51" s="474">
        <v>8415712928</v>
      </c>
      <c r="AC51" s="475" t="s">
        <v>226</v>
      </c>
      <c r="AD51" s="472" t="s">
        <v>45</v>
      </c>
      <c r="AE51" s="476" t="s">
        <v>22</v>
      </c>
      <c r="AF51" s="247" t="s">
        <v>125</v>
      </c>
      <c r="AG51" s="247" t="s">
        <v>194</v>
      </c>
      <c r="AH51" s="451" t="s">
        <v>131</v>
      </c>
      <c r="AI51" s="154">
        <v>45017</v>
      </c>
      <c r="AJ51" s="100" t="str">
        <f>IF(AI51&gt;0,
(IF(AI51&lt;Hónapok!$A$10,Admin!$A$28,
(IF(AI51&lt;Hónapok!$A$22,Admin!$B$28,
(IF(AI51&lt;Hónapok!$A$34,Admin!$C$28,
(IF(AI51&lt;Hónapok!$A$46,Admin!$D$28,"")))))))),"")</f>
        <v>3. mérföldkő</v>
      </c>
      <c r="AK51" s="452" t="s">
        <v>7</v>
      </c>
      <c r="AL51" s="477" t="s">
        <v>26</v>
      </c>
      <c r="AM51" s="900">
        <v>475000</v>
      </c>
      <c r="AN51" s="860">
        <f t="shared" si="0"/>
        <v>61750</v>
      </c>
      <c r="AO51" s="477">
        <v>174</v>
      </c>
      <c r="AP51" s="478">
        <v>174</v>
      </c>
      <c r="AQ51" s="454">
        <f t="shared" si="1"/>
        <v>1</v>
      </c>
      <c r="AR51" s="455">
        <f t="shared" si="23"/>
        <v>475000</v>
      </c>
      <c r="AS51" s="455">
        <f t="shared" si="2"/>
        <v>61750</v>
      </c>
      <c r="AT51" s="102">
        <f t="shared" si="3"/>
        <v>0</v>
      </c>
      <c r="AU51" s="116">
        <v>0.13</v>
      </c>
      <c r="AV51" s="565" t="str">
        <f>VLOOKUP(LEFT(AB51,10),Törzsszám!$A$1:$B$908,2,0)</f>
        <v>10000433</v>
      </c>
      <c r="AW51" s="615">
        <f t="shared" ca="1" si="24"/>
        <v>0</v>
      </c>
      <c r="AX51" s="471" t="s">
        <v>4581</v>
      </c>
      <c r="AY51" s="504"/>
      <c r="AZ51" s="504"/>
      <c r="BA51" s="671"/>
      <c r="BB51" s="649"/>
      <c r="BC51" s="649"/>
      <c r="BD51" s="672"/>
      <c r="BE51" s="450" t="s">
        <v>201</v>
      </c>
    </row>
    <row r="52" spans="1:57" s="457" customFormat="1" ht="31.5" x14ac:dyDescent="0.25">
      <c r="A52" s="694" t="str">
        <f ca="1">Bérköltség!$B52</f>
        <v>FEOR</v>
      </c>
      <c r="B52" s="694" t="str">
        <f ca="1">IFERROR(
IF(AND(Bérköltség!$F52="",H52="NA"),"HIÁNYOS ADATOK",
IF(Bérköltség!$F52&lt;Bérköltség!$U52,Admin!$B$18,Admin!$B$17)),
"")</f>
        <v>FEOR</v>
      </c>
      <c r="C52" s="437">
        <f>IFERROR(INDEX('Historikus berek_2021-2'!$A$1:$F$903,MATCH(AB52,'Historikus berek_2021-2'!$A$1:$A$903,0),4),"")</f>
        <v>304933.33333333331</v>
      </c>
      <c r="D52" s="438">
        <f t="shared" si="5"/>
        <v>0</v>
      </c>
      <c r="E52" s="437">
        <f t="shared" si="6"/>
        <v>0</v>
      </c>
      <c r="F52" s="439">
        <f t="shared" si="7"/>
        <v>0</v>
      </c>
      <c r="G52" s="440">
        <f t="shared" si="8"/>
        <v>0</v>
      </c>
      <c r="H52" s="441">
        <f>IFERROR(INDEX('FEOR kodok'!$A$2:$J$1126,MATCH(Bérköltség!AB52,'FEOR kodok'!$B$2:$B$1126,0),8),"NA")</f>
        <v>2167</v>
      </c>
      <c r="I52" s="436">
        <f ca="1">IFERROR(INDEX('FEOR kodok'!$A$2:$J$1126,MATCH(Bérköltség!AB52,'FEOR kodok'!$B$2:$B$1126,0),10),"NA")</f>
        <v>43</v>
      </c>
      <c r="J52" s="442" t="str">
        <f t="shared" ca="1" si="9"/>
        <v>40–49 éves</v>
      </c>
      <c r="K52" s="436" t="str">
        <f>IFERROR(INDEX(admin_feor[#All],MATCH(Bérköltség!H52,admin_feor[[#All],[Foglalkozás]],0),2),"NA")</f>
        <v>Biológus, botanikus, zoológus és rokon foglalkozású</v>
      </c>
      <c r="L52" s="438">
        <f ca="1">IFERROR(
INDEX('Admin - FEOR'!$A$4:$F$465,MATCH(Bérköltség!H52,'Admin - FEOR'!$A$4:$A$465,0),
IF(J52="30 év alatt",3,
IF(J52="30–39 éves",4,
IF(J52="40–49 éves",5,
IF(J52="50 év és afelett",6
)))))*1,"NA")</f>
        <v>749359</v>
      </c>
      <c r="M52" s="438">
        <f t="shared" si="10"/>
        <v>0</v>
      </c>
      <c r="N52" s="443">
        <f t="shared" ca="1" si="11"/>
        <v>0</v>
      </c>
      <c r="O52" s="438">
        <f ca="1">IFERROR(
INDEX('Admin - FEOR'!$A$4:$F$465,MATCH(Bérköltség!H52,'Admin - FEOR'!$A$4:$A$465,0),
IF(J52="30 év alatt",3,
IF(J52="30–39 éves",4,
IF(J52="40–49 éves",5,
IF(J52="50 év és afelett",6
)))))*1.5,"NA")</f>
        <v>1124038.5</v>
      </c>
      <c r="P52" s="438">
        <f t="shared" ca="1" si="12"/>
        <v>0</v>
      </c>
      <c r="Q52" s="438">
        <f t="shared" si="13"/>
        <v>0</v>
      </c>
      <c r="R52" s="444">
        <f t="shared" si="14"/>
        <v>0</v>
      </c>
      <c r="S52" s="438">
        <f t="shared" ca="1" si="15"/>
        <v>0</v>
      </c>
      <c r="T52" s="438">
        <f t="shared" ca="1" si="16"/>
        <v>0</v>
      </c>
      <c r="U52" s="445">
        <f t="shared" ca="1" si="17"/>
        <v>0</v>
      </c>
      <c r="V52" s="446">
        <f t="shared" ca="1" si="18"/>
        <v>0</v>
      </c>
      <c r="W52" s="447" t="str">
        <f t="shared" ca="1" si="19"/>
        <v>Nem szükséges indoklás.</v>
      </c>
      <c r="X52" s="571">
        <f t="shared" ca="1" si="20"/>
        <v>0</v>
      </c>
      <c r="Y52" s="554">
        <f t="shared" ca="1" si="21"/>
        <v>0</v>
      </c>
      <c r="Z52" s="555">
        <f t="shared" ca="1" si="22"/>
        <v>0</v>
      </c>
      <c r="AA52" s="477"/>
      <c r="AB52" s="474">
        <v>8415712928</v>
      </c>
      <c r="AC52" s="475" t="s">
        <v>226</v>
      </c>
      <c r="AD52" s="472" t="s">
        <v>45</v>
      </c>
      <c r="AE52" s="476" t="s">
        <v>22</v>
      </c>
      <c r="AF52" s="247" t="s">
        <v>125</v>
      </c>
      <c r="AG52" s="247" t="s">
        <v>194</v>
      </c>
      <c r="AH52" s="451" t="s">
        <v>131</v>
      </c>
      <c r="AI52" s="154">
        <v>45047</v>
      </c>
      <c r="AJ52" s="100" t="str">
        <f>IF(AI52&gt;0,
(IF(AI52&lt;Hónapok!$A$10,Admin!$A$28,
(IF(AI52&lt;Hónapok!$A$22,Admin!$B$28,
(IF(AI52&lt;Hónapok!$A$34,Admin!$C$28,
(IF(AI52&lt;Hónapok!$A$46,Admin!$D$28,"")))))))),"")</f>
        <v>3. mérföldkő</v>
      </c>
      <c r="AK52" s="467"/>
      <c r="AL52" s="477" t="s">
        <v>26</v>
      </c>
      <c r="AM52" s="900">
        <v>0</v>
      </c>
      <c r="AN52" s="860">
        <f t="shared" si="0"/>
        <v>0</v>
      </c>
      <c r="AO52" s="477">
        <v>174</v>
      </c>
      <c r="AP52" s="478">
        <v>0</v>
      </c>
      <c r="AQ52" s="454">
        <f t="shared" si="1"/>
        <v>0</v>
      </c>
      <c r="AR52" s="455">
        <f t="shared" si="23"/>
        <v>0</v>
      </c>
      <c r="AS52" s="455">
        <f t="shared" si="2"/>
        <v>0</v>
      </c>
      <c r="AT52" s="102" t="str">
        <f t="shared" si="3"/>
        <v/>
      </c>
      <c r="AU52" s="116">
        <v>0.13</v>
      </c>
      <c r="AV52" s="565" t="str">
        <f>VLOOKUP(LEFT(AB52,10),Törzsszám!$A$1:$B$908,2,0)</f>
        <v>10000433</v>
      </c>
      <c r="AW52" s="615">
        <f t="shared" ca="1" si="24"/>
        <v>0</v>
      </c>
      <c r="AX52" s="471"/>
      <c r="AY52" s="552" t="s">
        <v>4597</v>
      </c>
      <c r="AZ52" s="504" t="s">
        <v>4598</v>
      </c>
      <c r="BA52" s="671"/>
      <c r="BB52" s="649"/>
      <c r="BC52" s="649"/>
      <c r="BD52" s="672"/>
      <c r="BE52" s="450" t="s">
        <v>201</v>
      </c>
    </row>
    <row r="53" spans="1:57" s="457" customFormat="1" ht="31.5" x14ac:dyDescent="0.25">
      <c r="A53" s="694" t="str">
        <f ca="1">Bérköltség!$B53</f>
        <v>FEOR</v>
      </c>
      <c r="B53" s="694" t="str">
        <f ca="1">IFERROR(
IF(AND(Bérköltség!$F53="",H53="NA"),"HIÁNYOS ADATOK",
IF(Bérköltség!$F53&lt;Bérköltség!$U53,Admin!$B$18,Admin!$B$17)),
"")</f>
        <v>FEOR</v>
      </c>
      <c r="C53" s="437">
        <f>IFERROR(INDEX('Historikus berek_2021-2'!$A$1:$F$903,MATCH(AB53,'Historikus berek_2021-2'!$A$1:$A$903,0),4),"")</f>
        <v>304933.33333333331</v>
      </c>
      <c r="D53" s="438">
        <f t="shared" si="5"/>
        <v>0</v>
      </c>
      <c r="E53" s="437">
        <f t="shared" si="6"/>
        <v>0</v>
      </c>
      <c r="F53" s="439">
        <f t="shared" si="7"/>
        <v>0</v>
      </c>
      <c r="G53" s="440">
        <f t="shared" si="8"/>
        <v>0</v>
      </c>
      <c r="H53" s="441">
        <f>IFERROR(INDEX('FEOR kodok'!$A$2:$J$1126,MATCH(Bérköltség!AB53,'FEOR kodok'!$B$2:$B$1126,0),8),"NA")</f>
        <v>2167</v>
      </c>
      <c r="I53" s="436">
        <f ca="1">IFERROR(INDEX('FEOR kodok'!$A$2:$J$1126,MATCH(Bérköltség!AB53,'FEOR kodok'!$B$2:$B$1126,0),10),"NA")</f>
        <v>43</v>
      </c>
      <c r="J53" s="442" t="str">
        <f t="shared" ca="1" si="9"/>
        <v>40–49 éves</v>
      </c>
      <c r="K53" s="436" t="str">
        <f>IFERROR(INDEX(admin_feor[#All],MATCH(Bérköltség!H53,admin_feor[[#All],[Foglalkozás]],0),2),"NA")</f>
        <v>Biológus, botanikus, zoológus és rokon foglalkozású</v>
      </c>
      <c r="L53" s="438">
        <f ca="1">IFERROR(
INDEX('Admin - FEOR'!$A$4:$F$465,MATCH(Bérköltség!H53,'Admin - FEOR'!$A$4:$A$465,0),
IF(J53="30 év alatt",3,
IF(J53="30–39 éves",4,
IF(J53="40–49 éves",5,
IF(J53="50 év és afelett",6
)))))*1,"NA")</f>
        <v>749359</v>
      </c>
      <c r="M53" s="438">
        <f t="shared" si="10"/>
        <v>0</v>
      </c>
      <c r="N53" s="443">
        <f t="shared" ca="1" si="11"/>
        <v>0</v>
      </c>
      <c r="O53" s="438">
        <f ca="1">IFERROR(
INDEX('Admin - FEOR'!$A$4:$F$465,MATCH(Bérköltség!H53,'Admin - FEOR'!$A$4:$A$465,0),
IF(J53="30 év alatt",3,
IF(J53="30–39 éves",4,
IF(J53="40–49 éves",5,
IF(J53="50 év és afelett",6
)))))*1.5,"NA")</f>
        <v>1124038.5</v>
      </c>
      <c r="P53" s="438">
        <f t="shared" ca="1" si="12"/>
        <v>0</v>
      </c>
      <c r="Q53" s="438">
        <f t="shared" si="13"/>
        <v>0</v>
      </c>
      <c r="R53" s="444">
        <f t="shared" si="14"/>
        <v>0</v>
      </c>
      <c r="S53" s="438">
        <f t="shared" ca="1" si="15"/>
        <v>0</v>
      </c>
      <c r="T53" s="438">
        <f t="shared" ca="1" si="16"/>
        <v>0</v>
      </c>
      <c r="U53" s="445">
        <f t="shared" ca="1" si="17"/>
        <v>0</v>
      </c>
      <c r="V53" s="446">
        <f t="shared" ca="1" si="18"/>
        <v>0</v>
      </c>
      <c r="W53" s="447" t="str">
        <f t="shared" ca="1" si="19"/>
        <v>Nem szükséges indoklás.</v>
      </c>
      <c r="X53" s="571">
        <f t="shared" ca="1" si="20"/>
        <v>0</v>
      </c>
      <c r="Y53" s="554">
        <f t="shared" ca="1" si="21"/>
        <v>0</v>
      </c>
      <c r="Z53" s="555">
        <f t="shared" ca="1" si="22"/>
        <v>0</v>
      </c>
      <c r="AA53" s="477"/>
      <c r="AB53" s="474">
        <v>8415712928</v>
      </c>
      <c r="AC53" s="475" t="s">
        <v>226</v>
      </c>
      <c r="AD53" s="472" t="s">
        <v>45</v>
      </c>
      <c r="AE53" s="476" t="s">
        <v>22</v>
      </c>
      <c r="AF53" s="247" t="s">
        <v>125</v>
      </c>
      <c r="AG53" s="247" t="s">
        <v>194</v>
      </c>
      <c r="AH53" s="451" t="s">
        <v>131</v>
      </c>
      <c r="AI53" s="154"/>
      <c r="AJ53" s="100" t="str">
        <f>IF(AI53&gt;0,
(IF(AI53&lt;Hónapok!$A$10,Admin!$A$28,
(IF(AI53&lt;Hónapok!$A$22,Admin!$B$28,
(IF(AI53&lt;Hónapok!$A$34,Admin!$C$28,
(IF(AI53&lt;Hónapok!$A$46,Admin!$D$28,"")))))))),"")</f>
        <v/>
      </c>
      <c r="AK53" s="469"/>
      <c r="AL53" s="477" t="s">
        <v>26</v>
      </c>
      <c r="AM53" s="900">
        <v>0</v>
      </c>
      <c r="AN53" s="860">
        <f t="shared" si="0"/>
        <v>0</v>
      </c>
      <c r="AO53" s="477">
        <v>174</v>
      </c>
      <c r="AP53" s="478">
        <v>0</v>
      </c>
      <c r="AQ53" s="454">
        <f t="shared" si="1"/>
        <v>0</v>
      </c>
      <c r="AR53" s="455">
        <f t="shared" si="23"/>
        <v>0</v>
      </c>
      <c r="AS53" s="455">
        <f t="shared" si="2"/>
        <v>0</v>
      </c>
      <c r="AT53" s="102" t="str">
        <f t="shared" si="3"/>
        <v/>
      </c>
      <c r="AU53" s="116">
        <v>0.13</v>
      </c>
      <c r="AV53" s="565" t="str">
        <f>VLOOKUP(LEFT(AB53,10),Törzsszám!$A$1:$B$908,2,0)</f>
        <v>10000433</v>
      </c>
      <c r="AW53" s="615">
        <f t="shared" ca="1" si="24"/>
        <v>0</v>
      </c>
      <c r="AX53" s="468"/>
      <c r="AY53" s="552" t="s">
        <v>4597</v>
      </c>
      <c r="AZ53" s="504"/>
      <c r="BA53" s="671"/>
      <c r="BB53" s="649"/>
      <c r="BC53" s="649"/>
      <c r="BD53" s="672"/>
      <c r="BE53" s="450" t="s">
        <v>201</v>
      </c>
    </row>
    <row r="54" spans="1:57" s="457" customFormat="1" ht="31.5" x14ac:dyDescent="0.25">
      <c r="A54" s="694" t="str">
        <f ca="1">Bérköltség!$B54</f>
        <v>FEOR</v>
      </c>
      <c r="B54" s="694" t="str">
        <f ca="1">IFERROR(
IF(AND(Bérköltség!$F54="",H54="NA"),"HIÁNYOS ADATOK",
IF(Bérköltség!$F54&lt;Bérköltség!$U54,Admin!$B$18,Admin!$B$17)),
"")</f>
        <v>FEOR</v>
      </c>
      <c r="C54" s="437">
        <f>IFERROR(INDEX('Historikus berek_2021-2'!$A$1:$F$903,MATCH(AB54,'Historikus berek_2021-2'!$A$1:$A$903,0),4),"")</f>
        <v>707400</v>
      </c>
      <c r="D54" s="438">
        <f t="shared" ref="D54:D58" si="122">IFERROR(C54*AQ54,"NA")</f>
        <v>40655.172413793101</v>
      </c>
      <c r="E54" s="437">
        <f t="shared" ref="E54:E58" si="123">AR54</f>
        <v>52316</v>
      </c>
      <c r="F54" s="439">
        <f t="shared" ref="F54:F58" si="124">IFERROR(IF((E54*(1+AU54)-D54*(1+AU54))&lt;0,0,(E54*(1+AU54)-D54*(1+AU54))),"")</f>
        <v>13176.735172413792</v>
      </c>
      <c r="G54" s="440">
        <f t="shared" ref="G54:G58" si="125">IFERROR((E54*(1+AU54)-F54),"")</f>
        <v>45940.344827586203</v>
      </c>
      <c r="H54" s="441">
        <f>IFERROR(INDEX('FEOR kodok'!$A$2:$J$1126,MATCH(Bérköltség!AB54,'FEOR kodok'!$B$2:$B$1126,0),8),"NA")</f>
        <v>2410</v>
      </c>
      <c r="I54" s="436">
        <f ca="1">IFERROR(INDEX('FEOR kodok'!$A$2:$J$1126,MATCH(Bérköltség!AB54,'FEOR kodok'!$B$2:$B$1126,0),10),"NA")</f>
        <v>48</v>
      </c>
      <c r="J54" s="442" t="str">
        <f t="shared" ref="J54:J58" ca="1" si="126">IF(I54="NA","NA",
IF(I54&lt;30,"30 év alatt",
IF(AND(I54&gt;=30,I54&lt;=39),"30–39 éves",
IF(AND(I54&gt;=40,I54&lt;=49),"40–49 éves",
IF(I54&gt;=50,"50 év és afelett",
"")))))</f>
        <v>40–49 éves</v>
      </c>
      <c r="K54" s="436" t="str">
        <f>IFERROR(INDEX(admin_feor[#All],MATCH(Bérköltség!H54,admin_feor[[#All],[Foglalkozás]],0),2),"NA")</f>
        <v>Egyetemi, főiskolai oktató, tanár</v>
      </c>
      <c r="L54" s="438">
        <f ca="1">IFERROR(
INDEX('Admin - FEOR'!$A$4:$F$465,MATCH(Bérköltség!H54,'Admin - FEOR'!$A$4:$A$465,0),
IF(J54="30 év alatt",3,
IF(J54="30–39 éves",4,
IF(J54="40–49 éves",5,
IF(J54="50 év és afelett",6
)))))*1,"NA")</f>
        <v>629398</v>
      </c>
      <c r="M54" s="438">
        <f t="shared" ref="M54:M58" si="127">AM54</f>
        <v>910300</v>
      </c>
      <c r="N54" s="443">
        <f t="shared" ref="N54:N58" ca="1" si="128">IFERROR(
M54/L54,"NA")</f>
        <v>1.4463026574599855</v>
      </c>
      <c r="O54" s="438">
        <f ca="1">IFERROR(
INDEX('Admin - FEOR'!$A$4:$F$465,MATCH(Bérköltség!H54,'Admin - FEOR'!$A$4:$A$465,0),
IF(J54="30 év alatt",3,
IF(J54="30–39 éves",4,
IF(J54="40–49 éves",5,
IF(J54="50 év és afelett",6
)))))*1.5,"NA")</f>
        <v>944097</v>
      </c>
      <c r="P54" s="438">
        <f t="shared" ref="P54:P58" ca="1" si="129">IFERROR(
AQ54*O54,"NA")</f>
        <v>54258.448275862065</v>
      </c>
      <c r="Q54" s="438">
        <f t="shared" ref="Q54:Q58" si="130">IFERROR(AR54,"")</f>
        <v>52316</v>
      </c>
      <c r="R54" s="444">
        <f t="shared" ref="R54:R58" si="131">IFERROR(AQ54,"")</f>
        <v>5.7471264367816091E-2</v>
      </c>
      <c r="S54" s="438">
        <f t="shared" ref="S54:S58" ca="1" si="132">IFERROR(
IF(AR54-P54&lt;0,0,AR54-P54),"NA")</f>
        <v>0</v>
      </c>
      <c r="T54" s="438">
        <f t="shared" ref="T54:T58" ca="1" si="133">IFERROR(
S54*AU54,"NA")</f>
        <v>0</v>
      </c>
      <c r="U54" s="445">
        <f t="shared" ref="U54:U58" ca="1" si="134">IFERROR(
S54+T54,"NA")</f>
        <v>0</v>
      </c>
      <c r="V54" s="446">
        <f t="shared" ref="V54:V58" ca="1" si="135">IFERROR(
IF(U54&gt;0,AR54+AS54-U54,AR54+AS54),"NA")</f>
        <v>59117</v>
      </c>
      <c r="W54" s="447" t="str">
        <f t="shared" ref="W54:W58" ca="1" si="136">IF(P54="NA","FEOR hiányzik",
IF(AND(N54&gt;1,A54="FEOR"),CONCATENATE("Indoklás szükséges mivel a FEOR: ",ROUND(N54*100,1),"%"),"Nem szükséges indoklás.")
)</f>
        <v>Indoklás szükséges mivel a FEOR: 144,6%</v>
      </c>
      <c r="X54" s="571">
        <f t="shared" ref="X54:X56" ca="1" si="137">IF(A54="FEOR",U54,IF(A54="HIÁNYOS ADATOK","HIÁNYOS ADATOK",F54))</f>
        <v>0</v>
      </c>
      <c r="Y54" s="554">
        <f t="shared" ref="Y54:Y56" ca="1" si="138">IF(A54="FEOR",ROUND(V54/(1+AU54),0),IF(A54="HIÁNYOS ADATOK","HIÁNYOS ADATOK",ROUND(G54/(1+AU54),0)))</f>
        <v>52316</v>
      </c>
      <c r="Z54" s="555">
        <f t="shared" ref="Z54:Z56" ca="1" si="139">IF(A54="FEOR",ROUND(V54-Y54,0),IF(A54="HIÁNYOS ADATOK","HIÁNYOS ADATOK",ROUND(G54-Y54,0)))</f>
        <v>6801</v>
      </c>
      <c r="AA54" s="477"/>
      <c r="AB54" s="474">
        <v>8397652094</v>
      </c>
      <c r="AC54" s="475" t="s">
        <v>4567</v>
      </c>
      <c r="AD54" s="472" t="s">
        <v>45</v>
      </c>
      <c r="AE54" s="476" t="s">
        <v>24</v>
      </c>
      <c r="AF54" s="247" t="s">
        <v>125</v>
      </c>
      <c r="AG54" s="247" t="s">
        <v>4568</v>
      </c>
      <c r="AH54" s="451" t="s">
        <v>131</v>
      </c>
      <c r="AI54" s="154">
        <v>45017</v>
      </c>
      <c r="AJ54" s="100" t="str">
        <f>IF(AI54&gt;0,
(IF(AI54&lt;Hónapok!$A$10,Admin!$A$28,
(IF(AI54&lt;Hónapok!$A$22,Admin!$B$28,
(IF(AI54&lt;Hónapok!$A$34,Admin!$C$28,
(IF(AI54&lt;Hónapok!$A$46,Admin!$D$28,"")))))))),"")</f>
        <v>3. mérföldkő</v>
      </c>
      <c r="AK54" s="469" t="s">
        <v>7</v>
      </c>
      <c r="AL54" s="477" t="s">
        <v>26</v>
      </c>
      <c r="AM54" s="900">
        <v>910300</v>
      </c>
      <c r="AN54" s="860">
        <f t="shared" si="0"/>
        <v>118339</v>
      </c>
      <c r="AO54" s="477">
        <v>174</v>
      </c>
      <c r="AP54" s="478">
        <v>10</v>
      </c>
      <c r="AQ54" s="454">
        <f t="shared" si="1"/>
        <v>5.7471264367816091E-2</v>
      </c>
      <c r="AR54" s="455">
        <f t="shared" si="23"/>
        <v>52316</v>
      </c>
      <c r="AS54" s="455">
        <f t="shared" si="2"/>
        <v>6801</v>
      </c>
      <c r="AT54" s="102">
        <f t="shared" si="3"/>
        <v>1.0101507523507802E-7</v>
      </c>
      <c r="AU54" s="116">
        <v>0.13</v>
      </c>
      <c r="AV54" s="565" t="str">
        <f>VLOOKUP(LEFT(AB54,10),Törzsszám!$A$1:$B$908,2,0)</f>
        <v>10000057</v>
      </c>
      <c r="AW54" s="681">
        <f t="shared" ca="1" si="24"/>
        <v>0</v>
      </c>
      <c r="AX54" s="471" t="s">
        <v>4581</v>
      </c>
      <c r="AY54" s="503"/>
      <c r="AZ54" s="504"/>
      <c r="BA54" s="671"/>
      <c r="BB54" s="649"/>
      <c r="BC54" s="649"/>
      <c r="BD54" s="672"/>
      <c r="BE54" s="450" t="s">
        <v>4569</v>
      </c>
    </row>
    <row r="55" spans="1:57" s="457" customFormat="1" ht="31.5" x14ac:dyDescent="0.25">
      <c r="A55" s="694" t="str">
        <f ca="1">Bérköltség!$B55</f>
        <v>FEOR</v>
      </c>
      <c r="B55" s="694" t="str">
        <f ca="1">IFERROR(
IF(AND(Bérköltség!$F55="",H55="NA"),"HIÁNYOS ADATOK",
IF(Bérköltség!$F55&lt;Bérköltség!$U55,Admin!$B$18,Admin!$B$17)),
"")</f>
        <v>FEOR</v>
      </c>
      <c r="C55" s="437">
        <f>IFERROR(INDEX('Historikus berek_2021-2'!$A$1:$F$903,MATCH(AB55,'Historikus berek_2021-2'!$A$1:$A$903,0),4),"")</f>
        <v>707400</v>
      </c>
      <c r="D55" s="438">
        <f t="shared" si="122"/>
        <v>40655.172413793101</v>
      </c>
      <c r="E55" s="437">
        <f t="shared" si="123"/>
        <v>52316</v>
      </c>
      <c r="F55" s="439">
        <f t="shared" si="124"/>
        <v>13176.735172413792</v>
      </c>
      <c r="G55" s="440">
        <f t="shared" si="125"/>
        <v>45940.344827586203</v>
      </c>
      <c r="H55" s="441">
        <f>IFERROR(INDEX('FEOR kodok'!$A$2:$J$1126,MATCH(Bérköltség!AB55,'FEOR kodok'!$B$2:$B$1126,0),8),"NA")</f>
        <v>2410</v>
      </c>
      <c r="I55" s="436">
        <f ca="1">IFERROR(INDEX('FEOR kodok'!$A$2:$J$1126,MATCH(Bérköltség!AB55,'FEOR kodok'!$B$2:$B$1126,0),10),"NA")</f>
        <v>48</v>
      </c>
      <c r="J55" s="442" t="str">
        <f t="shared" ca="1" si="126"/>
        <v>40–49 éves</v>
      </c>
      <c r="K55" s="436" t="str">
        <f>IFERROR(INDEX(admin_feor[#All],MATCH(Bérköltség!H55,admin_feor[[#All],[Foglalkozás]],0),2),"NA")</f>
        <v>Egyetemi, főiskolai oktató, tanár</v>
      </c>
      <c r="L55" s="438">
        <f ca="1">IFERROR(
INDEX('Admin - FEOR'!$A$4:$F$465,MATCH(Bérköltség!H55,'Admin - FEOR'!$A$4:$A$465,0),
IF(J55="30 év alatt",3,
IF(J55="30–39 éves",4,
IF(J55="40–49 éves",5,
IF(J55="50 év és afelett",6
)))))*1,"NA")</f>
        <v>629398</v>
      </c>
      <c r="M55" s="438">
        <f t="shared" si="127"/>
        <v>910300</v>
      </c>
      <c r="N55" s="443">
        <f t="shared" ca="1" si="128"/>
        <v>1.4463026574599855</v>
      </c>
      <c r="O55" s="438">
        <f ca="1">IFERROR(
INDEX('Admin - FEOR'!$A$4:$F$465,MATCH(Bérköltség!H55,'Admin - FEOR'!$A$4:$A$465,0),
IF(J55="30 év alatt",3,
IF(J55="30–39 éves",4,
IF(J55="40–49 éves",5,
IF(J55="50 év és afelett",6
)))))*1.5,"NA")</f>
        <v>944097</v>
      </c>
      <c r="P55" s="438">
        <f t="shared" ca="1" si="129"/>
        <v>54258.448275862065</v>
      </c>
      <c r="Q55" s="438">
        <f t="shared" si="130"/>
        <v>52316</v>
      </c>
      <c r="R55" s="444">
        <f t="shared" si="131"/>
        <v>5.7471264367816091E-2</v>
      </c>
      <c r="S55" s="438">
        <f t="shared" ca="1" si="132"/>
        <v>0</v>
      </c>
      <c r="T55" s="438">
        <f t="shared" ca="1" si="133"/>
        <v>0</v>
      </c>
      <c r="U55" s="445">
        <f t="shared" ca="1" si="134"/>
        <v>0</v>
      </c>
      <c r="V55" s="446">
        <f t="shared" ca="1" si="135"/>
        <v>59117</v>
      </c>
      <c r="W55" s="447" t="str">
        <f t="shared" ca="1" si="136"/>
        <v>Indoklás szükséges mivel a FEOR: 144,6%</v>
      </c>
      <c r="X55" s="571">
        <f t="shared" ca="1" si="137"/>
        <v>0</v>
      </c>
      <c r="Y55" s="554">
        <f t="shared" ca="1" si="138"/>
        <v>52316</v>
      </c>
      <c r="Z55" s="555">
        <f t="shared" ca="1" si="139"/>
        <v>6801</v>
      </c>
      <c r="AA55" s="477"/>
      <c r="AB55" s="474">
        <v>8397652094</v>
      </c>
      <c r="AC55" s="475" t="s">
        <v>4567</v>
      </c>
      <c r="AD55" s="472" t="s">
        <v>45</v>
      </c>
      <c r="AE55" s="476" t="s">
        <v>24</v>
      </c>
      <c r="AF55" s="247" t="s">
        <v>125</v>
      </c>
      <c r="AG55" s="247" t="s">
        <v>4568</v>
      </c>
      <c r="AH55" s="451" t="s">
        <v>131</v>
      </c>
      <c r="AI55" s="154">
        <v>45047</v>
      </c>
      <c r="AJ55" s="100" t="str">
        <f>IF(AI55&gt;0,
(IF(AI55&lt;Hónapok!$A$10,Admin!$A$28,
(IF(AI55&lt;Hónapok!$A$22,Admin!$B$28,
(IF(AI55&lt;Hónapok!$A$34,Admin!$C$28,
(IF(AI55&lt;Hónapok!$A$46,Admin!$D$28,"")))))))),"")</f>
        <v>3. mérföldkő</v>
      </c>
      <c r="AK55" s="469" t="s">
        <v>7</v>
      </c>
      <c r="AL55" s="477" t="s">
        <v>26</v>
      </c>
      <c r="AM55" s="900">
        <v>910300</v>
      </c>
      <c r="AN55" s="860">
        <f t="shared" si="0"/>
        <v>118339</v>
      </c>
      <c r="AO55" s="477">
        <v>174</v>
      </c>
      <c r="AP55" s="478">
        <v>10</v>
      </c>
      <c r="AQ55" s="454">
        <f t="shared" si="1"/>
        <v>5.7471264367816091E-2</v>
      </c>
      <c r="AR55" s="455">
        <f t="shared" si="23"/>
        <v>52316</v>
      </c>
      <c r="AS55" s="455">
        <f t="shared" si="2"/>
        <v>6801</v>
      </c>
      <c r="AT55" s="102">
        <f t="shared" si="3"/>
        <v>1.0101507523507802E-7</v>
      </c>
      <c r="AU55" s="116">
        <v>0.13</v>
      </c>
      <c r="AV55" s="565" t="str">
        <f>VLOOKUP(LEFT(AB55,10),Törzsszám!$A$1:$B$908,2,0)</f>
        <v>10000057</v>
      </c>
      <c r="AW55" s="681"/>
      <c r="AX55" s="471" t="s">
        <v>4596</v>
      </c>
      <c r="AY55" s="503"/>
      <c r="AZ55" s="504"/>
      <c r="BA55" s="671"/>
      <c r="BB55" s="649"/>
      <c r="BC55" s="649"/>
      <c r="BD55" s="672"/>
      <c r="BE55" s="450" t="s">
        <v>4569</v>
      </c>
    </row>
    <row r="56" spans="1:57" s="457" customFormat="1" ht="31.5" x14ac:dyDescent="0.25">
      <c r="A56" s="694" t="str">
        <f ca="1">Bérköltség!$B56</f>
        <v>FEOR</v>
      </c>
      <c r="B56" s="694" t="str">
        <f ca="1">IFERROR(
IF(AND(Bérköltség!$F56="",H56="NA"),"HIÁNYOS ADATOK",
IF(Bérköltség!$F56&lt;Bérköltség!$U56,Admin!$B$18,Admin!$B$17)),
"")</f>
        <v>FEOR</v>
      </c>
      <c r="C56" s="437">
        <f>IFERROR(INDEX('Historikus berek_2021-2'!$A$1:$F$903,MATCH(AB56,'Historikus berek_2021-2'!$A$1:$A$903,0),4),"")</f>
        <v>707400</v>
      </c>
      <c r="D56" s="438">
        <f t="shared" si="122"/>
        <v>40655.172413793101</v>
      </c>
      <c r="E56" s="437">
        <f t="shared" si="123"/>
        <v>54615</v>
      </c>
      <c r="F56" s="439">
        <f t="shared" si="124"/>
        <v>15774.605172413794</v>
      </c>
      <c r="G56" s="440">
        <f t="shared" si="125"/>
        <v>45940.344827586203</v>
      </c>
      <c r="H56" s="441">
        <f>IFERROR(INDEX('FEOR kodok'!$A$2:$J$1126,MATCH(Bérköltség!AB56,'FEOR kodok'!$B$2:$B$1126,0),8),"NA")</f>
        <v>2410</v>
      </c>
      <c r="I56" s="436">
        <f ca="1">IFERROR(INDEX('FEOR kodok'!$A$2:$J$1126,MATCH(Bérköltség!AB56,'FEOR kodok'!$B$2:$B$1126,0),10),"NA")</f>
        <v>48</v>
      </c>
      <c r="J56" s="442" t="str">
        <f t="shared" ca="1" si="126"/>
        <v>40–49 éves</v>
      </c>
      <c r="K56" s="436" t="str">
        <f>IFERROR(INDEX(admin_feor[#All],MATCH(Bérköltség!H56,admin_feor[[#All],[Foglalkozás]],0),2),"NA")</f>
        <v>Egyetemi, főiskolai oktató, tanár</v>
      </c>
      <c r="L56" s="438">
        <f ca="1">IFERROR(
INDEX('Admin - FEOR'!$A$4:$F$465,MATCH(Bérköltség!H56,'Admin - FEOR'!$A$4:$A$465,0),
IF(J56="30 év alatt",3,
IF(J56="30–39 éves",4,
IF(J56="40–49 éves",5,
IF(J56="50 év és afelett",6
)))))*1,"NA")</f>
        <v>629398</v>
      </c>
      <c r="M56" s="438">
        <f t="shared" si="127"/>
        <v>950300</v>
      </c>
      <c r="N56" s="443">
        <f t="shared" ca="1" si="128"/>
        <v>1.5098554491752436</v>
      </c>
      <c r="O56" s="438">
        <f ca="1">IFERROR(
INDEX('Admin - FEOR'!$A$4:$F$465,MATCH(Bérköltség!H56,'Admin - FEOR'!$A$4:$A$465,0),
IF(J56="30 év alatt",3,
IF(J56="30–39 éves",4,
IF(J56="40–49 éves",5,
IF(J56="50 év és afelett",6
)))))*1.5,"NA")</f>
        <v>944097</v>
      </c>
      <c r="P56" s="438">
        <f t="shared" ca="1" si="129"/>
        <v>54258.448275862065</v>
      </c>
      <c r="Q56" s="438">
        <f t="shared" si="130"/>
        <v>54615</v>
      </c>
      <c r="R56" s="444">
        <f t="shared" si="131"/>
        <v>5.7471264367816091E-2</v>
      </c>
      <c r="S56" s="438">
        <f t="shared" ca="1" si="132"/>
        <v>356.5517241379348</v>
      </c>
      <c r="T56" s="438">
        <f t="shared" ca="1" si="133"/>
        <v>46.351724137931527</v>
      </c>
      <c r="U56" s="445">
        <f t="shared" ca="1" si="134"/>
        <v>402.90344827586631</v>
      </c>
      <c r="V56" s="446">
        <f t="shared" ca="1" si="135"/>
        <v>61312.096551724135</v>
      </c>
      <c r="W56" s="447" t="str">
        <f t="shared" ca="1" si="136"/>
        <v>Indoklás szükséges mivel a FEOR: 151%</v>
      </c>
      <c r="X56" s="571">
        <f t="shared" ca="1" si="137"/>
        <v>402.90344827586631</v>
      </c>
      <c r="Y56" s="554">
        <f t="shared" ca="1" si="138"/>
        <v>54258</v>
      </c>
      <c r="Z56" s="555">
        <f t="shared" ca="1" si="139"/>
        <v>7054</v>
      </c>
      <c r="AA56" s="477"/>
      <c r="AB56" s="474">
        <v>8397652094</v>
      </c>
      <c r="AC56" s="475" t="s">
        <v>4567</v>
      </c>
      <c r="AD56" s="472" t="s">
        <v>45</v>
      </c>
      <c r="AE56" s="476" t="s">
        <v>24</v>
      </c>
      <c r="AF56" s="247" t="s">
        <v>125</v>
      </c>
      <c r="AG56" s="247" t="s">
        <v>4568</v>
      </c>
      <c r="AH56" s="451" t="s">
        <v>131</v>
      </c>
      <c r="AI56" s="154">
        <v>45078</v>
      </c>
      <c r="AJ56" s="100" t="str">
        <f>IF(AI56&gt;0,
(IF(AI56&lt;Hónapok!$A$10,Admin!$A$28,
(IF(AI56&lt;Hónapok!$A$22,Admin!$B$28,
(IF(AI56&lt;Hónapok!$A$34,Admin!$C$28,
(IF(AI56&lt;Hónapok!$A$46,Admin!$D$28,"")))))))),"")</f>
        <v>3. mérföldkő</v>
      </c>
      <c r="AK56" s="469" t="s">
        <v>7</v>
      </c>
      <c r="AL56" s="477" t="s">
        <v>26</v>
      </c>
      <c r="AM56" s="900">
        <v>950300</v>
      </c>
      <c r="AN56" s="860">
        <f t="shared" si="0"/>
        <v>123539</v>
      </c>
      <c r="AO56" s="477">
        <v>174</v>
      </c>
      <c r="AP56" s="478">
        <v>10</v>
      </c>
      <c r="AQ56" s="102">
        <f t="shared" si="1"/>
        <v>5.7471264367816091E-2</v>
      </c>
      <c r="AR56" s="455">
        <f t="shared" si="23"/>
        <v>54615</v>
      </c>
      <c r="AS56" s="455">
        <f t="shared" si="2"/>
        <v>7100</v>
      </c>
      <c r="AT56" s="102">
        <f t="shared" si="3"/>
        <v>-6.0476969765410615E-8</v>
      </c>
      <c r="AU56" s="116">
        <v>0.13</v>
      </c>
      <c r="AV56" s="565" t="str">
        <f>VLOOKUP(LEFT(AB56,10),Törzsszám!$A$1:$B$908,2,0)</f>
        <v>10000057</v>
      </c>
      <c r="AW56" s="681"/>
      <c r="AX56" s="471" t="s">
        <v>4606</v>
      </c>
      <c r="AY56" s="503"/>
      <c r="AZ56" s="504"/>
      <c r="BA56" s="671"/>
      <c r="BB56" s="649"/>
      <c r="BC56" s="649"/>
      <c r="BD56" s="672"/>
      <c r="BE56" s="450" t="s">
        <v>4569</v>
      </c>
    </row>
    <row r="57" spans="1:57" s="457" customFormat="1" ht="31.5" x14ac:dyDescent="0.25">
      <c r="A57" s="694" t="str">
        <f ca="1">Bérköltség!$B57</f>
        <v>FEOR</v>
      </c>
      <c r="B57" s="694" t="str">
        <f ca="1">IFERROR(
IF(AND(Bérköltség!$F57="",H57="NA"),"HIÁNYOS ADATOK",
IF(Bérköltség!$F57&lt;Bérköltség!$U57,Admin!$B$18,Admin!$B$17)),
"")</f>
        <v>FEOR</v>
      </c>
      <c r="C57" s="437">
        <f>IFERROR(INDEX('Historikus berek_2021-2'!$A$1:$F$903,MATCH(AB57,'Historikus berek_2021-2'!$A$1:$A$903,0),4),"")</f>
        <v>707400</v>
      </c>
      <c r="D57" s="438">
        <f t="shared" si="122"/>
        <v>40655.172413793101</v>
      </c>
      <c r="E57" s="437">
        <f t="shared" si="123"/>
        <v>54615</v>
      </c>
      <c r="F57" s="439">
        <f t="shared" si="124"/>
        <v>15774.605172413794</v>
      </c>
      <c r="G57" s="440">
        <f t="shared" si="125"/>
        <v>45940.344827586203</v>
      </c>
      <c r="H57" s="441">
        <f>IFERROR(INDEX('FEOR kodok'!$A$2:$J$1126,MATCH(Bérköltség!AB57,'FEOR kodok'!$B$2:$B$1126,0),8),"NA")</f>
        <v>2410</v>
      </c>
      <c r="I57" s="436">
        <f ca="1">IFERROR(INDEX('FEOR kodok'!$A$2:$J$1126,MATCH(Bérköltség!AB57,'FEOR kodok'!$B$2:$B$1126,0),10),"NA")</f>
        <v>48</v>
      </c>
      <c r="J57" s="442" t="str">
        <f t="shared" ca="1" si="126"/>
        <v>40–49 éves</v>
      </c>
      <c r="K57" s="436" t="str">
        <f>IFERROR(INDEX(admin_feor[#All],MATCH(Bérköltség!H57,admin_feor[[#All],[Foglalkozás]],0),2),"NA")</f>
        <v>Egyetemi, főiskolai oktató, tanár</v>
      </c>
      <c r="L57" s="438">
        <f ca="1">IFERROR(
INDEX('Admin - FEOR'!$A$4:$F$465,MATCH(Bérköltség!H57,'Admin - FEOR'!$A$4:$A$465,0),
IF(J57="30 év alatt",3,
IF(J57="30–39 éves",4,
IF(J57="40–49 éves",5,
IF(J57="50 év és afelett",6
)))))*1,"NA")</f>
        <v>629398</v>
      </c>
      <c r="M57" s="438">
        <f t="shared" si="127"/>
        <v>950299</v>
      </c>
      <c r="N57" s="443">
        <f t="shared" ca="1" si="128"/>
        <v>1.5098538603554508</v>
      </c>
      <c r="O57" s="438">
        <f ca="1">IFERROR(
INDEX('Admin - FEOR'!$A$4:$F$465,MATCH(Bérköltség!H57,'Admin - FEOR'!$A$4:$A$465,0),
IF(J57="30 év alatt",3,
IF(J57="30–39 éves",4,
IF(J57="40–49 éves",5,
IF(J57="50 év és afelett",6
)))))*1.5,"NA")</f>
        <v>944097</v>
      </c>
      <c r="P57" s="438">
        <f t="shared" ca="1" si="129"/>
        <v>54258.448275862065</v>
      </c>
      <c r="Q57" s="438">
        <f t="shared" si="130"/>
        <v>54615</v>
      </c>
      <c r="R57" s="444">
        <f t="shared" si="131"/>
        <v>5.7471264367816091E-2</v>
      </c>
      <c r="S57" s="438">
        <f t="shared" ca="1" si="132"/>
        <v>356.5517241379348</v>
      </c>
      <c r="T57" s="438">
        <f t="shared" ca="1" si="133"/>
        <v>46.351724137931527</v>
      </c>
      <c r="U57" s="445">
        <f t="shared" ca="1" si="134"/>
        <v>402.90344827586631</v>
      </c>
      <c r="V57" s="446">
        <f t="shared" ca="1" si="135"/>
        <v>61312.096551724135</v>
      </c>
      <c r="W57" s="447" t="str">
        <f t="shared" ca="1" si="136"/>
        <v>Indoklás szükséges mivel a FEOR: 151%</v>
      </c>
      <c r="X57" s="571">
        <f t="shared" ref="X57:X58" ca="1" si="140">IF(A57="FEOR",U57,IF(A57="HIÁNYOS ADATOK","HIÁNYOS ADATOK",F57))</f>
        <v>402.90344827586631</v>
      </c>
      <c r="Y57" s="554">
        <f t="shared" ref="Y57:Y58" ca="1" si="141">IF(A57="FEOR",ROUND(V57/(1+AU57),0),IF(A57="HIÁNYOS ADATOK","HIÁNYOS ADATOK",ROUND(G57/(1+AU57),0)))</f>
        <v>54258</v>
      </c>
      <c r="Z57" s="555">
        <f t="shared" ref="Z57:Z58" ca="1" si="142">IF(A57="FEOR",ROUND(V57-Y57,0),IF(A57="HIÁNYOS ADATOK","HIÁNYOS ADATOK",ROUND(G57-Y57,0)))</f>
        <v>7054</v>
      </c>
      <c r="AA57" s="477"/>
      <c r="AB57" s="474">
        <v>8397652094</v>
      </c>
      <c r="AC57" s="475" t="s">
        <v>4567</v>
      </c>
      <c r="AD57" s="472" t="s">
        <v>45</v>
      </c>
      <c r="AE57" s="476" t="s">
        <v>24</v>
      </c>
      <c r="AF57" s="247" t="s">
        <v>125</v>
      </c>
      <c r="AG57" s="247" t="s">
        <v>4568</v>
      </c>
      <c r="AH57" s="451" t="s">
        <v>131</v>
      </c>
      <c r="AI57" s="154">
        <v>45108</v>
      </c>
      <c r="AJ57" s="100" t="str">
        <f>IF(AI57&gt;0,
(IF(AI57&lt;Hónapok!$A$10,Admin!$A$28,
(IF(AI57&lt;Hónapok!$A$22,Admin!$B$28,
(IF(AI57&lt;Hónapok!$A$34,Admin!$C$28,
(IF(AI57&lt;Hónapok!$A$46,Admin!$D$28,"")))))))),"")</f>
        <v>3. mérföldkő</v>
      </c>
      <c r="AK57" s="469" t="s">
        <v>7</v>
      </c>
      <c r="AL57" s="477" t="s">
        <v>26</v>
      </c>
      <c r="AM57" s="900">
        <f>950300-1</f>
        <v>950299</v>
      </c>
      <c r="AN57" s="860">
        <f t="shared" si="0"/>
        <v>123539</v>
      </c>
      <c r="AO57" s="477">
        <v>174</v>
      </c>
      <c r="AP57" s="478">
        <v>10</v>
      </c>
      <c r="AQ57" s="682">
        <f t="shared" si="1"/>
        <v>5.7471264367816091E-2</v>
      </c>
      <c r="AR57" s="455">
        <f t="shared" si="23"/>
        <v>54615</v>
      </c>
      <c r="AS57" s="455">
        <f t="shared" si="2"/>
        <v>7100</v>
      </c>
      <c r="AT57" s="102">
        <f t="shared" si="3"/>
        <v>-1.2095406681095211E-7</v>
      </c>
      <c r="AU57" s="116">
        <v>0.13</v>
      </c>
      <c r="AV57" s="565" t="str">
        <f>VLOOKUP(LEFT(AB57,10),Törzsszám!$A$1:$B$908,2,0)</f>
        <v>10000057</v>
      </c>
      <c r="AW57" s="681"/>
      <c r="AX57" s="471" t="s">
        <v>4610</v>
      </c>
      <c r="AY57" s="503"/>
      <c r="AZ57" s="504"/>
      <c r="BA57" s="671"/>
      <c r="BB57" s="649"/>
      <c r="BC57" s="649"/>
      <c r="BD57" s="672"/>
      <c r="BE57" s="450" t="s">
        <v>4569</v>
      </c>
    </row>
    <row r="58" spans="1:57" s="457" customFormat="1" ht="31.5" x14ac:dyDescent="0.25">
      <c r="A58" s="694" t="str">
        <f ca="1">Bérköltség!$B58</f>
        <v>FEOR</v>
      </c>
      <c r="B58" s="694" t="str">
        <f ca="1">IFERROR(
IF(AND(Bérköltség!$F58="",H58="NA"),"HIÁNYOS ADATOK",
IF(Bérköltség!$F58&lt;Bérköltség!$U58,Admin!$B$18,Admin!$B$17)),
"")</f>
        <v>FEOR</v>
      </c>
      <c r="C58" s="437">
        <f>IFERROR(INDEX('Historikus berek_2021-2'!$A$1:$F$903,MATCH(AB58,'Historikus berek_2021-2'!$A$1:$A$903,0),4),"")</f>
        <v>707400</v>
      </c>
      <c r="D58" s="438">
        <f t="shared" si="122"/>
        <v>40655.172413793101</v>
      </c>
      <c r="E58" s="437">
        <f t="shared" si="123"/>
        <v>54615</v>
      </c>
      <c r="F58" s="439">
        <f t="shared" si="124"/>
        <v>15774.605172413794</v>
      </c>
      <c r="G58" s="440">
        <f t="shared" si="125"/>
        <v>45940.344827586203</v>
      </c>
      <c r="H58" s="441">
        <f>IFERROR(INDEX('FEOR kodok'!$A$2:$J$1126,MATCH(Bérköltség!AB58,'FEOR kodok'!$B$2:$B$1126,0),8),"NA")</f>
        <v>2410</v>
      </c>
      <c r="I58" s="436">
        <f ca="1">IFERROR(INDEX('FEOR kodok'!$A$2:$J$1126,MATCH(Bérköltség!AB58,'FEOR kodok'!$B$2:$B$1126,0),10),"NA")</f>
        <v>48</v>
      </c>
      <c r="J58" s="442" t="str">
        <f t="shared" ca="1" si="126"/>
        <v>40–49 éves</v>
      </c>
      <c r="K58" s="436" t="str">
        <f>IFERROR(INDEX(admin_feor[#All],MATCH(Bérköltség!H58,admin_feor[[#All],[Foglalkozás]],0),2),"NA")</f>
        <v>Egyetemi, főiskolai oktató, tanár</v>
      </c>
      <c r="L58" s="438">
        <f ca="1">IFERROR(
INDEX('Admin - FEOR'!$A$4:$F$465,MATCH(Bérköltség!H58,'Admin - FEOR'!$A$4:$A$465,0),
IF(J58="30 év alatt",3,
IF(J58="30–39 éves",4,
IF(J58="40–49 éves",5,
IF(J58="50 év és afelett",6
)))))*1,"NA")</f>
        <v>629398</v>
      </c>
      <c r="M58" s="438">
        <f t="shared" si="127"/>
        <v>950300</v>
      </c>
      <c r="N58" s="443">
        <f t="shared" ca="1" si="128"/>
        <v>1.5098554491752436</v>
      </c>
      <c r="O58" s="438">
        <f ca="1">IFERROR(
INDEX('Admin - FEOR'!$A$4:$F$465,MATCH(Bérköltség!H58,'Admin - FEOR'!$A$4:$A$465,0),
IF(J58="30 év alatt",3,
IF(J58="30–39 éves",4,
IF(J58="40–49 éves",5,
IF(J58="50 év és afelett",6
)))))*1.5,"NA")</f>
        <v>944097</v>
      </c>
      <c r="P58" s="438">
        <f t="shared" ca="1" si="129"/>
        <v>54258.448275862065</v>
      </c>
      <c r="Q58" s="438">
        <f t="shared" si="130"/>
        <v>54615</v>
      </c>
      <c r="R58" s="444">
        <f t="shared" si="131"/>
        <v>5.7471264367816091E-2</v>
      </c>
      <c r="S58" s="438">
        <f t="shared" ca="1" si="132"/>
        <v>356.5517241379348</v>
      </c>
      <c r="T58" s="438">
        <f t="shared" ca="1" si="133"/>
        <v>46.351724137931527</v>
      </c>
      <c r="U58" s="445">
        <f t="shared" ca="1" si="134"/>
        <v>402.90344827586631</v>
      </c>
      <c r="V58" s="446">
        <f t="shared" ca="1" si="135"/>
        <v>61312.096551724135</v>
      </c>
      <c r="W58" s="447" t="str">
        <f t="shared" ca="1" si="136"/>
        <v>Indoklás szükséges mivel a FEOR: 151%</v>
      </c>
      <c r="X58" s="571">
        <f t="shared" ca="1" si="140"/>
        <v>402.90344827586631</v>
      </c>
      <c r="Y58" s="554">
        <f t="shared" ca="1" si="141"/>
        <v>54258</v>
      </c>
      <c r="Z58" s="555">
        <f t="shared" ca="1" si="142"/>
        <v>7054</v>
      </c>
      <c r="AA58" s="477"/>
      <c r="AB58" s="474">
        <v>8397652094</v>
      </c>
      <c r="AC58" s="475" t="s">
        <v>4567</v>
      </c>
      <c r="AD58" s="472" t="s">
        <v>45</v>
      </c>
      <c r="AE58" s="476" t="s">
        <v>24</v>
      </c>
      <c r="AF58" s="247" t="s">
        <v>125</v>
      </c>
      <c r="AG58" s="247" t="s">
        <v>4568</v>
      </c>
      <c r="AH58" s="451" t="s">
        <v>131</v>
      </c>
      <c r="AI58" s="154">
        <v>45139</v>
      </c>
      <c r="AJ58" s="100" t="str">
        <f>IF(AI58&gt;0,
(IF(AI58&lt;Hónapok!$A$10,Admin!$A$28,
(IF(AI58&lt;Hónapok!$A$22,Admin!$B$28,
(IF(AI58&lt;Hónapok!$A$34,Admin!$C$28,
(IF(AI58&lt;Hónapok!$A$46,Admin!$D$28,"")))))))),"")</f>
        <v>3. mérföldkő</v>
      </c>
      <c r="AK58" s="469" t="s">
        <v>7</v>
      </c>
      <c r="AL58" s="477" t="s">
        <v>26</v>
      </c>
      <c r="AM58" s="900">
        <v>950300</v>
      </c>
      <c r="AN58" s="860">
        <f t="shared" si="0"/>
        <v>123539</v>
      </c>
      <c r="AO58" s="477">
        <v>174</v>
      </c>
      <c r="AP58" s="478">
        <v>10</v>
      </c>
      <c r="AQ58" s="454">
        <f t="shared" si="1"/>
        <v>5.7471264367816091E-2</v>
      </c>
      <c r="AR58" s="455">
        <f t="shared" si="23"/>
        <v>54615</v>
      </c>
      <c r="AS58" s="455">
        <f t="shared" si="2"/>
        <v>7100</v>
      </c>
      <c r="AT58" s="102">
        <f t="shared" si="3"/>
        <v>-6.0476969765410615E-8</v>
      </c>
      <c r="AU58" s="116">
        <v>0.13</v>
      </c>
      <c r="AV58" s="565" t="str">
        <f>VLOOKUP(LEFT(AB58,10),Törzsszám!$A$1:$B$908,2,0)</f>
        <v>10000057</v>
      </c>
      <c r="AW58" s="681"/>
      <c r="AX58" s="471" t="s">
        <v>4613</v>
      </c>
      <c r="AY58" s="503"/>
      <c r="AZ58" s="504"/>
      <c r="BA58" s="671"/>
      <c r="BB58" s="649"/>
      <c r="BC58" s="649"/>
      <c r="BD58" s="672"/>
      <c r="BE58" s="450" t="s">
        <v>4569</v>
      </c>
    </row>
    <row r="59" spans="1:57" s="457" customFormat="1" ht="31.5" x14ac:dyDescent="0.25">
      <c r="A59" s="694" t="str">
        <f ca="1">Bérköltség!$B59</f>
        <v>FEOR</v>
      </c>
      <c r="B59" s="694" t="str">
        <f ca="1">IFERROR(
IF(AND(Bérköltség!$F59="",H59="NA"),"HIÁNYOS ADATOK",
IF(Bérköltség!$F59&lt;Bérköltség!$U59,Admin!$B$18,Admin!$B$17)),
"")</f>
        <v>FEOR</v>
      </c>
      <c r="C59" s="437">
        <f>IFERROR(INDEX('Historikus berek_2021-2'!$A$1:$F$903,MATCH(AB59,'Historikus berek_2021-2'!$A$1:$A$903,0),4),"")</f>
        <v>707400</v>
      </c>
      <c r="D59" s="438">
        <f t="shared" ref="D59:D64" si="143">IFERROR(C59*AQ59,"NA")</f>
        <v>40655.172413793101</v>
      </c>
      <c r="E59" s="437">
        <f t="shared" ref="E59:E64" si="144">AR59</f>
        <v>54328</v>
      </c>
      <c r="F59" s="439">
        <f t="shared" ref="F59:F64" si="145">IFERROR(IF((E59*(1+AU59)-D59*(1+AU59))&lt;0,0,(E59*(1+AU59)-D59*(1+AU59))),"")</f>
        <v>15450.295172413789</v>
      </c>
      <c r="G59" s="440">
        <f t="shared" ref="G59:G64" si="146">IFERROR((E59*(1+AU59)-F59),"")</f>
        <v>45940.344827586203</v>
      </c>
      <c r="H59" s="441">
        <f>IFERROR(INDEX('FEOR kodok'!$A$2:$J$1126,MATCH(Bérköltség!AB59,'FEOR kodok'!$B$2:$B$1126,0),8),"NA")</f>
        <v>2410</v>
      </c>
      <c r="I59" s="436">
        <f ca="1">IFERROR(INDEX('FEOR kodok'!$A$2:$J$1126,MATCH(Bérköltség!AB59,'FEOR kodok'!$B$2:$B$1126,0),10),"NA")</f>
        <v>48</v>
      </c>
      <c r="J59" s="442" t="str">
        <f t="shared" ref="J59:J64" ca="1" si="147">IF(I59="NA","NA",
IF(I59&lt;30,"30 év alatt",
IF(AND(I59&gt;=30,I59&lt;=39),"30–39 éves",
IF(AND(I59&gt;=40,I59&lt;=49),"40–49 éves",
IF(I59&gt;=50,"50 év és afelett",
"")))))</f>
        <v>40–49 éves</v>
      </c>
      <c r="K59" s="436" t="str">
        <f>IFERROR(INDEX(admin_feor[#All],MATCH(Bérköltség!H59,admin_feor[[#All],[Foglalkozás]],0),2),"NA")</f>
        <v>Egyetemi, főiskolai oktató, tanár</v>
      </c>
      <c r="L59" s="438">
        <f ca="1">IFERROR(
INDEX('Admin - FEOR'!$A$4:$F$465,MATCH(Bérköltség!H59,'Admin - FEOR'!$A$4:$A$465,0),
IF(J59="30 év alatt",3,
IF(J59="30–39 éves",4,
IF(J59="40–49 éves",5,
IF(J59="50 év és afelett",6
)))))*1,"NA")</f>
        <v>629398</v>
      </c>
      <c r="M59" s="438">
        <f t="shared" ref="M59:M64" si="148">AM59</f>
        <v>945300</v>
      </c>
      <c r="N59" s="443">
        <f t="shared" ref="N59:N64" ca="1" si="149">IFERROR(
M59/L59,"NA")</f>
        <v>1.5019113502108363</v>
      </c>
      <c r="O59" s="438">
        <f ca="1">IFERROR(
INDEX('Admin - FEOR'!$A$4:$F$465,MATCH(Bérköltség!H59,'Admin - FEOR'!$A$4:$A$465,0),
IF(J59="30 év alatt",3,
IF(J59="30–39 éves",4,
IF(J59="40–49 éves",5,
IF(J59="50 év és afelett",6
)))))*1.5,"NA")</f>
        <v>944097</v>
      </c>
      <c r="P59" s="438">
        <f t="shared" ref="P59:P64" ca="1" si="150">IFERROR(
AQ59*O59,"NA")</f>
        <v>54258.448275862065</v>
      </c>
      <c r="Q59" s="438">
        <f t="shared" ref="Q59:Q64" si="151">IFERROR(AR59,"")</f>
        <v>54328</v>
      </c>
      <c r="R59" s="444">
        <f t="shared" ref="R59:R64" si="152">IFERROR(AQ59,"")</f>
        <v>5.7471264367816091E-2</v>
      </c>
      <c r="S59" s="438">
        <f t="shared" ref="S59:S64" ca="1" si="153">IFERROR(
IF(AR59-P59&lt;0,0,AR59-P59),"NA")</f>
        <v>69.551724137934798</v>
      </c>
      <c r="T59" s="438">
        <f t="shared" ref="T59:T64" ca="1" si="154">IFERROR(
S59*AU59,"NA")</f>
        <v>9.0417241379315243</v>
      </c>
      <c r="U59" s="445">
        <f t="shared" ref="U59:U64" ca="1" si="155">IFERROR(
S59+T59,"NA")</f>
        <v>78.593448275866322</v>
      </c>
      <c r="V59" s="446">
        <f t="shared" ref="V59:V64" ca="1" si="156">IFERROR(
IF(U59&gt;0,AR59+AS59-U59,AR59+AS59),"NA")</f>
        <v>61312.406551724132</v>
      </c>
      <c r="W59" s="447" t="str">
        <f t="shared" ref="W59:W64" ca="1" si="157">IF(P59="NA","FEOR hiányzik",
IF(AND(N59&gt;1,A59="FEOR"),CONCATENATE("Indoklás szükséges mivel a FEOR: ",ROUND(N59*100,1),"%"),"Nem szükséges indoklás.")
)</f>
        <v>Indoklás szükséges mivel a FEOR: 150,2%</v>
      </c>
      <c r="X59" s="571">
        <f t="shared" ref="X59:X64" ca="1" si="158">IF(A59="FEOR",U59,IF(A59="HIÁNYOS ADATOK","HIÁNYOS ADATOK",F59))</f>
        <v>78.593448275866322</v>
      </c>
      <c r="Y59" s="554">
        <f t="shared" ref="Y59:Y64" ca="1" si="159">IF(A59="FEOR",ROUND(V59/(1+AU59),0),IF(A59="HIÁNYOS ADATOK","HIÁNYOS ADATOK",ROUND(G59/(1+AU59),0)))</f>
        <v>54259</v>
      </c>
      <c r="Z59" s="555">
        <f t="shared" ref="Z59:Z64" ca="1" si="160">IF(A59="FEOR",ROUND(V59-Y59,0),IF(A59="HIÁNYOS ADATOK","HIÁNYOS ADATOK",ROUND(G59-Y59,0)))</f>
        <v>7053</v>
      </c>
      <c r="AA59" s="477"/>
      <c r="AB59" s="474">
        <v>8397652094</v>
      </c>
      <c r="AC59" s="475" t="s">
        <v>4567</v>
      </c>
      <c r="AD59" s="472" t="s">
        <v>45</v>
      </c>
      <c r="AE59" s="476" t="s">
        <v>24</v>
      </c>
      <c r="AF59" s="247" t="s">
        <v>125</v>
      </c>
      <c r="AG59" s="247" t="s">
        <v>4617</v>
      </c>
      <c r="AH59" s="451" t="s">
        <v>131</v>
      </c>
      <c r="AI59" s="154">
        <v>45170</v>
      </c>
      <c r="AJ59" s="100" t="str">
        <f>IF(AI59&gt;0,
(IF(AI59&lt;Hónapok!$A$10,Admin!$A$28,
(IF(AI59&lt;Hónapok!$A$22,Admin!$B$28,
(IF(AI59&lt;Hónapok!$A$34,Admin!$C$28,
(IF(AI59&lt;Hónapok!$A$46,Admin!$D$28,"")))))))),"")</f>
        <v>3. mérföldkő</v>
      </c>
      <c r="AK59" s="470" t="s">
        <v>7</v>
      </c>
      <c r="AL59" s="477" t="s">
        <v>26</v>
      </c>
      <c r="AM59" s="900">
        <v>945300</v>
      </c>
      <c r="AN59" s="860">
        <f t="shared" ref="AN59:AN64" si="161">IFERROR(ROUND(AM59*AU59,0),"")</f>
        <v>122889</v>
      </c>
      <c r="AO59" s="477">
        <v>174</v>
      </c>
      <c r="AP59" s="478">
        <v>10</v>
      </c>
      <c r="AQ59" s="454">
        <f t="shared" ref="AQ59:AQ64" si="162">IFERROR(AP59/AO59,"")</f>
        <v>5.7471264367816091E-2</v>
      </c>
      <c r="AR59" s="455">
        <f t="shared" ref="AR59:AR64" si="163">IFERROR(ROUND(AM59*AP59/AO59,0),"")</f>
        <v>54328</v>
      </c>
      <c r="AS59" s="455">
        <f t="shared" ref="AS59:AS64" si="164">IFERROR(ROUND(AR59*AU59,0),"")</f>
        <v>7063</v>
      </c>
      <c r="AT59" s="102">
        <f t="shared" ref="AT59:AT64" si="165">IFERROR(AP59/AO59-AR59/AM59,"")</f>
        <v>-4.377373357122849E-7</v>
      </c>
      <c r="AU59" s="116">
        <v>0.13</v>
      </c>
      <c r="AV59" s="565" t="str">
        <f>VLOOKUP(LEFT(AB59,10),Törzsszám!$A$1:$B$908,2,0)</f>
        <v>10000057</v>
      </c>
      <c r="AW59" s="681"/>
      <c r="AX59" s="471" t="s">
        <v>4618</v>
      </c>
      <c r="AY59" s="503"/>
      <c r="AZ59" s="504"/>
      <c r="BA59" s="671"/>
      <c r="BB59" s="649"/>
      <c r="BC59" s="649"/>
      <c r="BD59" s="672"/>
      <c r="BE59" s="450" t="s">
        <v>4569</v>
      </c>
    </row>
    <row r="60" spans="1:57" s="457" customFormat="1" ht="31.5" x14ac:dyDescent="0.25">
      <c r="A60" s="694" t="str">
        <f ca="1">Bérköltség!$B60</f>
        <v>FEOR</v>
      </c>
      <c r="B60" s="694" t="str">
        <f ca="1">IFERROR(
IF(AND(Bérköltség!$F60="",H60="NA"),"HIÁNYOS ADATOK",
IF(Bérköltség!$F60&lt;Bérköltség!$U60,Admin!$B$18,Admin!$B$17)),
"")</f>
        <v>FEOR</v>
      </c>
      <c r="C60" s="437">
        <f>IFERROR(INDEX('Historikus berek_2021-2'!$A$1:$F$903,MATCH(AB60,'Historikus berek_2021-2'!$A$1:$A$903,0),4),"")</f>
        <v>707400</v>
      </c>
      <c r="D60" s="438">
        <f t="shared" si="143"/>
        <v>40655.172413793101</v>
      </c>
      <c r="E60" s="437">
        <f t="shared" si="144"/>
        <v>54328</v>
      </c>
      <c r="F60" s="439">
        <f t="shared" si="145"/>
        <v>15450.295172413789</v>
      </c>
      <c r="G60" s="440">
        <f t="shared" si="146"/>
        <v>45940.344827586203</v>
      </c>
      <c r="H60" s="441">
        <f>IFERROR(INDEX('FEOR kodok'!$A$2:$J$1126,MATCH(Bérköltség!AB60,'FEOR kodok'!$B$2:$B$1126,0),8),"NA")</f>
        <v>2410</v>
      </c>
      <c r="I60" s="436">
        <f ca="1">IFERROR(INDEX('FEOR kodok'!$A$2:$J$1126,MATCH(Bérköltség!AB60,'FEOR kodok'!$B$2:$B$1126,0),10),"NA")</f>
        <v>48</v>
      </c>
      <c r="J60" s="442" t="str">
        <f t="shared" ca="1" si="147"/>
        <v>40–49 éves</v>
      </c>
      <c r="K60" s="436" t="str">
        <f>IFERROR(INDEX(admin_feor[#All],MATCH(Bérköltség!H60,admin_feor[[#All],[Foglalkozás]],0),2),"NA")</f>
        <v>Egyetemi, főiskolai oktató, tanár</v>
      </c>
      <c r="L60" s="438">
        <f ca="1">IFERROR(
INDEX('Admin - FEOR'!$A$4:$F$465,MATCH(Bérköltség!H60,'Admin - FEOR'!$A$4:$A$465,0),
IF(J60="30 év alatt",3,
IF(J60="30–39 éves",4,
IF(J60="40–49 éves",5,
IF(J60="50 év és afelett",6
)))))*1,"NA")</f>
        <v>629398</v>
      </c>
      <c r="M60" s="438">
        <f t="shared" si="148"/>
        <v>945300</v>
      </c>
      <c r="N60" s="443">
        <f t="shared" ca="1" si="149"/>
        <v>1.5019113502108363</v>
      </c>
      <c r="O60" s="438">
        <f ca="1">IFERROR(
INDEX('Admin - FEOR'!$A$4:$F$465,MATCH(Bérköltség!H60,'Admin - FEOR'!$A$4:$A$465,0),
IF(J60="30 év alatt",3,
IF(J60="30–39 éves",4,
IF(J60="40–49 éves",5,
IF(J60="50 év és afelett",6
)))))*1.5,"NA")</f>
        <v>944097</v>
      </c>
      <c r="P60" s="438">
        <f t="shared" ca="1" si="150"/>
        <v>54258.448275862065</v>
      </c>
      <c r="Q60" s="438">
        <f t="shared" si="151"/>
        <v>54328</v>
      </c>
      <c r="R60" s="444">
        <f t="shared" si="152"/>
        <v>5.7471264367816091E-2</v>
      </c>
      <c r="S60" s="438">
        <f t="shared" ca="1" si="153"/>
        <v>69.551724137934798</v>
      </c>
      <c r="T60" s="438">
        <f t="shared" ca="1" si="154"/>
        <v>9.0417241379315243</v>
      </c>
      <c r="U60" s="445">
        <f t="shared" ca="1" si="155"/>
        <v>78.593448275866322</v>
      </c>
      <c r="V60" s="446">
        <f t="shared" ca="1" si="156"/>
        <v>61312.406551724132</v>
      </c>
      <c r="W60" s="447" t="str">
        <f t="shared" ca="1" si="157"/>
        <v>Indoklás szükséges mivel a FEOR: 150,2%</v>
      </c>
      <c r="X60" s="571">
        <f t="shared" ca="1" si="158"/>
        <v>78.593448275866322</v>
      </c>
      <c r="Y60" s="554">
        <f t="shared" ca="1" si="159"/>
        <v>54259</v>
      </c>
      <c r="Z60" s="555">
        <f t="shared" ca="1" si="160"/>
        <v>7053</v>
      </c>
      <c r="AA60" s="477"/>
      <c r="AB60" s="878">
        <v>8397652094</v>
      </c>
      <c r="AC60" s="881" t="s">
        <v>4567</v>
      </c>
      <c r="AD60" s="891" t="s">
        <v>45</v>
      </c>
      <c r="AE60" s="882" t="s">
        <v>24</v>
      </c>
      <c r="AF60" s="879" t="s">
        <v>125</v>
      </c>
      <c r="AG60" s="879" t="s">
        <v>4617</v>
      </c>
      <c r="AH60" s="827" t="s">
        <v>131</v>
      </c>
      <c r="AI60" s="817">
        <v>45200</v>
      </c>
      <c r="AJ60" s="818" t="str">
        <f>IF(AI60&gt;0,
(IF(AI60&lt;Hónapok!$A$10,Admin!$A$28,
(IF(AI60&lt;Hónapok!$A$22,Admin!$B$28,
(IF(AI60&lt;Hónapok!$A$34,Admin!$C$28,
(IF(AI60&lt;Hónapok!$A$46,Admin!$D$28,"")))))))),"")</f>
        <v>3. mérföldkő</v>
      </c>
      <c r="AK60" s="871" t="s">
        <v>8</v>
      </c>
      <c r="AL60" s="880" t="s">
        <v>26</v>
      </c>
      <c r="AM60" s="902">
        <v>945300</v>
      </c>
      <c r="AN60" s="862">
        <f t="shared" si="161"/>
        <v>122889</v>
      </c>
      <c r="AO60" s="880">
        <v>174</v>
      </c>
      <c r="AP60" s="892">
        <v>10</v>
      </c>
      <c r="AQ60" s="821">
        <f t="shared" si="162"/>
        <v>5.7471264367816091E-2</v>
      </c>
      <c r="AR60" s="822">
        <f t="shared" si="163"/>
        <v>54328</v>
      </c>
      <c r="AS60" s="822">
        <f t="shared" si="164"/>
        <v>7063</v>
      </c>
      <c r="AT60" s="823">
        <f t="shared" si="165"/>
        <v>-4.377373357122849E-7</v>
      </c>
      <c r="AU60" s="824">
        <v>0.13</v>
      </c>
      <c r="AV60" s="825" t="str">
        <f>VLOOKUP(LEFT(AB60,10),Törzsszám!$A$1:$B$908,2,0)</f>
        <v>10000057</v>
      </c>
      <c r="AW60" s="849"/>
      <c r="AX60" s="872"/>
      <c r="AY60" s="893"/>
      <c r="AZ60" s="894"/>
      <c r="BA60" s="852"/>
      <c r="BB60" s="853"/>
      <c r="BC60" s="853"/>
      <c r="BD60" s="854"/>
      <c r="BE60" s="826" t="s">
        <v>4569</v>
      </c>
    </row>
    <row r="61" spans="1:57" s="457" customFormat="1" ht="31.5" x14ac:dyDescent="0.25">
      <c r="A61" s="694" t="str">
        <f ca="1">Bérköltség!$B61</f>
        <v>FEOR</v>
      </c>
      <c r="B61" s="694" t="str">
        <f ca="1">IFERROR(
IF(AND(Bérköltség!$F61="",H61="NA"),"HIÁNYOS ADATOK",
IF(Bérköltség!$F61&lt;Bérköltség!$U61,Admin!$B$18,Admin!$B$17)),
"")</f>
        <v>FEOR</v>
      </c>
      <c r="C61" s="437">
        <f>IFERROR(INDEX('Historikus berek_2021-2'!$A$1:$F$903,MATCH(AB61,'Historikus berek_2021-2'!$A$1:$A$903,0),4),"")</f>
        <v>707400</v>
      </c>
      <c r="D61" s="438">
        <f t="shared" si="143"/>
        <v>40655.172413793101</v>
      </c>
      <c r="E61" s="437">
        <f t="shared" si="144"/>
        <v>54328</v>
      </c>
      <c r="F61" s="439">
        <f t="shared" si="145"/>
        <v>15450.295172413789</v>
      </c>
      <c r="G61" s="440">
        <f t="shared" si="146"/>
        <v>45940.344827586203</v>
      </c>
      <c r="H61" s="441">
        <f>IFERROR(INDEX('FEOR kodok'!$A$2:$J$1126,MATCH(Bérköltség!AB61,'FEOR kodok'!$B$2:$B$1126,0),8),"NA")</f>
        <v>2410</v>
      </c>
      <c r="I61" s="436">
        <f ca="1">IFERROR(INDEX('FEOR kodok'!$A$2:$J$1126,MATCH(Bérköltség!AB61,'FEOR kodok'!$B$2:$B$1126,0),10),"NA")</f>
        <v>48</v>
      </c>
      <c r="J61" s="442" t="str">
        <f t="shared" ca="1" si="147"/>
        <v>40–49 éves</v>
      </c>
      <c r="K61" s="436" t="str">
        <f>IFERROR(INDEX(admin_feor[#All],MATCH(Bérköltség!H61,admin_feor[[#All],[Foglalkozás]],0),2),"NA")</f>
        <v>Egyetemi, főiskolai oktató, tanár</v>
      </c>
      <c r="L61" s="438">
        <f ca="1">IFERROR(
INDEX('Admin - FEOR'!$A$4:$F$465,MATCH(Bérköltség!H61,'Admin - FEOR'!$A$4:$A$465,0),
IF(J61="30 év alatt",3,
IF(J61="30–39 éves",4,
IF(J61="40–49 éves",5,
IF(J61="50 év és afelett",6
)))))*1,"NA")</f>
        <v>629398</v>
      </c>
      <c r="M61" s="438">
        <f t="shared" si="148"/>
        <v>945300</v>
      </c>
      <c r="N61" s="443">
        <f t="shared" ca="1" si="149"/>
        <v>1.5019113502108363</v>
      </c>
      <c r="O61" s="438">
        <f ca="1">IFERROR(
INDEX('Admin - FEOR'!$A$4:$F$465,MATCH(Bérköltség!H61,'Admin - FEOR'!$A$4:$A$465,0),
IF(J61="30 év alatt",3,
IF(J61="30–39 éves",4,
IF(J61="40–49 éves",5,
IF(J61="50 év és afelett",6
)))))*1.5,"NA")</f>
        <v>944097</v>
      </c>
      <c r="P61" s="438">
        <f t="shared" ca="1" si="150"/>
        <v>54258.448275862065</v>
      </c>
      <c r="Q61" s="438">
        <f t="shared" si="151"/>
        <v>54328</v>
      </c>
      <c r="R61" s="444">
        <f t="shared" si="152"/>
        <v>5.7471264367816091E-2</v>
      </c>
      <c r="S61" s="438">
        <f t="shared" ca="1" si="153"/>
        <v>69.551724137934798</v>
      </c>
      <c r="T61" s="438">
        <f t="shared" ca="1" si="154"/>
        <v>9.0417241379315243</v>
      </c>
      <c r="U61" s="445">
        <f t="shared" ca="1" si="155"/>
        <v>78.593448275866322</v>
      </c>
      <c r="V61" s="446">
        <f t="shared" ca="1" si="156"/>
        <v>61312.406551724132</v>
      </c>
      <c r="W61" s="447" t="str">
        <f t="shared" ca="1" si="157"/>
        <v>Indoklás szükséges mivel a FEOR: 150,2%</v>
      </c>
      <c r="X61" s="571">
        <f t="shared" ca="1" si="158"/>
        <v>78.593448275866322</v>
      </c>
      <c r="Y61" s="554">
        <f t="shared" ca="1" si="159"/>
        <v>54259</v>
      </c>
      <c r="Z61" s="555">
        <f t="shared" ca="1" si="160"/>
        <v>7053</v>
      </c>
      <c r="AA61" s="477"/>
      <c r="AB61" s="878">
        <v>8397652094</v>
      </c>
      <c r="AC61" s="881" t="s">
        <v>4567</v>
      </c>
      <c r="AD61" s="891" t="s">
        <v>45</v>
      </c>
      <c r="AE61" s="882" t="s">
        <v>24</v>
      </c>
      <c r="AF61" s="879" t="s">
        <v>125</v>
      </c>
      <c r="AG61" s="879" t="s">
        <v>4617</v>
      </c>
      <c r="AH61" s="827" t="s">
        <v>131</v>
      </c>
      <c r="AI61" s="817">
        <v>45231</v>
      </c>
      <c r="AJ61" s="818" t="str">
        <f>IF(AI61&gt;0,
(IF(AI61&lt;Hónapok!$A$10,Admin!$A$28,
(IF(AI61&lt;Hónapok!$A$22,Admin!$B$28,
(IF(AI61&lt;Hónapok!$A$34,Admin!$C$28,
(IF(AI61&lt;Hónapok!$A$46,Admin!$D$28,"")))))))),"")</f>
        <v>3. mérföldkő</v>
      </c>
      <c r="AK61" s="871" t="s">
        <v>8</v>
      </c>
      <c r="AL61" s="880" t="s">
        <v>26</v>
      </c>
      <c r="AM61" s="902">
        <v>945300</v>
      </c>
      <c r="AN61" s="862">
        <f t="shared" si="161"/>
        <v>122889</v>
      </c>
      <c r="AO61" s="880">
        <v>174</v>
      </c>
      <c r="AP61" s="892">
        <v>10</v>
      </c>
      <c r="AQ61" s="821">
        <f t="shared" si="162"/>
        <v>5.7471264367816091E-2</v>
      </c>
      <c r="AR61" s="822">
        <f t="shared" si="163"/>
        <v>54328</v>
      </c>
      <c r="AS61" s="822">
        <f t="shared" si="164"/>
        <v>7063</v>
      </c>
      <c r="AT61" s="823">
        <f t="shared" si="165"/>
        <v>-4.377373357122849E-7</v>
      </c>
      <c r="AU61" s="824">
        <v>0.13</v>
      </c>
      <c r="AV61" s="825" t="str">
        <f>VLOOKUP(LEFT(AB61,10),Törzsszám!$A$1:$B$908,2,0)</f>
        <v>10000057</v>
      </c>
      <c r="AW61" s="849"/>
      <c r="AX61" s="872"/>
      <c r="AY61" s="893"/>
      <c r="AZ61" s="894"/>
      <c r="BA61" s="852"/>
      <c r="BB61" s="853"/>
      <c r="BC61" s="853"/>
      <c r="BD61" s="854"/>
      <c r="BE61" s="826" t="s">
        <v>4569</v>
      </c>
    </row>
    <row r="62" spans="1:57" s="457" customFormat="1" ht="31.5" x14ac:dyDescent="0.25">
      <c r="A62" s="694" t="str">
        <f ca="1">Bérköltség!$B62</f>
        <v>FEOR</v>
      </c>
      <c r="B62" s="694" t="str">
        <f ca="1">IFERROR(
IF(AND(Bérköltség!$F62="",H62="NA"),"HIÁNYOS ADATOK",
IF(Bérköltség!$F62&lt;Bérköltség!$U62,Admin!$B$18,Admin!$B$17)),
"")</f>
        <v>FEOR</v>
      </c>
      <c r="C62" s="437">
        <f>IFERROR(INDEX('Historikus berek_2021-2'!$A$1:$F$903,MATCH(AB62,'Historikus berek_2021-2'!$A$1:$A$903,0),4),"")</f>
        <v>707400</v>
      </c>
      <c r="D62" s="438">
        <f t="shared" si="143"/>
        <v>40655.172413793101</v>
      </c>
      <c r="E62" s="437">
        <f t="shared" si="144"/>
        <v>54328</v>
      </c>
      <c r="F62" s="439">
        <f t="shared" si="145"/>
        <v>15450.295172413789</v>
      </c>
      <c r="G62" s="440">
        <f t="shared" si="146"/>
        <v>45940.344827586203</v>
      </c>
      <c r="H62" s="441">
        <f>IFERROR(INDEX('FEOR kodok'!$A$2:$J$1126,MATCH(Bérköltség!AB62,'FEOR kodok'!$B$2:$B$1126,0),8),"NA")</f>
        <v>2410</v>
      </c>
      <c r="I62" s="436">
        <f ca="1">IFERROR(INDEX('FEOR kodok'!$A$2:$J$1126,MATCH(Bérköltség!AB62,'FEOR kodok'!$B$2:$B$1126,0),10),"NA")</f>
        <v>48</v>
      </c>
      <c r="J62" s="442" t="str">
        <f t="shared" ca="1" si="147"/>
        <v>40–49 éves</v>
      </c>
      <c r="K62" s="436" t="str">
        <f>IFERROR(INDEX(admin_feor[#All],MATCH(Bérköltség!H62,admin_feor[[#All],[Foglalkozás]],0),2),"NA")</f>
        <v>Egyetemi, főiskolai oktató, tanár</v>
      </c>
      <c r="L62" s="438">
        <f ca="1">IFERROR(
INDEX('Admin - FEOR'!$A$4:$F$465,MATCH(Bérköltség!H62,'Admin - FEOR'!$A$4:$A$465,0),
IF(J62="30 év alatt",3,
IF(J62="30–39 éves",4,
IF(J62="40–49 éves",5,
IF(J62="50 év és afelett",6
)))))*1,"NA")</f>
        <v>629398</v>
      </c>
      <c r="M62" s="438">
        <f t="shared" si="148"/>
        <v>945300</v>
      </c>
      <c r="N62" s="443">
        <f t="shared" ca="1" si="149"/>
        <v>1.5019113502108363</v>
      </c>
      <c r="O62" s="438">
        <f ca="1">IFERROR(
INDEX('Admin - FEOR'!$A$4:$F$465,MATCH(Bérköltség!H62,'Admin - FEOR'!$A$4:$A$465,0),
IF(J62="30 év alatt",3,
IF(J62="30–39 éves",4,
IF(J62="40–49 éves",5,
IF(J62="50 év és afelett",6
)))))*1.5,"NA")</f>
        <v>944097</v>
      </c>
      <c r="P62" s="438">
        <f t="shared" ca="1" si="150"/>
        <v>54258.448275862065</v>
      </c>
      <c r="Q62" s="438">
        <f t="shared" si="151"/>
        <v>54328</v>
      </c>
      <c r="R62" s="444">
        <f t="shared" si="152"/>
        <v>5.7471264367816091E-2</v>
      </c>
      <c r="S62" s="438">
        <f t="shared" ca="1" si="153"/>
        <v>69.551724137934798</v>
      </c>
      <c r="T62" s="438">
        <f t="shared" ca="1" si="154"/>
        <v>9.0417241379315243</v>
      </c>
      <c r="U62" s="445">
        <f t="shared" ca="1" si="155"/>
        <v>78.593448275866322</v>
      </c>
      <c r="V62" s="446">
        <f t="shared" ca="1" si="156"/>
        <v>61312.406551724132</v>
      </c>
      <c r="W62" s="447" t="str">
        <f t="shared" ca="1" si="157"/>
        <v>Indoklás szükséges mivel a FEOR: 150,2%</v>
      </c>
      <c r="X62" s="571">
        <f t="shared" ca="1" si="158"/>
        <v>78.593448275866322</v>
      </c>
      <c r="Y62" s="554">
        <f t="shared" ca="1" si="159"/>
        <v>54259</v>
      </c>
      <c r="Z62" s="555">
        <f t="shared" ca="1" si="160"/>
        <v>7053</v>
      </c>
      <c r="AA62" s="477"/>
      <c r="AB62" s="878">
        <v>8397652094</v>
      </c>
      <c r="AC62" s="881" t="s">
        <v>4567</v>
      </c>
      <c r="AD62" s="891" t="s">
        <v>45</v>
      </c>
      <c r="AE62" s="882" t="s">
        <v>24</v>
      </c>
      <c r="AF62" s="879" t="s">
        <v>125</v>
      </c>
      <c r="AG62" s="879" t="s">
        <v>4617</v>
      </c>
      <c r="AH62" s="827" t="s">
        <v>131</v>
      </c>
      <c r="AI62" s="817">
        <v>45261</v>
      </c>
      <c r="AJ62" s="818" t="str">
        <f>IF(AI62&gt;0,
(IF(AI62&lt;Hónapok!$A$10,Admin!$A$28,
(IF(AI62&lt;Hónapok!$A$22,Admin!$B$28,
(IF(AI62&lt;Hónapok!$A$34,Admin!$C$28,
(IF(AI62&lt;Hónapok!$A$46,Admin!$D$28,"")))))))),"")</f>
        <v>3. mérföldkő</v>
      </c>
      <c r="AK62" s="871" t="s">
        <v>8</v>
      </c>
      <c r="AL62" s="880" t="s">
        <v>26</v>
      </c>
      <c r="AM62" s="902">
        <v>945300</v>
      </c>
      <c r="AN62" s="862">
        <f t="shared" si="161"/>
        <v>122889</v>
      </c>
      <c r="AO62" s="880">
        <v>174</v>
      </c>
      <c r="AP62" s="892">
        <v>10</v>
      </c>
      <c r="AQ62" s="821">
        <f t="shared" si="162"/>
        <v>5.7471264367816091E-2</v>
      </c>
      <c r="AR62" s="822">
        <f t="shared" si="163"/>
        <v>54328</v>
      </c>
      <c r="AS62" s="822">
        <f t="shared" si="164"/>
        <v>7063</v>
      </c>
      <c r="AT62" s="823">
        <f t="shared" si="165"/>
        <v>-4.377373357122849E-7</v>
      </c>
      <c r="AU62" s="824">
        <v>0.13</v>
      </c>
      <c r="AV62" s="825" t="str">
        <f>VLOOKUP(LEFT(AB62,10),Törzsszám!$A$1:$B$908,2,0)</f>
        <v>10000057</v>
      </c>
      <c r="AW62" s="849"/>
      <c r="AX62" s="872"/>
      <c r="AY62" s="893"/>
      <c r="AZ62" s="894"/>
      <c r="BA62" s="852"/>
      <c r="BB62" s="853"/>
      <c r="BC62" s="853"/>
      <c r="BD62" s="854"/>
      <c r="BE62" s="826" t="s">
        <v>4569</v>
      </c>
    </row>
    <row r="63" spans="1:57" s="457" customFormat="1" ht="31.5" x14ac:dyDescent="0.25">
      <c r="A63" s="694" t="str">
        <f ca="1">Bérköltség!$B63</f>
        <v>FEOR</v>
      </c>
      <c r="B63" s="694" t="str">
        <f ca="1">IFERROR(
IF(AND(Bérköltség!$F63="",H63="NA"),"HIÁNYOS ADATOK",
IF(Bérköltség!$F63&lt;Bérköltség!$U63,Admin!$B$18,Admin!$B$17)),
"")</f>
        <v>FEOR</v>
      </c>
      <c r="C63" s="437">
        <f>IFERROR(INDEX('Historikus berek_2021-2'!$A$1:$F$903,MATCH(AB63,'Historikus berek_2021-2'!$A$1:$A$903,0),4),"")</f>
        <v>707400</v>
      </c>
      <c r="D63" s="438">
        <f t="shared" si="143"/>
        <v>40655.172413793101</v>
      </c>
      <c r="E63" s="437">
        <f t="shared" si="144"/>
        <v>54328</v>
      </c>
      <c r="F63" s="439">
        <f t="shared" si="145"/>
        <v>15450.295172413789</v>
      </c>
      <c r="G63" s="440">
        <f t="shared" si="146"/>
        <v>45940.344827586203</v>
      </c>
      <c r="H63" s="441">
        <f>IFERROR(INDEX('FEOR kodok'!$A$2:$J$1126,MATCH(Bérköltség!AB63,'FEOR kodok'!$B$2:$B$1126,0),8),"NA")</f>
        <v>2410</v>
      </c>
      <c r="I63" s="436">
        <f ca="1">IFERROR(INDEX('FEOR kodok'!$A$2:$J$1126,MATCH(Bérköltség!AB63,'FEOR kodok'!$B$2:$B$1126,0),10),"NA")</f>
        <v>48</v>
      </c>
      <c r="J63" s="442" t="str">
        <f t="shared" ca="1" si="147"/>
        <v>40–49 éves</v>
      </c>
      <c r="K63" s="436" t="str">
        <f>IFERROR(INDEX(admin_feor[#All],MATCH(Bérköltség!H63,admin_feor[[#All],[Foglalkozás]],0),2),"NA")</f>
        <v>Egyetemi, főiskolai oktató, tanár</v>
      </c>
      <c r="L63" s="438">
        <f ca="1">IFERROR(
INDEX('Admin - FEOR'!$A$4:$F$465,MATCH(Bérköltség!H63,'Admin - FEOR'!$A$4:$A$465,0),
IF(J63="30 év alatt",3,
IF(J63="30–39 éves",4,
IF(J63="40–49 éves",5,
IF(J63="50 év és afelett",6
)))))*1,"NA")</f>
        <v>629398</v>
      </c>
      <c r="M63" s="438">
        <f t="shared" si="148"/>
        <v>945300</v>
      </c>
      <c r="N63" s="443">
        <f t="shared" ca="1" si="149"/>
        <v>1.5019113502108363</v>
      </c>
      <c r="O63" s="438">
        <f ca="1">IFERROR(
INDEX('Admin - FEOR'!$A$4:$F$465,MATCH(Bérköltség!H63,'Admin - FEOR'!$A$4:$A$465,0),
IF(J63="30 év alatt",3,
IF(J63="30–39 éves",4,
IF(J63="40–49 éves",5,
IF(J63="50 év és afelett",6
)))))*1.5,"NA")</f>
        <v>944097</v>
      </c>
      <c r="P63" s="438">
        <f t="shared" ca="1" si="150"/>
        <v>54258.448275862065</v>
      </c>
      <c r="Q63" s="438">
        <f t="shared" si="151"/>
        <v>54328</v>
      </c>
      <c r="R63" s="444">
        <f t="shared" si="152"/>
        <v>5.7471264367816091E-2</v>
      </c>
      <c r="S63" s="438">
        <f t="shared" ca="1" si="153"/>
        <v>69.551724137934798</v>
      </c>
      <c r="T63" s="438">
        <f t="shared" ca="1" si="154"/>
        <v>9.0417241379315243</v>
      </c>
      <c r="U63" s="445">
        <f t="shared" ca="1" si="155"/>
        <v>78.593448275866322</v>
      </c>
      <c r="V63" s="446">
        <f t="shared" ca="1" si="156"/>
        <v>61312.406551724132</v>
      </c>
      <c r="W63" s="447" t="str">
        <f t="shared" ca="1" si="157"/>
        <v>Indoklás szükséges mivel a FEOR: 150,2%</v>
      </c>
      <c r="X63" s="571">
        <f t="shared" ca="1" si="158"/>
        <v>78.593448275866322</v>
      </c>
      <c r="Y63" s="554">
        <f t="shared" ca="1" si="159"/>
        <v>54259</v>
      </c>
      <c r="Z63" s="555">
        <f t="shared" ca="1" si="160"/>
        <v>7053</v>
      </c>
      <c r="AA63" s="477"/>
      <c r="AB63" s="878">
        <v>8397652094</v>
      </c>
      <c r="AC63" s="881" t="s">
        <v>4567</v>
      </c>
      <c r="AD63" s="891" t="s">
        <v>45</v>
      </c>
      <c r="AE63" s="882" t="s">
        <v>24</v>
      </c>
      <c r="AF63" s="879" t="s">
        <v>125</v>
      </c>
      <c r="AG63" s="879" t="s">
        <v>4617</v>
      </c>
      <c r="AH63" s="827" t="s">
        <v>131</v>
      </c>
      <c r="AI63" s="817">
        <v>45292</v>
      </c>
      <c r="AJ63" s="818" t="str">
        <f>IF(AI63&gt;0,
(IF(AI63&lt;Hónapok!$A$10,Admin!$A$28,
(IF(AI63&lt;Hónapok!$A$22,Admin!$B$28,
(IF(AI63&lt;Hónapok!$A$34,Admin!$C$28,
(IF(AI63&lt;Hónapok!$A$46,Admin!$D$28,"")))))))),"")</f>
        <v>3. mérföldkő</v>
      </c>
      <c r="AK63" s="871" t="s">
        <v>8</v>
      </c>
      <c r="AL63" s="880" t="s">
        <v>26</v>
      </c>
      <c r="AM63" s="902">
        <v>945300</v>
      </c>
      <c r="AN63" s="862">
        <f t="shared" si="161"/>
        <v>122889</v>
      </c>
      <c r="AO63" s="880">
        <v>174</v>
      </c>
      <c r="AP63" s="892">
        <v>10</v>
      </c>
      <c r="AQ63" s="821">
        <f t="shared" si="162"/>
        <v>5.7471264367816091E-2</v>
      </c>
      <c r="AR63" s="822">
        <f t="shared" si="163"/>
        <v>54328</v>
      </c>
      <c r="AS63" s="822">
        <f t="shared" si="164"/>
        <v>7063</v>
      </c>
      <c r="AT63" s="823">
        <f t="shared" si="165"/>
        <v>-4.377373357122849E-7</v>
      </c>
      <c r="AU63" s="824">
        <v>0.13</v>
      </c>
      <c r="AV63" s="825" t="str">
        <f>VLOOKUP(LEFT(AB63,10),Törzsszám!$A$1:$B$908,2,0)</f>
        <v>10000057</v>
      </c>
      <c r="AW63" s="849"/>
      <c r="AX63" s="872"/>
      <c r="AY63" s="893"/>
      <c r="AZ63" s="894"/>
      <c r="BA63" s="852"/>
      <c r="BB63" s="853"/>
      <c r="BC63" s="853"/>
      <c r="BD63" s="854"/>
      <c r="BE63" s="826" t="s">
        <v>4569</v>
      </c>
    </row>
    <row r="64" spans="1:57" s="457" customFormat="1" ht="31.5" x14ac:dyDescent="0.25">
      <c r="A64" s="694" t="str">
        <f ca="1">Bérköltség!$B64</f>
        <v>FEOR</v>
      </c>
      <c r="B64" s="694" t="str">
        <f ca="1">IFERROR(
IF(AND(Bérköltség!$F64="",H64="NA"),"HIÁNYOS ADATOK",
IF(Bérköltség!$F64&lt;Bérköltség!$U64,Admin!$B$18,Admin!$B$17)),
"")</f>
        <v>FEOR</v>
      </c>
      <c r="C64" s="437">
        <f>IFERROR(INDEX('Historikus berek_2021-2'!$A$1:$F$903,MATCH(AB64,'Historikus berek_2021-2'!$A$1:$A$903,0),4),"")</f>
        <v>707400</v>
      </c>
      <c r="D64" s="438">
        <f t="shared" si="143"/>
        <v>40655.172413793101</v>
      </c>
      <c r="E64" s="437">
        <f t="shared" si="144"/>
        <v>54328</v>
      </c>
      <c r="F64" s="439">
        <f t="shared" si="145"/>
        <v>15450.295172413789</v>
      </c>
      <c r="G64" s="440">
        <f t="shared" si="146"/>
        <v>45940.344827586203</v>
      </c>
      <c r="H64" s="441">
        <f>IFERROR(INDEX('FEOR kodok'!$A$2:$J$1126,MATCH(Bérköltség!AB64,'FEOR kodok'!$B$2:$B$1126,0),8),"NA")</f>
        <v>2410</v>
      </c>
      <c r="I64" s="436">
        <f ca="1">IFERROR(INDEX('FEOR kodok'!$A$2:$J$1126,MATCH(Bérköltség!AB64,'FEOR kodok'!$B$2:$B$1126,0),10),"NA")</f>
        <v>48</v>
      </c>
      <c r="J64" s="442" t="str">
        <f t="shared" ca="1" si="147"/>
        <v>40–49 éves</v>
      </c>
      <c r="K64" s="436" t="str">
        <f>IFERROR(INDEX(admin_feor[#All],MATCH(Bérköltség!H64,admin_feor[[#All],[Foglalkozás]],0),2),"NA")</f>
        <v>Egyetemi, főiskolai oktató, tanár</v>
      </c>
      <c r="L64" s="438">
        <f ca="1">IFERROR(
INDEX('Admin - FEOR'!$A$4:$F$465,MATCH(Bérköltség!H64,'Admin - FEOR'!$A$4:$A$465,0),
IF(J64="30 év alatt",3,
IF(J64="30–39 éves",4,
IF(J64="40–49 éves",5,
IF(J64="50 év és afelett",6
)))))*1,"NA")</f>
        <v>629398</v>
      </c>
      <c r="M64" s="438">
        <f t="shared" si="148"/>
        <v>945300</v>
      </c>
      <c r="N64" s="443">
        <f t="shared" ca="1" si="149"/>
        <v>1.5019113502108363</v>
      </c>
      <c r="O64" s="438">
        <f ca="1">IFERROR(
INDEX('Admin - FEOR'!$A$4:$F$465,MATCH(Bérköltség!H64,'Admin - FEOR'!$A$4:$A$465,0),
IF(J64="30 év alatt",3,
IF(J64="30–39 éves",4,
IF(J64="40–49 éves",5,
IF(J64="50 év és afelett",6
)))))*1.5,"NA")</f>
        <v>944097</v>
      </c>
      <c r="P64" s="438">
        <f t="shared" ca="1" si="150"/>
        <v>54258.448275862065</v>
      </c>
      <c r="Q64" s="438">
        <f t="shared" si="151"/>
        <v>54328</v>
      </c>
      <c r="R64" s="444">
        <f t="shared" si="152"/>
        <v>5.7471264367816091E-2</v>
      </c>
      <c r="S64" s="438">
        <f t="shared" ca="1" si="153"/>
        <v>69.551724137934798</v>
      </c>
      <c r="T64" s="438">
        <f t="shared" ca="1" si="154"/>
        <v>9.0417241379315243</v>
      </c>
      <c r="U64" s="445">
        <f t="shared" ca="1" si="155"/>
        <v>78.593448275866322</v>
      </c>
      <c r="V64" s="446">
        <f t="shared" ca="1" si="156"/>
        <v>61312.406551724132</v>
      </c>
      <c r="W64" s="447" t="str">
        <f t="shared" ca="1" si="157"/>
        <v>Indoklás szükséges mivel a FEOR: 150,2%</v>
      </c>
      <c r="X64" s="571">
        <f t="shared" ca="1" si="158"/>
        <v>78.593448275866322</v>
      </c>
      <c r="Y64" s="554">
        <f t="shared" ca="1" si="159"/>
        <v>54259</v>
      </c>
      <c r="Z64" s="555">
        <f t="shared" ca="1" si="160"/>
        <v>7053</v>
      </c>
      <c r="AA64" s="477"/>
      <c r="AB64" s="878">
        <v>8397652094</v>
      </c>
      <c r="AC64" s="881" t="s">
        <v>4567</v>
      </c>
      <c r="AD64" s="891" t="s">
        <v>45</v>
      </c>
      <c r="AE64" s="882" t="s">
        <v>24</v>
      </c>
      <c r="AF64" s="879" t="s">
        <v>125</v>
      </c>
      <c r="AG64" s="879" t="s">
        <v>4617</v>
      </c>
      <c r="AH64" s="827" t="s">
        <v>131</v>
      </c>
      <c r="AI64" s="817">
        <v>45323</v>
      </c>
      <c r="AJ64" s="818" t="str">
        <f>IF(AI64&gt;0,
(IF(AI64&lt;Hónapok!$A$10,Admin!$A$28,
(IF(AI64&lt;Hónapok!$A$22,Admin!$B$28,
(IF(AI64&lt;Hónapok!$A$34,Admin!$C$28,
(IF(AI64&lt;Hónapok!$A$46,Admin!$D$28,"")))))))),"")</f>
        <v>3. mérföldkő</v>
      </c>
      <c r="AK64" s="871" t="s">
        <v>8</v>
      </c>
      <c r="AL64" s="880" t="s">
        <v>26</v>
      </c>
      <c r="AM64" s="902">
        <v>945300</v>
      </c>
      <c r="AN64" s="862">
        <f t="shared" si="161"/>
        <v>122889</v>
      </c>
      <c r="AO64" s="880">
        <v>174</v>
      </c>
      <c r="AP64" s="892">
        <v>10</v>
      </c>
      <c r="AQ64" s="821">
        <f t="shared" si="162"/>
        <v>5.7471264367816091E-2</v>
      </c>
      <c r="AR64" s="822">
        <f t="shared" si="163"/>
        <v>54328</v>
      </c>
      <c r="AS64" s="822">
        <f t="shared" si="164"/>
        <v>7063</v>
      </c>
      <c r="AT64" s="823">
        <f t="shared" si="165"/>
        <v>-4.377373357122849E-7</v>
      </c>
      <c r="AU64" s="824">
        <v>0.13</v>
      </c>
      <c r="AV64" s="825" t="str">
        <f>VLOOKUP(LEFT(AB64,10),Törzsszám!$A$1:$B$908,2,0)</f>
        <v>10000057</v>
      </c>
      <c r="AW64" s="849"/>
      <c r="AX64" s="872"/>
      <c r="AY64" s="893"/>
      <c r="AZ64" s="894"/>
      <c r="BA64" s="852"/>
      <c r="BB64" s="853"/>
      <c r="BC64" s="853"/>
      <c r="BD64" s="854"/>
      <c r="BE64" s="826" t="s">
        <v>4569</v>
      </c>
    </row>
    <row r="65" spans="1:57" s="457" customFormat="1" ht="31.5" x14ac:dyDescent="0.25">
      <c r="A65" s="694" t="str">
        <f ca="1">Bérköltség!$B65</f>
        <v>FEOR</v>
      </c>
      <c r="B65" s="694" t="str">
        <f ca="1">IFERROR(
IF(AND(Bérköltség!$F65="",H65="NA"),"HIÁNYOS ADATOK",
IF(Bérköltség!$F65&lt;Bérköltség!$U65,Admin!$B$18,Admin!$B$17)),
"")</f>
        <v>FEOR</v>
      </c>
      <c r="C65" s="437">
        <f>IFERROR(INDEX('Historikus berek_2021-2'!$A$1:$F$903,MATCH(AB65,'Historikus berek_2021-2'!$A$1:$A$903,0),4),"")</f>
        <v>1086900</v>
      </c>
      <c r="D65" s="438">
        <f t="shared" si="5"/>
        <v>193643.10344827586</v>
      </c>
      <c r="E65" s="437">
        <f t="shared" si="6"/>
        <v>254253</v>
      </c>
      <c r="F65" s="439">
        <f t="shared" si="7"/>
        <v>68489.183103448246</v>
      </c>
      <c r="G65" s="440">
        <f t="shared" si="8"/>
        <v>218816.70689655171</v>
      </c>
      <c r="H65" s="441">
        <f>IFERROR(INDEX('FEOR kodok'!$A$2:$J$1126,MATCH(Bérköltség!AB65,'FEOR kodok'!$B$2:$B$1126,0),8),"NA")</f>
        <v>2624</v>
      </c>
      <c r="I65" s="436">
        <f ca="1">IFERROR(INDEX('FEOR kodok'!$A$2:$J$1126,MATCH(Bérköltség!AB65,'FEOR kodok'!$B$2:$B$1126,0),10),"NA")</f>
        <v>36</v>
      </c>
      <c r="J65" s="442" t="str">
        <f t="shared" ca="1" si="9"/>
        <v>30–39 éves</v>
      </c>
      <c r="K65" s="436" t="str">
        <f>IFERROR(INDEX(admin_feor[#All],MATCH(Bérköltség!H65,admin_feor[[#All],[Foglalkozás]],0),2),"NA")</f>
        <v>Elemző közgazdász</v>
      </c>
      <c r="L65" s="438">
        <f ca="1">IFERROR(
INDEX('Admin - FEOR'!$A$4:$F$465,MATCH(Bérköltség!H65,'Admin - FEOR'!$A$4:$A$465,0),
IF(J65="30 év alatt",3,
IF(J65="30–39 éves",4,
IF(J65="40–49 éves",5,
IF(J65="50 év és afelett",6
)))))*1,"NA")</f>
        <v>931620</v>
      </c>
      <c r="M65" s="438">
        <f t="shared" si="10"/>
        <v>1427100</v>
      </c>
      <c r="N65" s="443">
        <f t="shared" ca="1" si="11"/>
        <v>1.5318477490822437</v>
      </c>
      <c r="O65" s="438">
        <f ca="1">IFERROR(
INDEX('Admin - FEOR'!$A$4:$F$465,MATCH(Bérköltség!H65,'Admin - FEOR'!$A$4:$A$465,0),
IF(J65="30 év alatt",3,
IF(J65="30–39 éves",4,
IF(J65="40–49 éves",5,
IF(J65="50 év és afelett",6
)))))*1.5,"NA")</f>
        <v>1397430</v>
      </c>
      <c r="P65" s="438">
        <f t="shared" ca="1" si="12"/>
        <v>248967.41379310345</v>
      </c>
      <c r="Q65" s="438">
        <f t="shared" si="13"/>
        <v>254253</v>
      </c>
      <c r="R65" s="444">
        <f t="shared" si="14"/>
        <v>0.17816091954022989</v>
      </c>
      <c r="S65" s="438">
        <f t="shared" ca="1" si="15"/>
        <v>5285.5862068965507</v>
      </c>
      <c r="T65" s="438">
        <f t="shared" ca="1" si="16"/>
        <v>687.12620689655159</v>
      </c>
      <c r="U65" s="445">
        <f t="shared" ca="1" si="17"/>
        <v>5972.7124137931023</v>
      </c>
      <c r="V65" s="446">
        <f t="shared" ca="1" si="18"/>
        <v>281333.28758620692</v>
      </c>
      <c r="W65" s="447" t="str">
        <f t="shared" ca="1" si="19"/>
        <v>Indoklás szükséges mivel a FEOR: 153,2%</v>
      </c>
      <c r="X65" s="571">
        <f t="shared" ca="1" si="20"/>
        <v>5972.7124137931023</v>
      </c>
      <c r="Y65" s="554">
        <f t="shared" ca="1" si="21"/>
        <v>248968</v>
      </c>
      <c r="Z65" s="555">
        <f t="shared" ca="1" si="22"/>
        <v>32365</v>
      </c>
      <c r="AA65" s="477"/>
      <c r="AB65" s="474">
        <v>8438731872</v>
      </c>
      <c r="AC65" s="475" t="s">
        <v>988</v>
      </c>
      <c r="AD65" s="482" t="s">
        <v>45</v>
      </c>
      <c r="AE65" s="476" t="s">
        <v>22</v>
      </c>
      <c r="AF65" s="247" t="s">
        <v>125</v>
      </c>
      <c r="AG65" s="247" t="s">
        <v>2517</v>
      </c>
      <c r="AH65" s="451" t="s">
        <v>131</v>
      </c>
      <c r="AI65" s="154">
        <v>44986</v>
      </c>
      <c r="AJ65" s="100" t="str">
        <f>IF(AI65&gt;0,
(IF(AI65&lt;Hónapok!$A$10,Admin!$A$28,
(IF(AI65&lt;Hónapok!$A$22,Admin!$B$28,
(IF(AI65&lt;Hónapok!$A$34,Admin!$C$28,
(IF(AI65&lt;Hónapok!$A$46,Admin!$D$28,"")))))))),"")</f>
        <v>3. mérföldkő</v>
      </c>
      <c r="AK65" s="470" t="s">
        <v>7</v>
      </c>
      <c r="AL65" s="477" t="s">
        <v>26</v>
      </c>
      <c r="AM65" s="903">
        <v>1427100</v>
      </c>
      <c r="AN65" s="860">
        <f t="shared" si="0"/>
        <v>185523</v>
      </c>
      <c r="AO65" s="477">
        <v>174</v>
      </c>
      <c r="AP65" s="478">
        <v>31</v>
      </c>
      <c r="AQ65" s="454">
        <f t="shared" si="1"/>
        <v>0.17816091954022989</v>
      </c>
      <c r="AR65" s="455">
        <f t="shared" si="23"/>
        <v>254253</v>
      </c>
      <c r="AS65" s="455">
        <f t="shared" si="2"/>
        <v>33053</v>
      </c>
      <c r="AT65" s="102">
        <f t="shared" si="3"/>
        <v>3.1411664358493852E-7</v>
      </c>
      <c r="AU65" s="116">
        <v>0.13</v>
      </c>
      <c r="AV65" s="565" t="str">
        <f>VLOOKUP(LEFT(AB65,10),Törzsszám!$A$1:$B$908,2,0)</f>
        <v>10000306</v>
      </c>
      <c r="AW65" s="681">
        <f t="shared" ca="1" si="24"/>
        <v>-5973</v>
      </c>
      <c r="AX65" s="471" t="s">
        <v>4561</v>
      </c>
      <c r="AY65" s="503"/>
      <c r="AZ65" s="504"/>
      <c r="BA65" s="671"/>
      <c r="BB65" s="649"/>
      <c r="BC65" s="649"/>
      <c r="BD65" s="672"/>
      <c r="BE65" s="450" t="s">
        <v>201</v>
      </c>
    </row>
    <row r="66" spans="1:57" s="457" customFormat="1" ht="31.5" x14ac:dyDescent="0.25">
      <c r="A66" s="694" t="str">
        <f ca="1">Bérköltség!$B66</f>
        <v>FEOR</v>
      </c>
      <c r="B66" s="694" t="str">
        <f ca="1">IFERROR(
IF(AND(Bérköltség!$F66="",H66="NA"),"HIÁNYOS ADATOK",
IF(Bérköltség!$F66&lt;Bérköltség!$U66,Admin!$B$18,Admin!$B$17)),
"")</f>
        <v>FEOR</v>
      </c>
      <c r="C66" s="437">
        <f>IFERROR(INDEX('Historikus berek_2021-2'!$A$1:$F$903,MATCH(AB66,'Historikus berek_2021-2'!$A$1:$A$903,0),4),"")</f>
        <v>1086900</v>
      </c>
      <c r="D66" s="438">
        <f t="shared" si="5"/>
        <v>193643.10344827586</v>
      </c>
      <c r="E66" s="437">
        <f t="shared" si="6"/>
        <v>254253</v>
      </c>
      <c r="F66" s="439">
        <f t="shared" si="7"/>
        <v>68489.183103448246</v>
      </c>
      <c r="G66" s="440">
        <f t="shared" si="8"/>
        <v>218816.70689655171</v>
      </c>
      <c r="H66" s="441">
        <f>IFERROR(INDEX('FEOR kodok'!$A$2:$J$1126,MATCH(Bérköltség!AB66,'FEOR kodok'!$B$2:$B$1126,0),8),"NA")</f>
        <v>2624</v>
      </c>
      <c r="I66" s="436">
        <f ca="1">IFERROR(INDEX('FEOR kodok'!$A$2:$J$1126,MATCH(Bérköltség!AB66,'FEOR kodok'!$B$2:$B$1126,0),10),"NA")</f>
        <v>36</v>
      </c>
      <c r="J66" s="442" t="str">
        <f t="shared" ca="1" si="9"/>
        <v>30–39 éves</v>
      </c>
      <c r="K66" s="436" t="str">
        <f>IFERROR(INDEX(admin_feor[#All],MATCH(Bérköltség!H66,admin_feor[[#All],[Foglalkozás]],0),2),"NA")</f>
        <v>Elemző közgazdász</v>
      </c>
      <c r="L66" s="438">
        <f ca="1">IFERROR(
INDEX('Admin - FEOR'!$A$4:$F$465,MATCH(Bérköltség!H66,'Admin - FEOR'!$A$4:$A$465,0),
IF(J66="30 év alatt",3,
IF(J66="30–39 éves",4,
IF(J66="40–49 éves",5,
IF(J66="50 év és afelett",6
)))))*1,"NA")</f>
        <v>931620</v>
      </c>
      <c r="M66" s="438">
        <f t="shared" si="10"/>
        <v>1427100</v>
      </c>
      <c r="N66" s="443">
        <f t="shared" ca="1" si="11"/>
        <v>1.5318477490822437</v>
      </c>
      <c r="O66" s="438">
        <f ca="1">IFERROR(
INDEX('Admin - FEOR'!$A$4:$F$465,MATCH(Bérköltség!H66,'Admin - FEOR'!$A$4:$A$465,0),
IF(J66="30 év alatt",3,
IF(J66="30–39 éves",4,
IF(J66="40–49 éves",5,
IF(J66="50 év és afelett",6
)))))*1.5,"NA")</f>
        <v>1397430</v>
      </c>
      <c r="P66" s="438">
        <f t="shared" ca="1" si="12"/>
        <v>248967.41379310345</v>
      </c>
      <c r="Q66" s="438">
        <f t="shared" si="13"/>
        <v>254253</v>
      </c>
      <c r="R66" s="444">
        <f t="shared" si="14"/>
        <v>0.17816091954022989</v>
      </c>
      <c r="S66" s="438">
        <f t="shared" ca="1" si="15"/>
        <v>5285.5862068965507</v>
      </c>
      <c r="T66" s="438">
        <f t="shared" ca="1" si="16"/>
        <v>687.12620689655159</v>
      </c>
      <c r="U66" s="445">
        <f t="shared" ca="1" si="17"/>
        <v>5972.7124137931023</v>
      </c>
      <c r="V66" s="446">
        <f t="shared" ca="1" si="18"/>
        <v>281333.28758620692</v>
      </c>
      <c r="W66" s="447" t="str">
        <f t="shared" ca="1" si="19"/>
        <v>Indoklás szükséges mivel a FEOR: 153,2%</v>
      </c>
      <c r="X66" s="571">
        <f t="shared" ca="1" si="20"/>
        <v>5972.7124137931023</v>
      </c>
      <c r="Y66" s="554">
        <f t="shared" ca="1" si="21"/>
        <v>248968</v>
      </c>
      <c r="Z66" s="555">
        <f t="shared" ca="1" si="22"/>
        <v>32365</v>
      </c>
      <c r="AA66" s="477"/>
      <c r="AB66" s="474">
        <v>8438731872</v>
      </c>
      <c r="AC66" s="475" t="s">
        <v>988</v>
      </c>
      <c r="AD66" s="483" t="s">
        <v>45</v>
      </c>
      <c r="AE66" s="476" t="s">
        <v>22</v>
      </c>
      <c r="AF66" s="247" t="s">
        <v>125</v>
      </c>
      <c r="AG66" s="247" t="s">
        <v>2517</v>
      </c>
      <c r="AH66" s="451" t="s">
        <v>131</v>
      </c>
      <c r="AI66" s="154">
        <v>45017</v>
      </c>
      <c r="AJ66" s="100" t="str">
        <f>IF(AI66&gt;0,
(IF(AI66&lt;Hónapok!$A$10,Admin!$A$28,
(IF(AI66&lt;Hónapok!$A$22,Admin!$B$28,
(IF(AI66&lt;Hónapok!$A$34,Admin!$C$28,
(IF(AI66&lt;Hónapok!$A$46,Admin!$D$28,"")))))))),"")</f>
        <v>3. mérföldkő</v>
      </c>
      <c r="AK66" s="470" t="s">
        <v>7</v>
      </c>
      <c r="AL66" s="477" t="s">
        <v>26</v>
      </c>
      <c r="AM66" s="903">
        <v>1427100</v>
      </c>
      <c r="AN66" s="860">
        <f t="shared" si="0"/>
        <v>185523</v>
      </c>
      <c r="AO66" s="477">
        <v>174</v>
      </c>
      <c r="AP66" s="478">
        <v>31</v>
      </c>
      <c r="AQ66" s="454">
        <f t="shared" si="1"/>
        <v>0.17816091954022989</v>
      </c>
      <c r="AR66" s="455">
        <f t="shared" si="23"/>
        <v>254253</v>
      </c>
      <c r="AS66" s="455">
        <f t="shared" si="2"/>
        <v>33053</v>
      </c>
      <c r="AT66" s="102">
        <f t="shared" si="3"/>
        <v>3.1411664358493852E-7</v>
      </c>
      <c r="AU66" s="116">
        <v>0.13</v>
      </c>
      <c r="AV66" s="565" t="str">
        <f>VLOOKUP(LEFT(AB66,10),Törzsszám!$A$1:$B$908,2,0)</f>
        <v>10000306</v>
      </c>
      <c r="AW66" s="681">
        <f t="shared" ca="1" si="24"/>
        <v>-5973</v>
      </c>
      <c r="AX66" s="471" t="s">
        <v>4581</v>
      </c>
      <c r="AY66" s="503"/>
      <c r="AZ66" s="504"/>
      <c r="BA66" s="671"/>
      <c r="BB66" s="649"/>
      <c r="BC66" s="649"/>
      <c r="BD66" s="672"/>
      <c r="BE66" s="450" t="s">
        <v>201</v>
      </c>
    </row>
    <row r="67" spans="1:57" s="457" customFormat="1" ht="31.5" x14ac:dyDescent="0.25">
      <c r="A67" s="694" t="str">
        <f ca="1">Bérköltség!$B67</f>
        <v>FEOR</v>
      </c>
      <c r="B67" s="694" t="str">
        <f ca="1">IFERROR(
IF(AND(Bérköltség!$F67="",H67="NA"),"HIÁNYOS ADATOK",
IF(Bérköltség!$F67&lt;Bérköltség!$U67,Admin!$B$18,Admin!$B$17)),
"")</f>
        <v>FEOR</v>
      </c>
      <c r="C67" s="437">
        <f>IFERROR(INDEX('Historikus berek_2021-2'!$A$1:$F$903,MATCH(AB67,'Historikus berek_2021-2'!$A$1:$A$903,0),4),"")</f>
        <v>1086900</v>
      </c>
      <c r="D67" s="438">
        <f t="shared" si="5"/>
        <v>193643.10344827586</v>
      </c>
      <c r="E67" s="437">
        <f t="shared" si="6"/>
        <v>254253</v>
      </c>
      <c r="F67" s="439">
        <f t="shared" si="7"/>
        <v>68489.183103448246</v>
      </c>
      <c r="G67" s="440">
        <f t="shared" si="8"/>
        <v>218816.70689655171</v>
      </c>
      <c r="H67" s="441">
        <f>IFERROR(INDEX('FEOR kodok'!$A$2:$J$1126,MATCH(Bérköltség!AB67,'FEOR kodok'!$B$2:$B$1126,0),8),"NA")</f>
        <v>2624</v>
      </c>
      <c r="I67" s="436">
        <f ca="1">IFERROR(INDEX('FEOR kodok'!$A$2:$J$1126,MATCH(Bérköltség!AB67,'FEOR kodok'!$B$2:$B$1126,0),10),"NA")</f>
        <v>36</v>
      </c>
      <c r="J67" s="442" t="str">
        <f t="shared" ca="1" si="9"/>
        <v>30–39 éves</v>
      </c>
      <c r="K67" s="436" t="str">
        <f>IFERROR(INDEX(admin_feor[#All],MATCH(Bérköltség!H67,admin_feor[[#All],[Foglalkozás]],0),2),"NA")</f>
        <v>Elemző közgazdász</v>
      </c>
      <c r="L67" s="438">
        <f ca="1">IFERROR(
INDEX('Admin - FEOR'!$A$4:$F$465,MATCH(Bérköltség!H67,'Admin - FEOR'!$A$4:$A$465,0),
IF(J67="30 év alatt",3,
IF(J67="30–39 éves",4,
IF(J67="40–49 éves",5,
IF(J67="50 év és afelett",6
)))))*1,"NA")</f>
        <v>931620</v>
      </c>
      <c r="M67" s="438">
        <f t="shared" si="10"/>
        <v>1427100</v>
      </c>
      <c r="N67" s="443">
        <f t="shared" ca="1" si="11"/>
        <v>1.5318477490822437</v>
      </c>
      <c r="O67" s="438">
        <f ca="1">IFERROR(
INDEX('Admin - FEOR'!$A$4:$F$465,MATCH(Bérköltség!H67,'Admin - FEOR'!$A$4:$A$465,0),
IF(J67="30 év alatt",3,
IF(J67="30–39 éves",4,
IF(J67="40–49 éves",5,
IF(J67="50 év és afelett",6
)))))*1.5,"NA")</f>
        <v>1397430</v>
      </c>
      <c r="P67" s="438">
        <f t="shared" ca="1" si="12"/>
        <v>248967.41379310345</v>
      </c>
      <c r="Q67" s="438">
        <f t="shared" si="13"/>
        <v>254253</v>
      </c>
      <c r="R67" s="444">
        <f t="shared" si="14"/>
        <v>0.17816091954022989</v>
      </c>
      <c r="S67" s="438">
        <f t="shared" ca="1" si="15"/>
        <v>5285.5862068965507</v>
      </c>
      <c r="T67" s="438">
        <f t="shared" ca="1" si="16"/>
        <v>687.12620689655159</v>
      </c>
      <c r="U67" s="445">
        <f t="shared" ca="1" si="17"/>
        <v>5972.7124137931023</v>
      </c>
      <c r="V67" s="446">
        <f t="shared" ca="1" si="18"/>
        <v>281333.28758620692</v>
      </c>
      <c r="W67" s="447" t="str">
        <f t="shared" ca="1" si="19"/>
        <v>Indoklás szükséges mivel a FEOR: 153,2%</v>
      </c>
      <c r="X67" s="571">
        <f t="shared" ca="1" si="20"/>
        <v>5972.7124137931023</v>
      </c>
      <c r="Y67" s="554">
        <f t="shared" ca="1" si="21"/>
        <v>248968</v>
      </c>
      <c r="Z67" s="555">
        <f t="shared" ca="1" si="22"/>
        <v>32365</v>
      </c>
      <c r="AA67" s="477"/>
      <c r="AB67" s="474">
        <v>8438731872</v>
      </c>
      <c r="AC67" s="475" t="s">
        <v>988</v>
      </c>
      <c r="AD67" s="483" t="s">
        <v>45</v>
      </c>
      <c r="AE67" s="476" t="s">
        <v>22</v>
      </c>
      <c r="AF67" s="247" t="s">
        <v>125</v>
      </c>
      <c r="AG67" s="247" t="s">
        <v>2517</v>
      </c>
      <c r="AH67" s="451" t="s">
        <v>131</v>
      </c>
      <c r="AI67" s="154">
        <v>45047</v>
      </c>
      <c r="AJ67" s="100" t="str">
        <f>IF(AI67&gt;0,
(IF(AI67&lt;Hónapok!$A$10,Admin!$A$28,
(IF(AI67&lt;Hónapok!$A$22,Admin!$B$28,
(IF(AI67&lt;Hónapok!$A$34,Admin!$C$28,
(IF(AI67&lt;Hónapok!$A$46,Admin!$D$28,"")))))))),"")</f>
        <v>3. mérföldkő</v>
      </c>
      <c r="AK67" s="470" t="s">
        <v>7</v>
      </c>
      <c r="AL67" s="477" t="s">
        <v>26</v>
      </c>
      <c r="AM67" s="903">
        <v>1427100</v>
      </c>
      <c r="AN67" s="860">
        <f t="shared" ref="AN67:AN115" si="166">IFERROR(ROUND(AM67*AU67,0),"")</f>
        <v>185523</v>
      </c>
      <c r="AO67" s="477">
        <v>174</v>
      </c>
      <c r="AP67" s="478">
        <v>31</v>
      </c>
      <c r="AQ67" s="454">
        <f t="shared" ref="AQ67:AQ115" si="167">IFERROR(AP67/AO67,"")</f>
        <v>0.17816091954022989</v>
      </c>
      <c r="AR67" s="455">
        <f t="shared" ref="AR67:AR115" si="168">IFERROR(ROUND(AM67*AP67/AO67,0),"")</f>
        <v>254253</v>
      </c>
      <c r="AS67" s="455">
        <f t="shared" ref="AS67:AS115" si="169">IFERROR(ROUND(AR67*AU67,0),"")</f>
        <v>33053</v>
      </c>
      <c r="AT67" s="102">
        <f t="shared" ref="AT67:AT115" si="170">IFERROR(AP67/AO67-AR67/AM67,"")</f>
        <v>3.1411664358493852E-7</v>
      </c>
      <c r="AU67" s="116">
        <v>0.13</v>
      </c>
      <c r="AV67" s="565" t="str">
        <f>VLOOKUP(LEFT(AB67,10),Törzsszám!$A$1:$B$908,2,0)</f>
        <v>10000306</v>
      </c>
      <c r="AW67" s="681">
        <f t="shared" ca="1" si="24"/>
        <v>-5973</v>
      </c>
      <c r="AX67" s="471" t="s">
        <v>4596</v>
      </c>
      <c r="AY67" s="486"/>
      <c r="AZ67" s="502"/>
      <c r="BA67" s="671"/>
      <c r="BB67" s="649"/>
      <c r="BC67" s="649"/>
      <c r="BD67" s="672"/>
      <c r="BE67" s="450" t="s">
        <v>201</v>
      </c>
    </row>
    <row r="68" spans="1:57" s="457" customFormat="1" ht="31.5" x14ac:dyDescent="0.25">
      <c r="A68" s="694" t="str">
        <f ca="1">Bérköltség!$B68</f>
        <v>FEOR</v>
      </c>
      <c r="B68" s="694" t="str">
        <f ca="1">IFERROR(
IF(AND(Bérköltség!$F68="",H68="NA"),"HIÁNYOS ADATOK",
IF(Bérköltség!$F68&lt;Bérköltség!$U68,Admin!$B$18,Admin!$B$17)),
"")</f>
        <v>FEOR</v>
      </c>
      <c r="C68" s="437">
        <f>IFERROR(INDEX('Historikus berek_2021-2'!$A$1:$F$903,MATCH(AB68,'Historikus berek_2021-2'!$A$1:$A$903,0),4),"")</f>
        <v>1086900</v>
      </c>
      <c r="D68" s="438">
        <f t="shared" ref="D68:D73" si="171">IFERROR(C68*AQ68,"NA")</f>
        <v>193643.10344827586</v>
      </c>
      <c r="E68" s="437">
        <f t="shared" ref="E68:E73" si="172">AR68</f>
        <v>254253</v>
      </c>
      <c r="F68" s="439">
        <f t="shared" ref="F68:F73" si="173">IFERROR(IF((E68*(1+AU68)-D68*(1+AU68))&lt;0,0,(E68*(1+AU68)-D68*(1+AU68))),"")</f>
        <v>68489.183103448246</v>
      </c>
      <c r="G68" s="440">
        <f t="shared" ref="G68:G73" si="174">IFERROR((E68*(1+AU68)-F68),"")</f>
        <v>218816.70689655171</v>
      </c>
      <c r="H68" s="441">
        <f>IFERROR(INDEX('FEOR kodok'!$A$2:$J$1126,MATCH(Bérköltség!AB68,'FEOR kodok'!$B$2:$B$1126,0),8),"NA")</f>
        <v>2624</v>
      </c>
      <c r="I68" s="436">
        <f ca="1">IFERROR(INDEX('FEOR kodok'!$A$2:$J$1126,MATCH(Bérköltség!AB68,'FEOR kodok'!$B$2:$B$1126,0),10),"NA")</f>
        <v>36</v>
      </c>
      <c r="J68" s="442" t="str">
        <f t="shared" ref="J68:J73" ca="1" si="175">IF(I68="NA","NA",
IF(I68&lt;30,"30 év alatt",
IF(AND(I68&gt;=30,I68&lt;=39),"30–39 éves",
IF(AND(I68&gt;=40,I68&lt;=49),"40–49 éves",
IF(I68&gt;=50,"50 év és afelett",
"")))))</f>
        <v>30–39 éves</v>
      </c>
      <c r="K68" s="436" t="str">
        <f>IFERROR(INDEX(admin_feor[#All],MATCH(Bérköltség!H68,admin_feor[[#All],[Foglalkozás]],0),2),"NA")</f>
        <v>Elemző közgazdász</v>
      </c>
      <c r="L68" s="438">
        <f ca="1">IFERROR(
INDEX('Admin - FEOR'!$A$4:$F$465,MATCH(Bérköltség!H68,'Admin - FEOR'!$A$4:$A$465,0),
IF(J68="30 év alatt",3,
IF(J68="30–39 éves",4,
IF(J68="40–49 éves",5,
IF(J68="50 év és afelett",6
)))))*1,"NA")</f>
        <v>931620</v>
      </c>
      <c r="M68" s="438">
        <f t="shared" ref="M68:M73" si="176">AM68</f>
        <v>1427099</v>
      </c>
      <c r="N68" s="443">
        <f t="shared" ref="N68:N73" ca="1" si="177">IFERROR(
M68/L68,"NA")</f>
        <v>1.5318466756832185</v>
      </c>
      <c r="O68" s="438">
        <f ca="1">IFERROR(
INDEX('Admin - FEOR'!$A$4:$F$465,MATCH(Bérköltség!H68,'Admin - FEOR'!$A$4:$A$465,0),
IF(J68="30 év alatt",3,
IF(J68="30–39 éves",4,
IF(J68="40–49 éves",5,
IF(J68="50 év és afelett",6
)))))*1.5,"NA")</f>
        <v>1397430</v>
      </c>
      <c r="P68" s="438">
        <f t="shared" ref="P68:P73" ca="1" si="178">IFERROR(
AQ68*O68,"NA")</f>
        <v>248967.41379310345</v>
      </c>
      <c r="Q68" s="438">
        <f t="shared" ref="Q68:Q73" si="179">IFERROR(AR68,"")</f>
        <v>254253</v>
      </c>
      <c r="R68" s="444">
        <f t="shared" ref="R68:R73" si="180">IFERROR(AQ68,"")</f>
        <v>0.17816091954022989</v>
      </c>
      <c r="S68" s="438">
        <f t="shared" ref="S68:S73" ca="1" si="181">IFERROR(
IF(AR68-P68&lt;0,0,AR68-P68),"NA")</f>
        <v>5285.5862068965507</v>
      </c>
      <c r="T68" s="438">
        <f t="shared" ref="T68:T73" ca="1" si="182">IFERROR(
S68*AU68,"NA")</f>
        <v>687.12620689655159</v>
      </c>
      <c r="U68" s="445">
        <f t="shared" ref="U68:U73" ca="1" si="183">IFERROR(
S68+T68,"NA")</f>
        <v>5972.7124137931023</v>
      </c>
      <c r="V68" s="446">
        <f t="shared" ref="V68:V73" ca="1" si="184">IFERROR(
IF(U68&gt;0,AR68+AS68-U68,AR68+AS68),"NA")</f>
        <v>281333.28758620692</v>
      </c>
      <c r="W68" s="447" t="str">
        <f t="shared" ref="W68:W73" ca="1" si="185">IF(P68="NA","FEOR hiányzik",
IF(AND(N68&gt;1,A68="FEOR"),CONCATENATE("Indoklás szükséges mivel a FEOR: ",ROUND(N68*100,1),"%"),"Nem szükséges indoklás.")
)</f>
        <v>Indoklás szükséges mivel a FEOR: 153,2%</v>
      </c>
      <c r="X68" s="571">
        <f t="shared" ref="X68:X73" ca="1" si="186">IF(A68="FEOR",U68,IF(A68="HIÁNYOS ADATOK","HIÁNYOS ADATOK",F68))</f>
        <v>5972.7124137931023</v>
      </c>
      <c r="Y68" s="554">
        <f t="shared" ref="Y68:Y73" ca="1" si="187">IF(A68="FEOR",ROUND(V68/(1+AU68),0),IF(A68="HIÁNYOS ADATOK","HIÁNYOS ADATOK",ROUND(G68/(1+AU68),0)))</f>
        <v>248968</v>
      </c>
      <c r="Z68" s="555">
        <f t="shared" ref="Z68:Z73" ca="1" si="188">IF(A68="FEOR",ROUND(V68-Y68,0),IF(A68="HIÁNYOS ADATOK","HIÁNYOS ADATOK",ROUND(G68-Y68,0)))</f>
        <v>32365</v>
      </c>
      <c r="AA68" s="477"/>
      <c r="AB68" s="249">
        <v>8438731872</v>
      </c>
      <c r="AC68" s="544" t="s">
        <v>988</v>
      </c>
      <c r="AD68" s="513" t="s">
        <v>45</v>
      </c>
      <c r="AE68" s="783" t="s">
        <v>22</v>
      </c>
      <c r="AF68" s="103" t="s">
        <v>125</v>
      </c>
      <c r="AG68" s="103" t="s">
        <v>2517</v>
      </c>
      <c r="AH68" s="104" t="s">
        <v>131</v>
      </c>
      <c r="AI68" s="153">
        <v>45078</v>
      </c>
      <c r="AJ68" s="105" t="str">
        <f>IF(AI68&gt;0,
(IF(AI68&lt;Hónapok!$A$10,Admin!$A$28,
(IF(AI68&lt;Hónapok!$A$22,Admin!$B$28,
(IF(AI68&lt;Hónapok!$A$34,Admin!$C$28,
(IF(AI68&lt;Hónapok!$A$46,Admin!$D$28,"")))))))),"")</f>
        <v>3. mérföldkő</v>
      </c>
      <c r="AK68" s="708" t="s">
        <v>7</v>
      </c>
      <c r="AL68" s="784" t="s">
        <v>26</v>
      </c>
      <c r="AM68" s="904">
        <f>1427100-1</f>
        <v>1427099</v>
      </c>
      <c r="AN68" s="861">
        <f t="shared" ref="AN68:AN73" si="189">IFERROR(ROUND(AM68*AU68,0),"")</f>
        <v>185523</v>
      </c>
      <c r="AO68" s="784">
        <v>174</v>
      </c>
      <c r="AP68" s="785">
        <v>31</v>
      </c>
      <c r="AQ68" s="296">
        <f t="shared" ref="AQ68:AQ73" si="190">IFERROR(AP68/AO68,"")</f>
        <v>0.17816091954022989</v>
      </c>
      <c r="AR68" s="511">
        <f t="shared" ref="AR68:AR73" si="191">IFERROR(ROUND(AM68*AP68/AO68,0),"")</f>
        <v>254253</v>
      </c>
      <c r="AS68" s="511">
        <f t="shared" ref="AS68:AS73" si="192">IFERROR(ROUND(AR68*AU68,0),"")</f>
        <v>33053</v>
      </c>
      <c r="AT68" s="296">
        <f t="shared" ref="AT68:AT73" si="193">IFERROR(AP68/AO68-AR68/AM68,"")</f>
        <v>1.8927554606973374E-7</v>
      </c>
      <c r="AU68" s="512">
        <v>0.13</v>
      </c>
      <c r="AV68" s="661" t="str">
        <f>VLOOKUP(LEFT(AB68,10),Törzsszám!$A$1:$B$908,2,0)</f>
        <v>10000306</v>
      </c>
      <c r="AW68" s="681"/>
      <c r="AX68" s="471" t="s">
        <v>4606</v>
      </c>
      <c r="AY68" s="486"/>
      <c r="AZ68" s="502"/>
      <c r="BA68" s="671"/>
      <c r="BB68" s="649"/>
      <c r="BC68" s="649"/>
      <c r="BD68" s="672"/>
      <c r="BE68" s="450" t="s">
        <v>201</v>
      </c>
    </row>
    <row r="69" spans="1:57" s="457" customFormat="1" ht="31.5" x14ac:dyDescent="0.25">
      <c r="A69" s="694" t="str">
        <f ca="1">Bérköltség!$B69</f>
        <v>FEOR</v>
      </c>
      <c r="B69" s="694" t="str">
        <f ca="1">IFERROR(
IF(AND(Bérköltség!$F69="",H69="NA"),"HIÁNYOS ADATOK",
IF(Bérköltség!$F69&lt;Bérköltség!$U69,Admin!$B$18,Admin!$B$17)),
"")</f>
        <v>FEOR</v>
      </c>
      <c r="C69" s="437">
        <f>IFERROR(INDEX('Historikus berek_2021-2'!$A$1:$F$903,MATCH(AB69,'Historikus berek_2021-2'!$A$1:$A$903,0),4),"")</f>
        <v>1086900</v>
      </c>
      <c r="D69" s="438">
        <f t="shared" si="171"/>
        <v>193643.10344827586</v>
      </c>
      <c r="E69" s="437">
        <f t="shared" si="172"/>
        <v>254253</v>
      </c>
      <c r="F69" s="439">
        <f t="shared" si="173"/>
        <v>68489.183103448246</v>
      </c>
      <c r="G69" s="440">
        <f t="shared" si="174"/>
        <v>218816.70689655171</v>
      </c>
      <c r="H69" s="441">
        <f>IFERROR(INDEX('FEOR kodok'!$A$2:$J$1126,MATCH(Bérköltség!AB69,'FEOR kodok'!$B$2:$B$1126,0),8),"NA")</f>
        <v>2624</v>
      </c>
      <c r="I69" s="436">
        <f ca="1">IFERROR(INDEX('FEOR kodok'!$A$2:$J$1126,MATCH(Bérköltség!AB69,'FEOR kodok'!$B$2:$B$1126,0),10),"NA")</f>
        <v>36</v>
      </c>
      <c r="J69" s="442" t="str">
        <f t="shared" ca="1" si="175"/>
        <v>30–39 éves</v>
      </c>
      <c r="K69" s="436" t="str">
        <f>IFERROR(INDEX(admin_feor[#All],MATCH(Bérköltség!H69,admin_feor[[#All],[Foglalkozás]],0),2),"NA")</f>
        <v>Elemző közgazdász</v>
      </c>
      <c r="L69" s="438">
        <f ca="1">IFERROR(
INDEX('Admin - FEOR'!$A$4:$F$465,MATCH(Bérköltség!H69,'Admin - FEOR'!$A$4:$A$465,0),
IF(J69="30 év alatt",3,
IF(J69="30–39 éves",4,
IF(J69="40–49 éves",5,
IF(J69="50 év és afelett",6
)))))*1,"NA")</f>
        <v>931620</v>
      </c>
      <c r="M69" s="438">
        <f t="shared" si="176"/>
        <v>1427100</v>
      </c>
      <c r="N69" s="443">
        <f t="shared" ca="1" si="177"/>
        <v>1.5318477490822437</v>
      </c>
      <c r="O69" s="438">
        <f ca="1">IFERROR(
INDEX('Admin - FEOR'!$A$4:$F$465,MATCH(Bérköltség!H69,'Admin - FEOR'!$A$4:$A$465,0),
IF(J69="30 év alatt",3,
IF(J69="30–39 éves",4,
IF(J69="40–49 éves",5,
IF(J69="50 év és afelett",6
)))))*1.5,"NA")</f>
        <v>1397430</v>
      </c>
      <c r="P69" s="438">
        <f t="shared" ca="1" si="178"/>
        <v>248967.41379310345</v>
      </c>
      <c r="Q69" s="438">
        <f t="shared" si="179"/>
        <v>254253</v>
      </c>
      <c r="R69" s="444">
        <f t="shared" si="180"/>
        <v>0.17816091954022989</v>
      </c>
      <c r="S69" s="438">
        <f t="shared" ca="1" si="181"/>
        <v>5285.5862068965507</v>
      </c>
      <c r="T69" s="438">
        <f t="shared" ca="1" si="182"/>
        <v>687.12620689655159</v>
      </c>
      <c r="U69" s="445">
        <f t="shared" ca="1" si="183"/>
        <v>5972.7124137931023</v>
      </c>
      <c r="V69" s="446">
        <f t="shared" ca="1" si="184"/>
        <v>281333.28758620692</v>
      </c>
      <c r="W69" s="447" t="str">
        <f t="shared" ca="1" si="185"/>
        <v>Indoklás szükséges mivel a FEOR: 153,2%</v>
      </c>
      <c r="X69" s="571">
        <f t="shared" ca="1" si="186"/>
        <v>5972.7124137931023</v>
      </c>
      <c r="Y69" s="554">
        <f t="shared" ca="1" si="187"/>
        <v>248968</v>
      </c>
      <c r="Z69" s="555">
        <f t="shared" ca="1" si="188"/>
        <v>32365</v>
      </c>
      <c r="AA69" s="477"/>
      <c r="AB69" s="474">
        <v>8438731872</v>
      </c>
      <c r="AC69" s="475" t="s">
        <v>988</v>
      </c>
      <c r="AD69" s="483" t="s">
        <v>45</v>
      </c>
      <c r="AE69" s="476" t="s">
        <v>22</v>
      </c>
      <c r="AF69" s="247" t="s">
        <v>125</v>
      </c>
      <c r="AG69" s="247" t="s">
        <v>2517</v>
      </c>
      <c r="AH69" s="451" t="s">
        <v>131</v>
      </c>
      <c r="AI69" s="154">
        <v>45108</v>
      </c>
      <c r="AJ69" s="100" t="str">
        <f>IF(AI69&gt;0,
(IF(AI69&lt;Hónapok!$A$10,Admin!$A$28,
(IF(AI69&lt;Hónapok!$A$22,Admin!$B$28,
(IF(AI69&lt;Hónapok!$A$34,Admin!$C$28,
(IF(AI69&lt;Hónapok!$A$46,Admin!$D$28,"")))))))),"")</f>
        <v>3. mérföldkő</v>
      </c>
      <c r="AK69" s="470" t="s">
        <v>7</v>
      </c>
      <c r="AL69" s="477" t="s">
        <v>26</v>
      </c>
      <c r="AM69" s="903">
        <v>1427100</v>
      </c>
      <c r="AN69" s="860">
        <f t="shared" si="189"/>
        <v>185523</v>
      </c>
      <c r="AO69" s="477">
        <v>174</v>
      </c>
      <c r="AP69" s="478">
        <v>31</v>
      </c>
      <c r="AQ69" s="682">
        <f t="shared" si="190"/>
        <v>0.17816091954022989</v>
      </c>
      <c r="AR69" s="455">
        <f t="shared" si="191"/>
        <v>254253</v>
      </c>
      <c r="AS69" s="455">
        <f t="shared" si="192"/>
        <v>33053</v>
      </c>
      <c r="AT69" s="102">
        <f t="shared" si="193"/>
        <v>3.1411664358493852E-7</v>
      </c>
      <c r="AU69" s="116">
        <v>0.13</v>
      </c>
      <c r="AV69" s="565" t="str">
        <f>VLOOKUP(LEFT(AB69,10),Törzsszám!$A$1:$B$908,2,0)</f>
        <v>10000306</v>
      </c>
      <c r="AW69" s="681"/>
      <c r="AX69" s="471" t="s">
        <v>4610</v>
      </c>
      <c r="AY69" s="486"/>
      <c r="AZ69" s="502"/>
      <c r="BA69" s="671"/>
      <c r="BB69" s="649"/>
      <c r="BC69" s="649"/>
      <c r="BD69" s="672"/>
      <c r="BE69" s="450" t="s">
        <v>201</v>
      </c>
    </row>
    <row r="70" spans="1:57" s="457" customFormat="1" ht="31.5" x14ac:dyDescent="0.25">
      <c r="A70" s="694" t="str">
        <f ca="1">Bérköltség!$B70</f>
        <v>FEOR</v>
      </c>
      <c r="B70" s="694" t="str">
        <f ca="1">IFERROR(
IF(AND(Bérköltség!$F70="",H70="NA"),"HIÁNYOS ADATOK",
IF(Bérköltség!$F70&lt;Bérköltség!$U70,Admin!$B$18,Admin!$B$17)),
"")</f>
        <v>FEOR</v>
      </c>
      <c r="C70" s="437">
        <f>IFERROR(INDEX('Historikus berek_2021-2'!$A$1:$F$903,MATCH(AB70,'Historikus berek_2021-2'!$A$1:$A$903,0),4),"")</f>
        <v>1086900</v>
      </c>
      <c r="D70" s="438">
        <f t="shared" si="171"/>
        <v>193643.10344827586</v>
      </c>
      <c r="E70" s="437">
        <f t="shared" si="172"/>
        <v>254253</v>
      </c>
      <c r="F70" s="439">
        <f t="shared" si="173"/>
        <v>68489.183103448246</v>
      </c>
      <c r="G70" s="440">
        <f t="shared" si="174"/>
        <v>218816.70689655171</v>
      </c>
      <c r="H70" s="441">
        <f>IFERROR(INDEX('FEOR kodok'!$A$2:$J$1126,MATCH(Bérköltség!AB70,'FEOR kodok'!$B$2:$B$1126,0),8),"NA")</f>
        <v>2624</v>
      </c>
      <c r="I70" s="436">
        <f ca="1">IFERROR(INDEX('FEOR kodok'!$A$2:$J$1126,MATCH(Bérköltség!AB70,'FEOR kodok'!$B$2:$B$1126,0),10),"NA")</f>
        <v>36</v>
      </c>
      <c r="J70" s="442" t="str">
        <f t="shared" ca="1" si="175"/>
        <v>30–39 éves</v>
      </c>
      <c r="K70" s="436" t="str">
        <f>IFERROR(INDEX(admin_feor[#All],MATCH(Bérköltség!H70,admin_feor[[#All],[Foglalkozás]],0),2),"NA")</f>
        <v>Elemző közgazdász</v>
      </c>
      <c r="L70" s="438">
        <f ca="1">IFERROR(
INDEX('Admin - FEOR'!$A$4:$F$465,MATCH(Bérköltség!H70,'Admin - FEOR'!$A$4:$A$465,0),
IF(J70="30 év alatt",3,
IF(J70="30–39 éves",4,
IF(J70="40–49 éves",5,
IF(J70="50 év és afelett",6
)))))*1,"NA")</f>
        <v>931620</v>
      </c>
      <c r="M70" s="438">
        <f t="shared" si="176"/>
        <v>1427100</v>
      </c>
      <c r="N70" s="443">
        <f t="shared" ca="1" si="177"/>
        <v>1.5318477490822437</v>
      </c>
      <c r="O70" s="438">
        <f ca="1">IFERROR(
INDEX('Admin - FEOR'!$A$4:$F$465,MATCH(Bérköltség!H70,'Admin - FEOR'!$A$4:$A$465,0),
IF(J70="30 év alatt",3,
IF(J70="30–39 éves",4,
IF(J70="40–49 éves",5,
IF(J70="50 év és afelett",6
)))))*1.5,"NA")</f>
        <v>1397430</v>
      </c>
      <c r="P70" s="438">
        <f t="shared" ca="1" si="178"/>
        <v>248967.41379310345</v>
      </c>
      <c r="Q70" s="438">
        <f t="shared" si="179"/>
        <v>254253</v>
      </c>
      <c r="R70" s="444">
        <f t="shared" si="180"/>
        <v>0.17816091954022989</v>
      </c>
      <c r="S70" s="438">
        <f t="shared" ca="1" si="181"/>
        <v>5285.5862068965507</v>
      </c>
      <c r="T70" s="438">
        <f t="shared" ca="1" si="182"/>
        <v>687.12620689655159</v>
      </c>
      <c r="U70" s="445">
        <f t="shared" ca="1" si="183"/>
        <v>5972.7124137931023</v>
      </c>
      <c r="V70" s="446">
        <f t="shared" ca="1" si="184"/>
        <v>281333.28758620692</v>
      </c>
      <c r="W70" s="447" t="str">
        <f t="shared" ca="1" si="185"/>
        <v>Indoklás szükséges mivel a FEOR: 153,2%</v>
      </c>
      <c r="X70" s="571">
        <f t="shared" ca="1" si="186"/>
        <v>5972.7124137931023</v>
      </c>
      <c r="Y70" s="554">
        <f t="shared" ca="1" si="187"/>
        <v>248968</v>
      </c>
      <c r="Z70" s="555">
        <f t="shared" ca="1" si="188"/>
        <v>32365</v>
      </c>
      <c r="AA70" s="477"/>
      <c r="AB70" s="474">
        <v>8438731872</v>
      </c>
      <c r="AC70" s="475" t="s">
        <v>988</v>
      </c>
      <c r="AD70" s="483" t="s">
        <v>45</v>
      </c>
      <c r="AE70" s="476" t="s">
        <v>22</v>
      </c>
      <c r="AF70" s="247" t="s">
        <v>125</v>
      </c>
      <c r="AG70" s="247" t="s">
        <v>2517</v>
      </c>
      <c r="AH70" s="451" t="s">
        <v>131</v>
      </c>
      <c r="AI70" s="154">
        <v>45139</v>
      </c>
      <c r="AJ70" s="100" t="str">
        <f>IF(AI70&gt;0,
(IF(AI70&lt;Hónapok!$A$10,Admin!$A$28,
(IF(AI70&lt;Hónapok!$A$22,Admin!$B$28,
(IF(AI70&lt;Hónapok!$A$34,Admin!$C$28,
(IF(AI70&lt;Hónapok!$A$46,Admin!$D$28,"")))))))),"")</f>
        <v>3. mérföldkő</v>
      </c>
      <c r="AK70" s="470" t="s">
        <v>7</v>
      </c>
      <c r="AL70" s="477" t="s">
        <v>26</v>
      </c>
      <c r="AM70" s="903">
        <v>1427100</v>
      </c>
      <c r="AN70" s="860">
        <f t="shared" si="189"/>
        <v>185523</v>
      </c>
      <c r="AO70" s="477">
        <v>174</v>
      </c>
      <c r="AP70" s="478">
        <v>31</v>
      </c>
      <c r="AQ70" s="454">
        <f t="shared" si="190"/>
        <v>0.17816091954022989</v>
      </c>
      <c r="AR70" s="455">
        <f t="shared" si="191"/>
        <v>254253</v>
      </c>
      <c r="AS70" s="455">
        <f t="shared" si="192"/>
        <v>33053</v>
      </c>
      <c r="AT70" s="102">
        <f t="shared" si="193"/>
        <v>3.1411664358493852E-7</v>
      </c>
      <c r="AU70" s="116">
        <v>0.13</v>
      </c>
      <c r="AV70" s="565" t="str">
        <f>VLOOKUP(LEFT(AB70,10),Törzsszám!$A$1:$B$908,2,0)</f>
        <v>10000306</v>
      </c>
      <c r="AW70" s="681"/>
      <c r="AX70" s="471" t="s">
        <v>4613</v>
      </c>
      <c r="AY70" s="486"/>
      <c r="AZ70" s="502"/>
      <c r="BA70" s="671"/>
      <c r="BB70" s="649"/>
      <c r="BC70" s="649"/>
      <c r="BD70" s="672"/>
      <c r="BE70" s="450" t="s">
        <v>201</v>
      </c>
    </row>
    <row r="71" spans="1:57" s="457" customFormat="1" ht="31.5" x14ac:dyDescent="0.25">
      <c r="A71" s="694" t="str">
        <f ca="1">Bérköltség!$B71</f>
        <v>FEOR</v>
      </c>
      <c r="B71" s="694" t="str">
        <f ca="1">IFERROR(
IF(AND(Bérköltség!$F71="",H71="NA"),"HIÁNYOS ADATOK",
IF(Bérköltség!$F71&lt;Bérköltség!$U71,Admin!$B$18,Admin!$B$17)),
"")</f>
        <v>FEOR</v>
      </c>
      <c r="C71" s="437">
        <f>IFERROR(INDEX('Historikus berek_2021-2'!$A$1:$F$903,MATCH(AB71,'Historikus berek_2021-2'!$A$1:$A$903,0),4),"")</f>
        <v>1086900</v>
      </c>
      <c r="D71" s="438">
        <f t="shared" si="171"/>
        <v>193643.10344827586</v>
      </c>
      <c r="E71" s="437">
        <f t="shared" si="172"/>
        <v>254253</v>
      </c>
      <c r="F71" s="439">
        <f t="shared" si="173"/>
        <v>68489.183103448246</v>
      </c>
      <c r="G71" s="440">
        <f t="shared" si="174"/>
        <v>218816.70689655171</v>
      </c>
      <c r="H71" s="441">
        <f>IFERROR(INDEX('FEOR kodok'!$A$2:$J$1126,MATCH(Bérköltség!AB71,'FEOR kodok'!$B$2:$B$1126,0),8),"NA")</f>
        <v>2624</v>
      </c>
      <c r="I71" s="436">
        <f ca="1">IFERROR(INDEX('FEOR kodok'!$A$2:$J$1126,MATCH(Bérköltség!AB71,'FEOR kodok'!$B$2:$B$1126,0),10),"NA")</f>
        <v>36</v>
      </c>
      <c r="J71" s="442" t="str">
        <f t="shared" ca="1" si="175"/>
        <v>30–39 éves</v>
      </c>
      <c r="K71" s="436" t="str">
        <f>IFERROR(INDEX(admin_feor[#All],MATCH(Bérköltség!H71,admin_feor[[#All],[Foglalkozás]],0),2),"NA")</f>
        <v>Elemző közgazdász</v>
      </c>
      <c r="L71" s="438">
        <f ca="1">IFERROR(
INDEX('Admin - FEOR'!$A$4:$F$465,MATCH(Bérköltség!H71,'Admin - FEOR'!$A$4:$A$465,0),
IF(J71="30 év alatt",3,
IF(J71="30–39 éves",4,
IF(J71="40–49 éves",5,
IF(J71="50 év és afelett",6
)))))*1,"NA")</f>
        <v>931620</v>
      </c>
      <c r="M71" s="438">
        <f t="shared" si="176"/>
        <v>1427100</v>
      </c>
      <c r="N71" s="443">
        <f t="shared" ca="1" si="177"/>
        <v>1.5318477490822437</v>
      </c>
      <c r="O71" s="438">
        <f ca="1">IFERROR(
INDEX('Admin - FEOR'!$A$4:$F$465,MATCH(Bérköltség!H71,'Admin - FEOR'!$A$4:$A$465,0),
IF(J71="30 év alatt",3,
IF(J71="30–39 éves",4,
IF(J71="40–49 éves",5,
IF(J71="50 év és afelett",6
)))))*1.5,"NA")</f>
        <v>1397430</v>
      </c>
      <c r="P71" s="438">
        <f t="shared" ca="1" si="178"/>
        <v>248967.41379310345</v>
      </c>
      <c r="Q71" s="438">
        <f t="shared" si="179"/>
        <v>254253</v>
      </c>
      <c r="R71" s="444">
        <f t="shared" si="180"/>
        <v>0.17816091954022989</v>
      </c>
      <c r="S71" s="438">
        <f t="shared" ca="1" si="181"/>
        <v>5285.5862068965507</v>
      </c>
      <c r="T71" s="438">
        <f t="shared" ca="1" si="182"/>
        <v>687.12620689655159</v>
      </c>
      <c r="U71" s="445">
        <f t="shared" ca="1" si="183"/>
        <v>5972.7124137931023</v>
      </c>
      <c r="V71" s="446">
        <f t="shared" ca="1" si="184"/>
        <v>281333.28758620692</v>
      </c>
      <c r="W71" s="447" t="str">
        <f t="shared" ca="1" si="185"/>
        <v>Indoklás szükséges mivel a FEOR: 153,2%</v>
      </c>
      <c r="X71" s="571">
        <f t="shared" ca="1" si="186"/>
        <v>5972.7124137931023</v>
      </c>
      <c r="Y71" s="554">
        <f t="shared" ca="1" si="187"/>
        <v>248968</v>
      </c>
      <c r="Z71" s="555">
        <f t="shared" ca="1" si="188"/>
        <v>32365</v>
      </c>
      <c r="AA71" s="477"/>
      <c r="AB71" s="474">
        <v>8438731872</v>
      </c>
      <c r="AC71" s="475" t="s">
        <v>988</v>
      </c>
      <c r="AD71" s="483" t="s">
        <v>45</v>
      </c>
      <c r="AE71" s="476" t="s">
        <v>22</v>
      </c>
      <c r="AF71" s="247" t="s">
        <v>125</v>
      </c>
      <c r="AG71" s="247" t="s">
        <v>2517</v>
      </c>
      <c r="AH71" s="451" t="s">
        <v>131</v>
      </c>
      <c r="AI71" s="154">
        <v>45170</v>
      </c>
      <c r="AJ71" s="100" t="str">
        <f>IF(AI71&gt;0,
(IF(AI71&lt;Hónapok!$A$10,Admin!$A$28,
(IF(AI71&lt;Hónapok!$A$22,Admin!$B$28,
(IF(AI71&lt;Hónapok!$A$34,Admin!$C$28,
(IF(AI71&lt;Hónapok!$A$46,Admin!$D$28,"")))))))),"")</f>
        <v>3. mérföldkő</v>
      </c>
      <c r="AK71" s="470" t="s">
        <v>7</v>
      </c>
      <c r="AL71" s="477" t="s">
        <v>26</v>
      </c>
      <c r="AM71" s="903">
        <v>1427100</v>
      </c>
      <c r="AN71" s="860">
        <f t="shared" si="189"/>
        <v>185523</v>
      </c>
      <c r="AO71" s="477">
        <v>174</v>
      </c>
      <c r="AP71" s="478">
        <v>31</v>
      </c>
      <c r="AQ71" s="454">
        <f t="shared" si="190"/>
        <v>0.17816091954022989</v>
      </c>
      <c r="AR71" s="455">
        <f t="shared" si="191"/>
        <v>254253</v>
      </c>
      <c r="AS71" s="455">
        <f t="shared" si="192"/>
        <v>33053</v>
      </c>
      <c r="AT71" s="102">
        <f t="shared" si="193"/>
        <v>3.1411664358493852E-7</v>
      </c>
      <c r="AU71" s="116">
        <v>0.13</v>
      </c>
      <c r="AV71" s="565" t="str">
        <f>VLOOKUP(LEFT(AB71,10),Törzsszám!$A$1:$B$908,2,0)</f>
        <v>10000306</v>
      </c>
      <c r="AW71" s="681"/>
      <c r="AX71" s="471" t="s">
        <v>4618</v>
      </c>
      <c r="AY71" s="486"/>
      <c r="AZ71" s="502"/>
      <c r="BA71" s="671"/>
      <c r="BB71" s="649"/>
      <c r="BC71" s="649"/>
      <c r="BD71" s="672"/>
      <c r="BE71" s="450" t="s">
        <v>201</v>
      </c>
    </row>
    <row r="72" spans="1:57" s="457" customFormat="1" ht="31.5" x14ac:dyDescent="0.25">
      <c r="A72" s="694" t="str">
        <f ca="1">Bérköltség!$B72</f>
        <v>FEOR</v>
      </c>
      <c r="B72" s="694" t="str">
        <f ca="1">IFERROR(
IF(AND(Bérköltség!$F72="",H72="NA"),"HIÁNYOS ADATOK",
IF(Bérköltség!$F72&lt;Bérköltség!$U72,Admin!$B$18,Admin!$B$17)),
"")</f>
        <v>FEOR</v>
      </c>
      <c r="C72" s="437">
        <f>IFERROR(INDEX('Historikus berek_2021-2'!$A$1:$F$903,MATCH(AB72,'Historikus berek_2021-2'!$A$1:$A$903,0),4),"")</f>
        <v>1086900</v>
      </c>
      <c r="D72" s="438">
        <f t="shared" si="171"/>
        <v>193643.10344827586</v>
      </c>
      <c r="E72" s="437">
        <f t="shared" si="172"/>
        <v>254253</v>
      </c>
      <c r="F72" s="439">
        <f t="shared" si="173"/>
        <v>68489.183103448246</v>
      </c>
      <c r="G72" s="440">
        <f t="shared" si="174"/>
        <v>218816.70689655171</v>
      </c>
      <c r="H72" s="441">
        <f>IFERROR(INDEX('FEOR kodok'!$A$2:$J$1126,MATCH(Bérköltség!AB72,'FEOR kodok'!$B$2:$B$1126,0),8),"NA")</f>
        <v>2624</v>
      </c>
      <c r="I72" s="436">
        <f ca="1">IFERROR(INDEX('FEOR kodok'!$A$2:$J$1126,MATCH(Bérköltség!AB72,'FEOR kodok'!$B$2:$B$1126,0),10),"NA")</f>
        <v>36</v>
      </c>
      <c r="J72" s="442" t="str">
        <f t="shared" ca="1" si="175"/>
        <v>30–39 éves</v>
      </c>
      <c r="K72" s="436" t="str">
        <f>IFERROR(INDEX(admin_feor[#All],MATCH(Bérköltség!H72,admin_feor[[#All],[Foglalkozás]],0),2),"NA")</f>
        <v>Elemző közgazdász</v>
      </c>
      <c r="L72" s="438">
        <f ca="1">IFERROR(
INDEX('Admin - FEOR'!$A$4:$F$465,MATCH(Bérköltség!H72,'Admin - FEOR'!$A$4:$A$465,0),
IF(J72="30 év alatt",3,
IF(J72="30–39 éves",4,
IF(J72="40–49 éves",5,
IF(J72="50 év és afelett",6
)))))*1,"NA")</f>
        <v>931620</v>
      </c>
      <c r="M72" s="438">
        <f t="shared" si="176"/>
        <v>1427100</v>
      </c>
      <c r="N72" s="443">
        <f t="shared" ca="1" si="177"/>
        <v>1.5318477490822437</v>
      </c>
      <c r="O72" s="438">
        <f ca="1">IFERROR(
INDEX('Admin - FEOR'!$A$4:$F$465,MATCH(Bérköltség!H72,'Admin - FEOR'!$A$4:$A$465,0),
IF(J72="30 év alatt",3,
IF(J72="30–39 éves",4,
IF(J72="40–49 éves",5,
IF(J72="50 év és afelett",6
)))))*1.5,"NA")</f>
        <v>1397430</v>
      </c>
      <c r="P72" s="438">
        <f t="shared" ca="1" si="178"/>
        <v>248967.41379310345</v>
      </c>
      <c r="Q72" s="438">
        <f t="shared" si="179"/>
        <v>254253</v>
      </c>
      <c r="R72" s="444">
        <f t="shared" si="180"/>
        <v>0.17816091954022989</v>
      </c>
      <c r="S72" s="438">
        <f t="shared" ca="1" si="181"/>
        <v>5285.5862068965507</v>
      </c>
      <c r="T72" s="438">
        <f t="shared" ca="1" si="182"/>
        <v>687.12620689655159</v>
      </c>
      <c r="U72" s="445">
        <f t="shared" ca="1" si="183"/>
        <v>5972.7124137931023</v>
      </c>
      <c r="V72" s="446">
        <f t="shared" ca="1" si="184"/>
        <v>281333.28758620692</v>
      </c>
      <c r="W72" s="447" t="str">
        <f t="shared" ca="1" si="185"/>
        <v>Indoklás szükséges mivel a FEOR: 153,2%</v>
      </c>
      <c r="X72" s="571">
        <f t="shared" ca="1" si="186"/>
        <v>5972.7124137931023</v>
      </c>
      <c r="Y72" s="554">
        <f t="shared" ca="1" si="187"/>
        <v>248968</v>
      </c>
      <c r="Z72" s="555">
        <f t="shared" ca="1" si="188"/>
        <v>32365</v>
      </c>
      <c r="AA72" s="477"/>
      <c r="AB72" s="474">
        <v>8438731872</v>
      </c>
      <c r="AC72" s="475" t="s">
        <v>988</v>
      </c>
      <c r="AD72" s="483" t="s">
        <v>45</v>
      </c>
      <c r="AE72" s="476" t="s">
        <v>22</v>
      </c>
      <c r="AF72" s="247" t="s">
        <v>125</v>
      </c>
      <c r="AG72" s="247" t="s">
        <v>2517</v>
      </c>
      <c r="AH72" s="451" t="s">
        <v>131</v>
      </c>
      <c r="AI72" s="154">
        <v>45200</v>
      </c>
      <c r="AJ72" s="100" t="str">
        <f>IF(AI72&gt;0,
(IF(AI72&lt;Hónapok!$A$10,Admin!$A$28,
(IF(AI72&lt;Hónapok!$A$22,Admin!$B$28,
(IF(AI72&lt;Hónapok!$A$34,Admin!$C$28,
(IF(AI72&lt;Hónapok!$A$46,Admin!$D$28,"")))))))),"")</f>
        <v>3. mérföldkő</v>
      </c>
      <c r="AK72" s="470" t="s">
        <v>8</v>
      </c>
      <c r="AL72" s="477" t="s">
        <v>26</v>
      </c>
      <c r="AM72" s="903">
        <v>1427100</v>
      </c>
      <c r="AN72" s="860">
        <f t="shared" si="189"/>
        <v>185523</v>
      </c>
      <c r="AO72" s="477">
        <v>174</v>
      </c>
      <c r="AP72" s="478">
        <v>31</v>
      </c>
      <c r="AQ72" s="454">
        <f t="shared" si="190"/>
        <v>0.17816091954022989</v>
      </c>
      <c r="AR72" s="455">
        <f t="shared" si="191"/>
        <v>254253</v>
      </c>
      <c r="AS72" s="455">
        <f t="shared" si="192"/>
        <v>33053</v>
      </c>
      <c r="AT72" s="102">
        <f t="shared" si="193"/>
        <v>3.1411664358493852E-7</v>
      </c>
      <c r="AU72" s="116">
        <v>0.13</v>
      </c>
      <c r="AV72" s="565" t="str">
        <f>VLOOKUP(LEFT(AB72,10),Törzsszám!$A$1:$B$908,2,0)</f>
        <v>10000306</v>
      </c>
      <c r="AW72" s="681"/>
      <c r="AX72" s="479"/>
      <c r="AY72" s="486"/>
      <c r="AZ72" s="502"/>
      <c r="BA72" s="671"/>
      <c r="BB72" s="649"/>
      <c r="BC72" s="649"/>
      <c r="BD72" s="672"/>
      <c r="BE72" s="450" t="s">
        <v>201</v>
      </c>
    </row>
    <row r="73" spans="1:57" s="457" customFormat="1" ht="31.5" x14ac:dyDescent="0.25">
      <c r="A73" s="694" t="str">
        <f ca="1">Bérköltség!$B73</f>
        <v>FEOR</v>
      </c>
      <c r="B73" s="694" t="str">
        <f ca="1">IFERROR(
IF(AND(Bérköltség!$F73="",H73="NA"),"HIÁNYOS ADATOK",
IF(Bérköltség!$F73&lt;Bérköltség!$U73,Admin!$B$18,Admin!$B$17)),
"")</f>
        <v>FEOR</v>
      </c>
      <c r="C73" s="437">
        <f>IFERROR(INDEX('Historikus berek_2021-2'!$A$1:$F$903,MATCH(AB73,'Historikus berek_2021-2'!$A$1:$A$903,0),4),"")</f>
        <v>1086900</v>
      </c>
      <c r="D73" s="438">
        <f t="shared" si="171"/>
        <v>193643.10344827586</v>
      </c>
      <c r="E73" s="437">
        <f t="shared" si="172"/>
        <v>254253</v>
      </c>
      <c r="F73" s="439">
        <f t="shared" si="173"/>
        <v>68489.183103448246</v>
      </c>
      <c r="G73" s="440">
        <f t="shared" si="174"/>
        <v>218816.70689655171</v>
      </c>
      <c r="H73" s="441">
        <f>IFERROR(INDEX('FEOR kodok'!$A$2:$J$1126,MATCH(Bérköltség!AB73,'FEOR kodok'!$B$2:$B$1126,0),8),"NA")</f>
        <v>2624</v>
      </c>
      <c r="I73" s="436">
        <f ca="1">IFERROR(INDEX('FEOR kodok'!$A$2:$J$1126,MATCH(Bérköltség!AB73,'FEOR kodok'!$B$2:$B$1126,0),10),"NA")</f>
        <v>36</v>
      </c>
      <c r="J73" s="442" t="str">
        <f t="shared" ca="1" si="175"/>
        <v>30–39 éves</v>
      </c>
      <c r="K73" s="436" t="str">
        <f>IFERROR(INDEX(admin_feor[#All],MATCH(Bérköltség!H73,admin_feor[[#All],[Foglalkozás]],0),2),"NA")</f>
        <v>Elemző közgazdász</v>
      </c>
      <c r="L73" s="438">
        <f ca="1">IFERROR(
INDEX('Admin - FEOR'!$A$4:$F$465,MATCH(Bérköltség!H73,'Admin - FEOR'!$A$4:$A$465,0),
IF(J73="30 év alatt",3,
IF(J73="30–39 éves",4,
IF(J73="40–49 éves",5,
IF(J73="50 év és afelett",6
)))))*1,"NA")</f>
        <v>931620</v>
      </c>
      <c r="M73" s="438">
        <f t="shared" si="176"/>
        <v>1427100</v>
      </c>
      <c r="N73" s="443">
        <f t="shared" ca="1" si="177"/>
        <v>1.5318477490822437</v>
      </c>
      <c r="O73" s="438">
        <f ca="1">IFERROR(
INDEX('Admin - FEOR'!$A$4:$F$465,MATCH(Bérköltség!H73,'Admin - FEOR'!$A$4:$A$465,0),
IF(J73="30 év alatt",3,
IF(J73="30–39 éves",4,
IF(J73="40–49 éves",5,
IF(J73="50 év és afelett",6
)))))*1.5,"NA")</f>
        <v>1397430</v>
      </c>
      <c r="P73" s="438">
        <f t="shared" ca="1" si="178"/>
        <v>248967.41379310345</v>
      </c>
      <c r="Q73" s="438">
        <f t="shared" si="179"/>
        <v>254253</v>
      </c>
      <c r="R73" s="444">
        <f t="shared" si="180"/>
        <v>0.17816091954022989</v>
      </c>
      <c r="S73" s="438">
        <f t="shared" ca="1" si="181"/>
        <v>5285.5862068965507</v>
      </c>
      <c r="T73" s="438">
        <f t="shared" ca="1" si="182"/>
        <v>687.12620689655159</v>
      </c>
      <c r="U73" s="445">
        <f t="shared" ca="1" si="183"/>
        <v>5972.7124137931023</v>
      </c>
      <c r="V73" s="446">
        <f t="shared" ca="1" si="184"/>
        <v>281333.28758620692</v>
      </c>
      <c r="W73" s="447" t="str">
        <f t="shared" ca="1" si="185"/>
        <v>Indoklás szükséges mivel a FEOR: 153,2%</v>
      </c>
      <c r="X73" s="571">
        <f t="shared" ca="1" si="186"/>
        <v>5972.7124137931023</v>
      </c>
      <c r="Y73" s="554">
        <f t="shared" ca="1" si="187"/>
        <v>248968</v>
      </c>
      <c r="Z73" s="555">
        <f t="shared" ca="1" si="188"/>
        <v>32365</v>
      </c>
      <c r="AA73" s="477"/>
      <c r="AB73" s="474">
        <v>8438731872</v>
      </c>
      <c r="AC73" s="475" t="s">
        <v>988</v>
      </c>
      <c r="AD73" s="483" t="s">
        <v>45</v>
      </c>
      <c r="AE73" s="476" t="s">
        <v>22</v>
      </c>
      <c r="AF73" s="247" t="s">
        <v>125</v>
      </c>
      <c r="AG73" s="247" t="s">
        <v>2517</v>
      </c>
      <c r="AH73" s="451" t="s">
        <v>131</v>
      </c>
      <c r="AI73" s="154">
        <v>45231</v>
      </c>
      <c r="AJ73" s="100" t="str">
        <f>IF(AI73&gt;0,
(IF(AI73&lt;Hónapok!$A$10,Admin!$A$28,
(IF(AI73&lt;Hónapok!$A$22,Admin!$B$28,
(IF(AI73&lt;Hónapok!$A$34,Admin!$C$28,
(IF(AI73&lt;Hónapok!$A$46,Admin!$D$28,"")))))))),"")</f>
        <v>3. mérföldkő</v>
      </c>
      <c r="AK73" s="470" t="s">
        <v>8</v>
      </c>
      <c r="AL73" s="477" t="s">
        <v>26</v>
      </c>
      <c r="AM73" s="903">
        <v>1427100</v>
      </c>
      <c r="AN73" s="860">
        <f t="shared" si="189"/>
        <v>185523</v>
      </c>
      <c r="AO73" s="477">
        <v>174</v>
      </c>
      <c r="AP73" s="478">
        <v>31</v>
      </c>
      <c r="AQ73" s="454">
        <f t="shared" si="190"/>
        <v>0.17816091954022989</v>
      </c>
      <c r="AR73" s="455">
        <f t="shared" si="191"/>
        <v>254253</v>
      </c>
      <c r="AS73" s="455">
        <f t="shared" si="192"/>
        <v>33053</v>
      </c>
      <c r="AT73" s="102">
        <f t="shared" si="193"/>
        <v>3.1411664358493852E-7</v>
      </c>
      <c r="AU73" s="116">
        <v>0.13</v>
      </c>
      <c r="AV73" s="565" t="str">
        <f>VLOOKUP(LEFT(AB73,10),Törzsszám!$A$1:$B$908,2,0)</f>
        <v>10000306</v>
      </c>
      <c r="AW73" s="681"/>
      <c r="AX73" s="479"/>
      <c r="AY73" s="486"/>
      <c r="AZ73" s="502"/>
      <c r="BA73" s="671"/>
      <c r="BB73" s="649"/>
      <c r="BC73" s="649"/>
      <c r="BD73" s="672"/>
      <c r="BE73" s="450" t="s">
        <v>201</v>
      </c>
    </row>
    <row r="74" spans="1:57" s="457" customFormat="1" ht="31.5" x14ac:dyDescent="0.25">
      <c r="A74" s="694" t="str">
        <f ca="1">Bérköltség!$B74</f>
        <v>FEOR</v>
      </c>
      <c r="B74" s="694" t="str">
        <f ca="1">IFERROR(
IF(AND(Bérköltség!$F74="",H74="NA"),"HIÁNYOS ADATOK",
IF(Bérköltség!$F74&lt;Bérköltség!$U74,Admin!$B$18,Admin!$B$17)),
"")</f>
        <v>FEOR</v>
      </c>
      <c r="C74" s="437">
        <f>IFERROR(INDEX('Historikus berek_2021-2'!$A$1:$F$903,MATCH(AB74,'Historikus berek_2021-2'!$A$1:$A$903,0),4),"")</f>
        <v>550000</v>
      </c>
      <c r="D74" s="438">
        <f t="shared" si="5"/>
        <v>391954.02298850578</v>
      </c>
      <c r="E74" s="437">
        <f t="shared" si="6"/>
        <v>431149</v>
      </c>
      <c r="F74" s="439">
        <f t="shared" si="7"/>
        <v>44290.32402298844</v>
      </c>
      <c r="G74" s="440">
        <f t="shared" si="8"/>
        <v>442908.0459770115</v>
      </c>
      <c r="H74" s="441">
        <f>IFERROR(INDEX('FEOR kodok'!$A$2:$J$1126,MATCH(Bérköltség!AB74,'FEOR kodok'!$B$2:$B$1126,0),8),"NA")</f>
        <v>2117</v>
      </c>
      <c r="I74" s="436">
        <f ca="1">IFERROR(INDEX('FEOR kodok'!$A$2:$J$1126,MATCH(Bérköltség!AB74,'FEOR kodok'!$B$2:$B$1126,0),10),"NA")</f>
        <v>44</v>
      </c>
      <c r="J74" s="442" t="str">
        <f t="shared" ca="1" si="9"/>
        <v>40–49 éves</v>
      </c>
      <c r="K74" s="436" t="str">
        <f>IFERROR(INDEX(admin_feor[#All],MATCH(Bérköltség!H74,admin_feor[[#All],[Foglalkozás]],0),2),"NA")</f>
        <v>Vegyészmérnök</v>
      </c>
      <c r="L74" s="438">
        <f ca="1">IFERROR(
INDEX('Admin - FEOR'!$A$4:$F$465,MATCH(Bérköltség!H74,'Admin - FEOR'!$A$4:$A$465,0),
IF(J74="30 év alatt",3,
IF(J74="30–39 éves",4,
IF(J74="40–49 éves",5,
IF(J74="50 év és afelett",6
)))))*1,"NA")</f>
        <v>824591</v>
      </c>
      <c r="M74" s="438">
        <f t="shared" si="10"/>
        <v>605000</v>
      </c>
      <c r="N74" s="443">
        <f t="shared" ca="1" si="11"/>
        <v>0.73369706921370714</v>
      </c>
      <c r="O74" s="438">
        <f ca="1">IFERROR(
INDEX('Admin - FEOR'!$A$4:$F$465,MATCH(Bérköltség!H74,'Admin - FEOR'!$A$4:$A$465,0),
IF(J74="30 év alatt",3,
IF(J74="30–39 éves",4,
IF(J74="40–49 éves",5,
IF(J74="50 év és afelett",6
)))))*1.5,"NA")</f>
        <v>1236886.5</v>
      </c>
      <c r="P74" s="438">
        <f t="shared" ca="1" si="12"/>
        <v>881459.3448275862</v>
      </c>
      <c r="Q74" s="438">
        <f t="shared" si="13"/>
        <v>431149</v>
      </c>
      <c r="R74" s="444">
        <f t="shared" si="14"/>
        <v>0.71264367816091956</v>
      </c>
      <c r="S74" s="438">
        <f t="shared" ca="1" si="15"/>
        <v>0</v>
      </c>
      <c r="T74" s="438">
        <f t="shared" ca="1" si="16"/>
        <v>0</v>
      </c>
      <c r="U74" s="445">
        <f t="shared" ca="1" si="17"/>
        <v>0</v>
      </c>
      <c r="V74" s="446">
        <f t="shared" ca="1" si="18"/>
        <v>487198</v>
      </c>
      <c r="W74" s="447" t="str">
        <f t="shared" ca="1" si="19"/>
        <v>Nem szükséges indoklás.</v>
      </c>
      <c r="X74" s="571">
        <f t="shared" ca="1" si="20"/>
        <v>0</v>
      </c>
      <c r="Y74" s="554">
        <f t="shared" ca="1" si="21"/>
        <v>431149</v>
      </c>
      <c r="Z74" s="555">
        <f t="shared" ca="1" si="22"/>
        <v>56049</v>
      </c>
      <c r="AA74" s="573">
        <v>2</v>
      </c>
      <c r="AB74" s="474">
        <v>8412171462</v>
      </c>
      <c r="AC74" s="475" t="s">
        <v>210</v>
      </c>
      <c r="AD74" s="483" t="s">
        <v>45</v>
      </c>
      <c r="AE74" s="476" t="s">
        <v>22</v>
      </c>
      <c r="AF74" s="247" t="s">
        <v>119</v>
      </c>
      <c r="AG74" s="247" t="s">
        <v>157</v>
      </c>
      <c r="AH74" s="451" t="s">
        <v>131</v>
      </c>
      <c r="AI74" s="154">
        <v>44805</v>
      </c>
      <c r="AJ74" s="100" t="str">
        <f>IF(AI74&gt;0,
(IF(AI74&lt;Hónapok!$A$10,Admin!$A$28,
(IF(AI74&lt;Hónapok!$A$22,Admin!$B$28,
(IF(AI74&lt;Hónapok!$A$34,Admin!$C$28,
(IF(AI74&lt;Hónapok!$A$46,Admin!$D$28,"")))))))),"")</f>
        <v>2. mérföldkő</v>
      </c>
      <c r="AK74" s="452" t="s">
        <v>7</v>
      </c>
      <c r="AL74" s="477" t="s">
        <v>26</v>
      </c>
      <c r="AM74" s="900">
        <v>605000</v>
      </c>
      <c r="AN74" s="860">
        <f t="shared" si="166"/>
        <v>78650</v>
      </c>
      <c r="AO74" s="477">
        <v>174</v>
      </c>
      <c r="AP74" s="478">
        <v>124</v>
      </c>
      <c r="AQ74" s="454">
        <f t="shared" si="167"/>
        <v>0.71264367816091956</v>
      </c>
      <c r="AR74" s="455">
        <f t="shared" si="168"/>
        <v>431149</v>
      </c>
      <c r="AS74" s="455">
        <f t="shared" si="169"/>
        <v>56049</v>
      </c>
      <c r="AT74" s="102">
        <f t="shared" si="170"/>
        <v>7.0295430798505976E-7</v>
      </c>
      <c r="AU74" s="116">
        <v>0.13</v>
      </c>
      <c r="AV74" s="565" t="str">
        <f>VLOOKUP(LEFT(AB74,10),Törzsszám!$A$1:$B$908,2,0)</f>
        <v>10000872</v>
      </c>
      <c r="AW74" s="615">
        <f t="shared" ca="1" si="24"/>
        <v>0</v>
      </c>
      <c r="AX74" s="479" t="s">
        <v>228</v>
      </c>
      <c r="AY74" s="486"/>
      <c r="AZ74" s="502"/>
      <c r="BA74" s="671">
        <v>431149</v>
      </c>
      <c r="BB74" s="649">
        <v>56049</v>
      </c>
      <c r="BC74" s="649">
        <f t="shared" ref="BC74:BD78" ca="1" si="194">Y74-BA74</f>
        <v>0</v>
      </c>
      <c r="BD74" s="672">
        <f t="shared" ca="1" si="194"/>
        <v>0</v>
      </c>
      <c r="BE74" s="450" t="s">
        <v>197</v>
      </c>
    </row>
    <row r="75" spans="1:57" s="457" customFormat="1" ht="31.5" x14ac:dyDescent="0.25">
      <c r="A75" s="694" t="str">
        <f ca="1">Bérköltség!$B75</f>
        <v>FEOR</v>
      </c>
      <c r="B75" s="694" t="str">
        <f ca="1">IFERROR(
IF(AND(Bérköltség!$F75="",H75="NA"),"HIÁNYOS ADATOK",
IF(Bérköltség!$F75&lt;Bérköltség!$U75,Admin!$B$18,Admin!$B$17)),
"")</f>
        <v>FEOR</v>
      </c>
      <c r="C75" s="437">
        <f>IFERROR(INDEX('Historikus berek_2021-2'!$A$1:$F$903,MATCH(AB75,'Historikus berek_2021-2'!$A$1:$A$903,0),4),"")</f>
        <v>550000</v>
      </c>
      <c r="D75" s="438">
        <f t="shared" si="5"/>
        <v>391954.02298850578</v>
      </c>
      <c r="E75" s="437">
        <f t="shared" si="6"/>
        <v>431149</v>
      </c>
      <c r="F75" s="439">
        <f t="shared" si="7"/>
        <v>44290.32402298844</v>
      </c>
      <c r="G75" s="440">
        <f t="shared" si="8"/>
        <v>442908.0459770115</v>
      </c>
      <c r="H75" s="441">
        <f>IFERROR(INDEX('FEOR kodok'!$A$2:$J$1126,MATCH(Bérköltség!AB75,'FEOR kodok'!$B$2:$B$1126,0),8),"NA")</f>
        <v>2117</v>
      </c>
      <c r="I75" s="436">
        <f ca="1">IFERROR(INDEX('FEOR kodok'!$A$2:$J$1126,MATCH(Bérköltség!AB75,'FEOR kodok'!$B$2:$B$1126,0),10),"NA")</f>
        <v>44</v>
      </c>
      <c r="J75" s="442" t="str">
        <f t="shared" ca="1" si="9"/>
        <v>40–49 éves</v>
      </c>
      <c r="K75" s="436" t="str">
        <f>IFERROR(INDEX(admin_feor[#All],MATCH(Bérköltség!H75,admin_feor[[#All],[Foglalkozás]],0),2),"NA")</f>
        <v>Vegyészmérnök</v>
      </c>
      <c r="L75" s="438">
        <f ca="1">IFERROR(
INDEX('Admin - FEOR'!$A$4:$F$465,MATCH(Bérköltség!H75,'Admin - FEOR'!$A$4:$A$465,0),
IF(J75="30 év alatt",3,
IF(J75="30–39 éves",4,
IF(J75="40–49 éves",5,
IF(J75="50 év és afelett",6
)))))*1,"NA")</f>
        <v>824591</v>
      </c>
      <c r="M75" s="438">
        <f t="shared" si="10"/>
        <v>605000</v>
      </c>
      <c r="N75" s="443">
        <f t="shared" ca="1" si="11"/>
        <v>0.73369706921370714</v>
      </c>
      <c r="O75" s="438">
        <f ca="1">IFERROR(
INDEX('Admin - FEOR'!$A$4:$F$465,MATCH(Bérköltség!H75,'Admin - FEOR'!$A$4:$A$465,0),
IF(J75="30 év alatt",3,
IF(J75="30–39 éves",4,
IF(J75="40–49 éves",5,
IF(J75="50 év és afelett",6
)))))*1.5,"NA")</f>
        <v>1236886.5</v>
      </c>
      <c r="P75" s="438">
        <f t="shared" ca="1" si="12"/>
        <v>881459.3448275862</v>
      </c>
      <c r="Q75" s="438">
        <f t="shared" si="13"/>
        <v>431149</v>
      </c>
      <c r="R75" s="444">
        <f t="shared" si="14"/>
        <v>0.71264367816091956</v>
      </c>
      <c r="S75" s="438">
        <f t="shared" ca="1" si="15"/>
        <v>0</v>
      </c>
      <c r="T75" s="438">
        <f t="shared" ca="1" si="16"/>
        <v>0</v>
      </c>
      <c r="U75" s="445">
        <f t="shared" ca="1" si="17"/>
        <v>0</v>
      </c>
      <c r="V75" s="446">
        <f t="shared" ca="1" si="18"/>
        <v>487198</v>
      </c>
      <c r="W75" s="447" t="str">
        <f t="shared" ca="1" si="19"/>
        <v>Nem szükséges indoklás.</v>
      </c>
      <c r="X75" s="571">
        <f t="shared" ca="1" si="20"/>
        <v>0</v>
      </c>
      <c r="Y75" s="554">
        <f t="shared" ca="1" si="21"/>
        <v>431149</v>
      </c>
      <c r="Z75" s="555">
        <f t="shared" ca="1" si="22"/>
        <v>56049</v>
      </c>
      <c r="AA75" s="573">
        <v>2</v>
      </c>
      <c r="AB75" s="474">
        <v>8412171462</v>
      </c>
      <c r="AC75" s="475" t="s">
        <v>210</v>
      </c>
      <c r="AD75" s="483" t="s">
        <v>45</v>
      </c>
      <c r="AE75" s="476" t="s">
        <v>22</v>
      </c>
      <c r="AF75" s="247" t="s">
        <v>119</v>
      </c>
      <c r="AG75" s="247" t="s">
        <v>157</v>
      </c>
      <c r="AH75" s="451" t="s">
        <v>131</v>
      </c>
      <c r="AI75" s="154">
        <v>44835</v>
      </c>
      <c r="AJ75" s="100" t="str">
        <f>IF(AI75&gt;0,
(IF(AI75&lt;Hónapok!$A$10,Admin!$A$28,
(IF(AI75&lt;Hónapok!$A$22,Admin!$B$28,
(IF(AI75&lt;Hónapok!$A$34,Admin!$C$28,
(IF(AI75&lt;Hónapok!$A$46,Admin!$D$28,"")))))))),"")</f>
        <v>2. mérföldkő</v>
      </c>
      <c r="AK75" s="452" t="s">
        <v>7</v>
      </c>
      <c r="AL75" s="477" t="s">
        <v>26</v>
      </c>
      <c r="AM75" s="900">
        <v>605000</v>
      </c>
      <c r="AN75" s="860">
        <f t="shared" si="166"/>
        <v>78650</v>
      </c>
      <c r="AO75" s="477">
        <v>174</v>
      </c>
      <c r="AP75" s="478">
        <v>124</v>
      </c>
      <c r="AQ75" s="454">
        <f t="shared" si="167"/>
        <v>0.71264367816091956</v>
      </c>
      <c r="AR75" s="455">
        <f t="shared" si="168"/>
        <v>431149</v>
      </c>
      <c r="AS75" s="455">
        <f t="shared" si="169"/>
        <v>56049</v>
      </c>
      <c r="AT75" s="102">
        <f t="shared" si="170"/>
        <v>7.0295430798505976E-7</v>
      </c>
      <c r="AU75" s="116">
        <v>0.13</v>
      </c>
      <c r="AV75" s="565" t="str">
        <f>VLOOKUP(LEFT(AB75,10),Törzsszám!$A$1:$B$908,2,0)</f>
        <v>10000872</v>
      </c>
      <c r="AW75" s="615">
        <f t="shared" ca="1" si="24"/>
        <v>0</v>
      </c>
      <c r="AX75" s="479" t="s">
        <v>251</v>
      </c>
      <c r="AY75" s="486"/>
      <c r="AZ75" s="502"/>
      <c r="BA75" s="671">
        <v>431149</v>
      </c>
      <c r="BB75" s="649">
        <v>56049</v>
      </c>
      <c r="BC75" s="649">
        <f t="shared" ca="1" si="194"/>
        <v>0</v>
      </c>
      <c r="BD75" s="672">
        <f t="shared" ca="1" si="194"/>
        <v>0</v>
      </c>
      <c r="BE75" s="450" t="s">
        <v>197</v>
      </c>
    </row>
    <row r="76" spans="1:57" s="457" customFormat="1" ht="31.5" x14ac:dyDescent="0.25">
      <c r="A76" s="694" t="str">
        <f ca="1">Bérköltség!$B76</f>
        <v>FEOR</v>
      </c>
      <c r="B76" s="694" t="str">
        <f ca="1">IFERROR(
IF(AND(Bérköltség!$F76="",H76="NA"),"HIÁNYOS ADATOK",
IF(Bérköltség!$F76&lt;Bérköltség!$U76,Admin!$B$18,Admin!$B$17)),
"")</f>
        <v>FEOR</v>
      </c>
      <c r="C76" s="437">
        <f>IFERROR(INDEX('Historikus berek_2021-2'!$A$1:$F$903,MATCH(AB76,'Historikus berek_2021-2'!$A$1:$A$903,0),4),"")</f>
        <v>550000</v>
      </c>
      <c r="D76" s="438">
        <f t="shared" si="5"/>
        <v>391954.02298850578</v>
      </c>
      <c r="E76" s="437">
        <f t="shared" si="6"/>
        <v>431149</v>
      </c>
      <c r="F76" s="439">
        <f t="shared" si="7"/>
        <v>44290.32402298844</v>
      </c>
      <c r="G76" s="440">
        <f t="shared" si="8"/>
        <v>442908.0459770115</v>
      </c>
      <c r="H76" s="441">
        <f>IFERROR(INDEX('FEOR kodok'!$A$2:$J$1126,MATCH(Bérköltség!AB76,'FEOR kodok'!$B$2:$B$1126,0),8),"NA")</f>
        <v>2117</v>
      </c>
      <c r="I76" s="436">
        <f ca="1">IFERROR(INDEX('FEOR kodok'!$A$2:$J$1126,MATCH(Bérköltség!AB76,'FEOR kodok'!$B$2:$B$1126,0),10),"NA")</f>
        <v>44</v>
      </c>
      <c r="J76" s="442" t="str">
        <f t="shared" ca="1" si="9"/>
        <v>40–49 éves</v>
      </c>
      <c r="K76" s="436" t="str">
        <f>IFERROR(INDEX(admin_feor[#All],MATCH(Bérköltség!H76,admin_feor[[#All],[Foglalkozás]],0),2),"NA")</f>
        <v>Vegyészmérnök</v>
      </c>
      <c r="L76" s="438">
        <f ca="1">IFERROR(
INDEX('Admin - FEOR'!$A$4:$F$465,MATCH(Bérköltség!H76,'Admin - FEOR'!$A$4:$A$465,0),
IF(J76="30 év alatt",3,
IF(J76="30–39 éves",4,
IF(J76="40–49 éves",5,
IF(J76="50 év és afelett",6
)))))*1,"NA")</f>
        <v>824591</v>
      </c>
      <c r="M76" s="438">
        <f t="shared" si="10"/>
        <v>605000</v>
      </c>
      <c r="N76" s="443">
        <f t="shared" ca="1" si="11"/>
        <v>0.73369706921370714</v>
      </c>
      <c r="O76" s="438">
        <f ca="1">IFERROR(
INDEX('Admin - FEOR'!$A$4:$F$465,MATCH(Bérköltség!H76,'Admin - FEOR'!$A$4:$A$465,0),
IF(J76="30 év alatt",3,
IF(J76="30–39 éves",4,
IF(J76="40–49 éves",5,
IF(J76="50 év és afelett",6
)))))*1.5,"NA")</f>
        <v>1236886.5</v>
      </c>
      <c r="P76" s="438">
        <f t="shared" ca="1" si="12"/>
        <v>881459.3448275862</v>
      </c>
      <c r="Q76" s="438">
        <f t="shared" si="13"/>
        <v>431149</v>
      </c>
      <c r="R76" s="444">
        <f t="shared" si="14"/>
        <v>0.71264367816091956</v>
      </c>
      <c r="S76" s="438">
        <f t="shared" ca="1" si="15"/>
        <v>0</v>
      </c>
      <c r="T76" s="438">
        <f t="shared" ca="1" si="16"/>
        <v>0</v>
      </c>
      <c r="U76" s="445">
        <f t="shared" ca="1" si="17"/>
        <v>0</v>
      </c>
      <c r="V76" s="446">
        <f t="shared" ca="1" si="18"/>
        <v>487198</v>
      </c>
      <c r="W76" s="447" t="str">
        <f t="shared" ca="1" si="19"/>
        <v>Nem szükséges indoklás.</v>
      </c>
      <c r="X76" s="571">
        <f t="shared" ca="1" si="20"/>
        <v>0</v>
      </c>
      <c r="Y76" s="554">
        <f t="shared" ca="1" si="21"/>
        <v>431149</v>
      </c>
      <c r="Z76" s="555">
        <f t="shared" ca="1" si="22"/>
        <v>56049</v>
      </c>
      <c r="AA76" s="573">
        <v>2</v>
      </c>
      <c r="AB76" s="474">
        <v>8412171462</v>
      </c>
      <c r="AC76" s="475" t="s">
        <v>210</v>
      </c>
      <c r="AD76" s="483" t="s">
        <v>45</v>
      </c>
      <c r="AE76" s="476" t="s">
        <v>22</v>
      </c>
      <c r="AF76" s="247" t="s">
        <v>119</v>
      </c>
      <c r="AG76" s="247" t="s">
        <v>157</v>
      </c>
      <c r="AH76" s="451" t="s">
        <v>131</v>
      </c>
      <c r="AI76" s="154">
        <v>44866</v>
      </c>
      <c r="AJ76" s="100" t="str">
        <f>IF(AI76&gt;0,
(IF(AI76&lt;Hónapok!$A$10,Admin!$A$28,
(IF(AI76&lt;Hónapok!$A$22,Admin!$B$28,
(IF(AI76&lt;Hónapok!$A$34,Admin!$C$28,
(IF(AI76&lt;Hónapok!$A$46,Admin!$D$28,"")))))))),"")</f>
        <v>2. mérföldkő</v>
      </c>
      <c r="AK76" s="452" t="s">
        <v>7</v>
      </c>
      <c r="AL76" s="477" t="s">
        <v>26</v>
      </c>
      <c r="AM76" s="900">
        <v>605000</v>
      </c>
      <c r="AN76" s="860">
        <f t="shared" si="166"/>
        <v>78650</v>
      </c>
      <c r="AO76" s="477">
        <v>174</v>
      </c>
      <c r="AP76" s="478">
        <v>124</v>
      </c>
      <c r="AQ76" s="454">
        <f t="shared" si="167"/>
        <v>0.71264367816091956</v>
      </c>
      <c r="AR76" s="455">
        <f t="shared" si="168"/>
        <v>431149</v>
      </c>
      <c r="AS76" s="455">
        <f t="shared" si="169"/>
        <v>56049</v>
      </c>
      <c r="AT76" s="102">
        <f t="shared" si="170"/>
        <v>7.0295430798505976E-7</v>
      </c>
      <c r="AU76" s="116">
        <v>0.13</v>
      </c>
      <c r="AV76" s="565" t="str">
        <f>VLOOKUP(LEFT(AB76,10),Törzsszám!$A$1:$B$908,2,0)</f>
        <v>10000872</v>
      </c>
      <c r="AW76" s="615">
        <f t="shared" ca="1" si="24"/>
        <v>0</v>
      </c>
      <c r="AX76" s="479" t="s">
        <v>260</v>
      </c>
      <c r="AY76" s="486"/>
      <c r="AZ76" s="502"/>
      <c r="BA76" s="671">
        <v>431149</v>
      </c>
      <c r="BB76" s="649">
        <v>56049</v>
      </c>
      <c r="BC76" s="649">
        <f t="shared" ca="1" si="194"/>
        <v>0</v>
      </c>
      <c r="BD76" s="672">
        <f t="shared" ca="1" si="194"/>
        <v>0</v>
      </c>
      <c r="BE76" s="450" t="s">
        <v>197</v>
      </c>
    </row>
    <row r="77" spans="1:57" s="457" customFormat="1" ht="31.5" x14ac:dyDescent="0.25">
      <c r="A77" s="694" t="str">
        <f ca="1">Bérköltség!$B77</f>
        <v>FEOR</v>
      </c>
      <c r="B77" s="694" t="str">
        <f ca="1">IFERROR(
IF(AND(Bérköltség!$F77="",H77="NA"),"HIÁNYOS ADATOK",
IF(Bérköltség!$F77&lt;Bérköltség!$U77,Admin!$B$18,Admin!$B$17)),
"")</f>
        <v>FEOR</v>
      </c>
      <c r="C77" s="437">
        <f>IFERROR(INDEX('Historikus berek_2021-2'!$A$1:$F$903,MATCH(AB77,'Historikus berek_2021-2'!$A$1:$A$903,0),4),"")</f>
        <v>550000</v>
      </c>
      <c r="D77" s="438">
        <f t="shared" si="5"/>
        <v>391954.02298850578</v>
      </c>
      <c r="E77" s="437">
        <f t="shared" si="6"/>
        <v>431149</v>
      </c>
      <c r="F77" s="439">
        <f t="shared" si="7"/>
        <v>44290.32402298844</v>
      </c>
      <c r="G77" s="440">
        <f t="shared" si="8"/>
        <v>442908.0459770115</v>
      </c>
      <c r="H77" s="441">
        <f>IFERROR(INDEX('FEOR kodok'!$A$2:$J$1126,MATCH(Bérköltség!AB77,'FEOR kodok'!$B$2:$B$1126,0),8),"NA")</f>
        <v>2117</v>
      </c>
      <c r="I77" s="436">
        <f ca="1">IFERROR(INDEX('FEOR kodok'!$A$2:$J$1126,MATCH(Bérköltség!AB77,'FEOR kodok'!$B$2:$B$1126,0),10),"NA")</f>
        <v>44</v>
      </c>
      <c r="J77" s="442" t="str">
        <f t="shared" ca="1" si="9"/>
        <v>40–49 éves</v>
      </c>
      <c r="K77" s="436" t="str">
        <f>IFERROR(INDEX(admin_feor[#All],MATCH(Bérköltség!H77,admin_feor[[#All],[Foglalkozás]],0),2),"NA")</f>
        <v>Vegyészmérnök</v>
      </c>
      <c r="L77" s="438">
        <f ca="1">IFERROR(
INDEX('Admin - FEOR'!$A$4:$F$465,MATCH(Bérköltség!H77,'Admin - FEOR'!$A$4:$A$465,0),
IF(J77="30 év alatt",3,
IF(J77="30–39 éves",4,
IF(J77="40–49 éves",5,
IF(J77="50 év és afelett",6
)))))*1,"NA")</f>
        <v>824591</v>
      </c>
      <c r="M77" s="438">
        <f t="shared" si="10"/>
        <v>605000</v>
      </c>
      <c r="N77" s="443">
        <f t="shared" ca="1" si="11"/>
        <v>0.73369706921370714</v>
      </c>
      <c r="O77" s="438">
        <f ca="1">IFERROR(
INDEX('Admin - FEOR'!$A$4:$F$465,MATCH(Bérköltség!H77,'Admin - FEOR'!$A$4:$A$465,0),
IF(J77="30 év alatt",3,
IF(J77="30–39 éves",4,
IF(J77="40–49 éves",5,
IF(J77="50 év és afelett",6
)))))*1.5,"NA")</f>
        <v>1236886.5</v>
      </c>
      <c r="P77" s="438">
        <f t="shared" ca="1" si="12"/>
        <v>881459.3448275862</v>
      </c>
      <c r="Q77" s="438">
        <f t="shared" si="13"/>
        <v>431149</v>
      </c>
      <c r="R77" s="444">
        <f t="shared" si="14"/>
        <v>0.71264367816091956</v>
      </c>
      <c r="S77" s="438">
        <f t="shared" ca="1" si="15"/>
        <v>0</v>
      </c>
      <c r="T77" s="438">
        <f t="shared" ca="1" si="16"/>
        <v>0</v>
      </c>
      <c r="U77" s="445">
        <f t="shared" ca="1" si="17"/>
        <v>0</v>
      </c>
      <c r="V77" s="446">
        <f t="shared" ca="1" si="18"/>
        <v>487198</v>
      </c>
      <c r="W77" s="447" t="str">
        <f t="shared" ca="1" si="19"/>
        <v>Nem szükséges indoklás.</v>
      </c>
      <c r="X77" s="571">
        <f t="shared" ca="1" si="20"/>
        <v>0</v>
      </c>
      <c r="Y77" s="554">
        <f t="shared" ca="1" si="21"/>
        <v>431149</v>
      </c>
      <c r="Z77" s="555">
        <f t="shared" ca="1" si="22"/>
        <v>56049</v>
      </c>
      <c r="AA77" s="573">
        <v>2</v>
      </c>
      <c r="AB77" s="474">
        <v>8412171462</v>
      </c>
      <c r="AC77" s="475" t="s">
        <v>210</v>
      </c>
      <c r="AD77" s="482" t="s">
        <v>45</v>
      </c>
      <c r="AE77" s="476" t="s">
        <v>22</v>
      </c>
      <c r="AF77" s="247" t="s">
        <v>119</v>
      </c>
      <c r="AG77" s="247" t="s">
        <v>157</v>
      </c>
      <c r="AH77" s="451" t="s">
        <v>131</v>
      </c>
      <c r="AI77" s="154">
        <v>44896</v>
      </c>
      <c r="AJ77" s="100" t="str">
        <f>IF(AI77&gt;0,
(IF(AI77&lt;Hónapok!$A$10,Admin!$A$28,
(IF(AI77&lt;Hónapok!$A$22,Admin!$B$28,
(IF(AI77&lt;Hónapok!$A$34,Admin!$C$28,
(IF(AI77&lt;Hónapok!$A$46,Admin!$D$28,"")))))))),"")</f>
        <v>2. mérföldkő</v>
      </c>
      <c r="AK77" s="452" t="s">
        <v>7</v>
      </c>
      <c r="AL77" s="477" t="s">
        <v>26</v>
      </c>
      <c r="AM77" s="900">
        <v>605000</v>
      </c>
      <c r="AN77" s="860">
        <f t="shared" si="166"/>
        <v>78650</v>
      </c>
      <c r="AO77" s="477">
        <v>174</v>
      </c>
      <c r="AP77" s="478">
        <v>124</v>
      </c>
      <c r="AQ77" s="454">
        <f t="shared" si="167"/>
        <v>0.71264367816091956</v>
      </c>
      <c r="AR77" s="455">
        <f t="shared" si="168"/>
        <v>431149</v>
      </c>
      <c r="AS77" s="455">
        <f t="shared" si="169"/>
        <v>56049</v>
      </c>
      <c r="AT77" s="102">
        <f t="shared" si="170"/>
        <v>7.0295430798505976E-7</v>
      </c>
      <c r="AU77" s="116">
        <v>0.13</v>
      </c>
      <c r="AV77" s="565" t="str">
        <f>VLOOKUP(LEFT(AB77,10),Törzsszám!$A$1:$B$908,2,0)</f>
        <v>10000872</v>
      </c>
      <c r="AW77" s="615">
        <f t="shared" ca="1" si="24"/>
        <v>0</v>
      </c>
      <c r="AX77" s="468" t="s">
        <v>262</v>
      </c>
      <c r="AY77" s="486"/>
      <c r="AZ77" s="502"/>
      <c r="BA77" s="671">
        <v>431149</v>
      </c>
      <c r="BB77" s="649">
        <v>56049</v>
      </c>
      <c r="BC77" s="649">
        <f t="shared" ca="1" si="194"/>
        <v>0</v>
      </c>
      <c r="BD77" s="672">
        <f t="shared" ca="1" si="194"/>
        <v>0</v>
      </c>
      <c r="BE77" s="450" t="s">
        <v>197</v>
      </c>
    </row>
    <row r="78" spans="1:57" s="457" customFormat="1" ht="31.5" x14ac:dyDescent="0.25">
      <c r="A78" s="694" t="str">
        <f ca="1">Bérköltség!$B78</f>
        <v>FEOR</v>
      </c>
      <c r="B78" s="694" t="str">
        <f ca="1">IFERROR(
IF(AND(Bérköltség!$F78="",H78="NA"),"HIÁNYOS ADATOK",
IF(Bérköltség!$F78&lt;Bérköltség!$U78,Admin!$B$18,Admin!$B$17)),
"")</f>
        <v>FEOR</v>
      </c>
      <c r="C78" s="437">
        <f>IFERROR(INDEX('Historikus berek_2021-2'!$A$1:$F$903,MATCH(AB78,'Historikus berek_2021-2'!$A$1:$A$903,0),4),"")</f>
        <v>550000</v>
      </c>
      <c r="D78" s="438">
        <f t="shared" si="5"/>
        <v>391954.02298850578</v>
      </c>
      <c r="E78" s="437">
        <f t="shared" si="6"/>
        <v>431149</v>
      </c>
      <c r="F78" s="439">
        <f t="shared" si="7"/>
        <v>44290.32402298844</v>
      </c>
      <c r="G78" s="440">
        <f t="shared" si="8"/>
        <v>442908.0459770115</v>
      </c>
      <c r="H78" s="441">
        <f>IFERROR(INDEX('FEOR kodok'!$A$2:$J$1126,MATCH(Bérköltség!AB78,'FEOR kodok'!$B$2:$B$1126,0),8),"NA")</f>
        <v>2117</v>
      </c>
      <c r="I78" s="436">
        <f ca="1">IFERROR(INDEX('FEOR kodok'!$A$2:$J$1126,MATCH(Bérköltség!AB78,'FEOR kodok'!$B$2:$B$1126,0),10),"NA")</f>
        <v>44</v>
      </c>
      <c r="J78" s="442" t="str">
        <f t="shared" ca="1" si="9"/>
        <v>40–49 éves</v>
      </c>
      <c r="K78" s="436" t="str">
        <f>IFERROR(INDEX(admin_feor[#All],MATCH(Bérköltség!H78,admin_feor[[#All],[Foglalkozás]],0),2),"NA")</f>
        <v>Vegyészmérnök</v>
      </c>
      <c r="L78" s="438">
        <f ca="1">IFERROR(
INDEX('Admin - FEOR'!$A$4:$F$465,MATCH(Bérköltség!H78,'Admin - FEOR'!$A$4:$A$465,0),
IF(J78="30 év alatt",3,
IF(J78="30–39 éves",4,
IF(J78="40–49 éves",5,
IF(J78="50 év és afelett",6
)))))*1,"NA")</f>
        <v>824591</v>
      </c>
      <c r="M78" s="438">
        <f t="shared" si="10"/>
        <v>605000</v>
      </c>
      <c r="N78" s="443">
        <f t="shared" ca="1" si="11"/>
        <v>0.73369706921370714</v>
      </c>
      <c r="O78" s="438">
        <f ca="1">IFERROR(
INDEX('Admin - FEOR'!$A$4:$F$465,MATCH(Bérköltség!H78,'Admin - FEOR'!$A$4:$A$465,0),
IF(J78="30 év alatt",3,
IF(J78="30–39 éves",4,
IF(J78="40–49 éves",5,
IF(J78="50 év és afelett",6
)))))*1.5,"NA")</f>
        <v>1236886.5</v>
      </c>
      <c r="P78" s="438">
        <f t="shared" ca="1" si="12"/>
        <v>881459.3448275862</v>
      </c>
      <c r="Q78" s="438">
        <f t="shared" si="13"/>
        <v>431149</v>
      </c>
      <c r="R78" s="444">
        <f t="shared" si="14"/>
        <v>0.71264367816091956</v>
      </c>
      <c r="S78" s="438">
        <f t="shared" ca="1" si="15"/>
        <v>0</v>
      </c>
      <c r="T78" s="438">
        <f t="shared" ca="1" si="16"/>
        <v>0</v>
      </c>
      <c r="U78" s="445">
        <f t="shared" ca="1" si="17"/>
        <v>0</v>
      </c>
      <c r="V78" s="446">
        <f t="shared" ca="1" si="18"/>
        <v>487198</v>
      </c>
      <c r="W78" s="447" t="str">
        <f t="shared" ca="1" si="19"/>
        <v>Nem szükséges indoklás.</v>
      </c>
      <c r="X78" s="571">
        <f t="shared" ca="1" si="20"/>
        <v>0</v>
      </c>
      <c r="Y78" s="554">
        <f t="shared" ca="1" si="21"/>
        <v>431149</v>
      </c>
      <c r="Z78" s="555">
        <f t="shared" ca="1" si="22"/>
        <v>56049</v>
      </c>
      <c r="AA78" s="573">
        <v>2</v>
      </c>
      <c r="AB78" s="474">
        <v>8412171462</v>
      </c>
      <c r="AC78" s="475" t="s">
        <v>210</v>
      </c>
      <c r="AD78" s="483" t="s">
        <v>45</v>
      </c>
      <c r="AE78" s="476" t="s">
        <v>22</v>
      </c>
      <c r="AF78" s="247" t="s">
        <v>119</v>
      </c>
      <c r="AG78" s="247" t="s">
        <v>157</v>
      </c>
      <c r="AH78" s="451" t="s">
        <v>131</v>
      </c>
      <c r="AI78" s="154">
        <v>44927</v>
      </c>
      <c r="AJ78" s="100" t="str">
        <f>IF(AI78&gt;0,
(IF(AI78&lt;Hónapok!$A$10,Admin!$A$28,
(IF(AI78&lt;Hónapok!$A$22,Admin!$B$28,
(IF(AI78&lt;Hónapok!$A$34,Admin!$C$28,
(IF(AI78&lt;Hónapok!$A$46,Admin!$D$28,"")))))))),"")</f>
        <v>2. mérföldkő</v>
      </c>
      <c r="AK78" s="452" t="s">
        <v>7</v>
      </c>
      <c r="AL78" s="477" t="s">
        <v>26</v>
      </c>
      <c r="AM78" s="900">
        <v>605000</v>
      </c>
      <c r="AN78" s="860">
        <f t="shared" si="166"/>
        <v>78650</v>
      </c>
      <c r="AO78" s="477">
        <v>174</v>
      </c>
      <c r="AP78" s="478">
        <v>124</v>
      </c>
      <c r="AQ78" s="454">
        <f t="shared" si="167"/>
        <v>0.71264367816091956</v>
      </c>
      <c r="AR78" s="455">
        <f t="shared" si="168"/>
        <v>431149</v>
      </c>
      <c r="AS78" s="455">
        <f t="shared" si="169"/>
        <v>56049</v>
      </c>
      <c r="AT78" s="102">
        <f t="shared" si="170"/>
        <v>7.0295430798505976E-7</v>
      </c>
      <c r="AU78" s="116">
        <v>0.13</v>
      </c>
      <c r="AV78" s="565" t="str">
        <f>VLOOKUP(LEFT(AB78,10),Törzsszám!$A$1:$B$908,2,0)</f>
        <v>10000872</v>
      </c>
      <c r="AW78" s="615">
        <f t="shared" ca="1" si="24"/>
        <v>0</v>
      </c>
      <c r="AX78" s="468" t="s">
        <v>2518</v>
      </c>
      <c r="AY78" s="486"/>
      <c r="AZ78" s="502"/>
      <c r="BA78" s="671">
        <v>431149</v>
      </c>
      <c r="BB78" s="649">
        <v>56049</v>
      </c>
      <c r="BC78" s="649">
        <f t="shared" ca="1" si="194"/>
        <v>0</v>
      </c>
      <c r="BD78" s="672">
        <f t="shared" ca="1" si="194"/>
        <v>0</v>
      </c>
      <c r="BE78" s="450" t="s">
        <v>197</v>
      </c>
    </row>
    <row r="79" spans="1:57" s="463" customFormat="1" ht="31.5" x14ac:dyDescent="0.25">
      <c r="A79" s="694" t="str">
        <f ca="1">Bérköltség!$B79</f>
        <v>FEOR</v>
      </c>
      <c r="B79" s="694" t="str">
        <f ca="1">IFERROR(
IF(AND(Bérköltség!$F79="",H79="NA"),"HIÁNYOS ADATOK",
IF(Bérköltség!$F79&lt;Bérköltség!$U79,Admin!$B$18,Admin!$B$17)),
"")</f>
        <v>FEOR</v>
      </c>
      <c r="C79" s="437">
        <f>IFERROR(INDEX('Historikus berek_2021-2'!$A$1:$F$903,MATCH(AB79,'Historikus berek_2021-2'!$A$1:$A$903,0),4),"")</f>
        <v>550000</v>
      </c>
      <c r="D79" s="438">
        <f t="shared" si="5"/>
        <v>391954.02298850578</v>
      </c>
      <c r="E79" s="437">
        <f t="shared" si="6"/>
        <v>431149</v>
      </c>
      <c r="F79" s="439">
        <f t="shared" si="7"/>
        <v>44290.32402298844</v>
      </c>
      <c r="G79" s="440">
        <f t="shared" si="8"/>
        <v>442908.0459770115</v>
      </c>
      <c r="H79" s="441">
        <f>IFERROR(INDEX('FEOR kodok'!$A$2:$J$1126,MATCH(Bérköltség!AB79,'FEOR kodok'!$B$2:$B$1126,0),8),"NA")</f>
        <v>2117</v>
      </c>
      <c r="I79" s="436">
        <f ca="1">IFERROR(INDEX('FEOR kodok'!$A$2:$J$1126,MATCH(Bérköltség!AB79,'FEOR kodok'!$B$2:$B$1126,0),10),"NA")</f>
        <v>44</v>
      </c>
      <c r="J79" s="442" t="str">
        <f t="shared" ca="1" si="9"/>
        <v>40–49 éves</v>
      </c>
      <c r="K79" s="436" t="str">
        <f>IFERROR(INDEX(admin_feor[#All],MATCH(Bérköltség!H79,admin_feor[[#All],[Foglalkozás]],0),2),"NA")</f>
        <v>Vegyészmérnök</v>
      </c>
      <c r="L79" s="438">
        <f ca="1">IFERROR(
INDEX('Admin - FEOR'!$A$4:$F$465,MATCH(Bérköltség!H79,'Admin - FEOR'!$A$4:$A$465,0),
IF(J79="30 év alatt",3,
IF(J79="30–39 éves",4,
IF(J79="40–49 éves",5,
IF(J79="50 év és afelett",6
)))))*1,"NA")</f>
        <v>824591</v>
      </c>
      <c r="M79" s="438">
        <f t="shared" si="10"/>
        <v>605000</v>
      </c>
      <c r="N79" s="443">
        <f t="shared" ca="1" si="11"/>
        <v>0.73369706921370714</v>
      </c>
      <c r="O79" s="438">
        <f ca="1">IFERROR(
INDEX('Admin - FEOR'!$A$4:$F$465,MATCH(Bérköltség!H79,'Admin - FEOR'!$A$4:$A$465,0),
IF(J79="30 év alatt",3,
IF(J79="30–39 éves",4,
IF(J79="40–49 éves",5,
IF(J79="50 év és afelett",6
)))))*1.5,"NA")</f>
        <v>1236886.5</v>
      </c>
      <c r="P79" s="438">
        <f t="shared" ca="1" si="12"/>
        <v>881459.3448275862</v>
      </c>
      <c r="Q79" s="438">
        <f t="shared" si="13"/>
        <v>431149</v>
      </c>
      <c r="R79" s="444">
        <f t="shared" si="14"/>
        <v>0.71264367816091956</v>
      </c>
      <c r="S79" s="438">
        <f t="shared" ca="1" si="15"/>
        <v>0</v>
      </c>
      <c r="T79" s="438">
        <f t="shared" ca="1" si="16"/>
        <v>0</v>
      </c>
      <c r="U79" s="445">
        <f t="shared" ca="1" si="17"/>
        <v>0</v>
      </c>
      <c r="V79" s="446">
        <f t="shared" ca="1" si="18"/>
        <v>487198</v>
      </c>
      <c r="W79" s="447" t="str">
        <f t="shared" ca="1" si="19"/>
        <v>Nem szükséges indoklás.</v>
      </c>
      <c r="X79" s="571">
        <f t="shared" ca="1" si="20"/>
        <v>0</v>
      </c>
      <c r="Y79" s="554">
        <f t="shared" ca="1" si="21"/>
        <v>431149</v>
      </c>
      <c r="Z79" s="555">
        <f t="shared" ca="1" si="22"/>
        <v>56049</v>
      </c>
      <c r="AA79" s="477"/>
      <c r="AB79" s="477">
        <v>8412171462</v>
      </c>
      <c r="AC79" s="475" t="s">
        <v>210</v>
      </c>
      <c r="AD79" s="482" t="s">
        <v>45</v>
      </c>
      <c r="AE79" s="476" t="s">
        <v>22</v>
      </c>
      <c r="AF79" s="247" t="s">
        <v>119</v>
      </c>
      <c r="AG79" s="247" t="s">
        <v>157</v>
      </c>
      <c r="AH79" s="451" t="s">
        <v>131</v>
      </c>
      <c r="AI79" s="154">
        <v>44958</v>
      </c>
      <c r="AJ79" s="100" t="str">
        <f>IF(AI79&gt;0,
(IF(AI79&lt;Hónapok!$A$10,Admin!$A$28,
(IF(AI79&lt;Hónapok!$A$22,Admin!$B$28,
(IF(AI79&lt;Hónapok!$A$34,Admin!$C$28,
(IF(AI79&lt;Hónapok!$A$46,Admin!$D$28,"")))))))),"")</f>
        <v>2. mérföldkő</v>
      </c>
      <c r="AK79" s="470" t="s">
        <v>7</v>
      </c>
      <c r="AL79" s="477" t="s">
        <v>26</v>
      </c>
      <c r="AM79" s="905">
        <v>605000</v>
      </c>
      <c r="AN79" s="860">
        <f t="shared" si="166"/>
        <v>78650</v>
      </c>
      <c r="AO79" s="477">
        <v>174</v>
      </c>
      <c r="AP79" s="478">
        <v>124</v>
      </c>
      <c r="AQ79" s="454">
        <f t="shared" si="167"/>
        <v>0.71264367816091956</v>
      </c>
      <c r="AR79" s="455">
        <f t="shared" si="168"/>
        <v>431149</v>
      </c>
      <c r="AS79" s="455">
        <f t="shared" si="169"/>
        <v>56049</v>
      </c>
      <c r="AT79" s="102">
        <f t="shared" si="170"/>
        <v>7.0295430798505976E-7</v>
      </c>
      <c r="AU79" s="116">
        <v>0.13</v>
      </c>
      <c r="AV79" s="565" t="str">
        <f>VLOOKUP(LEFT(AB79,10),Törzsszám!$A$1:$B$908,2,0)</f>
        <v>10000872</v>
      </c>
      <c r="AW79" s="615">
        <f t="shared" ca="1" si="24"/>
        <v>0</v>
      </c>
      <c r="AX79" s="537" t="s">
        <v>4557</v>
      </c>
      <c r="AY79" s="503"/>
      <c r="AZ79" s="504"/>
      <c r="BA79" s="671"/>
      <c r="BB79" s="649"/>
      <c r="BC79" s="649"/>
      <c r="BD79" s="672"/>
      <c r="BE79" s="450" t="s">
        <v>197</v>
      </c>
    </row>
    <row r="80" spans="1:57" s="463" customFormat="1" ht="31.5" x14ac:dyDescent="0.25">
      <c r="A80" s="694" t="str">
        <f ca="1">Bérköltség!$B80</f>
        <v>FEOR</v>
      </c>
      <c r="B80" s="694" t="str">
        <f ca="1">IFERROR(
IF(AND(Bérköltség!$F80="",H80="NA"),"HIÁNYOS ADATOK",
IF(Bérköltség!$F80&lt;Bérköltség!$U80,Admin!$B$18,Admin!$B$17)),
"")</f>
        <v>FEOR</v>
      </c>
      <c r="C80" s="437">
        <f>IFERROR(INDEX('Historikus berek_2021-2'!$A$1:$F$903,MATCH(AB80,'Historikus berek_2021-2'!$A$1:$A$903,0),4),"")</f>
        <v>550000</v>
      </c>
      <c r="D80" s="438">
        <f t="shared" si="5"/>
        <v>391954.02298850578</v>
      </c>
      <c r="E80" s="437">
        <f t="shared" si="6"/>
        <v>431149</v>
      </c>
      <c r="F80" s="439">
        <f t="shared" si="7"/>
        <v>44290.32402298844</v>
      </c>
      <c r="G80" s="440">
        <f t="shared" si="8"/>
        <v>442908.0459770115</v>
      </c>
      <c r="H80" s="441">
        <f>IFERROR(INDEX('FEOR kodok'!$A$2:$J$1126,MATCH(Bérköltség!AB80,'FEOR kodok'!$B$2:$B$1126,0),8),"NA")</f>
        <v>2117</v>
      </c>
      <c r="I80" s="436">
        <f ca="1">IFERROR(INDEX('FEOR kodok'!$A$2:$J$1126,MATCH(Bérköltség!AB80,'FEOR kodok'!$B$2:$B$1126,0),10),"NA")</f>
        <v>44</v>
      </c>
      <c r="J80" s="442" t="str">
        <f t="shared" ca="1" si="9"/>
        <v>40–49 éves</v>
      </c>
      <c r="K80" s="436" t="str">
        <f>IFERROR(INDEX(admin_feor[#All],MATCH(Bérköltség!H80,admin_feor[[#All],[Foglalkozás]],0),2),"NA")</f>
        <v>Vegyészmérnök</v>
      </c>
      <c r="L80" s="438">
        <f ca="1">IFERROR(
INDEX('Admin - FEOR'!$A$4:$F$465,MATCH(Bérköltség!H80,'Admin - FEOR'!$A$4:$A$465,0),
IF(J80="30 év alatt",3,
IF(J80="30–39 éves",4,
IF(J80="40–49 éves",5,
IF(J80="50 év és afelett",6
)))))*1,"NA")</f>
        <v>824591</v>
      </c>
      <c r="M80" s="438">
        <f t="shared" si="10"/>
        <v>605000</v>
      </c>
      <c r="N80" s="443">
        <f t="shared" ca="1" si="11"/>
        <v>0.73369706921370714</v>
      </c>
      <c r="O80" s="438">
        <f ca="1">IFERROR(
INDEX('Admin - FEOR'!$A$4:$F$465,MATCH(Bérköltség!H80,'Admin - FEOR'!$A$4:$A$465,0),
IF(J80="30 év alatt",3,
IF(J80="30–39 éves",4,
IF(J80="40–49 éves",5,
IF(J80="50 év és afelett",6
)))))*1.5,"NA")</f>
        <v>1236886.5</v>
      </c>
      <c r="P80" s="438">
        <f t="shared" ca="1" si="12"/>
        <v>881459.3448275862</v>
      </c>
      <c r="Q80" s="438">
        <f t="shared" si="13"/>
        <v>431149</v>
      </c>
      <c r="R80" s="444">
        <f t="shared" si="14"/>
        <v>0.71264367816091956</v>
      </c>
      <c r="S80" s="438">
        <f t="shared" ca="1" si="15"/>
        <v>0</v>
      </c>
      <c r="T80" s="438">
        <f t="shared" ca="1" si="16"/>
        <v>0</v>
      </c>
      <c r="U80" s="445">
        <f t="shared" ca="1" si="17"/>
        <v>0</v>
      </c>
      <c r="V80" s="446">
        <f t="shared" ca="1" si="18"/>
        <v>487198</v>
      </c>
      <c r="W80" s="447" t="str">
        <f t="shared" ca="1" si="19"/>
        <v>Nem szükséges indoklás.</v>
      </c>
      <c r="X80" s="571">
        <f t="shared" ca="1" si="20"/>
        <v>0</v>
      </c>
      <c r="Y80" s="554">
        <f t="shared" ca="1" si="21"/>
        <v>431149</v>
      </c>
      <c r="Z80" s="555">
        <f t="shared" ca="1" si="22"/>
        <v>56049</v>
      </c>
      <c r="AA80" s="101"/>
      <c r="AB80" s="477">
        <v>8412171462</v>
      </c>
      <c r="AC80" s="475" t="s">
        <v>210</v>
      </c>
      <c r="AD80" s="483" t="s">
        <v>45</v>
      </c>
      <c r="AE80" s="476" t="s">
        <v>22</v>
      </c>
      <c r="AF80" s="99" t="s">
        <v>119</v>
      </c>
      <c r="AG80" s="99" t="s">
        <v>157</v>
      </c>
      <c r="AH80" s="451" t="s">
        <v>131</v>
      </c>
      <c r="AI80" s="154">
        <v>44986</v>
      </c>
      <c r="AJ80" s="100" t="str">
        <f>IF(AI80&gt;0,
(IF(AI80&lt;Hónapok!$A$10,Admin!$A$28,
(IF(AI80&lt;Hónapok!$A$22,Admin!$B$28,
(IF(AI80&lt;Hónapok!$A$34,Admin!$C$28,
(IF(AI80&lt;Hónapok!$A$46,Admin!$D$28,"")))))))),"")</f>
        <v>3. mérföldkő</v>
      </c>
      <c r="AK80" s="470" t="s">
        <v>7</v>
      </c>
      <c r="AL80" s="101" t="s">
        <v>26</v>
      </c>
      <c r="AM80" s="900">
        <v>605000</v>
      </c>
      <c r="AN80" s="860">
        <f t="shared" si="166"/>
        <v>78650</v>
      </c>
      <c r="AO80" s="101">
        <v>174</v>
      </c>
      <c r="AP80" s="111">
        <v>124</v>
      </c>
      <c r="AQ80" s="454">
        <f t="shared" si="167"/>
        <v>0.71264367816091956</v>
      </c>
      <c r="AR80" s="455">
        <f t="shared" si="168"/>
        <v>431149</v>
      </c>
      <c r="AS80" s="455">
        <f t="shared" si="169"/>
        <v>56049</v>
      </c>
      <c r="AT80" s="102">
        <f t="shared" si="170"/>
        <v>7.0295430798505976E-7</v>
      </c>
      <c r="AU80" s="116">
        <v>0.13</v>
      </c>
      <c r="AV80" s="565" t="str">
        <f>VLOOKUP(LEFT(AB80,10),Törzsszám!$A$1:$B$908,2,0)</f>
        <v>10000872</v>
      </c>
      <c r="AW80" s="681">
        <f t="shared" ca="1" si="24"/>
        <v>0</v>
      </c>
      <c r="AX80" s="468" t="s">
        <v>4561</v>
      </c>
      <c r="AY80" s="504"/>
      <c r="AZ80" s="504"/>
      <c r="BA80" s="671"/>
      <c r="BB80" s="649"/>
      <c r="BC80" s="649"/>
      <c r="BD80" s="672"/>
      <c r="BE80" s="450" t="s">
        <v>197</v>
      </c>
    </row>
    <row r="81" spans="1:57" s="463" customFormat="1" ht="31.5" x14ac:dyDescent="0.25">
      <c r="A81" s="694" t="str">
        <f ca="1">Bérköltség!$B81</f>
        <v>FEOR</v>
      </c>
      <c r="B81" s="694" t="str">
        <f ca="1">IFERROR(
IF(AND(Bérköltség!$F81="",H81="NA"),"HIÁNYOS ADATOK",
IF(Bérköltség!$F81&lt;Bérköltség!$U81,Admin!$B$18,Admin!$B$17)),
"")</f>
        <v>FEOR</v>
      </c>
      <c r="C81" s="437">
        <f>IFERROR(INDEX('Historikus berek_2021-2'!$A$1:$F$903,MATCH(AB81,'Historikus berek_2021-2'!$A$1:$A$903,0),4),"")</f>
        <v>550000</v>
      </c>
      <c r="D81" s="438">
        <f t="shared" si="5"/>
        <v>391954.02298850578</v>
      </c>
      <c r="E81" s="437">
        <f t="shared" si="6"/>
        <v>359291</v>
      </c>
      <c r="F81" s="439">
        <f t="shared" si="7"/>
        <v>0</v>
      </c>
      <c r="G81" s="440">
        <f t="shared" si="8"/>
        <v>405998.82999999996</v>
      </c>
      <c r="H81" s="441">
        <f>IFERROR(INDEX('FEOR kodok'!$A$2:$J$1126,MATCH(Bérköltség!AB81,'FEOR kodok'!$B$2:$B$1126,0),8),"NA")</f>
        <v>2117</v>
      </c>
      <c r="I81" s="436">
        <f ca="1">IFERROR(INDEX('FEOR kodok'!$A$2:$J$1126,MATCH(Bérköltség!AB81,'FEOR kodok'!$B$2:$B$1126,0),10),"NA")</f>
        <v>44</v>
      </c>
      <c r="J81" s="442" t="str">
        <f t="shared" ca="1" si="9"/>
        <v>40–49 éves</v>
      </c>
      <c r="K81" s="436" t="str">
        <f>IFERROR(INDEX(admin_feor[#All],MATCH(Bérköltség!H81,admin_feor[[#All],[Foglalkozás]],0),2),"NA")</f>
        <v>Vegyészmérnök</v>
      </c>
      <c r="L81" s="438">
        <f ca="1">IFERROR(
INDEX('Admin - FEOR'!$A$4:$F$465,MATCH(Bérköltség!H81,'Admin - FEOR'!$A$4:$A$465,0),
IF(J81="30 év alatt",3,
IF(J81="30–39 éves",4,
IF(J81="40–49 éves",5,
IF(J81="50 év és afelett",6
)))))*1,"NA")</f>
        <v>824591</v>
      </c>
      <c r="M81" s="438">
        <f t="shared" si="10"/>
        <v>504167</v>
      </c>
      <c r="N81" s="443">
        <f t="shared" ca="1" si="11"/>
        <v>0.6114146285855655</v>
      </c>
      <c r="O81" s="438">
        <f ca="1">IFERROR(
INDEX('Admin - FEOR'!$A$4:$F$465,MATCH(Bérköltség!H81,'Admin - FEOR'!$A$4:$A$465,0),
IF(J81="30 év alatt",3,
IF(J81="30–39 éves",4,
IF(J81="40–49 éves",5,
IF(J81="50 év és afelett",6
)))))*1.5,"NA")</f>
        <v>1236886.5</v>
      </c>
      <c r="P81" s="438">
        <f t="shared" ca="1" si="12"/>
        <v>881459.3448275862</v>
      </c>
      <c r="Q81" s="438">
        <f t="shared" si="13"/>
        <v>359291</v>
      </c>
      <c r="R81" s="444">
        <f t="shared" si="14"/>
        <v>0.71264367816091956</v>
      </c>
      <c r="S81" s="438">
        <f t="shared" ca="1" si="15"/>
        <v>0</v>
      </c>
      <c r="T81" s="438">
        <f t="shared" ca="1" si="16"/>
        <v>0</v>
      </c>
      <c r="U81" s="445">
        <f t="shared" ca="1" si="17"/>
        <v>0</v>
      </c>
      <c r="V81" s="446">
        <f t="shared" ca="1" si="18"/>
        <v>405999</v>
      </c>
      <c r="W81" s="447" t="str">
        <f t="shared" ca="1" si="19"/>
        <v>Nem szükséges indoklás.</v>
      </c>
      <c r="X81" s="571">
        <f t="shared" ca="1" si="20"/>
        <v>0</v>
      </c>
      <c r="Y81" s="554">
        <f t="shared" ca="1" si="21"/>
        <v>359291</v>
      </c>
      <c r="Z81" s="555">
        <f t="shared" ca="1" si="22"/>
        <v>46708</v>
      </c>
      <c r="AA81" s="101"/>
      <c r="AB81" s="477">
        <v>8412171462</v>
      </c>
      <c r="AC81" s="475" t="s">
        <v>210</v>
      </c>
      <c r="AD81" s="483" t="s">
        <v>45</v>
      </c>
      <c r="AE81" s="476" t="s">
        <v>22</v>
      </c>
      <c r="AF81" s="99" t="s">
        <v>119</v>
      </c>
      <c r="AG81" s="99" t="s">
        <v>157</v>
      </c>
      <c r="AH81" s="451" t="s">
        <v>131</v>
      </c>
      <c r="AI81" s="154">
        <v>45017</v>
      </c>
      <c r="AJ81" s="100" t="str">
        <f>IF(AI81&gt;0,
(IF(AI81&lt;Hónapok!$A$10,Admin!$A$28,
(IF(AI81&lt;Hónapok!$A$22,Admin!$B$28,
(IF(AI81&lt;Hónapok!$A$34,Admin!$C$28,
(IF(AI81&lt;Hónapok!$A$46,Admin!$D$28,"")))))))),"")</f>
        <v>3. mérföldkő</v>
      </c>
      <c r="AK81" s="469" t="s">
        <v>7</v>
      </c>
      <c r="AL81" s="101" t="s">
        <v>26</v>
      </c>
      <c r="AM81" s="900">
        <v>504167</v>
      </c>
      <c r="AN81" s="860">
        <f t="shared" si="166"/>
        <v>65542</v>
      </c>
      <c r="AO81" s="101">
        <v>174</v>
      </c>
      <c r="AP81" s="111">
        <v>124</v>
      </c>
      <c r="AQ81" s="454">
        <f t="shared" si="167"/>
        <v>0.71264367816091956</v>
      </c>
      <c r="AR81" s="455">
        <f t="shared" si="168"/>
        <v>359291</v>
      </c>
      <c r="AS81" s="455">
        <f t="shared" si="169"/>
        <v>46708</v>
      </c>
      <c r="AT81" s="102">
        <f t="shared" si="170"/>
        <v>8.435446118282286E-7</v>
      </c>
      <c r="AU81" s="116">
        <v>0.13</v>
      </c>
      <c r="AV81" s="565" t="str">
        <f>VLOOKUP(LEFT(AB81,10),Törzsszám!$A$1:$B$908,2,0)</f>
        <v>10000872</v>
      </c>
      <c r="AW81" s="681">
        <f t="shared" ca="1" si="24"/>
        <v>0</v>
      </c>
      <c r="AX81" s="471" t="s">
        <v>4581</v>
      </c>
      <c r="AY81" s="503"/>
      <c r="AZ81" s="504"/>
      <c r="BA81" s="671"/>
      <c r="BB81" s="649"/>
      <c r="BC81" s="649"/>
      <c r="BD81" s="672"/>
      <c r="BE81" s="450" t="s">
        <v>197</v>
      </c>
    </row>
    <row r="82" spans="1:57" s="463" customFormat="1" ht="31.5" x14ac:dyDescent="0.25">
      <c r="A82" s="694" t="str">
        <f ca="1">Bérköltség!$B82</f>
        <v>FEOR</v>
      </c>
      <c r="B82" s="694" t="str">
        <f ca="1">IFERROR(
IF(AND(Bérköltség!$F82="",H82="NA"),"HIÁNYOS ADATOK",
IF(Bérköltség!$F82&lt;Bérköltség!$U82,Admin!$B$18,Admin!$B$17)),
"")</f>
        <v>FEOR</v>
      </c>
      <c r="C82" s="437">
        <f>IFERROR(INDEX('Historikus berek_2021-2'!$A$1:$F$903,MATCH(AB82,'Historikus berek_2021-2'!$A$1:$A$903,0),4),"")</f>
        <v>550000</v>
      </c>
      <c r="D82" s="438">
        <f t="shared" si="5"/>
        <v>391954.02298850578</v>
      </c>
      <c r="E82" s="437">
        <f t="shared" si="6"/>
        <v>431149</v>
      </c>
      <c r="F82" s="439">
        <f t="shared" si="7"/>
        <v>44290.32402298844</v>
      </c>
      <c r="G82" s="440">
        <f t="shared" si="8"/>
        <v>442908.0459770115</v>
      </c>
      <c r="H82" s="441">
        <f>IFERROR(INDEX('FEOR kodok'!$A$2:$J$1126,MATCH(Bérköltség!AB82,'FEOR kodok'!$B$2:$B$1126,0),8),"NA")</f>
        <v>2117</v>
      </c>
      <c r="I82" s="436">
        <f ca="1">IFERROR(INDEX('FEOR kodok'!$A$2:$J$1126,MATCH(Bérköltség!AB82,'FEOR kodok'!$B$2:$B$1126,0),10),"NA")</f>
        <v>44</v>
      </c>
      <c r="J82" s="442" t="str">
        <f t="shared" ca="1" si="9"/>
        <v>40–49 éves</v>
      </c>
      <c r="K82" s="436" t="str">
        <f>IFERROR(INDEX(admin_feor[#All],MATCH(Bérköltség!H82,admin_feor[[#All],[Foglalkozás]],0),2),"NA")</f>
        <v>Vegyészmérnök</v>
      </c>
      <c r="L82" s="438">
        <f ca="1">IFERROR(
INDEX('Admin - FEOR'!$A$4:$F$465,MATCH(Bérköltség!H82,'Admin - FEOR'!$A$4:$A$465,0),
IF(J82="30 év alatt",3,
IF(J82="30–39 éves",4,
IF(J82="40–49 éves",5,
IF(J82="50 év és afelett",6
)))))*1,"NA")</f>
        <v>824591</v>
      </c>
      <c r="M82" s="438">
        <f t="shared" si="10"/>
        <v>605000</v>
      </c>
      <c r="N82" s="443">
        <f t="shared" ca="1" si="11"/>
        <v>0.73369706921370714</v>
      </c>
      <c r="O82" s="438">
        <f ca="1">IFERROR(
INDEX('Admin - FEOR'!$A$4:$F$465,MATCH(Bérköltség!H82,'Admin - FEOR'!$A$4:$A$465,0),
IF(J82="30 év alatt",3,
IF(J82="30–39 éves",4,
IF(J82="40–49 éves",5,
IF(J82="50 év és afelett",6
)))))*1.5,"NA")</f>
        <v>1236886.5</v>
      </c>
      <c r="P82" s="438">
        <f t="shared" ca="1" si="12"/>
        <v>881459.3448275862</v>
      </c>
      <c r="Q82" s="438">
        <f t="shared" si="13"/>
        <v>431149</v>
      </c>
      <c r="R82" s="444">
        <f t="shared" si="14"/>
        <v>0.71264367816091956</v>
      </c>
      <c r="S82" s="438">
        <f t="shared" ca="1" si="15"/>
        <v>0</v>
      </c>
      <c r="T82" s="438">
        <f t="shared" ca="1" si="16"/>
        <v>0</v>
      </c>
      <c r="U82" s="445">
        <f t="shared" ca="1" si="17"/>
        <v>0</v>
      </c>
      <c r="V82" s="446">
        <f t="shared" ca="1" si="18"/>
        <v>487198</v>
      </c>
      <c r="W82" s="447" t="str">
        <f t="shared" ca="1" si="19"/>
        <v>Nem szükséges indoklás.</v>
      </c>
      <c r="X82" s="571">
        <f t="shared" ca="1" si="20"/>
        <v>0</v>
      </c>
      <c r="Y82" s="554">
        <f t="shared" ca="1" si="21"/>
        <v>431149</v>
      </c>
      <c r="Z82" s="555">
        <f t="shared" ca="1" si="22"/>
        <v>56049</v>
      </c>
      <c r="AA82" s="477"/>
      <c r="AB82" s="477">
        <v>8412171462</v>
      </c>
      <c r="AC82" s="475" t="s">
        <v>210</v>
      </c>
      <c r="AD82" s="483" t="s">
        <v>45</v>
      </c>
      <c r="AE82" s="476" t="s">
        <v>22</v>
      </c>
      <c r="AF82" s="99" t="s">
        <v>119</v>
      </c>
      <c r="AG82" s="99" t="s">
        <v>157</v>
      </c>
      <c r="AH82" s="451" t="s">
        <v>131</v>
      </c>
      <c r="AI82" s="154">
        <v>45047</v>
      </c>
      <c r="AJ82" s="100" t="str">
        <f>IF(AI82&gt;0,
(IF(AI82&lt;Hónapok!$A$10,Admin!$A$28,
(IF(AI82&lt;Hónapok!$A$22,Admin!$B$28,
(IF(AI82&lt;Hónapok!$A$34,Admin!$C$28,
(IF(AI82&lt;Hónapok!$A$46,Admin!$D$28,"")))))))),"")</f>
        <v>3. mérföldkő</v>
      </c>
      <c r="AK82" s="469" t="s">
        <v>7</v>
      </c>
      <c r="AL82" s="101" t="s">
        <v>26</v>
      </c>
      <c r="AM82" s="900">
        <v>605000</v>
      </c>
      <c r="AN82" s="860">
        <f t="shared" si="166"/>
        <v>78650</v>
      </c>
      <c r="AO82" s="101">
        <v>174</v>
      </c>
      <c r="AP82" s="111">
        <v>124</v>
      </c>
      <c r="AQ82" s="454">
        <f t="shared" si="167"/>
        <v>0.71264367816091956</v>
      </c>
      <c r="AR82" s="455">
        <f t="shared" si="168"/>
        <v>431149</v>
      </c>
      <c r="AS82" s="455">
        <f t="shared" si="169"/>
        <v>56049</v>
      </c>
      <c r="AT82" s="102">
        <f t="shared" si="170"/>
        <v>7.0295430798505976E-7</v>
      </c>
      <c r="AU82" s="116">
        <v>0.13</v>
      </c>
      <c r="AV82" s="565" t="str">
        <f>VLOOKUP(LEFT(AB82,10),Törzsszám!$A$1:$B$908,2,0)</f>
        <v>10000872</v>
      </c>
      <c r="AW82" s="681">
        <f t="shared" ca="1" si="24"/>
        <v>0</v>
      </c>
      <c r="AX82" s="471" t="s">
        <v>4596</v>
      </c>
      <c r="AY82" s="503"/>
      <c r="AZ82" s="504"/>
      <c r="BA82" s="671"/>
      <c r="BB82" s="649"/>
      <c r="BC82" s="649"/>
      <c r="BD82" s="672"/>
      <c r="BE82" s="450" t="s">
        <v>197</v>
      </c>
    </row>
    <row r="83" spans="1:57" s="463" customFormat="1" ht="31.5" x14ac:dyDescent="0.25">
      <c r="A83" s="694" t="str">
        <f ca="1">Bérköltség!$B83</f>
        <v>FEOR</v>
      </c>
      <c r="B83" s="694" t="str">
        <f ca="1">IFERROR(
IF(AND(Bérköltség!$F83="",H83="NA"),"HIÁNYOS ADATOK",
IF(Bérköltség!$F83&lt;Bérköltség!$U83,Admin!$B$18,Admin!$B$17)),
"")</f>
        <v>FEOR</v>
      </c>
      <c r="C83" s="437">
        <f>IFERROR(INDEX('Historikus berek_2021-2'!$A$1:$F$903,MATCH(AB83,'Historikus berek_2021-2'!$A$1:$A$903,0),4),"")</f>
        <v>550000</v>
      </c>
      <c r="D83" s="438">
        <f t="shared" si="5"/>
        <v>391954.02298850578</v>
      </c>
      <c r="E83" s="437">
        <f t="shared" si="6"/>
        <v>431149</v>
      </c>
      <c r="F83" s="439">
        <f t="shared" si="7"/>
        <v>44290.32402298844</v>
      </c>
      <c r="G83" s="440">
        <f t="shared" si="8"/>
        <v>442908.0459770115</v>
      </c>
      <c r="H83" s="441">
        <f>IFERROR(INDEX('FEOR kodok'!$A$2:$J$1126,MATCH(Bérköltség!AB83,'FEOR kodok'!$B$2:$B$1126,0),8),"NA")</f>
        <v>2117</v>
      </c>
      <c r="I83" s="436">
        <f ca="1">IFERROR(INDEX('FEOR kodok'!$A$2:$J$1126,MATCH(Bérköltség!AB83,'FEOR kodok'!$B$2:$B$1126,0),10),"NA")</f>
        <v>44</v>
      </c>
      <c r="J83" s="442" t="str">
        <f t="shared" ca="1" si="9"/>
        <v>40–49 éves</v>
      </c>
      <c r="K83" s="436" t="str">
        <f>IFERROR(INDEX(admin_feor[#All],MATCH(Bérköltség!H83,admin_feor[[#All],[Foglalkozás]],0),2),"NA")</f>
        <v>Vegyészmérnök</v>
      </c>
      <c r="L83" s="438">
        <f ca="1">IFERROR(
INDEX('Admin - FEOR'!$A$4:$F$465,MATCH(Bérköltség!H83,'Admin - FEOR'!$A$4:$A$465,0),
IF(J83="30 év alatt",3,
IF(J83="30–39 éves",4,
IF(J83="40–49 éves",5,
IF(J83="50 év és afelett",6
)))))*1,"NA")</f>
        <v>824591</v>
      </c>
      <c r="M83" s="438">
        <f t="shared" si="10"/>
        <v>605000</v>
      </c>
      <c r="N83" s="443">
        <f t="shared" ca="1" si="11"/>
        <v>0.73369706921370714</v>
      </c>
      <c r="O83" s="438">
        <f ca="1">IFERROR(
INDEX('Admin - FEOR'!$A$4:$F$465,MATCH(Bérköltség!H83,'Admin - FEOR'!$A$4:$A$465,0),
IF(J83="30 év alatt",3,
IF(J83="30–39 éves",4,
IF(J83="40–49 éves",5,
IF(J83="50 év és afelett",6
)))))*1.5,"NA")</f>
        <v>1236886.5</v>
      </c>
      <c r="P83" s="438">
        <f t="shared" ca="1" si="12"/>
        <v>881459.3448275862</v>
      </c>
      <c r="Q83" s="438">
        <f t="shared" si="13"/>
        <v>431149</v>
      </c>
      <c r="R83" s="444">
        <f t="shared" si="14"/>
        <v>0.71264367816091956</v>
      </c>
      <c r="S83" s="438">
        <f t="shared" ca="1" si="15"/>
        <v>0</v>
      </c>
      <c r="T83" s="438">
        <f t="shared" ca="1" si="16"/>
        <v>0</v>
      </c>
      <c r="U83" s="445">
        <f t="shared" ca="1" si="17"/>
        <v>0</v>
      </c>
      <c r="V83" s="446">
        <f t="shared" ca="1" si="18"/>
        <v>487198</v>
      </c>
      <c r="W83" s="447" t="str">
        <f t="shared" ca="1" si="19"/>
        <v>Nem szükséges indoklás.</v>
      </c>
      <c r="X83" s="571">
        <f t="shared" ca="1" si="20"/>
        <v>0</v>
      </c>
      <c r="Y83" s="554">
        <f t="shared" ca="1" si="21"/>
        <v>431149</v>
      </c>
      <c r="Z83" s="555">
        <f t="shared" ca="1" si="22"/>
        <v>56049</v>
      </c>
      <c r="AA83" s="477"/>
      <c r="AB83" s="477">
        <v>8412171462</v>
      </c>
      <c r="AC83" s="475" t="s">
        <v>210</v>
      </c>
      <c r="AD83" s="483" t="s">
        <v>45</v>
      </c>
      <c r="AE83" s="476" t="s">
        <v>22</v>
      </c>
      <c r="AF83" s="99" t="s">
        <v>119</v>
      </c>
      <c r="AG83" s="99" t="s">
        <v>157</v>
      </c>
      <c r="AH83" s="451" t="s">
        <v>131</v>
      </c>
      <c r="AI83" s="154">
        <v>45078</v>
      </c>
      <c r="AJ83" s="100" t="str">
        <f>IF(AI83&gt;0,
(IF(AI83&lt;Hónapok!$A$10,Admin!$A$28,
(IF(AI83&lt;Hónapok!$A$22,Admin!$B$28,
(IF(AI83&lt;Hónapok!$A$34,Admin!$C$28,
(IF(AI83&lt;Hónapok!$A$46,Admin!$D$28,"")))))))),"")</f>
        <v>3. mérföldkő</v>
      </c>
      <c r="AK83" s="469" t="s">
        <v>7</v>
      </c>
      <c r="AL83" s="101" t="s">
        <v>26</v>
      </c>
      <c r="AM83" s="900">
        <v>605000</v>
      </c>
      <c r="AN83" s="860">
        <f t="shared" si="166"/>
        <v>78650</v>
      </c>
      <c r="AO83" s="101">
        <v>174</v>
      </c>
      <c r="AP83" s="111">
        <v>124</v>
      </c>
      <c r="AQ83" s="843">
        <f t="shared" si="167"/>
        <v>0.71264367816091956</v>
      </c>
      <c r="AR83" s="455">
        <f t="shared" si="168"/>
        <v>431149</v>
      </c>
      <c r="AS83" s="455">
        <f t="shared" si="169"/>
        <v>56049</v>
      </c>
      <c r="AT83" s="102">
        <f t="shared" si="170"/>
        <v>7.0295430798505976E-7</v>
      </c>
      <c r="AU83" s="116">
        <v>0.13</v>
      </c>
      <c r="AV83" s="565" t="str">
        <f>VLOOKUP(LEFT(AB83,10),Törzsszám!$A$1:$B$908,2,0)</f>
        <v>10000872</v>
      </c>
      <c r="AW83" s="681">
        <f t="shared" ca="1" si="24"/>
        <v>0</v>
      </c>
      <c r="AX83" s="471" t="s">
        <v>4606</v>
      </c>
      <c r="AY83" s="503"/>
      <c r="AZ83" s="504"/>
      <c r="BA83" s="671"/>
      <c r="BB83" s="649"/>
      <c r="BC83" s="649"/>
      <c r="BD83" s="672"/>
      <c r="BE83" s="450" t="s">
        <v>197</v>
      </c>
    </row>
    <row r="84" spans="1:57" s="463" customFormat="1" ht="31.5" x14ac:dyDescent="0.25">
      <c r="A84" s="694" t="str">
        <f ca="1">Bérköltség!$B84</f>
        <v>FEOR</v>
      </c>
      <c r="B84" s="694" t="str">
        <f ca="1">IFERROR(
IF(AND(Bérköltség!$F84="",H84="NA"),"HIÁNYOS ADATOK",
IF(Bérköltség!$F84&lt;Bérköltség!$U84,Admin!$B$18,Admin!$B$17)),
"")</f>
        <v>FEOR</v>
      </c>
      <c r="C84" s="437">
        <f>IFERROR(INDEX('Historikus berek_2021-2'!$A$1:$F$903,MATCH(AB84,'Historikus berek_2021-2'!$A$1:$A$903,0),4),"")</f>
        <v>550000</v>
      </c>
      <c r="D84" s="438">
        <f t="shared" ref="D84:D85" si="195">IFERROR(C84*AQ84,"NA")</f>
        <v>363505.74712643679</v>
      </c>
      <c r="E84" s="437">
        <f t="shared" ref="E84:E85" si="196">AR84</f>
        <v>431580</v>
      </c>
      <c r="F84" s="439">
        <f t="shared" ref="F84:F85" si="197">IFERROR(IF((E84*(1+AU84)-D84*(1+AU84))&lt;0,0,(E84*(1+AU84)-D84*(1+AU84))),"")</f>
        <v>76923.905747126439</v>
      </c>
      <c r="G84" s="440">
        <f t="shared" ref="G84:G85" si="198">IFERROR((E84*(1+AU84)-F84),"")</f>
        <v>410761.49425287353</v>
      </c>
      <c r="H84" s="441">
        <f>IFERROR(INDEX('FEOR kodok'!$A$2:$J$1126,MATCH(Bérköltség!AB84,'FEOR kodok'!$B$2:$B$1126,0),8),"NA")</f>
        <v>2117</v>
      </c>
      <c r="I84" s="436">
        <f ca="1">IFERROR(INDEX('FEOR kodok'!$A$2:$J$1126,MATCH(Bérköltség!AB84,'FEOR kodok'!$B$2:$B$1126,0),10),"NA")</f>
        <v>44</v>
      </c>
      <c r="J84" s="442" t="str">
        <f t="shared" ref="J84:J85" ca="1" si="199">IF(I84="NA","NA",
IF(I84&lt;30,"30 év alatt",
IF(AND(I84&gt;=30,I84&lt;=39),"30–39 éves",
IF(AND(I84&gt;=40,I84&lt;=49),"40–49 éves",
IF(I84&gt;=50,"50 év és afelett",
"")))))</f>
        <v>40–49 éves</v>
      </c>
      <c r="K84" s="436" t="str">
        <f>IFERROR(INDEX(admin_feor[#All],MATCH(Bérköltség!H84,admin_feor[[#All],[Foglalkozás]],0),2),"NA")</f>
        <v>Vegyészmérnök</v>
      </c>
      <c r="L84" s="438">
        <f ca="1">IFERROR(
INDEX('Admin - FEOR'!$A$4:$F$465,MATCH(Bérköltség!H84,'Admin - FEOR'!$A$4:$A$465,0),
IF(J84="30 év alatt",3,
IF(J84="30–39 éves",4,
IF(J84="40–49 éves",5,
IF(J84="50 év és afelett",6
)))))*1,"NA")</f>
        <v>824591</v>
      </c>
      <c r="M84" s="438">
        <f t="shared" ref="M84:M85" si="200">AM84</f>
        <v>653000</v>
      </c>
      <c r="N84" s="443">
        <f t="shared" ref="N84:N85" ca="1" si="201">IFERROR(
M84/L84,"NA")</f>
        <v>0.7919077457794228</v>
      </c>
      <c r="O84" s="438">
        <f ca="1">IFERROR(
INDEX('Admin - FEOR'!$A$4:$F$465,MATCH(Bérköltség!H84,'Admin - FEOR'!$A$4:$A$465,0),
IF(J84="30 év alatt",3,
IF(J84="30–39 éves",4,
IF(J84="40–49 éves",5,
IF(J84="50 év és afelett",6
)))))*1.5,"NA")</f>
        <v>1236886.5</v>
      </c>
      <c r="P84" s="438">
        <f t="shared" ref="P84:P85" ca="1" si="202">IFERROR(
AQ84*O84,"NA")</f>
        <v>817482.45689655177</v>
      </c>
      <c r="Q84" s="438">
        <f t="shared" ref="Q84:Q85" si="203">IFERROR(AR84,"")</f>
        <v>431580</v>
      </c>
      <c r="R84" s="444">
        <f t="shared" ref="R84:R85" si="204">IFERROR(AQ84,"")</f>
        <v>0.66091954022988508</v>
      </c>
      <c r="S84" s="438">
        <f t="shared" ref="S84:S85" ca="1" si="205">IFERROR(
IF(AR84-P84&lt;0,0,AR84-P84),"NA")</f>
        <v>0</v>
      </c>
      <c r="T84" s="438">
        <f t="shared" ref="T84:T85" ca="1" si="206">IFERROR(
S84*AU84,"NA")</f>
        <v>0</v>
      </c>
      <c r="U84" s="445">
        <f t="shared" ref="U84:U85" ca="1" si="207">IFERROR(
S84+T84,"NA")</f>
        <v>0</v>
      </c>
      <c r="V84" s="446">
        <f t="shared" ref="V84:V85" ca="1" si="208">IFERROR(
IF(U84&gt;0,AR84+AS84-U84,AR84+AS84),"NA")</f>
        <v>487685</v>
      </c>
      <c r="W84" s="447" t="str">
        <f t="shared" ref="W84:W85" ca="1" si="209">IF(P84="NA","FEOR hiányzik",
IF(AND(N84&gt;1,A84="FEOR"),CONCATENATE("Indoklás szükséges mivel a FEOR: ",ROUND(N84*100,1),"%"),"Nem szükséges indoklás.")
)</f>
        <v>Nem szükséges indoklás.</v>
      </c>
      <c r="X84" s="571">
        <f t="shared" ref="X84:X85" ca="1" si="210">IF(A84="FEOR",U84,IF(A84="HIÁNYOS ADATOK","HIÁNYOS ADATOK",F84))</f>
        <v>0</v>
      </c>
      <c r="Y84" s="554">
        <f t="shared" ref="Y84:Y85" ca="1" si="211">IF(A84="FEOR",ROUND(V84/(1+AU84),0),IF(A84="HIÁNYOS ADATOK","HIÁNYOS ADATOK",ROUND(G84/(1+AU84),0)))</f>
        <v>431580</v>
      </c>
      <c r="Z84" s="555">
        <f t="shared" ref="Z84:Z85" ca="1" si="212">IF(A84="FEOR",ROUND(V84-Y84,0),IF(A84="HIÁNYOS ADATOK","HIÁNYOS ADATOK",ROUND(G84-Y84,0)))</f>
        <v>56105</v>
      </c>
      <c r="AA84" s="477"/>
      <c r="AB84" s="477">
        <v>8412171462</v>
      </c>
      <c r="AC84" s="475" t="s">
        <v>210</v>
      </c>
      <c r="AD84" s="483" t="s">
        <v>45</v>
      </c>
      <c r="AE84" s="476" t="s">
        <v>22</v>
      </c>
      <c r="AF84" s="99" t="s">
        <v>119</v>
      </c>
      <c r="AG84" s="99" t="s">
        <v>157</v>
      </c>
      <c r="AH84" s="451" t="s">
        <v>131</v>
      </c>
      <c r="AI84" s="154">
        <v>45108</v>
      </c>
      <c r="AJ84" s="100" t="str">
        <f>IF(AI84&gt;0,
(IF(AI84&lt;Hónapok!$A$10,Admin!$A$28,
(IF(AI84&lt;Hónapok!$A$22,Admin!$B$28,
(IF(AI84&lt;Hónapok!$A$34,Admin!$C$28,
(IF(AI84&lt;Hónapok!$A$46,Admin!$D$28,"")))))))),"")</f>
        <v>3. mérföldkő</v>
      </c>
      <c r="AK84" s="470" t="s">
        <v>7</v>
      </c>
      <c r="AL84" s="101" t="s">
        <v>26</v>
      </c>
      <c r="AM84" s="900">
        <v>653000</v>
      </c>
      <c r="AN84" s="860">
        <f t="shared" ref="AN84:AN85" si="213">IFERROR(ROUND(AM84*AU84,0),"")</f>
        <v>84890</v>
      </c>
      <c r="AO84" s="101">
        <v>174</v>
      </c>
      <c r="AP84" s="111">
        <v>115</v>
      </c>
      <c r="AQ84" s="682">
        <f t="shared" ref="AQ84:AQ85" si="214">IFERROR(AP84/AO84,"")</f>
        <v>0.66091954022988508</v>
      </c>
      <c r="AR84" s="455">
        <f t="shared" ref="AR84:AR85" si="215">IFERROR(ROUND(AM84*AP84/AO84,0),"")</f>
        <v>431580</v>
      </c>
      <c r="AS84" s="455">
        <f t="shared" ref="AS84:AS85" si="216">IFERROR(ROUND(AR84*AU84,0),"")</f>
        <v>56105</v>
      </c>
      <c r="AT84" s="102">
        <f t="shared" ref="AT84:AT85" si="217">IFERROR(AP84/AO84-AR84/AM84,"")</f>
        <v>7.0408899688345628E-7</v>
      </c>
      <c r="AU84" s="116">
        <v>0.13</v>
      </c>
      <c r="AV84" s="565" t="str">
        <f>VLOOKUP(LEFT(AB84,10),Törzsszám!$A$1:$B$908,2,0)</f>
        <v>10000872</v>
      </c>
      <c r="AW84" s="681">
        <f t="shared" ref="AW84:AW85" ca="1" si="218">(Y84+Z84)-(AR84+AS84)</f>
        <v>0</v>
      </c>
      <c r="AX84" s="471" t="s">
        <v>4610</v>
      </c>
      <c r="AY84" s="503"/>
      <c r="AZ84" s="504"/>
      <c r="BA84" s="671"/>
      <c r="BB84" s="649"/>
      <c r="BC84" s="649"/>
      <c r="BD84" s="672"/>
      <c r="BE84" s="450" t="s">
        <v>197</v>
      </c>
    </row>
    <row r="85" spans="1:57" s="463" customFormat="1" ht="31.5" x14ac:dyDescent="0.25">
      <c r="A85" s="694" t="str">
        <f ca="1">Bérköltség!$B85</f>
        <v>FEOR</v>
      </c>
      <c r="B85" s="694" t="str">
        <f ca="1">IFERROR(
IF(AND(Bérköltség!$F85="",H85="NA"),"HIÁNYOS ADATOK",
IF(Bérköltség!$F85&lt;Bérköltség!$U85,Admin!$B$18,Admin!$B$17)),
"")</f>
        <v>FEOR</v>
      </c>
      <c r="C85" s="437">
        <f>IFERROR(INDEX('Historikus berek_2021-2'!$A$1:$F$903,MATCH(AB85,'Historikus berek_2021-2'!$A$1:$A$903,0),4),"")</f>
        <v>550000</v>
      </c>
      <c r="D85" s="438">
        <f t="shared" si="195"/>
        <v>363505.74712643679</v>
      </c>
      <c r="E85" s="437">
        <f t="shared" si="196"/>
        <v>431580</v>
      </c>
      <c r="F85" s="439">
        <f t="shared" si="197"/>
        <v>76923.905747126439</v>
      </c>
      <c r="G85" s="440">
        <f t="shared" si="198"/>
        <v>410761.49425287353</v>
      </c>
      <c r="H85" s="441">
        <f>IFERROR(INDEX('FEOR kodok'!$A$2:$J$1126,MATCH(Bérköltség!AB85,'FEOR kodok'!$B$2:$B$1126,0),8),"NA")</f>
        <v>2117</v>
      </c>
      <c r="I85" s="436">
        <f ca="1">IFERROR(INDEX('FEOR kodok'!$A$2:$J$1126,MATCH(Bérköltség!AB85,'FEOR kodok'!$B$2:$B$1126,0),10),"NA")</f>
        <v>44</v>
      </c>
      <c r="J85" s="442" t="str">
        <f t="shared" ca="1" si="199"/>
        <v>40–49 éves</v>
      </c>
      <c r="K85" s="436" t="str">
        <f>IFERROR(INDEX(admin_feor[#All],MATCH(Bérköltség!H85,admin_feor[[#All],[Foglalkozás]],0),2),"NA")</f>
        <v>Vegyészmérnök</v>
      </c>
      <c r="L85" s="438">
        <f ca="1">IFERROR(
INDEX('Admin - FEOR'!$A$4:$F$465,MATCH(Bérköltség!H85,'Admin - FEOR'!$A$4:$A$465,0),
IF(J85="30 év alatt",3,
IF(J85="30–39 éves",4,
IF(J85="40–49 éves",5,
IF(J85="50 év és afelett",6
)))))*1,"NA")</f>
        <v>824591</v>
      </c>
      <c r="M85" s="438">
        <f t="shared" si="200"/>
        <v>652999</v>
      </c>
      <c r="N85" s="443">
        <f t="shared" ca="1" si="201"/>
        <v>0.79190653305699432</v>
      </c>
      <c r="O85" s="438">
        <f ca="1">IFERROR(
INDEX('Admin - FEOR'!$A$4:$F$465,MATCH(Bérköltség!H85,'Admin - FEOR'!$A$4:$A$465,0),
IF(J85="30 év alatt",3,
IF(J85="30–39 éves",4,
IF(J85="40–49 éves",5,
IF(J85="50 év és afelett",6
)))))*1.5,"NA")</f>
        <v>1236886.5</v>
      </c>
      <c r="P85" s="438">
        <f t="shared" ca="1" si="202"/>
        <v>817482.45689655177</v>
      </c>
      <c r="Q85" s="438">
        <f t="shared" si="203"/>
        <v>431580</v>
      </c>
      <c r="R85" s="444">
        <f t="shared" si="204"/>
        <v>0.66091954022988508</v>
      </c>
      <c r="S85" s="438">
        <f t="shared" ca="1" si="205"/>
        <v>0</v>
      </c>
      <c r="T85" s="438">
        <f t="shared" ca="1" si="206"/>
        <v>0</v>
      </c>
      <c r="U85" s="445">
        <f t="shared" ca="1" si="207"/>
        <v>0</v>
      </c>
      <c r="V85" s="446">
        <f t="shared" ca="1" si="208"/>
        <v>487685</v>
      </c>
      <c r="W85" s="447" t="str">
        <f t="shared" ca="1" si="209"/>
        <v>Nem szükséges indoklás.</v>
      </c>
      <c r="X85" s="571">
        <f t="shared" ca="1" si="210"/>
        <v>0</v>
      </c>
      <c r="Y85" s="554">
        <f t="shared" ca="1" si="211"/>
        <v>431580</v>
      </c>
      <c r="Z85" s="555">
        <f t="shared" ca="1" si="212"/>
        <v>56105</v>
      </c>
      <c r="AA85" s="477"/>
      <c r="AB85" s="477">
        <v>8412171462</v>
      </c>
      <c r="AC85" s="475" t="s">
        <v>210</v>
      </c>
      <c r="AD85" s="483" t="s">
        <v>45</v>
      </c>
      <c r="AE85" s="476" t="s">
        <v>22</v>
      </c>
      <c r="AF85" s="99" t="s">
        <v>119</v>
      </c>
      <c r="AG85" s="99" t="s">
        <v>157</v>
      </c>
      <c r="AH85" s="451" t="s">
        <v>131</v>
      </c>
      <c r="AI85" s="154">
        <v>45139</v>
      </c>
      <c r="AJ85" s="100" t="str">
        <f>IF(AI85&gt;0,
(IF(AI85&lt;Hónapok!$A$10,Admin!$A$28,
(IF(AI85&lt;Hónapok!$A$22,Admin!$B$28,
(IF(AI85&lt;Hónapok!$A$34,Admin!$C$28,
(IF(AI85&lt;Hónapok!$A$46,Admin!$D$28,"")))))))),"")</f>
        <v>3. mérföldkő</v>
      </c>
      <c r="AK85" s="470" t="s">
        <v>7</v>
      </c>
      <c r="AL85" s="101" t="s">
        <v>26</v>
      </c>
      <c r="AM85" s="900">
        <f>653000-1</f>
        <v>652999</v>
      </c>
      <c r="AN85" s="860">
        <f t="shared" si="213"/>
        <v>84890</v>
      </c>
      <c r="AO85" s="101">
        <v>174</v>
      </c>
      <c r="AP85" s="111">
        <v>115</v>
      </c>
      <c r="AQ85" s="454">
        <f t="shared" si="214"/>
        <v>0.66091954022988508</v>
      </c>
      <c r="AR85" s="455">
        <f t="shared" si="215"/>
        <v>431580</v>
      </c>
      <c r="AS85" s="455">
        <f t="shared" si="216"/>
        <v>56105</v>
      </c>
      <c r="AT85" s="102">
        <f t="shared" si="217"/>
        <v>-3.0803940787027528E-7</v>
      </c>
      <c r="AU85" s="116">
        <v>0.13</v>
      </c>
      <c r="AV85" s="565" t="str">
        <f>VLOOKUP(LEFT(AB85,10),Törzsszám!$A$1:$B$908,2,0)</f>
        <v>10000872</v>
      </c>
      <c r="AW85" s="681">
        <f t="shared" ca="1" si="218"/>
        <v>0</v>
      </c>
      <c r="AX85" s="471" t="s">
        <v>4613</v>
      </c>
      <c r="AY85" s="503"/>
      <c r="AZ85" s="504"/>
      <c r="BA85" s="671"/>
      <c r="BB85" s="649"/>
      <c r="BC85" s="649"/>
      <c r="BD85" s="672"/>
      <c r="BE85" s="450" t="s">
        <v>197</v>
      </c>
    </row>
    <row r="86" spans="1:57" s="463" customFormat="1" ht="31.5" x14ac:dyDescent="0.25">
      <c r="A86" s="694" t="str">
        <f ca="1">Bérköltség!$B86</f>
        <v>FEOR</v>
      </c>
      <c r="B86" s="694" t="str">
        <f ca="1">IFERROR(
IF(AND(Bérköltség!$F86="",H86="NA"),"HIÁNYOS ADATOK",
IF(Bérköltség!$F86&lt;Bérköltség!$U86,Admin!$B$18,Admin!$B$17)),
"")</f>
        <v>FEOR</v>
      </c>
      <c r="C86" s="437">
        <f>IFERROR(INDEX('Historikus berek_2021-2'!$A$1:$F$903,MATCH(AB86,'Historikus berek_2021-2'!$A$1:$A$903,0),4),"")</f>
        <v>550000</v>
      </c>
      <c r="D86" s="438">
        <f t="shared" ref="D86:D88" si="219">IFERROR(C86*AQ86,"NA")</f>
        <v>391954.02298850578</v>
      </c>
      <c r="E86" s="437">
        <f t="shared" ref="E86:E88" si="220">AR86</f>
        <v>431149</v>
      </c>
      <c r="F86" s="439">
        <f t="shared" ref="F86:F88" si="221">IFERROR(IF((E86*(1+AU86)-D86*(1+AU86))&lt;0,0,(E86*(1+AU86)-D86*(1+AU86))),"")</f>
        <v>44290.32402298844</v>
      </c>
      <c r="G86" s="440">
        <f t="shared" ref="G86:G88" si="222">IFERROR((E86*(1+AU86)-F86),"")</f>
        <v>442908.0459770115</v>
      </c>
      <c r="H86" s="441">
        <f>IFERROR(INDEX('FEOR kodok'!$A$2:$J$1126,MATCH(Bérköltség!AB86,'FEOR kodok'!$B$2:$B$1126,0),8),"NA")</f>
        <v>2117</v>
      </c>
      <c r="I86" s="436">
        <f ca="1">IFERROR(INDEX('FEOR kodok'!$A$2:$J$1126,MATCH(Bérköltség!AB86,'FEOR kodok'!$B$2:$B$1126,0),10),"NA")</f>
        <v>44</v>
      </c>
      <c r="J86" s="442" t="str">
        <f t="shared" ref="J86:J88" ca="1" si="223">IF(I86="NA","NA",
IF(I86&lt;30,"30 év alatt",
IF(AND(I86&gt;=30,I86&lt;=39),"30–39 éves",
IF(AND(I86&gt;=40,I86&lt;=49),"40–49 éves",
IF(I86&gt;=50,"50 év és afelett",
"")))))</f>
        <v>40–49 éves</v>
      </c>
      <c r="K86" s="436" t="str">
        <f>IFERROR(INDEX(admin_feor[#All],MATCH(Bérköltség!H86,admin_feor[[#All],[Foglalkozás]],0),2),"NA")</f>
        <v>Vegyészmérnök</v>
      </c>
      <c r="L86" s="438">
        <f ca="1">IFERROR(
INDEX('Admin - FEOR'!$A$4:$F$465,MATCH(Bérköltség!H86,'Admin - FEOR'!$A$4:$A$465,0),
IF(J86="30 év alatt",3,
IF(J86="30–39 éves",4,
IF(J86="40–49 éves",5,
IF(J86="50 év és afelett",6
)))))*1,"NA")</f>
        <v>824591</v>
      </c>
      <c r="M86" s="438">
        <f t="shared" ref="M86:M88" si="224">AM86</f>
        <v>605000</v>
      </c>
      <c r="N86" s="443">
        <f t="shared" ref="N86:N88" ca="1" si="225">IFERROR(
M86/L86,"NA")</f>
        <v>0.73369706921370714</v>
      </c>
      <c r="O86" s="438">
        <f ca="1">IFERROR(
INDEX('Admin - FEOR'!$A$4:$F$465,MATCH(Bérköltség!H86,'Admin - FEOR'!$A$4:$A$465,0),
IF(J86="30 év alatt",3,
IF(J86="30–39 éves",4,
IF(J86="40–49 éves",5,
IF(J86="50 év és afelett",6
)))))*1.5,"NA")</f>
        <v>1236886.5</v>
      </c>
      <c r="P86" s="438">
        <f t="shared" ref="P86:P88" ca="1" si="226">IFERROR(
AQ86*O86,"NA")</f>
        <v>881459.3448275862</v>
      </c>
      <c r="Q86" s="438">
        <f t="shared" ref="Q86:Q88" si="227">IFERROR(AR86,"")</f>
        <v>431149</v>
      </c>
      <c r="R86" s="444">
        <f t="shared" ref="R86:R88" si="228">IFERROR(AQ86,"")</f>
        <v>0.71264367816091956</v>
      </c>
      <c r="S86" s="438">
        <f t="shared" ref="S86:S88" ca="1" si="229">IFERROR(
IF(AR86-P86&lt;0,0,AR86-P86),"NA")</f>
        <v>0</v>
      </c>
      <c r="T86" s="438">
        <f t="shared" ref="T86:T88" ca="1" si="230">IFERROR(
S86*AU86,"NA")</f>
        <v>0</v>
      </c>
      <c r="U86" s="445">
        <f t="shared" ref="U86:U88" ca="1" si="231">IFERROR(
S86+T86,"NA")</f>
        <v>0</v>
      </c>
      <c r="V86" s="446">
        <f t="shared" ref="V86:V88" ca="1" si="232">IFERROR(
IF(U86&gt;0,AR86+AS86-U86,AR86+AS86),"NA")</f>
        <v>487198</v>
      </c>
      <c r="W86" s="447" t="str">
        <f t="shared" ref="W86:W88" ca="1" si="233">IF(P86="NA","FEOR hiányzik",
IF(AND(N86&gt;1,A86="FEOR"),CONCATENATE("Indoklás szükséges mivel a FEOR: ",ROUND(N86*100,1),"%"),"Nem szükséges indoklás.")
)</f>
        <v>Nem szükséges indoklás.</v>
      </c>
      <c r="X86" s="571">
        <f t="shared" ref="X86:X88" ca="1" si="234">IF(A86="FEOR",U86,IF(A86="HIÁNYOS ADATOK","HIÁNYOS ADATOK",F86))</f>
        <v>0</v>
      </c>
      <c r="Y86" s="554">
        <f t="shared" ref="Y86:Y88" ca="1" si="235">IF(A86="FEOR",ROUND(V86/(1+AU86),0),IF(A86="HIÁNYOS ADATOK","HIÁNYOS ADATOK",ROUND(G86/(1+AU86),0)))</f>
        <v>431149</v>
      </c>
      <c r="Z86" s="555">
        <f t="shared" ref="Z86:Z88" ca="1" si="236">IF(A86="FEOR",ROUND(V86-Y86,0),IF(A86="HIÁNYOS ADATOK","HIÁNYOS ADATOK",ROUND(G86-Y86,0)))</f>
        <v>56049</v>
      </c>
      <c r="AA86" s="477"/>
      <c r="AB86" s="477">
        <v>8412171462</v>
      </c>
      <c r="AC86" s="475" t="s">
        <v>210</v>
      </c>
      <c r="AD86" s="483" t="s">
        <v>45</v>
      </c>
      <c r="AE86" s="476" t="s">
        <v>22</v>
      </c>
      <c r="AF86" s="99" t="s">
        <v>119</v>
      </c>
      <c r="AG86" s="99" t="s">
        <v>157</v>
      </c>
      <c r="AH86" s="451" t="s">
        <v>131</v>
      </c>
      <c r="AI86" s="154">
        <v>45170</v>
      </c>
      <c r="AJ86" s="100" t="str">
        <f>IF(AI86&gt;0,
(IF(AI86&lt;Hónapok!$A$10,Admin!$A$28,
(IF(AI86&lt;Hónapok!$A$22,Admin!$B$28,
(IF(AI86&lt;Hónapok!$A$34,Admin!$C$28,
(IF(AI86&lt;Hónapok!$A$46,Admin!$D$28,"")))))))),"")</f>
        <v>3. mérföldkő</v>
      </c>
      <c r="AK86" s="470" t="s">
        <v>7</v>
      </c>
      <c r="AL86" s="101" t="s">
        <v>26</v>
      </c>
      <c r="AM86" s="900">
        <v>605000</v>
      </c>
      <c r="AN86" s="860">
        <f t="shared" ref="AN86:AN88" si="237">IFERROR(ROUND(AM86*AU86,0),"")</f>
        <v>78650</v>
      </c>
      <c r="AO86" s="101">
        <v>174</v>
      </c>
      <c r="AP86" s="111">
        <v>124</v>
      </c>
      <c r="AQ86" s="454">
        <f t="shared" ref="AQ86:AQ88" si="238">IFERROR(AP86/AO86,"")</f>
        <v>0.71264367816091956</v>
      </c>
      <c r="AR86" s="455">
        <f t="shared" ref="AR86:AR88" si="239">IFERROR(ROUND(AM86*AP86/AO86,0),"")</f>
        <v>431149</v>
      </c>
      <c r="AS86" s="455">
        <f t="shared" ref="AS86:AS88" si="240">IFERROR(ROUND(AR86*AU86,0),"")</f>
        <v>56049</v>
      </c>
      <c r="AT86" s="102">
        <f t="shared" ref="AT86:AT88" si="241">IFERROR(AP86/AO86-AR86/AM86,"")</f>
        <v>7.0295430798505976E-7</v>
      </c>
      <c r="AU86" s="116">
        <v>0.13</v>
      </c>
      <c r="AV86" s="565" t="str">
        <f>VLOOKUP(LEFT(AB86,10),Törzsszám!$A$1:$B$908,2,0)</f>
        <v>10000872</v>
      </c>
      <c r="AW86" s="681">
        <f t="shared" ref="AW86:AW88" ca="1" si="242">(Y86+Z86)-(AR86+AS86)</f>
        <v>0</v>
      </c>
      <c r="AX86" s="471" t="s">
        <v>4618</v>
      </c>
      <c r="AY86" s="503"/>
      <c r="AZ86" s="504"/>
      <c r="BA86" s="671"/>
      <c r="BB86" s="649"/>
      <c r="BC86" s="649"/>
      <c r="BD86" s="672"/>
      <c r="BE86" s="450" t="s">
        <v>197</v>
      </c>
    </row>
    <row r="87" spans="1:57" s="463" customFormat="1" ht="31.5" x14ac:dyDescent="0.25">
      <c r="A87" s="694" t="str">
        <f ca="1">Bérköltség!$B87</f>
        <v>FEOR</v>
      </c>
      <c r="B87" s="694" t="str">
        <f ca="1">IFERROR(
IF(AND(Bérköltség!$F87="",H87="NA"),"HIÁNYOS ADATOK",
IF(Bérköltség!$F87&lt;Bérköltség!$U87,Admin!$B$18,Admin!$B$17)),
"")</f>
        <v>FEOR</v>
      </c>
      <c r="C87" s="437">
        <f>IFERROR(INDEX('Historikus berek_2021-2'!$A$1:$F$903,MATCH(AB87,'Historikus berek_2021-2'!$A$1:$A$903,0),4),"")</f>
        <v>550000</v>
      </c>
      <c r="D87" s="438">
        <f t="shared" si="219"/>
        <v>391954.02298850578</v>
      </c>
      <c r="E87" s="437">
        <f t="shared" si="220"/>
        <v>431149</v>
      </c>
      <c r="F87" s="439">
        <f t="shared" si="221"/>
        <v>44290.32402298844</v>
      </c>
      <c r="G87" s="440">
        <f t="shared" si="222"/>
        <v>442908.0459770115</v>
      </c>
      <c r="H87" s="441">
        <f>IFERROR(INDEX('FEOR kodok'!$A$2:$J$1126,MATCH(Bérköltség!AB87,'FEOR kodok'!$B$2:$B$1126,0),8),"NA")</f>
        <v>2117</v>
      </c>
      <c r="I87" s="436">
        <f ca="1">IFERROR(INDEX('FEOR kodok'!$A$2:$J$1126,MATCH(Bérköltség!AB87,'FEOR kodok'!$B$2:$B$1126,0),10),"NA")</f>
        <v>44</v>
      </c>
      <c r="J87" s="442" t="str">
        <f t="shared" ca="1" si="223"/>
        <v>40–49 éves</v>
      </c>
      <c r="K87" s="436" t="str">
        <f>IFERROR(INDEX(admin_feor[#All],MATCH(Bérköltség!H87,admin_feor[[#All],[Foglalkozás]],0),2),"NA")</f>
        <v>Vegyészmérnök</v>
      </c>
      <c r="L87" s="438">
        <f ca="1">IFERROR(
INDEX('Admin - FEOR'!$A$4:$F$465,MATCH(Bérköltség!H87,'Admin - FEOR'!$A$4:$A$465,0),
IF(J87="30 év alatt",3,
IF(J87="30–39 éves",4,
IF(J87="40–49 éves",5,
IF(J87="50 év és afelett",6
)))))*1,"NA")</f>
        <v>824591</v>
      </c>
      <c r="M87" s="438">
        <f t="shared" si="224"/>
        <v>605000</v>
      </c>
      <c r="N87" s="443">
        <f t="shared" ca="1" si="225"/>
        <v>0.73369706921370714</v>
      </c>
      <c r="O87" s="438">
        <f ca="1">IFERROR(
INDEX('Admin - FEOR'!$A$4:$F$465,MATCH(Bérköltség!H87,'Admin - FEOR'!$A$4:$A$465,0),
IF(J87="30 év alatt",3,
IF(J87="30–39 éves",4,
IF(J87="40–49 éves",5,
IF(J87="50 év és afelett",6
)))))*1.5,"NA")</f>
        <v>1236886.5</v>
      </c>
      <c r="P87" s="438">
        <f t="shared" ca="1" si="226"/>
        <v>881459.3448275862</v>
      </c>
      <c r="Q87" s="438">
        <f t="shared" si="227"/>
        <v>431149</v>
      </c>
      <c r="R87" s="444">
        <f t="shared" si="228"/>
        <v>0.71264367816091956</v>
      </c>
      <c r="S87" s="438">
        <f t="shared" ca="1" si="229"/>
        <v>0</v>
      </c>
      <c r="T87" s="438">
        <f t="shared" ca="1" si="230"/>
        <v>0</v>
      </c>
      <c r="U87" s="445">
        <f t="shared" ca="1" si="231"/>
        <v>0</v>
      </c>
      <c r="V87" s="446">
        <f t="shared" ca="1" si="232"/>
        <v>487198</v>
      </c>
      <c r="W87" s="447" t="str">
        <f t="shared" ca="1" si="233"/>
        <v>Nem szükséges indoklás.</v>
      </c>
      <c r="X87" s="571">
        <f t="shared" ca="1" si="234"/>
        <v>0</v>
      </c>
      <c r="Y87" s="554">
        <f t="shared" ca="1" si="235"/>
        <v>431149</v>
      </c>
      <c r="Z87" s="555">
        <f t="shared" ca="1" si="236"/>
        <v>56049</v>
      </c>
      <c r="AA87" s="477"/>
      <c r="AB87" s="477">
        <v>8412171462</v>
      </c>
      <c r="AC87" s="475" t="s">
        <v>210</v>
      </c>
      <c r="AD87" s="483" t="s">
        <v>45</v>
      </c>
      <c r="AE87" s="476" t="s">
        <v>22</v>
      </c>
      <c r="AF87" s="99" t="s">
        <v>119</v>
      </c>
      <c r="AG87" s="99" t="s">
        <v>157</v>
      </c>
      <c r="AH87" s="451" t="s">
        <v>131</v>
      </c>
      <c r="AI87" s="154">
        <v>45200</v>
      </c>
      <c r="AJ87" s="100" t="str">
        <f>IF(AI87&gt;0,
(IF(AI87&lt;Hónapok!$A$10,Admin!$A$28,
(IF(AI87&lt;Hónapok!$A$22,Admin!$B$28,
(IF(AI87&lt;Hónapok!$A$34,Admin!$C$28,
(IF(AI87&lt;Hónapok!$A$46,Admin!$D$28,"")))))))),"")</f>
        <v>3. mérföldkő</v>
      </c>
      <c r="AK87" s="470" t="s">
        <v>8</v>
      </c>
      <c r="AL87" s="101" t="s">
        <v>26</v>
      </c>
      <c r="AM87" s="900">
        <v>605000</v>
      </c>
      <c r="AN87" s="860">
        <f t="shared" si="237"/>
        <v>78650</v>
      </c>
      <c r="AO87" s="101">
        <v>174</v>
      </c>
      <c r="AP87" s="111">
        <v>124</v>
      </c>
      <c r="AQ87" s="454">
        <f t="shared" si="238"/>
        <v>0.71264367816091956</v>
      </c>
      <c r="AR87" s="455">
        <f t="shared" si="239"/>
        <v>431149</v>
      </c>
      <c r="AS87" s="455">
        <f t="shared" si="240"/>
        <v>56049</v>
      </c>
      <c r="AT87" s="102">
        <f t="shared" si="241"/>
        <v>7.0295430798505976E-7</v>
      </c>
      <c r="AU87" s="116">
        <v>0.13</v>
      </c>
      <c r="AV87" s="565" t="str">
        <f>VLOOKUP(LEFT(AB87,10),Törzsszám!$A$1:$B$908,2,0)</f>
        <v>10000872</v>
      </c>
      <c r="AW87" s="681">
        <f t="shared" ca="1" si="242"/>
        <v>0</v>
      </c>
      <c r="AX87" s="473"/>
      <c r="AY87" s="503"/>
      <c r="AZ87" s="504"/>
      <c r="BA87" s="671"/>
      <c r="BB87" s="649"/>
      <c r="BC87" s="649"/>
      <c r="BD87" s="672"/>
      <c r="BE87" s="450" t="s">
        <v>197</v>
      </c>
    </row>
    <row r="88" spans="1:57" s="463" customFormat="1" ht="31.5" x14ac:dyDescent="0.25">
      <c r="A88" s="694" t="str">
        <f ca="1">Bérköltség!$B88</f>
        <v>FEOR</v>
      </c>
      <c r="B88" s="694" t="str">
        <f ca="1">IFERROR(
IF(AND(Bérköltség!$F88="",H88="NA"),"HIÁNYOS ADATOK",
IF(Bérköltség!$F88&lt;Bérköltség!$U88,Admin!$B$18,Admin!$B$17)),
"")</f>
        <v>FEOR</v>
      </c>
      <c r="C88" s="437">
        <f>IFERROR(INDEX('Historikus berek_2021-2'!$A$1:$F$903,MATCH(AB88,'Historikus berek_2021-2'!$A$1:$A$903,0),4),"")</f>
        <v>550000</v>
      </c>
      <c r="D88" s="438">
        <f t="shared" si="219"/>
        <v>391954.02298850578</v>
      </c>
      <c r="E88" s="437">
        <f t="shared" si="220"/>
        <v>431149</v>
      </c>
      <c r="F88" s="439">
        <f t="shared" si="221"/>
        <v>44290.32402298844</v>
      </c>
      <c r="G88" s="440">
        <f t="shared" si="222"/>
        <v>442908.0459770115</v>
      </c>
      <c r="H88" s="441">
        <f>IFERROR(INDEX('FEOR kodok'!$A$2:$J$1126,MATCH(Bérköltség!AB88,'FEOR kodok'!$B$2:$B$1126,0),8),"NA")</f>
        <v>2117</v>
      </c>
      <c r="I88" s="436">
        <f ca="1">IFERROR(INDEX('FEOR kodok'!$A$2:$J$1126,MATCH(Bérköltség!AB88,'FEOR kodok'!$B$2:$B$1126,0),10),"NA")</f>
        <v>44</v>
      </c>
      <c r="J88" s="442" t="str">
        <f t="shared" ca="1" si="223"/>
        <v>40–49 éves</v>
      </c>
      <c r="K88" s="436" t="str">
        <f>IFERROR(INDEX(admin_feor[#All],MATCH(Bérköltség!H88,admin_feor[[#All],[Foglalkozás]],0),2),"NA")</f>
        <v>Vegyészmérnök</v>
      </c>
      <c r="L88" s="438">
        <f ca="1">IFERROR(
INDEX('Admin - FEOR'!$A$4:$F$465,MATCH(Bérköltség!H88,'Admin - FEOR'!$A$4:$A$465,0),
IF(J88="30 év alatt",3,
IF(J88="30–39 éves",4,
IF(J88="40–49 éves",5,
IF(J88="50 év és afelett",6
)))))*1,"NA")</f>
        <v>824591</v>
      </c>
      <c r="M88" s="438">
        <f t="shared" si="224"/>
        <v>605000</v>
      </c>
      <c r="N88" s="443">
        <f t="shared" ca="1" si="225"/>
        <v>0.73369706921370714</v>
      </c>
      <c r="O88" s="438">
        <f ca="1">IFERROR(
INDEX('Admin - FEOR'!$A$4:$F$465,MATCH(Bérköltség!H88,'Admin - FEOR'!$A$4:$A$465,0),
IF(J88="30 év alatt",3,
IF(J88="30–39 éves",4,
IF(J88="40–49 éves",5,
IF(J88="50 év és afelett",6
)))))*1.5,"NA")</f>
        <v>1236886.5</v>
      </c>
      <c r="P88" s="438">
        <f t="shared" ca="1" si="226"/>
        <v>881459.3448275862</v>
      </c>
      <c r="Q88" s="438">
        <f t="shared" si="227"/>
        <v>431149</v>
      </c>
      <c r="R88" s="444">
        <f t="shared" si="228"/>
        <v>0.71264367816091956</v>
      </c>
      <c r="S88" s="438">
        <f t="shared" ca="1" si="229"/>
        <v>0</v>
      </c>
      <c r="T88" s="438">
        <f t="shared" ca="1" si="230"/>
        <v>0</v>
      </c>
      <c r="U88" s="445">
        <f t="shared" ca="1" si="231"/>
        <v>0</v>
      </c>
      <c r="V88" s="446">
        <f t="shared" ca="1" si="232"/>
        <v>487198</v>
      </c>
      <c r="W88" s="447" t="str">
        <f t="shared" ca="1" si="233"/>
        <v>Nem szükséges indoklás.</v>
      </c>
      <c r="X88" s="571">
        <f t="shared" ca="1" si="234"/>
        <v>0</v>
      </c>
      <c r="Y88" s="554">
        <f t="shared" ca="1" si="235"/>
        <v>431149</v>
      </c>
      <c r="Z88" s="555">
        <f t="shared" ca="1" si="236"/>
        <v>56049</v>
      </c>
      <c r="AA88" s="477"/>
      <c r="AB88" s="477">
        <v>8412171462</v>
      </c>
      <c r="AC88" s="475" t="s">
        <v>210</v>
      </c>
      <c r="AD88" s="483" t="s">
        <v>45</v>
      </c>
      <c r="AE88" s="476" t="s">
        <v>22</v>
      </c>
      <c r="AF88" s="99" t="s">
        <v>119</v>
      </c>
      <c r="AG88" s="99" t="s">
        <v>157</v>
      </c>
      <c r="AH88" s="451" t="s">
        <v>131</v>
      </c>
      <c r="AI88" s="154">
        <v>45231</v>
      </c>
      <c r="AJ88" s="100" t="str">
        <f>IF(AI88&gt;0,
(IF(AI88&lt;Hónapok!$A$10,Admin!$A$28,
(IF(AI88&lt;Hónapok!$A$22,Admin!$B$28,
(IF(AI88&lt;Hónapok!$A$34,Admin!$C$28,
(IF(AI88&lt;Hónapok!$A$46,Admin!$D$28,"")))))))),"")</f>
        <v>3. mérföldkő</v>
      </c>
      <c r="AK88" s="470" t="s">
        <v>8</v>
      </c>
      <c r="AL88" s="101" t="s">
        <v>26</v>
      </c>
      <c r="AM88" s="900">
        <v>605000</v>
      </c>
      <c r="AN88" s="860">
        <f t="shared" si="237"/>
        <v>78650</v>
      </c>
      <c r="AO88" s="101">
        <v>174</v>
      </c>
      <c r="AP88" s="111">
        <v>124</v>
      </c>
      <c r="AQ88" s="454">
        <f t="shared" si="238"/>
        <v>0.71264367816091956</v>
      </c>
      <c r="AR88" s="455">
        <f t="shared" si="239"/>
        <v>431149</v>
      </c>
      <c r="AS88" s="455">
        <f t="shared" si="240"/>
        <v>56049</v>
      </c>
      <c r="AT88" s="102">
        <f t="shared" si="241"/>
        <v>7.0295430798505976E-7</v>
      </c>
      <c r="AU88" s="116">
        <v>0.13</v>
      </c>
      <c r="AV88" s="565" t="str">
        <f>VLOOKUP(LEFT(AB88,10),Törzsszám!$A$1:$B$908,2,0)</f>
        <v>10000872</v>
      </c>
      <c r="AW88" s="681">
        <f t="shared" ca="1" si="242"/>
        <v>0</v>
      </c>
      <c r="AX88" s="473"/>
      <c r="AY88" s="503"/>
      <c r="AZ88" s="504"/>
      <c r="BA88" s="671"/>
      <c r="BB88" s="649"/>
      <c r="BC88" s="649"/>
      <c r="BD88" s="672"/>
      <c r="BE88" s="450" t="s">
        <v>197</v>
      </c>
    </row>
    <row r="89" spans="1:57" s="463" customFormat="1" ht="31.5" x14ac:dyDescent="0.25">
      <c r="A89" s="694" t="str">
        <f ca="1">Bérköltség!$B89</f>
        <v>FEOR</v>
      </c>
      <c r="B89" s="694" t="str">
        <f ca="1">IFERROR(
IF(AND(Bérköltség!$F89="",H89="NA"),"HIÁNYOS ADATOK",
IF(Bérköltség!$F89&lt;Bérköltség!$U89,Admin!$B$18,Admin!$B$17)),
"")</f>
        <v>FEOR</v>
      </c>
      <c r="C89" s="437">
        <f>IFERROR(INDEX('Historikus berek_2021-2'!$A$1:$F$903,MATCH(AB89,'Historikus berek_2021-2'!$A$1:$A$903,0),4),"")</f>
        <v>367500</v>
      </c>
      <c r="D89" s="438">
        <f t="shared" si="5"/>
        <v>164741.37931034484</v>
      </c>
      <c r="E89" s="437">
        <f t="shared" si="6"/>
        <v>24451</v>
      </c>
      <c r="F89" s="439">
        <f t="shared" si="7"/>
        <v>0</v>
      </c>
      <c r="G89" s="440">
        <f t="shared" si="8"/>
        <v>27629.629999999997</v>
      </c>
      <c r="H89" s="441">
        <f>IFERROR(INDEX('FEOR kodok'!$A$2:$J$1126,MATCH(Bérköltség!AB89,'FEOR kodok'!$B$2:$B$1126,0),8),"NA")</f>
        <v>2117</v>
      </c>
      <c r="I89" s="436">
        <f ca="1">IFERROR(INDEX('FEOR kodok'!$A$2:$J$1126,MATCH(Bérköltség!AB89,'FEOR kodok'!$B$2:$B$1126,0),10),"NA")</f>
        <v>34</v>
      </c>
      <c r="J89" s="442" t="str">
        <f t="shared" ca="1" si="9"/>
        <v>30–39 éves</v>
      </c>
      <c r="K89" s="436" t="str">
        <f>IFERROR(INDEX(admin_feor[#All],MATCH(Bérköltség!H89,admin_feor[[#All],[Foglalkozás]],0),2),"NA")</f>
        <v>Vegyészmérnök</v>
      </c>
      <c r="L89" s="438">
        <f ca="1">IFERROR(
INDEX('Admin - FEOR'!$A$4:$F$465,MATCH(Bérköltség!H89,'Admin - FEOR'!$A$4:$A$465,0),
IF(J89="30 év alatt",3,
IF(J89="30–39 éves",4,
IF(J89="40–49 éves",5,
IF(J89="50 év és afelett",6
)))))*1,"NA")</f>
        <v>696588</v>
      </c>
      <c r="M89" s="438">
        <f t="shared" si="10"/>
        <v>54545</v>
      </c>
      <c r="N89" s="443">
        <f t="shared" ca="1" si="11"/>
        <v>7.8303100254382793E-2</v>
      </c>
      <c r="O89" s="438">
        <f ca="1">IFERROR(
INDEX('Admin - FEOR'!$A$4:$F$465,MATCH(Bérköltség!H89,'Admin - FEOR'!$A$4:$A$465,0),
IF(J89="30 év alatt",3,
IF(J89="30–39 éves",4,
IF(J89="40–49 éves",5,
IF(J89="50 év és afelett",6
)))))*1.5,"NA")</f>
        <v>1044882</v>
      </c>
      <c r="P89" s="438">
        <f t="shared" ca="1" si="12"/>
        <v>468395.37931034481</v>
      </c>
      <c r="Q89" s="438">
        <f t="shared" si="13"/>
        <v>24451</v>
      </c>
      <c r="R89" s="444">
        <f t="shared" si="14"/>
        <v>0.44827586206896552</v>
      </c>
      <c r="S89" s="438">
        <f t="shared" ca="1" si="15"/>
        <v>0</v>
      </c>
      <c r="T89" s="438">
        <f t="shared" ca="1" si="16"/>
        <v>0</v>
      </c>
      <c r="U89" s="445">
        <f t="shared" ca="1" si="17"/>
        <v>0</v>
      </c>
      <c r="V89" s="446">
        <f t="shared" ca="1" si="18"/>
        <v>27630</v>
      </c>
      <c r="W89" s="447" t="str">
        <f t="shared" ca="1" si="19"/>
        <v>Nem szükséges indoklás.</v>
      </c>
      <c r="X89" s="571">
        <f t="shared" ca="1" si="20"/>
        <v>0</v>
      </c>
      <c r="Y89" s="554">
        <f t="shared" ca="1" si="21"/>
        <v>24451</v>
      </c>
      <c r="Z89" s="555">
        <f t="shared" ca="1" si="22"/>
        <v>3179</v>
      </c>
      <c r="AA89" s="573">
        <v>2</v>
      </c>
      <c r="AB89" s="530">
        <v>8447772748</v>
      </c>
      <c r="AC89" s="532" t="s">
        <v>214</v>
      </c>
      <c r="AD89" s="483" t="s">
        <v>45</v>
      </c>
      <c r="AE89" s="534" t="s">
        <v>22</v>
      </c>
      <c r="AF89" s="99" t="s">
        <v>119</v>
      </c>
      <c r="AG89" s="99" t="s">
        <v>128</v>
      </c>
      <c r="AH89" s="451" t="s">
        <v>131</v>
      </c>
      <c r="AI89" s="559" t="s">
        <v>4609</v>
      </c>
      <c r="AJ89" s="100" t="s">
        <v>99</v>
      </c>
      <c r="AK89" s="535" t="s">
        <v>7</v>
      </c>
      <c r="AL89" s="115" t="s">
        <v>26</v>
      </c>
      <c r="AM89" s="906">
        <f>ROUND(400000/22*3,0)</f>
        <v>54545</v>
      </c>
      <c r="AN89" s="863">
        <f t="shared" si="166"/>
        <v>7091</v>
      </c>
      <c r="AO89" s="101">
        <v>174</v>
      </c>
      <c r="AP89" s="111">
        <v>78</v>
      </c>
      <c r="AQ89" s="884">
        <f t="shared" si="167"/>
        <v>0.44827586206896552</v>
      </c>
      <c r="AR89" s="455">
        <f t="shared" si="168"/>
        <v>24451</v>
      </c>
      <c r="AS89" s="455">
        <f t="shared" si="169"/>
        <v>3179</v>
      </c>
      <c r="AT89" s="102">
        <f t="shared" si="170"/>
        <v>3.7931350577169454E-6</v>
      </c>
      <c r="AU89" s="116">
        <v>0.13</v>
      </c>
      <c r="AV89" s="565" t="str">
        <f>VLOOKUP(LEFT(AB89,10),Törzsszám!$A$1:$B$908,2,0)</f>
        <v>10001795</v>
      </c>
      <c r="AW89" s="615">
        <f t="shared" ca="1" si="24"/>
        <v>0</v>
      </c>
      <c r="AX89" s="540" t="s">
        <v>228</v>
      </c>
      <c r="AY89" s="664"/>
      <c r="AZ89" s="799" t="s">
        <v>4607</v>
      </c>
      <c r="BA89" s="673">
        <v>179310</v>
      </c>
      <c r="BB89" s="650">
        <v>23310</v>
      </c>
      <c r="BC89" s="649">
        <f t="shared" ref="BC89:BD93" ca="1" si="243">Y89-BA89</f>
        <v>-154859</v>
      </c>
      <c r="BD89" s="672">
        <f t="shared" ca="1" si="243"/>
        <v>-20131</v>
      </c>
      <c r="BE89" s="143" t="s">
        <v>197</v>
      </c>
    </row>
    <row r="90" spans="1:57" s="463" customFormat="1" ht="31.5" x14ac:dyDescent="0.25">
      <c r="A90" s="694" t="str">
        <f ca="1">Bérköltség!$B90</f>
        <v>FEOR</v>
      </c>
      <c r="B90" s="694" t="str">
        <f ca="1">IFERROR(
IF(AND(Bérköltség!$F90="",H90="NA"),"HIÁNYOS ADATOK",
IF(Bérköltség!$F90&lt;Bérköltség!$U90,Admin!$B$18,Admin!$B$17)),
"")</f>
        <v>FEOR</v>
      </c>
      <c r="C90" s="437">
        <f>IFERROR(INDEX('Historikus berek_2021-2'!$A$1:$F$903,MATCH(AB90,'Historikus berek_2021-2'!$A$1:$A$903,0),4),"")</f>
        <v>367500</v>
      </c>
      <c r="D90" s="438">
        <f t="shared" si="5"/>
        <v>164741.37931034484</v>
      </c>
      <c r="E90" s="437">
        <f t="shared" si="6"/>
        <v>179310</v>
      </c>
      <c r="F90" s="439">
        <f t="shared" si="7"/>
        <v>16462.541379310336</v>
      </c>
      <c r="G90" s="440">
        <f t="shared" si="8"/>
        <v>186157.75862068965</v>
      </c>
      <c r="H90" s="441">
        <f>IFERROR(INDEX('FEOR kodok'!$A$2:$J$1126,MATCH(Bérköltség!AB90,'FEOR kodok'!$B$2:$B$1126,0),8),"NA")</f>
        <v>2117</v>
      </c>
      <c r="I90" s="436">
        <f ca="1">IFERROR(INDEX('FEOR kodok'!$A$2:$J$1126,MATCH(Bérköltség!AB90,'FEOR kodok'!$B$2:$B$1126,0),10),"NA")</f>
        <v>34</v>
      </c>
      <c r="J90" s="442" t="str">
        <f t="shared" ca="1" si="9"/>
        <v>30–39 éves</v>
      </c>
      <c r="K90" s="436" t="str">
        <f>IFERROR(INDEX(admin_feor[#All],MATCH(Bérköltség!H90,admin_feor[[#All],[Foglalkozás]],0),2),"NA")</f>
        <v>Vegyészmérnök</v>
      </c>
      <c r="L90" s="438">
        <f ca="1">IFERROR(
INDEX('Admin - FEOR'!$A$4:$F$465,MATCH(Bérköltség!H90,'Admin - FEOR'!$A$4:$A$465,0),
IF(J90="30 év alatt",3,
IF(J90="30–39 éves",4,
IF(J90="40–49 éves",5,
IF(J90="50 év és afelett",6
)))))*1,"NA")</f>
        <v>696588</v>
      </c>
      <c r="M90" s="438">
        <f t="shared" si="10"/>
        <v>400000</v>
      </c>
      <c r="N90" s="443">
        <f t="shared" ca="1" si="11"/>
        <v>0.57422752042814407</v>
      </c>
      <c r="O90" s="438">
        <f ca="1">IFERROR(
INDEX('Admin - FEOR'!$A$4:$F$465,MATCH(Bérköltség!H90,'Admin - FEOR'!$A$4:$A$465,0),
IF(J90="30 év alatt",3,
IF(J90="30–39 éves",4,
IF(J90="40–49 éves",5,
IF(J90="50 év és afelett",6
)))))*1.5,"NA")</f>
        <v>1044882</v>
      </c>
      <c r="P90" s="438">
        <f t="shared" ca="1" si="12"/>
        <v>468395.37931034481</v>
      </c>
      <c r="Q90" s="438">
        <f t="shared" si="13"/>
        <v>179310</v>
      </c>
      <c r="R90" s="444">
        <f t="shared" si="14"/>
        <v>0.44827586206896552</v>
      </c>
      <c r="S90" s="438">
        <f t="shared" ca="1" si="15"/>
        <v>0</v>
      </c>
      <c r="T90" s="438">
        <f t="shared" ca="1" si="16"/>
        <v>0</v>
      </c>
      <c r="U90" s="445">
        <f t="shared" ca="1" si="17"/>
        <v>0</v>
      </c>
      <c r="V90" s="446">
        <f t="shared" ca="1" si="18"/>
        <v>202620</v>
      </c>
      <c r="W90" s="447" t="str">
        <f t="shared" ca="1" si="19"/>
        <v>Nem szükséges indoklás.</v>
      </c>
      <c r="X90" s="571">
        <f t="shared" ca="1" si="20"/>
        <v>0</v>
      </c>
      <c r="Y90" s="554">
        <f t="shared" ca="1" si="21"/>
        <v>179310</v>
      </c>
      <c r="Z90" s="555">
        <f t="shared" ca="1" si="22"/>
        <v>23310</v>
      </c>
      <c r="AA90" s="573">
        <v>2</v>
      </c>
      <c r="AB90" s="530">
        <v>8447772748</v>
      </c>
      <c r="AC90" s="532" t="s">
        <v>214</v>
      </c>
      <c r="AD90" s="483" t="s">
        <v>45</v>
      </c>
      <c r="AE90" s="534" t="s">
        <v>22</v>
      </c>
      <c r="AF90" s="99" t="s">
        <v>119</v>
      </c>
      <c r="AG90" s="99" t="s">
        <v>128</v>
      </c>
      <c r="AH90" s="451" t="s">
        <v>131</v>
      </c>
      <c r="AI90" s="154">
        <v>44835</v>
      </c>
      <c r="AJ90" s="100" t="str">
        <f>IF(AI90&gt;0,
(IF(AI90&lt;Hónapok!$A$10,Admin!$A$28,
(IF(AI90&lt;Hónapok!$A$22,Admin!$B$28,
(IF(AI90&lt;Hónapok!$A$34,Admin!$C$28,
(IF(AI90&lt;Hónapok!$A$46,Admin!$D$28,"")))))))),"")</f>
        <v>2. mérföldkő</v>
      </c>
      <c r="AK90" s="535" t="s">
        <v>7</v>
      </c>
      <c r="AL90" s="115" t="s">
        <v>26</v>
      </c>
      <c r="AM90" s="900">
        <v>400000</v>
      </c>
      <c r="AN90" s="860">
        <f t="shared" si="166"/>
        <v>52000</v>
      </c>
      <c r="AO90" s="101">
        <v>174</v>
      </c>
      <c r="AP90" s="111">
        <v>78</v>
      </c>
      <c r="AQ90" s="884">
        <f t="shared" si="167"/>
        <v>0.44827586206896552</v>
      </c>
      <c r="AR90" s="455">
        <f t="shared" si="168"/>
        <v>179310</v>
      </c>
      <c r="AS90" s="455">
        <f t="shared" si="169"/>
        <v>23310</v>
      </c>
      <c r="AT90" s="102">
        <f t="shared" si="170"/>
        <v>8.620689655458591E-7</v>
      </c>
      <c r="AU90" s="116">
        <v>0.13</v>
      </c>
      <c r="AV90" s="565" t="str">
        <f>VLOOKUP(LEFT(AB90,10),Törzsszám!$A$1:$B$908,2,0)</f>
        <v>10001795</v>
      </c>
      <c r="AW90" s="615">
        <f t="shared" ca="1" si="24"/>
        <v>0</v>
      </c>
      <c r="AX90" s="538" t="s">
        <v>251</v>
      </c>
      <c r="AY90" s="664"/>
      <c r="AZ90" s="799"/>
      <c r="BA90" s="673">
        <v>179310</v>
      </c>
      <c r="BB90" s="650">
        <v>23310</v>
      </c>
      <c r="BC90" s="649">
        <f t="shared" ca="1" si="243"/>
        <v>0</v>
      </c>
      <c r="BD90" s="672">
        <f t="shared" ca="1" si="243"/>
        <v>0</v>
      </c>
      <c r="BE90" s="143" t="s">
        <v>197</v>
      </c>
    </row>
    <row r="91" spans="1:57" s="463" customFormat="1" ht="31.5" x14ac:dyDescent="0.25">
      <c r="A91" s="694" t="str">
        <f ca="1">Bérköltség!$B91</f>
        <v>FEOR</v>
      </c>
      <c r="B91" s="694" t="str">
        <f ca="1">IFERROR(
IF(AND(Bérköltség!$F91="",H91="NA"),"HIÁNYOS ADATOK",
IF(Bérköltség!$F91&lt;Bérköltség!$U91,Admin!$B$18,Admin!$B$17)),
"")</f>
        <v>FEOR</v>
      </c>
      <c r="C91" s="437">
        <f>IFERROR(INDEX('Historikus berek_2021-2'!$A$1:$F$903,MATCH(AB91,'Historikus berek_2021-2'!$A$1:$A$903,0),4),"")</f>
        <v>367500</v>
      </c>
      <c r="D91" s="438">
        <f t="shared" si="5"/>
        <v>164741.37931034484</v>
      </c>
      <c r="E91" s="437">
        <f t="shared" si="6"/>
        <v>179310</v>
      </c>
      <c r="F91" s="439">
        <f t="shared" si="7"/>
        <v>16462.541379310336</v>
      </c>
      <c r="G91" s="440">
        <f t="shared" si="8"/>
        <v>186157.75862068965</v>
      </c>
      <c r="H91" s="441">
        <f>IFERROR(INDEX('FEOR kodok'!$A$2:$J$1126,MATCH(Bérköltség!AB91,'FEOR kodok'!$B$2:$B$1126,0),8),"NA")</f>
        <v>2117</v>
      </c>
      <c r="I91" s="436">
        <f ca="1">IFERROR(INDEX('FEOR kodok'!$A$2:$J$1126,MATCH(Bérköltség!AB91,'FEOR kodok'!$B$2:$B$1126,0),10),"NA")</f>
        <v>34</v>
      </c>
      <c r="J91" s="442" t="str">
        <f t="shared" ca="1" si="9"/>
        <v>30–39 éves</v>
      </c>
      <c r="K91" s="436" t="str">
        <f>IFERROR(INDEX(admin_feor[#All],MATCH(Bérköltség!H91,admin_feor[[#All],[Foglalkozás]],0),2),"NA")</f>
        <v>Vegyészmérnök</v>
      </c>
      <c r="L91" s="438">
        <f ca="1">IFERROR(
INDEX('Admin - FEOR'!$A$4:$F$465,MATCH(Bérköltség!H91,'Admin - FEOR'!$A$4:$A$465,0),
IF(J91="30 év alatt",3,
IF(J91="30–39 éves",4,
IF(J91="40–49 éves",5,
IF(J91="50 év és afelett",6
)))))*1,"NA")</f>
        <v>696588</v>
      </c>
      <c r="M91" s="438">
        <f t="shared" si="10"/>
        <v>400000</v>
      </c>
      <c r="N91" s="443">
        <f t="shared" ca="1" si="11"/>
        <v>0.57422752042814407</v>
      </c>
      <c r="O91" s="438">
        <f ca="1">IFERROR(
INDEX('Admin - FEOR'!$A$4:$F$465,MATCH(Bérköltség!H91,'Admin - FEOR'!$A$4:$A$465,0),
IF(J91="30 év alatt",3,
IF(J91="30–39 éves",4,
IF(J91="40–49 éves",5,
IF(J91="50 év és afelett",6
)))))*1.5,"NA")</f>
        <v>1044882</v>
      </c>
      <c r="P91" s="438">
        <f t="shared" ca="1" si="12"/>
        <v>468395.37931034481</v>
      </c>
      <c r="Q91" s="438">
        <f t="shared" si="13"/>
        <v>179310</v>
      </c>
      <c r="R91" s="444">
        <f t="shared" si="14"/>
        <v>0.44827586206896552</v>
      </c>
      <c r="S91" s="438">
        <f t="shared" ca="1" si="15"/>
        <v>0</v>
      </c>
      <c r="T91" s="438">
        <f t="shared" ca="1" si="16"/>
        <v>0</v>
      </c>
      <c r="U91" s="445">
        <f t="shared" ca="1" si="17"/>
        <v>0</v>
      </c>
      <c r="V91" s="446">
        <f t="shared" ca="1" si="18"/>
        <v>202620</v>
      </c>
      <c r="W91" s="447" t="str">
        <f t="shared" ca="1" si="19"/>
        <v>Nem szükséges indoklás.</v>
      </c>
      <c r="X91" s="571">
        <f t="shared" ca="1" si="20"/>
        <v>0</v>
      </c>
      <c r="Y91" s="554">
        <f t="shared" ca="1" si="21"/>
        <v>179310</v>
      </c>
      <c r="Z91" s="555">
        <f t="shared" ca="1" si="22"/>
        <v>23310</v>
      </c>
      <c r="AA91" s="573">
        <v>2</v>
      </c>
      <c r="AB91" s="530">
        <v>8447772748</v>
      </c>
      <c r="AC91" s="532" t="s">
        <v>214</v>
      </c>
      <c r="AD91" s="483" t="s">
        <v>45</v>
      </c>
      <c r="AE91" s="534" t="s">
        <v>22</v>
      </c>
      <c r="AF91" s="99" t="s">
        <v>119</v>
      </c>
      <c r="AG91" s="99" t="s">
        <v>128</v>
      </c>
      <c r="AH91" s="451" t="s">
        <v>131</v>
      </c>
      <c r="AI91" s="154">
        <v>44866</v>
      </c>
      <c r="AJ91" s="100" t="str">
        <f>IF(AI91&gt;0,
(IF(AI91&lt;Hónapok!$A$10,Admin!$A$28,
(IF(AI91&lt;Hónapok!$A$22,Admin!$B$28,
(IF(AI91&lt;Hónapok!$A$34,Admin!$C$28,
(IF(AI91&lt;Hónapok!$A$46,Admin!$D$28,"")))))))),"")</f>
        <v>2. mérföldkő</v>
      </c>
      <c r="AK91" s="535" t="s">
        <v>7</v>
      </c>
      <c r="AL91" s="115" t="s">
        <v>26</v>
      </c>
      <c r="AM91" s="900">
        <v>400000</v>
      </c>
      <c r="AN91" s="860">
        <f t="shared" si="166"/>
        <v>52000</v>
      </c>
      <c r="AO91" s="101">
        <v>174</v>
      </c>
      <c r="AP91" s="111">
        <v>78</v>
      </c>
      <c r="AQ91" s="884">
        <f t="shared" si="167"/>
        <v>0.44827586206896552</v>
      </c>
      <c r="AR91" s="455">
        <f t="shared" si="168"/>
        <v>179310</v>
      </c>
      <c r="AS91" s="455">
        <f t="shared" si="169"/>
        <v>23310</v>
      </c>
      <c r="AT91" s="102">
        <f t="shared" si="170"/>
        <v>8.620689655458591E-7</v>
      </c>
      <c r="AU91" s="116">
        <v>0.13</v>
      </c>
      <c r="AV91" s="565" t="str">
        <f>VLOOKUP(LEFT(AB91,10),Törzsszám!$A$1:$B$908,2,0)</f>
        <v>10001795</v>
      </c>
      <c r="AW91" s="615">
        <f t="shared" ca="1" si="24"/>
        <v>0</v>
      </c>
      <c r="AX91" s="538" t="s">
        <v>260</v>
      </c>
      <c r="AY91" s="664"/>
      <c r="AZ91" s="799"/>
      <c r="BA91" s="673">
        <v>179310</v>
      </c>
      <c r="BB91" s="650">
        <v>23310</v>
      </c>
      <c r="BC91" s="649">
        <f t="shared" ca="1" si="243"/>
        <v>0</v>
      </c>
      <c r="BD91" s="672">
        <f t="shared" ca="1" si="243"/>
        <v>0</v>
      </c>
      <c r="BE91" s="143" t="s">
        <v>197</v>
      </c>
    </row>
    <row r="92" spans="1:57" s="463" customFormat="1" ht="31.5" x14ac:dyDescent="0.25">
      <c r="A92" s="694" t="str">
        <f ca="1">Bérköltség!$B92</f>
        <v>FEOR</v>
      </c>
      <c r="B92" s="694" t="str">
        <f ca="1">IFERROR(
IF(AND(Bérköltség!$F92="",H92="NA"),"HIÁNYOS ADATOK",
IF(Bérköltség!$F92&lt;Bérköltség!$U92,Admin!$B$18,Admin!$B$17)),
"")</f>
        <v>FEOR</v>
      </c>
      <c r="C92" s="437">
        <f>IFERROR(INDEX('Historikus berek_2021-2'!$A$1:$F$903,MATCH(AB92,'Historikus berek_2021-2'!$A$1:$A$903,0),4),"")</f>
        <v>367500</v>
      </c>
      <c r="D92" s="438">
        <f t="shared" si="5"/>
        <v>164741.37931034484</v>
      </c>
      <c r="E92" s="437">
        <f t="shared" si="6"/>
        <v>179310</v>
      </c>
      <c r="F92" s="439">
        <f t="shared" si="7"/>
        <v>16462.541379310336</v>
      </c>
      <c r="G92" s="440">
        <f t="shared" si="8"/>
        <v>186157.75862068965</v>
      </c>
      <c r="H92" s="441">
        <f>IFERROR(INDEX('FEOR kodok'!$A$2:$J$1126,MATCH(Bérköltség!AB92,'FEOR kodok'!$B$2:$B$1126,0),8),"NA")</f>
        <v>2117</v>
      </c>
      <c r="I92" s="436">
        <f ca="1">IFERROR(INDEX('FEOR kodok'!$A$2:$J$1126,MATCH(Bérköltség!AB92,'FEOR kodok'!$B$2:$B$1126,0),10),"NA")</f>
        <v>34</v>
      </c>
      <c r="J92" s="442" t="str">
        <f t="shared" ca="1" si="9"/>
        <v>30–39 éves</v>
      </c>
      <c r="K92" s="436" t="str">
        <f>IFERROR(INDEX(admin_feor[#All],MATCH(Bérköltség!H92,admin_feor[[#All],[Foglalkozás]],0),2),"NA")</f>
        <v>Vegyészmérnök</v>
      </c>
      <c r="L92" s="438">
        <f ca="1">IFERROR(
INDEX('Admin - FEOR'!$A$4:$F$465,MATCH(Bérköltség!H92,'Admin - FEOR'!$A$4:$A$465,0),
IF(J92="30 év alatt",3,
IF(J92="30–39 éves",4,
IF(J92="40–49 éves",5,
IF(J92="50 év és afelett",6
)))))*1,"NA")</f>
        <v>696588</v>
      </c>
      <c r="M92" s="438">
        <f t="shared" si="10"/>
        <v>400000</v>
      </c>
      <c r="N92" s="443">
        <f t="shared" ca="1" si="11"/>
        <v>0.57422752042814407</v>
      </c>
      <c r="O92" s="438">
        <f ca="1">IFERROR(
INDEX('Admin - FEOR'!$A$4:$F$465,MATCH(Bérköltség!H92,'Admin - FEOR'!$A$4:$A$465,0),
IF(J92="30 év alatt",3,
IF(J92="30–39 éves",4,
IF(J92="40–49 éves",5,
IF(J92="50 év és afelett",6
)))))*1.5,"NA")</f>
        <v>1044882</v>
      </c>
      <c r="P92" s="438">
        <f t="shared" ca="1" si="12"/>
        <v>468395.37931034481</v>
      </c>
      <c r="Q92" s="438">
        <f t="shared" si="13"/>
        <v>179310</v>
      </c>
      <c r="R92" s="444">
        <f t="shared" si="14"/>
        <v>0.44827586206896552</v>
      </c>
      <c r="S92" s="438">
        <f t="shared" ca="1" si="15"/>
        <v>0</v>
      </c>
      <c r="T92" s="438">
        <f t="shared" ca="1" si="16"/>
        <v>0</v>
      </c>
      <c r="U92" s="445">
        <f t="shared" ca="1" si="17"/>
        <v>0</v>
      </c>
      <c r="V92" s="446">
        <f t="shared" ca="1" si="18"/>
        <v>202620</v>
      </c>
      <c r="W92" s="447" t="str">
        <f t="shared" ca="1" si="19"/>
        <v>Nem szükséges indoklás.</v>
      </c>
      <c r="X92" s="571">
        <f t="shared" ca="1" si="20"/>
        <v>0</v>
      </c>
      <c r="Y92" s="554">
        <f t="shared" ca="1" si="21"/>
        <v>179310</v>
      </c>
      <c r="Z92" s="555">
        <f t="shared" ca="1" si="22"/>
        <v>23310</v>
      </c>
      <c r="AA92" s="573">
        <v>2</v>
      </c>
      <c r="AB92" s="530">
        <v>8447772748</v>
      </c>
      <c r="AC92" s="532" t="s">
        <v>214</v>
      </c>
      <c r="AD92" s="483" t="s">
        <v>45</v>
      </c>
      <c r="AE92" s="534" t="s">
        <v>22</v>
      </c>
      <c r="AF92" s="99" t="s">
        <v>119</v>
      </c>
      <c r="AG92" s="99" t="s">
        <v>128</v>
      </c>
      <c r="AH92" s="451" t="s">
        <v>131</v>
      </c>
      <c r="AI92" s="154">
        <v>44896</v>
      </c>
      <c r="AJ92" s="100" t="str">
        <f>IF(AI92&gt;0,
(IF(AI92&lt;Hónapok!$A$10,Admin!$A$28,
(IF(AI92&lt;Hónapok!$A$22,Admin!$B$28,
(IF(AI92&lt;Hónapok!$A$34,Admin!$C$28,
(IF(AI92&lt;Hónapok!$A$46,Admin!$D$28,"")))))))),"")</f>
        <v>2. mérföldkő</v>
      </c>
      <c r="AK92" s="535" t="s">
        <v>7</v>
      </c>
      <c r="AL92" s="115" t="s">
        <v>26</v>
      </c>
      <c r="AM92" s="900">
        <v>400000</v>
      </c>
      <c r="AN92" s="860">
        <f t="shared" si="166"/>
        <v>52000</v>
      </c>
      <c r="AO92" s="101">
        <v>174</v>
      </c>
      <c r="AP92" s="111">
        <v>78</v>
      </c>
      <c r="AQ92" s="884">
        <f t="shared" si="167"/>
        <v>0.44827586206896552</v>
      </c>
      <c r="AR92" s="455">
        <f t="shared" si="168"/>
        <v>179310</v>
      </c>
      <c r="AS92" s="455">
        <f t="shared" si="169"/>
        <v>23310</v>
      </c>
      <c r="AT92" s="102">
        <f t="shared" si="170"/>
        <v>8.620689655458591E-7</v>
      </c>
      <c r="AU92" s="116">
        <v>0.13</v>
      </c>
      <c r="AV92" s="565" t="str">
        <f>VLOOKUP(LEFT(AB92,10),Törzsszám!$A$1:$B$908,2,0)</f>
        <v>10001795</v>
      </c>
      <c r="AW92" s="615">
        <f t="shared" ca="1" si="24"/>
        <v>0</v>
      </c>
      <c r="AX92" s="538" t="s">
        <v>262</v>
      </c>
      <c r="AY92" s="664"/>
      <c r="AZ92" s="799"/>
      <c r="BA92" s="673">
        <v>179310</v>
      </c>
      <c r="BB92" s="650">
        <v>23310</v>
      </c>
      <c r="BC92" s="649">
        <f t="shared" ca="1" si="243"/>
        <v>0</v>
      </c>
      <c r="BD92" s="672">
        <f t="shared" ca="1" si="243"/>
        <v>0</v>
      </c>
      <c r="BE92" s="143" t="s">
        <v>197</v>
      </c>
    </row>
    <row r="93" spans="1:57" s="463" customFormat="1" ht="31.5" x14ac:dyDescent="0.25">
      <c r="A93" s="694" t="str">
        <f ca="1">Bérköltség!$B93</f>
        <v>FEOR</v>
      </c>
      <c r="B93" s="694" t="str">
        <f ca="1">IFERROR(
IF(AND(Bérköltség!$F93="",H93="NA"),"HIÁNYOS ADATOK",
IF(Bérköltség!$F93&lt;Bérköltség!$U93,Admin!$B$18,Admin!$B$17)),
"")</f>
        <v>FEOR</v>
      </c>
      <c r="C93" s="437">
        <f>IFERROR(INDEX('Historikus berek_2021-2'!$A$1:$F$903,MATCH(AB93,'Historikus berek_2021-2'!$A$1:$A$903,0),4),"")</f>
        <v>367500</v>
      </c>
      <c r="D93" s="438">
        <f t="shared" si="5"/>
        <v>143620.68965517243</v>
      </c>
      <c r="E93" s="437">
        <f t="shared" si="6"/>
        <v>179770</v>
      </c>
      <c r="F93" s="439">
        <f t="shared" si="7"/>
        <v>40848.720689655136</v>
      </c>
      <c r="G93" s="440">
        <f t="shared" si="8"/>
        <v>162291.37931034484</v>
      </c>
      <c r="H93" s="441">
        <f>IFERROR(INDEX('FEOR kodok'!$A$2:$J$1126,MATCH(Bérköltség!AB93,'FEOR kodok'!$B$2:$B$1126,0),8),"NA")</f>
        <v>2117</v>
      </c>
      <c r="I93" s="436">
        <f ca="1">IFERROR(INDEX('FEOR kodok'!$A$2:$J$1126,MATCH(Bérköltség!AB93,'FEOR kodok'!$B$2:$B$1126,0),10),"NA")</f>
        <v>34</v>
      </c>
      <c r="J93" s="442" t="str">
        <f t="shared" ca="1" si="9"/>
        <v>30–39 éves</v>
      </c>
      <c r="K93" s="436" t="str">
        <f>IFERROR(INDEX(admin_feor[#All],MATCH(Bérköltség!H93,admin_feor[[#All],[Foglalkozás]],0),2),"NA")</f>
        <v>Vegyészmérnök</v>
      </c>
      <c r="L93" s="438">
        <f ca="1">IFERROR(
INDEX('Admin - FEOR'!$A$4:$F$465,MATCH(Bérköltség!H93,'Admin - FEOR'!$A$4:$A$465,0),
IF(J93="30 év alatt",3,
IF(J93="30–39 éves",4,
IF(J93="40–49 éves",5,
IF(J93="50 év és afelett",6
)))))*1,"NA")</f>
        <v>696588</v>
      </c>
      <c r="M93" s="438">
        <f t="shared" si="10"/>
        <v>460000</v>
      </c>
      <c r="N93" s="443">
        <f t="shared" ca="1" si="11"/>
        <v>0.66036164849236567</v>
      </c>
      <c r="O93" s="438">
        <f ca="1">IFERROR(
INDEX('Admin - FEOR'!$A$4:$F$465,MATCH(Bérköltség!H93,'Admin - FEOR'!$A$4:$A$465,0),
IF(J93="30 év alatt",3,
IF(J93="30–39 éves",4,
IF(J93="40–49 éves",5,
IF(J93="50 év és afelett",6
)))))*1.5,"NA")</f>
        <v>1044882</v>
      </c>
      <c r="P93" s="438">
        <f t="shared" ca="1" si="12"/>
        <v>408344.68965517246</v>
      </c>
      <c r="Q93" s="438">
        <f t="shared" si="13"/>
        <v>179770</v>
      </c>
      <c r="R93" s="444">
        <f t="shared" si="14"/>
        <v>0.39080459770114945</v>
      </c>
      <c r="S93" s="438">
        <f t="shared" ca="1" si="15"/>
        <v>0</v>
      </c>
      <c r="T93" s="438">
        <f t="shared" ca="1" si="16"/>
        <v>0</v>
      </c>
      <c r="U93" s="445">
        <f t="shared" ca="1" si="17"/>
        <v>0</v>
      </c>
      <c r="V93" s="446">
        <f t="shared" ca="1" si="18"/>
        <v>203140</v>
      </c>
      <c r="W93" s="447" t="str">
        <f t="shared" ca="1" si="19"/>
        <v>Nem szükséges indoklás.</v>
      </c>
      <c r="X93" s="571">
        <f t="shared" ca="1" si="20"/>
        <v>0</v>
      </c>
      <c r="Y93" s="554">
        <f t="shared" ca="1" si="21"/>
        <v>179770</v>
      </c>
      <c r="Z93" s="555">
        <f t="shared" ca="1" si="22"/>
        <v>23370</v>
      </c>
      <c r="AA93" s="573">
        <v>2</v>
      </c>
      <c r="AB93" s="530">
        <v>8447772748</v>
      </c>
      <c r="AC93" s="532" t="s">
        <v>214</v>
      </c>
      <c r="AD93" s="483" t="s">
        <v>45</v>
      </c>
      <c r="AE93" s="534" t="s">
        <v>22</v>
      </c>
      <c r="AF93" s="99" t="s">
        <v>119</v>
      </c>
      <c r="AG93" s="99" t="s">
        <v>128</v>
      </c>
      <c r="AH93" s="451" t="s">
        <v>131</v>
      </c>
      <c r="AI93" s="154">
        <v>44927</v>
      </c>
      <c r="AJ93" s="100" t="str">
        <f>IF(AI93&gt;0,
(IF(AI93&lt;Hónapok!$A$10,Admin!$A$28,
(IF(AI93&lt;Hónapok!$A$22,Admin!$B$28,
(IF(AI93&lt;Hónapok!$A$34,Admin!$C$28,
(IF(AI93&lt;Hónapok!$A$46,Admin!$D$28,"")))))))),"")</f>
        <v>2. mérföldkő</v>
      </c>
      <c r="AK93" s="500" t="s">
        <v>7</v>
      </c>
      <c r="AL93" s="115" t="s">
        <v>26</v>
      </c>
      <c r="AM93" s="900">
        <v>460000</v>
      </c>
      <c r="AN93" s="860">
        <f t="shared" si="166"/>
        <v>59800</v>
      </c>
      <c r="AO93" s="101">
        <v>174</v>
      </c>
      <c r="AP93" s="111">
        <v>68</v>
      </c>
      <c r="AQ93" s="884">
        <f t="shared" si="167"/>
        <v>0.39080459770114945</v>
      </c>
      <c r="AR93" s="455">
        <f t="shared" si="168"/>
        <v>179770</v>
      </c>
      <c r="AS93" s="455">
        <f t="shared" si="169"/>
        <v>23370</v>
      </c>
      <c r="AT93" s="102">
        <f t="shared" si="170"/>
        <v>2.4987506247464708E-7</v>
      </c>
      <c r="AU93" s="116">
        <v>0.13</v>
      </c>
      <c r="AV93" s="565" t="str">
        <f>VLOOKUP(LEFT(AB93,10),Törzsszám!$A$1:$B$908,2,0)</f>
        <v>10001795</v>
      </c>
      <c r="AW93" s="615">
        <f t="shared" ca="1" si="24"/>
        <v>0</v>
      </c>
      <c r="AX93" s="538" t="s">
        <v>2518</v>
      </c>
      <c r="AY93" s="664"/>
      <c r="AZ93" s="799" t="s">
        <v>4607</v>
      </c>
      <c r="BA93" s="673">
        <v>179770</v>
      </c>
      <c r="BB93" s="650">
        <v>23370</v>
      </c>
      <c r="BC93" s="649">
        <f t="shared" ca="1" si="243"/>
        <v>0</v>
      </c>
      <c r="BD93" s="672">
        <f t="shared" ca="1" si="243"/>
        <v>0</v>
      </c>
      <c r="BE93" s="143" t="s">
        <v>197</v>
      </c>
    </row>
    <row r="94" spans="1:57" s="463" customFormat="1" ht="31.5" x14ac:dyDescent="0.25">
      <c r="A94" s="694" t="str">
        <f ca="1">Bérköltség!$B94</f>
        <v>FEOR</v>
      </c>
      <c r="B94" s="694" t="str">
        <f ca="1">IFERROR(
IF(AND(Bérköltség!$F94="",H94="NA"),"HIÁNYOS ADATOK",
IF(Bérköltség!$F94&lt;Bérköltség!$U94,Admin!$B$18,Admin!$B$17)),
"")</f>
        <v>FEOR</v>
      </c>
      <c r="C94" s="437">
        <f>IFERROR(INDEX('Historikus berek_2021-2'!$A$1:$F$903,MATCH(AB94,'Historikus berek_2021-2'!$A$1:$A$903,0),4),"")</f>
        <v>367500</v>
      </c>
      <c r="D94" s="438">
        <f t="shared" si="5"/>
        <v>143620.68965517243</v>
      </c>
      <c r="E94" s="437">
        <f t="shared" si="6"/>
        <v>179770</v>
      </c>
      <c r="F94" s="439">
        <f t="shared" si="7"/>
        <v>40848.720689655136</v>
      </c>
      <c r="G94" s="440">
        <f t="shared" si="8"/>
        <v>162291.37931034484</v>
      </c>
      <c r="H94" s="441">
        <f>IFERROR(INDEX('FEOR kodok'!$A$2:$J$1126,MATCH(Bérköltség!AB94,'FEOR kodok'!$B$2:$B$1126,0),8),"NA")</f>
        <v>2117</v>
      </c>
      <c r="I94" s="436">
        <f ca="1">IFERROR(INDEX('FEOR kodok'!$A$2:$J$1126,MATCH(Bérköltség!AB94,'FEOR kodok'!$B$2:$B$1126,0),10),"NA")</f>
        <v>34</v>
      </c>
      <c r="J94" s="442" t="str">
        <f t="shared" ca="1" si="9"/>
        <v>30–39 éves</v>
      </c>
      <c r="K94" s="436" t="str">
        <f>IFERROR(INDEX(admin_feor[#All],MATCH(Bérköltség!H94,admin_feor[[#All],[Foglalkozás]],0),2),"NA")</f>
        <v>Vegyészmérnök</v>
      </c>
      <c r="L94" s="438">
        <f ca="1">IFERROR(
INDEX('Admin - FEOR'!$A$4:$F$465,MATCH(Bérköltség!H94,'Admin - FEOR'!$A$4:$A$465,0),
IF(J94="30 év alatt",3,
IF(J94="30–39 éves",4,
IF(J94="40–49 éves",5,
IF(J94="50 év és afelett",6
)))))*1,"NA")</f>
        <v>696588</v>
      </c>
      <c r="M94" s="438">
        <f t="shared" si="10"/>
        <v>460000</v>
      </c>
      <c r="N94" s="443">
        <f t="shared" ca="1" si="11"/>
        <v>0.66036164849236567</v>
      </c>
      <c r="O94" s="438">
        <f ca="1">IFERROR(
INDEX('Admin - FEOR'!$A$4:$F$465,MATCH(Bérköltség!H94,'Admin - FEOR'!$A$4:$A$465,0),
IF(J94="30 év alatt",3,
IF(J94="30–39 éves",4,
IF(J94="40–49 éves",5,
IF(J94="50 év és afelett",6
)))))*1.5,"NA")</f>
        <v>1044882</v>
      </c>
      <c r="P94" s="438">
        <f t="shared" ca="1" si="12"/>
        <v>408344.68965517246</v>
      </c>
      <c r="Q94" s="438">
        <f t="shared" si="13"/>
        <v>179770</v>
      </c>
      <c r="R94" s="444">
        <f t="shared" si="14"/>
        <v>0.39080459770114945</v>
      </c>
      <c r="S94" s="438">
        <f t="shared" ca="1" si="15"/>
        <v>0</v>
      </c>
      <c r="T94" s="438">
        <f t="shared" ca="1" si="16"/>
        <v>0</v>
      </c>
      <c r="U94" s="445">
        <f t="shared" ca="1" si="17"/>
        <v>0</v>
      </c>
      <c r="V94" s="446">
        <f t="shared" ca="1" si="18"/>
        <v>203140</v>
      </c>
      <c r="W94" s="447" t="str">
        <f t="shared" ca="1" si="19"/>
        <v>Nem szükséges indoklás.</v>
      </c>
      <c r="X94" s="571">
        <f t="shared" ca="1" si="20"/>
        <v>0</v>
      </c>
      <c r="Y94" s="554">
        <f t="shared" ca="1" si="21"/>
        <v>179770</v>
      </c>
      <c r="Z94" s="555">
        <f t="shared" ca="1" si="22"/>
        <v>23370</v>
      </c>
      <c r="AA94" s="530"/>
      <c r="AB94" s="530">
        <v>8447772748</v>
      </c>
      <c r="AC94" s="532" t="s">
        <v>214</v>
      </c>
      <c r="AD94" s="483" t="s">
        <v>45</v>
      </c>
      <c r="AE94" s="534" t="s">
        <v>22</v>
      </c>
      <c r="AF94" s="99" t="s">
        <v>119</v>
      </c>
      <c r="AG94" s="99" t="s">
        <v>128</v>
      </c>
      <c r="AH94" s="451" t="s">
        <v>131</v>
      </c>
      <c r="AI94" s="154">
        <v>44958</v>
      </c>
      <c r="AJ94" s="100" t="str">
        <f>IF(AI94&gt;0,
(IF(AI94&lt;Hónapok!$A$10,Admin!$A$28,
(IF(AI94&lt;Hónapok!$A$22,Admin!$B$28,
(IF(AI94&lt;Hónapok!$A$34,Admin!$C$28,
(IF(AI94&lt;Hónapok!$A$46,Admin!$D$28,"")))))))),"")</f>
        <v>2. mérföldkő</v>
      </c>
      <c r="AK94" s="500" t="s">
        <v>7</v>
      </c>
      <c r="AL94" s="115" t="s">
        <v>26</v>
      </c>
      <c r="AM94" s="900">
        <v>460000</v>
      </c>
      <c r="AN94" s="860">
        <f t="shared" si="166"/>
        <v>59800</v>
      </c>
      <c r="AO94" s="101">
        <v>174</v>
      </c>
      <c r="AP94" s="111">
        <v>68</v>
      </c>
      <c r="AQ94" s="884">
        <f t="shared" si="167"/>
        <v>0.39080459770114945</v>
      </c>
      <c r="AR94" s="455">
        <f t="shared" si="168"/>
        <v>179770</v>
      </c>
      <c r="AS94" s="455">
        <f t="shared" si="169"/>
        <v>23370</v>
      </c>
      <c r="AT94" s="102">
        <f t="shared" si="170"/>
        <v>2.4987506247464708E-7</v>
      </c>
      <c r="AU94" s="116">
        <v>0.13</v>
      </c>
      <c r="AV94" s="565" t="str">
        <f>VLOOKUP(LEFT(AB94,10),Törzsszám!$A$1:$B$908,2,0)</f>
        <v>10001795</v>
      </c>
      <c r="AW94" s="615">
        <f t="shared" ca="1" si="24"/>
        <v>0</v>
      </c>
      <c r="AX94" s="537" t="s">
        <v>4557</v>
      </c>
      <c r="AY94" s="664"/>
      <c r="AZ94" s="799"/>
      <c r="BA94" s="673"/>
      <c r="BB94" s="650"/>
      <c r="BC94" s="649"/>
      <c r="BD94" s="672"/>
      <c r="BE94" s="143" t="s">
        <v>197</v>
      </c>
    </row>
    <row r="95" spans="1:57" s="463" customFormat="1" ht="31.5" x14ac:dyDescent="0.25">
      <c r="A95" s="694" t="str">
        <f ca="1">Bérköltség!$B95</f>
        <v>FEOR</v>
      </c>
      <c r="B95" s="694" t="str">
        <f ca="1">IFERROR(
IF(AND(Bérköltség!$F95="",H95="NA"),"HIÁNYOS ADATOK",
IF(Bérköltség!$F95&lt;Bérköltség!$U95,Admin!$B$18,Admin!$B$17)),
"")</f>
        <v>FEOR</v>
      </c>
      <c r="C95" s="437">
        <f>IFERROR(INDEX('Historikus berek_2021-2'!$A$1:$F$903,MATCH(AB95,'Historikus berek_2021-2'!$A$1:$A$903,0),4),"")</f>
        <v>367500</v>
      </c>
      <c r="D95" s="438">
        <f t="shared" si="5"/>
        <v>143620.68965517243</v>
      </c>
      <c r="E95" s="437">
        <f t="shared" si="6"/>
        <v>179770</v>
      </c>
      <c r="F95" s="439">
        <f t="shared" si="7"/>
        <v>40848.720689655136</v>
      </c>
      <c r="G95" s="440">
        <f t="shared" si="8"/>
        <v>162291.37931034484</v>
      </c>
      <c r="H95" s="441">
        <f>IFERROR(INDEX('FEOR kodok'!$A$2:$J$1126,MATCH(Bérköltség!AB95,'FEOR kodok'!$B$2:$B$1126,0),8),"NA")</f>
        <v>2117</v>
      </c>
      <c r="I95" s="436">
        <f ca="1">IFERROR(INDEX('FEOR kodok'!$A$2:$J$1126,MATCH(Bérköltség!AB95,'FEOR kodok'!$B$2:$B$1126,0),10),"NA")</f>
        <v>34</v>
      </c>
      <c r="J95" s="442" t="str">
        <f t="shared" ca="1" si="9"/>
        <v>30–39 éves</v>
      </c>
      <c r="K95" s="436" t="str">
        <f>IFERROR(INDEX(admin_feor[#All],MATCH(Bérköltség!H95,admin_feor[[#All],[Foglalkozás]],0),2),"NA")</f>
        <v>Vegyészmérnök</v>
      </c>
      <c r="L95" s="438">
        <f ca="1">IFERROR(
INDEX('Admin - FEOR'!$A$4:$F$465,MATCH(Bérköltség!H95,'Admin - FEOR'!$A$4:$A$465,0),
IF(J95="30 év alatt",3,
IF(J95="30–39 éves",4,
IF(J95="40–49 éves",5,
IF(J95="50 év és afelett",6
)))))*1,"NA")</f>
        <v>696588</v>
      </c>
      <c r="M95" s="438">
        <f t="shared" si="10"/>
        <v>460000</v>
      </c>
      <c r="N95" s="443">
        <f t="shared" ca="1" si="11"/>
        <v>0.66036164849236567</v>
      </c>
      <c r="O95" s="438">
        <f ca="1">IFERROR(
INDEX('Admin - FEOR'!$A$4:$F$465,MATCH(Bérköltség!H95,'Admin - FEOR'!$A$4:$A$465,0),
IF(J95="30 év alatt",3,
IF(J95="30–39 éves",4,
IF(J95="40–49 éves",5,
IF(J95="50 év és afelett",6
)))))*1.5,"NA")</f>
        <v>1044882</v>
      </c>
      <c r="P95" s="438">
        <f t="shared" ca="1" si="12"/>
        <v>408344.68965517246</v>
      </c>
      <c r="Q95" s="438">
        <f t="shared" si="13"/>
        <v>179770</v>
      </c>
      <c r="R95" s="444">
        <f t="shared" si="14"/>
        <v>0.39080459770114945</v>
      </c>
      <c r="S95" s="438">
        <f t="shared" ca="1" si="15"/>
        <v>0</v>
      </c>
      <c r="T95" s="438">
        <f t="shared" ca="1" si="16"/>
        <v>0</v>
      </c>
      <c r="U95" s="445">
        <f t="shared" ca="1" si="17"/>
        <v>0</v>
      </c>
      <c r="V95" s="446">
        <f t="shared" ca="1" si="18"/>
        <v>203140</v>
      </c>
      <c r="W95" s="447" t="str">
        <f t="shared" ca="1" si="19"/>
        <v>Nem szükséges indoklás.</v>
      </c>
      <c r="X95" s="571">
        <f t="shared" ca="1" si="20"/>
        <v>0</v>
      </c>
      <c r="Y95" s="554">
        <f t="shared" ca="1" si="21"/>
        <v>179770</v>
      </c>
      <c r="Z95" s="555">
        <f t="shared" ca="1" si="22"/>
        <v>23370</v>
      </c>
      <c r="AA95" s="530"/>
      <c r="AB95" s="530">
        <v>8447772748</v>
      </c>
      <c r="AC95" s="532" t="s">
        <v>214</v>
      </c>
      <c r="AD95" s="483" t="s">
        <v>45</v>
      </c>
      <c r="AE95" s="534" t="s">
        <v>22</v>
      </c>
      <c r="AF95" s="99" t="s">
        <v>119</v>
      </c>
      <c r="AG95" s="99" t="s">
        <v>128</v>
      </c>
      <c r="AH95" s="451" t="s">
        <v>131</v>
      </c>
      <c r="AI95" s="154">
        <v>44986</v>
      </c>
      <c r="AJ95" s="100" t="str">
        <f>IF(AI95&gt;0,
(IF(AI95&lt;Hónapok!$A$10,Admin!$A$28,
(IF(AI95&lt;Hónapok!$A$22,Admin!$B$28,
(IF(AI95&lt;Hónapok!$A$34,Admin!$C$28,
(IF(AI95&lt;Hónapok!$A$46,Admin!$D$28,"")))))))),"")</f>
        <v>3. mérföldkő</v>
      </c>
      <c r="AK95" s="470" t="s">
        <v>7</v>
      </c>
      <c r="AL95" s="115" t="s">
        <v>26</v>
      </c>
      <c r="AM95" s="900">
        <v>460000</v>
      </c>
      <c r="AN95" s="860">
        <f t="shared" si="166"/>
        <v>59800</v>
      </c>
      <c r="AO95" s="101">
        <v>174</v>
      </c>
      <c r="AP95" s="111">
        <v>68</v>
      </c>
      <c r="AQ95" s="884">
        <f t="shared" si="167"/>
        <v>0.39080459770114945</v>
      </c>
      <c r="AR95" s="455">
        <f t="shared" si="168"/>
        <v>179770</v>
      </c>
      <c r="AS95" s="455">
        <f t="shared" si="169"/>
        <v>23370</v>
      </c>
      <c r="AT95" s="102">
        <f t="shared" si="170"/>
        <v>2.4987506247464708E-7</v>
      </c>
      <c r="AU95" s="116">
        <v>0.13</v>
      </c>
      <c r="AV95" s="565" t="str">
        <f>VLOOKUP(LEFT(AB95,10),Törzsszám!$A$1:$B$908,2,0)</f>
        <v>10001795</v>
      </c>
      <c r="AW95" s="681">
        <f t="shared" ca="1" si="24"/>
        <v>0</v>
      </c>
      <c r="AX95" s="471" t="s">
        <v>4561</v>
      </c>
      <c r="AY95" s="664"/>
      <c r="AZ95" s="799"/>
      <c r="BA95" s="673"/>
      <c r="BB95" s="650"/>
      <c r="BC95" s="649"/>
      <c r="BD95" s="672"/>
      <c r="BE95" s="143" t="s">
        <v>197</v>
      </c>
    </row>
    <row r="96" spans="1:57" s="463" customFormat="1" ht="31.5" x14ac:dyDescent="0.25">
      <c r="A96" s="694" t="str">
        <f ca="1">Bérköltség!$B96</f>
        <v>FEOR</v>
      </c>
      <c r="B96" s="694" t="str">
        <f ca="1">IFERROR(
IF(AND(Bérköltség!$F96="",H96="NA"),"HIÁNYOS ADATOK",
IF(Bérköltség!$F96&lt;Bérköltség!$U96,Admin!$B$18,Admin!$B$17)),
"")</f>
        <v>FEOR</v>
      </c>
      <c r="C96" s="437">
        <f>IFERROR(INDEX('Historikus berek_2021-2'!$A$1:$F$903,MATCH(AB96,'Historikus berek_2021-2'!$A$1:$A$903,0),4),"")</f>
        <v>367500</v>
      </c>
      <c r="D96" s="438">
        <f t="shared" si="5"/>
        <v>143620.68965517243</v>
      </c>
      <c r="E96" s="437">
        <f t="shared" si="6"/>
        <v>179770</v>
      </c>
      <c r="F96" s="439">
        <f t="shared" si="7"/>
        <v>40848.720689655136</v>
      </c>
      <c r="G96" s="440">
        <f t="shared" si="8"/>
        <v>162291.37931034484</v>
      </c>
      <c r="H96" s="441">
        <f>IFERROR(INDEX('FEOR kodok'!$A$2:$J$1126,MATCH(Bérköltség!AB96,'FEOR kodok'!$B$2:$B$1126,0),8),"NA")</f>
        <v>2117</v>
      </c>
      <c r="I96" s="436">
        <f ca="1">IFERROR(INDEX('FEOR kodok'!$A$2:$J$1126,MATCH(Bérköltség!AB96,'FEOR kodok'!$B$2:$B$1126,0),10),"NA")</f>
        <v>34</v>
      </c>
      <c r="J96" s="442" t="str">
        <f t="shared" ca="1" si="9"/>
        <v>30–39 éves</v>
      </c>
      <c r="K96" s="436" t="str">
        <f>IFERROR(INDEX(admin_feor[#All],MATCH(Bérköltség!H96,admin_feor[[#All],[Foglalkozás]],0),2),"NA")</f>
        <v>Vegyészmérnök</v>
      </c>
      <c r="L96" s="438">
        <f ca="1">IFERROR(
INDEX('Admin - FEOR'!$A$4:$F$465,MATCH(Bérköltség!H96,'Admin - FEOR'!$A$4:$A$465,0),
IF(J96="30 év alatt",3,
IF(J96="30–39 éves",4,
IF(J96="40–49 éves",5,
IF(J96="50 év és afelett",6
)))))*1,"NA")</f>
        <v>696588</v>
      </c>
      <c r="M96" s="438">
        <f t="shared" si="10"/>
        <v>460000</v>
      </c>
      <c r="N96" s="443">
        <f t="shared" ca="1" si="11"/>
        <v>0.66036164849236567</v>
      </c>
      <c r="O96" s="438">
        <f ca="1">IFERROR(
INDEX('Admin - FEOR'!$A$4:$F$465,MATCH(Bérköltség!H96,'Admin - FEOR'!$A$4:$A$465,0),
IF(J96="30 év alatt",3,
IF(J96="30–39 éves",4,
IF(J96="40–49 éves",5,
IF(J96="50 év és afelett",6
)))))*1.5,"NA")</f>
        <v>1044882</v>
      </c>
      <c r="P96" s="438">
        <f t="shared" ca="1" si="12"/>
        <v>408344.68965517246</v>
      </c>
      <c r="Q96" s="438">
        <f t="shared" si="13"/>
        <v>179770</v>
      </c>
      <c r="R96" s="444">
        <f t="shared" si="14"/>
        <v>0.39080459770114945</v>
      </c>
      <c r="S96" s="438">
        <f t="shared" ca="1" si="15"/>
        <v>0</v>
      </c>
      <c r="T96" s="438">
        <f t="shared" ca="1" si="16"/>
        <v>0</v>
      </c>
      <c r="U96" s="445">
        <f t="shared" ca="1" si="17"/>
        <v>0</v>
      </c>
      <c r="V96" s="446">
        <f t="shared" ca="1" si="18"/>
        <v>203140</v>
      </c>
      <c r="W96" s="447" t="str">
        <f t="shared" ca="1" si="19"/>
        <v>Nem szükséges indoklás.</v>
      </c>
      <c r="X96" s="571">
        <f t="shared" ca="1" si="20"/>
        <v>0</v>
      </c>
      <c r="Y96" s="554">
        <f t="shared" ca="1" si="21"/>
        <v>179770</v>
      </c>
      <c r="Z96" s="555">
        <f t="shared" ca="1" si="22"/>
        <v>23370</v>
      </c>
      <c r="AA96" s="530"/>
      <c r="AB96" s="530">
        <v>8447772748</v>
      </c>
      <c r="AC96" s="532" t="s">
        <v>214</v>
      </c>
      <c r="AD96" s="483" t="s">
        <v>45</v>
      </c>
      <c r="AE96" s="534" t="s">
        <v>22</v>
      </c>
      <c r="AF96" s="99" t="s">
        <v>119</v>
      </c>
      <c r="AG96" s="99" t="s">
        <v>128</v>
      </c>
      <c r="AH96" s="451" t="s">
        <v>131</v>
      </c>
      <c r="AI96" s="154">
        <v>45017</v>
      </c>
      <c r="AJ96" s="100" t="str">
        <f>IF(AI96&gt;0,
(IF(AI96&lt;Hónapok!$A$10,Admin!$A$28,
(IF(AI96&lt;Hónapok!$A$22,Admin!$B$28,
(IF(AI96&lt;Hónapok!$A$34,Admin!$C$28,
(IF(AI96&lt;Hónapok!$A$46,Admin!$D$28,"")))))))),"")</f>
        <v>3. mérföldkő</v>
      </c>
      <c r="AK96" s="535" t="s">
        <v>7</v>
      </c>
      <c r="AL96" s="115" t="s">
        <v>26</v>
      </c>
      <c r="AM96" s="900">
        <v>460000</v>
      </c>
      <c r="AN96" s="860">
        <f t="shared" si="166"/>
        <v>59800</v>
      </c>
      <c r="AO96" s="101">
        <v>174</v>
      </c>
      <c r="AP96" s="111">
        <v>68</v>
      </c>
      <c r="AQ96" s="884">
        <f t="shared" si="167"/>
        <v>0.39080459770114945</v>
      </c>
      <c r="AR96" s="455">
        <f t="shared" si="168"/>
        <v>179770</v>
      </c>
      <c r="AS96" s="455">
        <f t="shared" si="169"/>
        <v>23370</v>
      </c>
      <c r="AT96" s="102">
        <f t="shared" si="170"/>
        <v>2.4987506247464708E-7</v>
      </c>
      <c r="AU96" s="116">
        <v>0.13</v>
      </c>
      <c r="AV96" s="565" t="str">
        <f>VLOOKUP(LEFT(AB96,10),Törzsszám!$A$1:$B$908,2,0)</f>
        <v>10001795</v>
      </c>
      <c r="AW96" s="681">
        <f t="shared" ca="1" si="24"/>
        <v>0</v>
      </c>
      <c r="AX96" s="471" t="s">
        <v>4581</v>
      </c>
      <c r="AY96" s="664"/>
      <c r="AZ96" s="799"/>
      <c r="BA96" s="673"/>
      <c r="BB96" s="650"/>
      <c r="BC96" s="649"/>
      <c r="BD96" s="672"/>
      <c r="BE96" s="143" t="s">
        <v>197</v>
      </c>
    </row>
    <row r="97" spans="1:59" s="463" customFormat="1" ht="31.5" x14ac:dyDescent="0.25">
      <c r="A97" s="694" t="str">
        <f ca="1">Bérköltség!$B97</f>
        <v>FEOR</v>
      </c>
      <c r="B97" s="694" t="str">
        <f ca="1">IFERROR(
IF(AND(Bérköltség!$F97="",H97="NA"),"HIÁNYOS ADATOK",
IF(Bérköltség!$F97&lt;Bérköltség!$U97,Admin!$B$18,Admin!$B$17)),
"")</f>
        <v>FEOR</v>
      </c>
      <c r="C97" s="437">
        <f>IFERROR(INDEX('Historikus berek_2021-2'!$A$1:$F$903,MATCH(AB97,'Historikus berek_2021-2'!$A$1:$A$903,0),4),"")</f>
        <v>367500</v>
      </c>
      <c r="D97" s="438">
        <f t="shared" si="5"/>
        <v>143620.68965517243</v>
      </c>
      <c r="E97" s="437">
        <f t="shared" si="6"/>
        <v>179770</v>
      </c>
      <c r="F97" s="439">
        <f t="shared" si="7"/>
        <v>40848.720689655136</v>
      </c>
      <c r="G97" s="440">
        <f t="shared" si="8"/>
        <v>162291.37931034484</v>
      </c>
      <c r="H97" s="441">
        <f>IFERROR(INDEX('FEOR kodok'!$A$2:$J$1126,MATCH(Bérköltség!AB97,'FEOR kodok'!$B$2:$B$1126,0),8),"NA")</f>
        <v>2117</v>
      </c>
      <c r="I97" s="436">
        <f ca="1">IFERROR(INDEX('FEOR kodok'!$A$2:$J$1126,MATCH(Bérköltség!AB97,'FEOR kodok'!$B$2:$B$1126,0),10),"NA")</f>
        <v>34</v>
      </c>
      <c r="J97" s="442" t="str">
        <f t="shared" ca="1" si="9"/>
        <v>30–39 éves</v>
      </c>
      <c r="K97" s="436" t="str">
        <f>IFERROR(INDEX(admin_feor[#All],MATCH(Bérköltség!H97,admin_feor[[#All],[Foglalkozás]],0),2),"NA")</f>
        <v>Vegyészmérnök</v>
      </c>
      <c r="L97" s="438">
        <f ca="1">IFERROR(
INDEX('Admin - FEOR'!$A$4:$F$465,MATCH(Bérköltség!H97,'Admin - FEOR'!$A$4:$A$465,0),
IF(J97="30 év alatt",3,
IF(J97="30–39 éves",4,
IF(J97="40–49 éves",5,
IF(J97="50 év és afelett",6
)))))*1,"NA")</f>
        <v>696588</v>
      </c>
      <c r="M97" s="438">
        <f t="shared" si="10"/>
        <v>460000</v>
      </c>
      <c r="N97" s="443">
        <f t="shared" ca="1" si="11"/>
        <v>0.66036164849236567</v>
      </c>
      <c r="O97" s="438">
        <f ca="1">IFERROR(
INDEX('Admin - FEOR'!$A$4:$F$465,MATCH(Bérköltség!H97,'Admin - FEOR'!$A$4:$A$465,0),
IF(J97="30 év alatt",3,
IF(J97="30–39 éves",4,
IF(J97="40–49 éves",5,
IF(J97="50 év és afelett",6
)))))*1.5,"NA")</f>
        <v>1044882</v>
      </c>
      <c r="P97" s="438">
        <f t="shared" ca="1" si="12"/>
        <v>408344.68965517246</v>
      </c>
      <c r="Q97" s="438">
        <f t="shared" si="13"/>
        <v>179770</v>
      </c>
      <c r="R97" s="444">
        <f t="shared" si="14"/>
        <v>0.39080459770114945</v>
      </c>
      <c r="S97" s="438">
        <f t="shared" ca="1" si="15"/>
        <v>0</v>
      </c>
      <c r="T97" s="438">
        <f t="shared" ca="1" si="16"/>
        <v>0</v>
      </c>
      <c r="U97" s="445">
        <f t="shared" ca="1" si="17"/>
        <v>0</v>
      </c>
      <c r="V97" s="446">
        <f t="shared" ca="1" si="18"/>
        <v>203140</v>
      </c>
      <c r="W97" s="447" t="str">
        <f t="shared" ca="1" si="19"/>
        <v>Nem szükséges indoklás.</v>
      </c>
      <c r="X97" s="571">
        <f t="shared" ca="1" si="20"/>
        <v>0</v>
      </c>
      <c r="Y97" s="554">
        <f t="shared" ca="1" si="21"/>
        <v>179770</v>
      </c>
      <c r="Z97" s="555">
        <f t="shared" ca="1" si="22"/>
        <v>23370</v>
      </c>
      <c r="AA97" s="530"/>
      <c r="AB97" s="530">
        <v>8447772748</v>
      </c>
      <c r="AC97" s="532" t="s">
        <v>214</v>
      </c>
      <c r="AD97" s="483" t="s">
        <v>45</v>
      </c>
      <c r="AE97" s="534" t="s">
        <v>22</v>
      </c>
      <c r="AF97" s="99" t="s">
        <v>119</v>
      </c>
      <c r="AG97" s="99" t="s">
        <v>128</v>
      </c>
      <c r="AH97" s="451" t="s">
        <v>131</v>
      </c>
      <c r="AI97" s="154">
        <v>45047</v>
      </c>
      <c r="AJ97" s="100" t="str">
        <f>IF(AI97&gt;0,
(IF(AI97&lt;Hónapok!$A$10,Admin!$A$28,
(IF(AI97&lt;Hónapok!$A$22,Admin!$B$28,
(IF(AI97&lt;Hónapok!$A$34,Admin!$C$28,
(IF(AI97&lt;Hónapok!$A$46,Admin!$D$28,"")))))))),"")</f>
        <v>3. mérföldkő</v>
      </c>
      <c r="AK97" s="535" t="s">
        <v>7</v>
      </c>
      <c r="AL97" s="115" t="s">
        <v>26</v>
      </c>
      <c r="AM97" s="900">
        <v>460000</v>
      </c>
      <c r="AN97" s="860">
        <f t="shared" si="166"/>
        <v>59800</v>
      </c>
      <c r="AO97" s="101">
        <v>174</v>
      </c>
      <c r="AP97" s="111">
        <v>68</v>
      </c>
      <c r="AQ97" s="884">
        <f t="shared" si="167"/>
        <v>0.39080459770114945</v>
      </c>
      <c r="AR97" s="455">
        <f t="shared" si="168"/>
        <v>179770</v>
      </c>
      <c r="AS97" s="455">
        <f t="shared" si="169"/>
        <v>23370</v>
      </c>
      <c r="AT97" s="102">
        <f t="shared" si="170"/>
        <v>2.4987506247464708E-7</v>
      </c>
      <c r="AU97" s="116">
        <v>0.13</v>
      </c>
      <c r="AV97" s="565" t="str">
        <f>VLOOKUP(LEFT(AB97,10),Törzsszám!$A$1:$B$908,2,0)</f>
        <v>10001795</v>
      </c>
      <c r="AW97" s="681">
        <f t="shared" ca="1" si="24"/>
        <v>0</v>
      </c>
      <c r="AX97" s="471" t="s">
        <v>4596</v>
      </c>
      <c r="AY97" s="664"/>
      <c r="AZ97" s="799"/>
      <c r="BA97" s="673"/>
      <c r="BB97" s="650"/>
      <c r="BC97" s="649"/>
      <c r="BD97" s="672"/>
      <c r="BE97" s="143" t="s">
        <v>197</v>
      </c>
    </row>
    <row r="98" spans="1:59" s="463" customFormat="1" ht="31.5" x14ac:dyDescent="0.25">
      <c r="A98" s="694" t="str">
        <f ca="1">Bérköltség!$B98</f>
        <v>FEOR</v>
      </c>
      <c r="B98" s="694" t="str">
        <f ca="1">IFERROR(
IF(AND(Bérköltség!$F98="",H98="NA"),"HIÁNYOS ADATOK",
IF(Bérköltség!$F98&lt;Bérköltség!$U98,Admin!$B$18,Admin!$B$17)),
"")</f>
        <v>FEOR</v>
      </c>
      <c r="C98" s="437">
        <f>IFERROR(INDEX('Historikus berek_2021-2'!$A$1:$F$903,MATCH(AB98,'Historikus berek_2021-2'!$A$1:$A$903,0),4),"")</f>
        <v>367500</v>
      </c>
      <c r="D98" s="438">
        <f t="shared" si="5"/>
        <v>143620.68965517243</v>
      </c>
      <c r="E98" s="437">
        <f t="shared" si="6"/>
        <v>179770</v>
      </c>
      <c r="F98" s="439">
        <f t="shared" si="7"/>
        <v>40848.720689655136</v>
      </c>
      <c r="G98" s="440">
        <f t="shared" si="8"/>
        <v>162291.37931034484</v>
      </c>
      <c r="H98" s="441">
        <f>IFERROR(INDEX('FEOR kodok'!$A$2:$J$1126,MATCH(Bérköltség!AB98,'FEOR kodok'!$B$2:$B$1126,0),8),"NA")</f>
        <v>2117</v>
      </c>
      <c r="I98" s="436">
        <f ca="1">IFERROR(INDEX('FEOR kodok'!$A$2:$J$1126,MATCH(Bérköltség!AB98,'FEOR kodok'!$B$2:$B$1126,0),10),"NA")</f>
        <v>34</v>
      </c>
      <c r="J98" s="442" t="str">
        <f t="shared" ca="1" si="9"/>
        <v>30–39 éves</v>
      </c>
      <c r="K98" s="436" t="str">
        <f>IFERROR(INDEX(admin_feor[#All],MATCH(Bérköltség!H98,admin_feor[[#All],[Foglalkozás]],0),2),"NA")</f>
        <v>Vegyészmérnök</v>
      </c>
      <c r="L98" s="438">
        <f ca="1">IFERROR(
INDEX('Admin - FEOR'!$A$4:$F$465,MATCH(Bérköltség!H98,'Admin - FEOR'!$A$4:$A$465,0),
IF(J98="30 év alatt",3,
IF(J98="30–39 éves",4,
IF(J98="40–49 éves",5,
IF(J98="50 év és afelett",6
)))))*1,"NA")</f>
        <v>696588</v>
      </c>
      <c r="M98" s="438">
        <f t="shared" si="10"/>
        <v>460000</v>
      </c>
      <c r="N98" s="443">
        <f t="shared" ca="1" si="11"/>
        <v>0.66036164849236567</v>
      </c>
      <c r="O98" s="438">
        <f ca="1">IFERROR(
INDEX('Admin - FEOR'!$A$4:$F$465,MATCH(Bérköltség!H98,'Admin - FEOR'!$A$4:$A$465,0),
IF(J98="30 év alatt",3,
IF(J98="30–39 éves",4,
IF(J98="40–49 éves",5,
IF(J98="50 év és afelett",6
)))))*1.5,"NA")</f>
        <v>1044882</v>
      </c>
      <c r="P98" s="438">
        <f t="shared" ca="1" si="12"/>
        <v>408344.68965517246</v>
      </c>
      <c r="Q98" s="438">
        <f t="shared" si="13"/>
        <v>179770</v>
      </c>
      <c r="R98" s="444">
        <f t="shared" si="14"/>
        <v>0.39080459770114945</v>
      </c>
      <c r="S98" s="438">
        <f t="shared" ca="1" si="15"/>
        <v>0</v>
      </c>
      <c r="T98" s="438">
        <f t="shared" ca="1" si="16"/>
        <v>0</v>
      </c>
      <c r="U98" s="445">
        <f t="shared" ca="1" si="17"/>
        <v>0</v>
      </c>
      <c r="V98" s="446">
        <f t="shared" ca="1" si="18"/>
        <v>203140</v>
      </c>
      <c r="W98" s="447" t="str">
        <f t="shared" ca="1" si="19"/>
        <v>Nem szükséges indoklás.</v>
      </c>
      <c r="X98" s="571">
        <f t="shared" ca="1" si="20"/>
        <v>0</v>
      </c>
      <c r="Y98" s="554">
        <f t="shared" ca="1" si="21"/>
        <v>179770</v>
      </c>
      <c r="Z98" s="555">
        <f t="shared" ca="1" si="22"/>
        <v>23370</v>
      </c>
      <c r="AA98" s="530"/>
      <c r="AB98" s="530">
        <v>8447772748</v>
      </c>
      <c r="AC98" s="532" t="s">
        <v>214</v>
      </c>
      <c r="AD98" s="483" t="s">
        <v>45</v>
      </c>
      <c r="AE98" s="534" t="s">
        <v>22</v>
      </c>
      <c r="AF98" s="99" t="s">
        <v>119</v>
      </c>
      <c r="AG98" s="99" t="s">
        <v>128</v>
      </c>
      <c r="AH98" s="451" t="s">
        <v>131</v>
      </c>
      <c r="AI98" s="154">
        <v>45078</v>
      </c>
      <c r="AJ98" s="100" t="str">
        <f>IF(AI98&gt;0,
(IF(AI98&lt;Hónapok!$A$10,Admin!$A$28,
(IF(AI98&lt;Hónapok!$A$22,Admin!$B$28,
(IF(AI98&lt;Hónapok!$A$34,Admin!$C$28,
(IF(AI98&lt;Hónapok!$A$46,Admin!$D$28,"")))))))),"")</f>
        <v>3. mérföldkő</v>
      </c>
      <c r="AK98" s="535" t="s">
        <v>7</v>
      </c>
      <c r="AL98" s="115" t="s">
        <v>26</v>
      </c>
      <c r="AM98" s="900">
        <v>460000</v>
      </c>
      <c r="AN98" s="860">
        <f t="shared" si="166"/>
        <v>59800</v>
      </c>
      <c r="AO98" s="101">
        <v>174</v>
      </c>
      <c r="AP98" s="111">
        <v>68</v>
      </c>
      <c r="AQ98" s="885">
        <f t="shared" si="167"/>
        <v>0.39080459770114945</v>
      </c>
      <c r="AR98" s="455">
        <f t="shared" si="168"/>
        <v>179770</v>
      </c>
      <c r="AS98" s="455">
        <f t="shared" si="169"/>
        <v>23370</v>
      </c>
      <c r="AT98" s="102">
        <f t="shared" si="170"/>
        <v>2.4987506247464708E-7</v>
      </c>
      <c r="AU98" s="116">
        <v>0.13</v>
      </c>
      <c r="AV98" s="565" t="str">
        <f>VLOOKUP(LEFT(AB98,10),Törzsszám!$A$1:$B$908,2,0)</f>
        <v>10001795</v>
      </c>
      <c r="AW98" s="681">
        <f t="shared" ca="1" si="24"/>
        <v>0</v>
      </c>
      <c r="AX98" s="471" t="s">
        <v>4606</v>
      </c>
      <c r="AY98" s="664"/>
      <c r="AZ98" s="799"/>
      <c r="BA98" s="673"/>
      <c r="BB98" s="650"/>
      <c r="BC98" s="649"/>
      <c r="BD98" s="672"/>
      <c r="BE98" s="143" t="s">
        <v>197</v>
      </c>
    </row>
    <row r="99" spans="1:59" s="463" customFormat="1" ht="31.5" x14ac:dyDescent="0.25">
      <c r="A99" s="694" t="str">
        <f ca="1">Bérköltség!$B99</f>
        <v>FEOR</v>
      </c>
      <c r="B99" s="694" t="str">
        <f ca="1">IFERROR(
IF(AND(Bérköltség!$F99="",H99="NA"),"HIÁNYOS ADATOK",
IF(Bérköltség!$F99&lt;Bérköltség!$U99,Admin!$B$18,Admin!$B$17)),
"")</f>
        <v>FEOR</v>
      </c>
      <c r="C99" s="437">
        <f>IFERROR(INDEX('Historikus berek_2021-2'!$A$1:$F$903,MATCH(AB99,'Historikus berek_2021-2'!$A$1:$A$903,0),4),"")</f>
        <v>367500</v>
      </c>
      <c r="D99" s="438">
        <f t="shared" ref="D99:D103" si="244">IFERROR(C99*AQ99,"NA")</f>
        <v>223879.31034482759</v>
      </c>
      <c r="E99" s="437">
        <f t="shared" ref="E99:E103" si="245">AR99</f>
        <v>280230</v>
      </c>
      <c r="F99" s="439">
        <f t="shared" ref="F99:F103" si="246">IFERROR(IF((E99*(1+AU99)-D99*(1+AU99))&lt;0,0,(E99*(1+AU99)-D99*(1+AU99))),"")</f>
        <v>63676.279310344806</v>
      </c>
      <c r="G99" s="440">
        <f t="shared" ref="G99:G103" si="247">IFERROR((E99*(1+AU99)-F99),"")</f>
        <v>252983.62068965516</v>
      </c>
      <c r="H99" s="441">
        <f>IFERROR(INDEX('FEOR kodok'!$A$2:$J$1126,MATCH(Bérköltség!AB99,'FEOR kodok'!$B$2:$B$1126,0),8),"NA")</f>
        <v>2117</v>
      </c>
      <c r="I99" s="436">
        <f ca="1">IFERROR(INDEX('FEOR kodok'!$A$2:$J$1126,MATCH(Bérköltség!AB99,'FEOR kodok'!$B$2:$B$1126,0),10),"NA")</f>
        <v>34</v>
      </c>
      <c r="J99" s="442" t="str">
        <f t="shared" ref="J99:J103" ca="1" si="248">IF(I99="NA","NA",
IF(I99&lt;30,"30 év alatt",
IF(AND(I99&gt;=30,I99&lt;=39),"30–39 éves",
IF(AND(I99&gt;=40,I99&lt;=49),"40–49 éves",
IF(I99&gt;=50,"50 év és afelett",
"")))))</f>
        <v>30–39 éves</v>
      </c>
      <c r="K99" s="436" t="str">
        <f>IFERROR(INDEX(admin_feor[#All],MATCH(Bérköltség!H99,admin_feor[[#All],[Foglalkozás]],0),2),"NA")</f>
        <v>Vegyészmérnök</v>
      </c>
      <c r="L99" s="438">
        <f ca="1">IFERROR(
INDEX('Admin - FEOR'!$A$4:$F$465,MATCH(Bérköltség!H99,'Admin - FEOR'!$A$4:$A$465,0),
IF(J99="30 év alatt",3,
IF(J99="30–39 éves",4,
IF(J99="40–49 éves",5,
IF(J99="50 év és afelett",6
)))))*1,"NA")</f>
        <v>696588</v>
      </c>
      <c r="M99" s="438">
        <f t="shared" ref="M99:M103" si="249">AM99</f>
        <v>460000</v>
      </c>
      <c r="N99" s="443">
        <f t="shared" ref="N99:N103" ca="1" si="250">IFERROR(
M99/L99,"NA")</f>
        <v>0.66036164849236567</v>
      </c>
      <c r="O99" s="438">
        <f ca="1">IFERROR(
INDEX('Admin - FEOR'!$A$4:$F$465,MATCH(Bérköltség!H99,'Admin - FEOR'!$A$4:$A$465,0),
IF(J99="30 év alatt",3,
IF(J99="30–39 éves",4,
IF(J99="40–49 éves",5,
IF(J99="50 év és afelett",6
)))))*1.5,"NA")</f>
        <v>1044882</v>
      </c>
      <c r="P99" s="438">
        <f t="shared" ref="P99:P103" ca="1" si="251">IFERROR(
AQ99*O99,"NA")</f>
        <v>636537.31034482759</v>
      </c>
      <c r="Q99" s="438">
        <f t="shared" ref="Q99:Q103" si="252">IFERROR(AR99,"")</f>
        <v>280230</v>
      </c>
      <c r="R99" s="444">
        <f t="shared" ref="R99:R103" si="253">IFERROR(AQ99,"")</f>
        <v>0.60919540229885061</v>
      </c>
      <c r="S99" s="438">
        <f t="shared" ref="S99:S103" ca="1" si="254">IFERROR(
IF(AR99-P99&lt;0,0,AR99-P99),"NA")</f>
        <v>0</v>
      </c>
      <c r="T99" s="438">
        <f t="shared" ref="T99:T103" ca="1" si="255">IFERROR(
S99*AU99,"NA")</f>
        <v>0</v>
      </c>
      <c r="U99" s="445">
        <f t="shared" ref="U99:U103" ca="1" si="256">IFERROR(
S99+T99,"NA")</f>
        <v>0</v>
      </c>
      <c r="V99" s="446">
        <f t="shared" ref="V99:V103" ca="1" si="257">IFERROR(
IF(U99&gt;0,AR99+AS99-U99,AR99+AS99),"NA")</f>
        <v>316660</v>
      </c>
      <c r="W99" s="447" t="str">
        <f t="shared" ref="W99:W103" ca="1" si="258">IF(P99="NA","FEOR hiányzik",
IF(AND(N99&gt;1,A99="FEOR"),CONCATENATE("Indoklás szükséges mivel a FEOR: ",ROUND(N99*100,1),"%"),"Nem szükséges indoklás.")
)</f>
        <v>Nem szükséges indoklás.</v>
      </c>
      <c r="X99" s="571">
        <f t="shared" ref="X99:X103" ca="1" si="259">IF(A99="FEOR",U99,IF(A99="HIÁNYOS ADATOK","HIÁNYOS ADATOK",F99))</f>
        <v>0</v>
      </c>
      <c r="Y99" s="554">
        <f t="shared" ref="Y99:Y103" ca="1" si="260">IF(A99="FEOR",ROUND(V99/(1+AU99),0),IF(A99="HIÁNYOS ADATOK","HIÁNYOS ADATOK",ROUND(G99/(1+AU99),0)))</f>
        <v>280230</v>
      </c>
      <c r="Z99" s="555">
        <f t="shared" ref="Z99:Z103" ca="1" si="261">IF(A99="FEOR",ROUND(V99-Y99,0),IF(A99="HIÁNYOS ADATOK","HIÁNYOS ADATOK",ROUND(G99-Y99,0)))</f>
        <v>36430</v>
      </c>
      <c r="AA99" s="530"/>
      <c r="AB99" s="530">
        <v>8447772748</v>
      </c>
      <c r="AC99" s="532" t="s">
        <v>214</v>
      </c>
      <c r="AD99" s="483" t="s">
        <v>45</v>
      </c>
      <c r="AE99" s="534" t="s">
        <v>22</v>
      </c>
      <c r="AF99" s="99" t="s">
        <v>124</v>
      </c>
      <c r="AG99" s="99" t="s">
        <v>128</v>
      </c>
      <c r="AH99" s="451" t="s">
        <v>131</v>
      </c>
      <c r="AI99" s="154">
        <v>45108</v>
      </c>
      <c r="AJ99" s="100" t="str">
        <f>IF(AI99&gt;0,
(IF(AI99&lt;Hónapok!$A$10,Admin!$A$28,
(IF(AI99&lt;Hónapok!$A$22,Admin!$B$28,
(IF(AI99&lt;Hónapok!$A$34,Admin!$C$28,
(IF(AI99&lt;Hónapok!$A$46,Admin!$D$28,"")))))))),"")</f>
        <v>3. mérföldkő</v>
      </c>
      <c r="AK99" s="535" t="s">
        <v>7</v>
      </c>
      <c r="AL99" s="115" t="s">
        <v>26</v>
      </c>
      <c r="AM99" s="900">
        <v>460000</v>
      </c>
      <c r="AN99" s="860">
        <f t="shared" ref="AN99:AN103" si="262">IFERROR(ROUND(AM99*AU99,0),"")</f>
        <v>59800</v>
      </c>
      <c r="AO99" s="101">
        <v>174</v>
      </c>
      <c r="AP99" s="111">
        <v>106</v>
      </c>
      <c r="AQ99" s="884">
        <f t="shared" ref="AQ99:AQ103" si="263">IFERROR(AP99/AO99,"")</f>
        <v>0.60919540229885061</v>
      </c>
      <c r="AR99" s="455">
        <f t="shared" ref="AR99:AR103" si="264">IFERROR(ROUND(AM99*AP99/AO99,0),"")</f>
        <v>280230</v>
      </c>
      <c r="AS99" s="455">
        <f t="shared" ref="AS99:AS103" si="265">IFERROR(ROUND(AR99*AU99,0),"")</f>
        <v>36430</v>
      </c>
      <c r="AT99" s="102">
        <f t="shared" ref="AT99:AT103" si="266">IFERROR(AP99/AO99-AR99/AM99,"")</f>
        <v>-2.4987506241913593E-7</v>
      </c>
      <c r="AU99" s="116">
        <v>0.13</v>
      </c>
      <c r="AV99" s="565" t="str">
        <f>VLOOKUP(LEFT(AB99,10),Törzsszám!$A$1:$B$908,2,0)</f>
        <v>10001795</v>
      </c>
      <c r="AW99" s="681">
        <f t="shared" ref="AW99:AW103" ca="1" si="267">(Y99+Z99)-(AR99+AS99)</f>
        <v>0</v>
      </c>
      <c r="AX99" s="471" t="s">
        <v>4610</v>
      </c>
      <c r="AY99" s="664"/>
      <c r="AZ99" s="799"/>
      <c r="BA99" s="673"/>
      <c r="BB99" s="650"/>
      <c r="BC99" s="649"/>
      <c r="BD99" s="672"/>
      <c r="BE99" s="143" t="s">
        <v>197</v>
      </c>
    </row>
    <row r="100" spans="1:59" s="463" customFormat="1" ht="31.5" x14ac:dyDescent="0.25">
      <c r="A100" s="694" t="str">
        <f ca="1">Bérköltség!$B100</f>
        <v>FEOR</v>
      </c>
      <c r="B100" s="694" t="str">
        <f ca="1">IFERROR(
IF(AND(Bérköltség!$F100="",H100="NA"),"HIÁNYOS ADATOK",
IF(Bérköltség!$F100&lt;Bérköltség!$U100,Admin!$B$18,Admin!$B$17)),
"")</f>
        <v>FEOR</v>
      </c>
      <c r="C100" s="437">
        <f>IFERROR(INDEX('Historikus berek_2021-2'!$A$1:$F$903,MATCH(AB100,'Historikus berek_2021-2'!$A$1:$A$903,0),4),"")</f>
        <v>367500</v>
      </c>
      <c r="D100" s="438">
        <f t="shared" si="244"/>
        <v>223879.31034482759</v>
      </c>
      <c r="E100" s="437">
        <f t="shared" si="245"/>
        <v>280230</v>
      </c>
      <c r="F100" s="439">
        <f t="shared" si="246"/>
        <v>63676.279310344806</v>
      </c>
      <c r="G100" s="440">
        <f t="shared" si="247"/>
        <v>252983.62068965516</v>
      </c>
      <c r="H100" s="441">
        <f>IFERROR(INDEX('FEOR kodok'!$A$2:$J$1126,MATCH(Bérköltség!AB100,'FEOR kodok'!$B$2:$B$1126,0),8),"NA")</f>
        <v>2117</v>
      </c>
      <c r="I100" s="436">
        <f ca="1">IFERROR(INDEX('FEOR kodok'!$A$2:$J$1126,MATCH(Bérköltség!AB100,'FEOR kodok'!$B$2:$B$1126,0),10),"NA")</f>
        <v>34</v>
      </c>
      <c r="J100" s="442" t="str">
        <f t="shared" ca="1" si="248"/>
        <v>30–39 éves</v>
      </c>
      <c r="K100" s="436" t="str">
        <f>IFERROR(INDEX(admin_feor[#All],MATCH(Bérköltség!H100,admin_feor[[#All],[Foglalkozás]],0),2),"NA")</f>
        <v>Vegyészmérnök</v>
      </c>
      <c r="L100" s="438">
        <f ca="1">IFERROR(
INDEX('Admin - FEOR'!$A$4:$F$465,MATCH(Bérköltség!H100,'Admin - FEOR'!$A$4:$A$465,0),
IF(J100="30 év alatt",3,
IF(J100="30–39 éves",4,
IF(J100="40–49 éves",5,
IF(J100="50 év és afelett",6
)))))*1,"NA")</f>
        <v>696588</v>
      </c>
      <c r="M100" s="438">
        <f t="shared" si="249"/>
        <v>460000</v>
      </c>
      <c r="N100" s="443">
        <f t="shared" ca="1" si="250"/>
        <v>0.66036164849236567</v>
      </c>
      <c r="O100" s="438">
        <f ca="1">IFERROR(
INDEX('Admin - FEOR'!$A$4:$F$465,MATCH(Bérköltség!H100,'Admin - FEOR'!$A$4:$A$465,0),
IF(J100="30 év alatt",3,
IF(J100="30–39 éves",4,
IF(J100="40–49 éves",5,
IF(J100="50 év és afelett",6
)))))*1.5,"NA")</f>
        <v>1044882</v>
      </c>
      <c r="P100" s="438">
        <f t="shared" ca="1" si="251"/>
        <v>636537.31034482759</v>
      </c>
      <c r="Q100" s="438">
        <f t="shared" si="252"/>
        <v>280230</v>
      </c>
      <c r="R100" s="444">
        <f t="shared" si="253"/>
        <v>0.60919540229885061</v>
      </c>
      <c r="S100" s="438">
        <f t="shared" ca="1" si="254"/>
        <v>0</v>
      </c>
      <c r="T100" s="438">
        <f t="shared" ca="1" si="255"/>
        <v>0</v>
      </c>
      <c r="U100" s="445">
        <f t="shared" ca="1" si="256"/>
        <v>0</v>
      </c>
      <c r="V100" s="446">
        <f t="shared" ca="1" si="257"/>
        <v>316660</v>
      </c>
      <c r="W100" s="447" t="str">
        <f t="shared" ca="1" si="258"/>
        <v>Nem szükséges indoklás.</v>
      </c>
      <c r="X100" s="571">
        <f t="shared" ca="1" si="259"/>
        <v>0</v>
      </c>
      <c r="Y100" s="554">
        <f t="shared" ca="1" si="260"/>
        <v>280230</v>
      </c>
      <c r="Z100" s="555">
        <f t="shared" ca="1" si="261"/>
        <v>36430</v>
      </c>
      <c r="AA100" s="530"/>
      <c r="AB100" s="530">
        <v>8447772748</v>
      </c>
      <c r="AC100" s="532" t="s">
        <v>214</v>
      </c>
      <c r="AD100" s="483" t="s">
        <v>45</v>
      </c>
      <c r="AE100" s="534" t="s">
        <v>22</v>
      </c>
      <c r="AF100" s="99" t="s">
        <v>124</v>
      </c>
      <c r="AG100" s="99" t="s">
        <v>128</v>
      </c>
      <c r="AH100" s="451" t="s">
        <v>131</v>
      </c>
      <c r="AI100" s="154">
        <v>45139</v>
      </c>
      <c r="AJ100" s="100" t="str">
        <f>IF(AI100&gt;0,
(IF(AI100&lt;Hónapok!$A$10,Admin!$A$28,
(IF(AI100&lt;Hónapok!$A$22,Admin!$B$28,
(IF(AI100&lt;Hónapok!$A$34,Admin!$C$28,
(IF(AI100&lt;Hónapok!$A$46,Admin!$D$28,"")))))))),"")</f>
        <v>3. mérföldkő</v>
      </c>
      <c r="AK100" s="535" t="s">
        <v>7</v>
      </c>
      <c r="AL100" s="115" t="s">
        <v>26</v>
      </c>
      <c r="AM100" s="900">
        <v>460000</v>
      </c>
      <c r="AN100" s="860">
        <f t="shared" si="262"/>
        <v>59800</v>
      </c>
      <c r="AO100" s="101">
        <v>174</v>
      </c>
      <c r="AP100" s="111">
        <v>106</v>
      </c>
      <c r="AQ100" s="884">
        <f t="shared" si="263"/>
        <v>0.60919540229885061</v>
      </c>
      <c r="AR100" s="455">
        <f t="shared" si="264"/>
        <v>280230</v>
      </c>
      <c r="AS100" s="455">
        <f t="shared" si="265"/>
        <v>36430</v>
      </c>
      <c r="AT100" s="102">
        <f t="shared" si="266"/>
        <v>-2.4987506241913593E-7</v>
      </c>
      <c r="AU100" s="116">
        <v>0.13</v>
      </c>
      <c r="AV100" s="565" t="str">
        <f>VLOOKUP(LEFT(AB100,10),Törzsszám!$A$1:$B$908,2,0)</f>
        <v>10001795</v>
      </c>
      <c r="AW100" s="681">
        <f t="shared" ca="1" si="267"/>
        <v>0</v>
      </c>
      <c r="AX100" s="471" t="s">
        <v>4613</v>
      </c>
      <c r="AY100" s="664"/>
      <c r="AZ100" s="799"/>
      <c r="BA100" s="673"/>
      <c r="BB100" s="650"/>
      <c r="BC100" s="649"/>
      <c r="BD100" s="672"/>
      <c r="BE100" s="143" t="s">
        <v>197</v>
      </c>
    </row>
    <row r="101" spans="1:59" s="463" customFormat="1" ht="31.5" x14ac:dyDescent="0.25">
      <c r="A101" s="694" t="str">
        <f ca="1">Bérköltség!$B101</f>
        <v>FEOR</v>
      </c>
      <c r="B101" s="694" t="str">
        <f ca="1">IFERROR(
IF(AND(Bérköltség!$F101="",H101="NA"),"HIÁNYOS ADATOK",
IF(Bérköltség!$F101&lt;Bérköltség!$U101,Admin!$B$18,Admin!$B$17)),
"")</f>
        <v>FEOR</v>
      </c>
      <c r="C101" s="437">
        <f>IFERROR(INDEX('Historikus berek_2021-2'!$A$1:$F$903,MATCH(AB101,'Historikus berek_2021-2'!$A$1:$A$903,0),4),"")</f>
        <v>367500</v>
      </c>
      <c r="D101" s="438">
        <f t="shared" si="244"/>
        <v>223879.31034482759</v>
      </c>
      <c r="E101" s="437">
        <f t="shared" si="245"/>
        <v>280230</v>
      </c>
      <c r="F101" s="439">
        <f t="shared" si="246"/>
        <v>63676.279310344806</v>
      </c>
      <c r="G101" s="440">
        <f t="shared" si="247"/>
        <v>252983.62068965516</v>
      </c>
      <c r="H101" s="441">
        <f>IFERROR(INDEX('FEOR kodok'!$A$2:$J$1126,MATCH(Bérköltség!AB101,'FEOR kodok'!$B$2:$B$1126,0),8),"NA")</f>
        <v>2117</v>
      </c>
      <c r="I101" s="436">
        <f ca="1">IFERROR(INDEX('FEOR kodok'!$A$2:$J$1126,MATCH(Bérköltség!AB101,'FEOR kodok'!$B$2:$B$1126,0),10),"NA")</f>
        <v>34</v>
      </c>
      <c r="J101" s="442" t="str">
        <f t="shared" ca="1" si="248"/>
        <v>30–39 éves</v>
      </c>
      <c r="K101" s="436" t="str">
        <f>IFERROR(INDEX(admin_feor[#All],MATCH(Bérköltség!H101,admin_feor[[#All],[Foglalkozás]],0),2),"NA")</f>
        <v>Vegyészmérnök</v>
      </c>
      <c r="L101" s="438">
        <f ca="1">IFERROR(
INDEX('Admin - FEOR'!$A$4:$F$465,MATCH(Bérköltség!H101,'Admin - FEOR'!$A$4:$A$465,0),
IF(J101="30 év alatt",3,
IF(J101="30–39 éves",4,
IF(J101="40–49 éves",5,
IF(J101="50 év és afelett",6
)))))*1,"NA")</f>
        <v>696588</v>
      </c>
      <c r="M101" s="438">
        <f t="shared" si="249"/>
        <v>460000</v>
      </c>
      <c r="N101" s="443">
        <f t="shared" ca="1" si="250"/>
        <v>0.66036164849236567</v>
      </c>
      <c r="O101" s="438">
        <f ca="1">IFERROR(
INDEX('Admin - FEOR'!$A$4:$F$465,MATCH(Bérköltség!H101,'Admin - FEOR'!$A$4:$A$465,0),
IF(J101="30 év alatt",3,
IF(J101="30–39 éves",4,
IF(J101="40–49 éves",5,
IF(J101="50 év és afelett",6
)))))*1.5,"NA")</f>
        <v>1044882</v>
      </c>
      <c r="P101" s="438">
        <f t="shared" ca="1" si="251"/>
        <v>636537.31034482759</v>
      </c>
      <c r="Q101" s="438">
        <f t="shared" si="252"/>
        <v>280230</v>
      </c>
      <c r="R101" s="444">
        <f t="shared" si="253"/>
        <v>0.60919540229885061</v>
      </c>
      <c r="S101" s="438">
        <f t="shared" ca="1" si="254"/>
        <v>0</v>
      </c>
      <c r="T101" s="438">
        <f t="shared" ca="1" si="255"/>
        <v>0</v>
      </c>
      <c r="U101" s="445">
        <f t="shared" ca="1" si="256"/>
        <v>0</v>
      </c>
      <c r="V101" s="446">
        <f t="shared" ca="1" si="257"/>
        <v>316660</v>
      </c>
      <c r="W101" s="447" t="str">
        <f t="shared" ca="1" si="258"/>
        <v>Nem szükséges indoklás.</v>
      </c>
      <c r="X101" s="571">
        <f t="shared" ca="1" si="259"/>
        <v>0</v>
      </c>
      <c r="Y101" s="554">
        <f t="shared" ca="1" si="260"/>
        <v>280230</v>
      </c>
      <c r="Z101" s="555">
        <f t="shared" ca="1" si="261"/>
        <v>36430</v>
      </c>
      <c r="AA101" s="530"/>
      <c r="AB101" s="530">
        <v>8447772748</v>
      </c>
      <c r="AC101" s="532" t="s">
        <v>214</v>
      </c>
      <c r="AD101" s="483" t="s">
        <v>45</v>
      </c>
      <c r="AE101" s="534" t="s">
        <v>22</v>
      </c>
      <c r="AF101" s="99" t="s">
        <v>124</v>
      </c>
      <c r="AG101" s="99" t="s">
        <v>128</v>
      </c>
      <c r="AH101" s="451" t="s">
        <v>131</v>
      </c>
      <c r="AI101" s="154">
        <v>45170</v>
      </c>
      <c r="AJ101" s="100" t="str">
        <f>IF(AI101&gt;0,
(IF(AI101&lt;Hónapok!$A$10,Admin!$A$28,
(IF(AI101&lt;Hónapok!$A$22,Admin!$B$28,
(IF(AI101&lt;Hónapok!$A$34,Admin!$C$28,
(IF(AI101&lt;Hónapok!$A$46,Admin!$D$28,"")))))))),"")</f>
        <v>3. mérföldkő</v>
      </c>
      <c r="AK101" s="535" t="s">
        <v>7</v>
      </c>
      <c r="AL101" s="115" t="s">
        <v>26</v>
      </c>
      <c r="AM101" s="900">
        <v>460000</v>
      </c>
      <c r="AN101" s="860">
        <f t="shared" si="262"/>
        <v>59800</v>
      </c>
      <c r="AO101" s="101">
        <v>174</v>
      </c>
      <c r="AP101" s="111">
        <v>106</v>
      </c>
      <c r="AQ101" s="884">
        <f t="shared" si="263"/>
        <v>0.60919540229885061</v>
      </c>
      <c r="AR101" s="455">
        <f t="shared" si="264"/>
        <v>280230</v>
      </c>
      <c r="AS101" s="455">
        <f t="shared" si="265"/>
        <v>36430</v>
      </c>
      <c r="AT101" s="102">
        <f t="shared" si="266"/>
        <v>-2.4987506241913593E-7</v>
      </c>
      <c r="AU101" s="116">
        <v>0.13</v>
      </c>
      <c r="AV101" s="565" t="str">
        <f>VLOOKUP(LEFT(AB101,10),Törzsszám!$A$1:$B$908,2,0)</f>
        <v>10001795</v>
      </c>
      <c r="AW101" s="681">
        <f t="shared" ca="1" si="267"/>
        <v>0</v>
      </c>
      <c r="AX101" s="471" t="s">
        <v>4618</v>
      </c>
      <c r="AY101" s="664"/>
      <c r="AZ101" s="799"/>
      <c r="BA101" s="673"/>
      <c r="BB101" s="650"/>
      <c r="BC101" s="649"/>
      <c r="BD101" s="672"/>
      <c r="BE101" s="143" t="s">
        <v>197</v>
      </c>
    </row>
    <row r="102" spans="1:59" s="463" customFormat="1" ht="31.5" x14ac:dyDescent="0.25">
      <c r="A102" s="694" t="str">
        <f ca="1">Bérköltség!$B102</f>
        <v>FEOR</v>
      </c>
      <c r="B102" s="694" t="str">
        <f ca="1">IFERROR(
IF(AND(Bérköltség!$F102="",H102="NA"),"HIÁNYOS ADATOK",
IF(Bérköltség!$F102&lt;Bérköltség!$U102,Admin!$B$18,Admin!$B$17)),
"")</f>
        <v>FEOR</v>
      </c>
      <c r="C102" s="437">
        <f>IFERROR(INDEX('Historikus berek_2021-2'!$A$1:$F$903,MATCH(AB102,'Historikus berek_2021-2'!$A$1:$A$903,0),4),"")</f>
        <v>367500</v>
      </c>
      <c r="D102" s="438">
        <f t="shared" si="244"/>
        <v>223879.31034482759</v>
      </c>
      <c r="E102" s="437">
        <f t="shared" si="245"/>
        <v>280230</v>
      </c>
      <c r="F102" s="439">
        <f t="shared" si="246"/>
        <v>63676.279310344806</v>
      </c>
      <c r="G102" s="440">
        <f t="shared" si="247"/>
        <v>252983.62068965516</v>
      </c>
      <c r="H102" s="441">
        <f>IFERROR(INDEX('FEOR kodok'!$A$2:$J$1126,MATCH(Bérköltség!AB102,'FEOR kodok'!$B$2:$B$1126,0),8),"NA")</f>
        <v>2117</v>
      </c>
      <c r="I102" s="436">
        <f ca="1">IFERROR(INDEX('FEOR kodok'!$A$2:$J$1126,MATCH(Bérköltség!AB102,'FEOR kodok'!$B$2:$B$1126,0),10),"NA")</f>
        <v>34</v>
      </c>
      <c r="J102" s="442" t="str">
        <f t="shared" ca="1" si="248"/>
        <v>30–39 éves</v>
      </c>
      <c r="K102" s="436" t="str">
        <f>IFERROR(INDEX(admin_feor[#All],MATCH(Bérköltség!H102,admin_feor[[#All],[Foglalkozás]],0),2),"NA")</f>
        <v>Vegyészmérnök</v>
      </c>
      <c r="L102" s="438">
        <f ca="1">IFERROR(
INDEX('Admin - FEOR'!$A$4:$F$465,MATCH(Bérköltség!H102,'Admin - FEOR'!$A$4:$A$465,0),
IF(J102="30 év alatt",3,
IF(J102="30–39 éves",4,
IF(J102="40–49 éves",5,
IF(J102="50 év és afelett",6
)))))*1,"NA")</f>
        <v>696588</v>
      </c>
      <c r="M102" s="438">
        <f t="shared" si="249"/>
        <v>460000</v>
      </c>
      <c r="N102" s="443">
        <f t="shared" ca="1" si="250"/>
        <v>0.66036164849236567</v>
      </c>
      <c r="O102" s="438">
        <f ca="1">IFERROR(
INDEX('Admin - FEOR'!$A$4:$F$465,MATCH(Bérköltség!H102,'Admin - FEOR'!$A$4:$A$465,0),
IF(J102="30 év alatt",3,
IF(J102="30–39 éves",4,
IF(J102="40–49 éves",5,
IF(J102="50 év és afelett",6
)))))*1.5,"NA")</f>
        <v>1044882</v>
      </c>
      <c r="P102" s="438">
        <f t="shared" ca="1" si="251"/>
        <v>636537.31034482759</v>
      </c>
      <c r="Q102" s="438">
        <f t="shared" si="252"/>
        <v>280230</v>
      </c>
      <c r="R102" s="444">
        <f t="shared" si="253"/>
        <v>0.60919540229885061</v>
      </c>
      <c r="S102" s="438">
        <f t="shared" ca="1" si="254"/>
        <v>0</v>
      </c>
      <c r="T102" s="438">
        <f t="shared" ca="1" si="255"/>
        <v>0</v>
      </c>
      <c r="U102" s="445">
        <f t="shared" ca="1" si="256"/>
        <v>0</v>
      </c>
      <c r="V102" s="446">
        <f t="shared" ca="1" si="257"/>
        <v>316660</v>
      </c>
      <c r="W102" s="447" t="str">
        <f t="shared" ca="1" si="258"/>
        <v>Nem szükséges indoklás.</v>
      </c>
      <c r="X102" s="571">
        <f t="shared" ca="1" si="259"/>
        <v>0</v>
      </c>
      <c r="Y102" s="554">
        <f t="shared" ca="1" si="260"/>
        <v>280230</v>
      </c>
      <c r="Z102" s="555">
        <f t="shared" ca="1" si="261"/>
        <v>36430</v>
      </c>
      <c r="AA102" s="530"/>
      <c r="AB102" s="530">
        <v>8447772748</v>
      </c>
      <c r="AC102" s="532" t="s">
        <v>214</v>
      </c>
      <c r="AD102" s="483" t="s">
        <v>45</v>
      </c>
      <c r="AE102" s="534" t="s">
        <v>22</v>
      </c>
      <c r="AF102" s="99" t="s">
        <v>124</v>
      </c>
      <c r="AG102" s="99" t="s">
        <v>128</v>
      </c>
      <c r="AH102" s="451" t="s">
        <v>131</v>
      </c>
      <c r="AI102" s="154">
        <v>45200</v>
      </c>
      <c r="AJ102" s="100" t="str">
        <f>IF(AI102&gt;0,
(IF(AI102&lt;Hónapok!$A$10,Admin!$A$28,
(IF(AI102&lt;Hónapok!$A$22,Admin!$B$28,
(IF(AI102&lt;Hónapok!$A$34,Admin!$C$28,
(IF(AI102&lt;Hónapok!$A$46,Admin!$D$28,"")))))))),"")</f>
        <v>3. mérföldkő</v>
      </c>
      <c r="AK102" s="535" t="s">
        <v>8</v>
      </c>
      <c r="AL102" s="115" t="s">
        <v>26</v>
      </c>
      <c r="AM102" s="900">
        <v>460000</v>
      </c>
      <c r="AN102" s="860">
        <f t="shared" si="262"/>
        <v>59800</v>
      </c>
      <c r="AO102" s="101">
        <v>174</v>
      </c>
      <c r="AP102" s="111">
        <v>106</v>
      </c>
      <c r="AQ102" s="884">
        <f t="shared" si="263"/>
        <v>0.60919540229885061</v>
      </c>
      <c r="AR102" s="455">
        <f t="shared" si="264"/>
        <v>280230</v>
      </c>
      <c r="AS102" s="455">
        <f t="shared" si="265"/>
        <v>36430</v>
      </c>
      <c r="AT102" s="102">
        <f t="shared" si="266"/>
        <v>-2.4987506241913593E-7</v>
      </c>
      <c r="AU102" s="116">
        <v>0.13</v>
      </c>
      <c r="AV102" s="565" t="str">
        <f>VLOOKUP(LEFT(AB102,10),Törzsszám!$A$1:$B$908,2,0)</f>
        <v>10001795</v>
      </c>
      <c r="AW102" s="681">
        <f t="shared" ca="1" si="267"/>
        <v>0</v>
      </c>
      <c r="AX102" s="540"/>
      <c r="AY102" s="664"/>
      <c r="AZ102" s="799"/>
      <c r="BA102" s="673"/>
      <c r="BB102" s="650"/>
      <c r="BC102" s="649"/>
      <c r="BD102" s="672"/>
      <c r="BE102" s="143" t="s">
        <v>197</v>
      </c>
    </row>
    <row r="103" spans="1:59" s="463" customFormat="1" ht="31.5" x14ac:dyDescent="0.25">
      <c r="A103" s="694" t="str">
        <f ca="1">Bérköltség!$B103</f>
        <v>FEOR</v>
      </c>
      <c r="B103" s="694" t="str">
        <f ca="1">IFERROR(
IF(AND(Bérköltség!$F103="",H103="NA"),"HIÁNYOS ADATOK",
IF(Bérköltség!$F103&lt;Bérköltség!$U103,Admin!$B$18,Admin!$B$17)),
"")</f>
        <v>FEOR</v>
      </c>
      <c r="C103" s="437">
        <f>IFERROR(INDEX('Historikus berek_2021-2'!$A$1:$F$903,MATCH(AB103,'Historikus berek_2021-2'!$A$1:$A$903,0),4),"")</f>
        <v>367500</v>
      </c>
      <c r="D103" s="438">
        <f t="shared" si="244"/>
        <v>223879.31034482759</v>
      </c>
      <c r="E103" s="437">
        <f t="shared" si="245"/>
        <v>280230</v>
      </c>
      <c r="F103" s="439">
        <f t="shared" si="246"/>
        <v>63676.279310344806</v>
      </c>
      <c r="G103" s="440">
        <f t="shared" si="247"/>
        <v>252983.62068965516</v>
      </c>
      <c r="H103" s="441">
        <f>IFERROR(INDEX('FEOR kodok'!$A$2:$J$1126,MATCH(Bérköltség!AB103,'FEOR kodok'!$B$2:$B$1126,0),8),"NA")</f>
        <v>2117</v>
      </c>
      <c r="I103" s="436">
        <f ca="1">IFERROR(INDEX('FEOR kodok'!$A$2:$J$1126,MATCH(Bérköltség!AB103,'FEOR kodok'!$B$2:$B$1126,0),10),"NA")</f>
        <v>34</v>
      </c>
      <c r="J103" s="442" t="str">
        <f t="shared" ca="1" si="248"/>
        <v>30–39 éves</v>
      </c>
      <c r="K103" s="436" t="str">
        <f>IFERROR(INDEX(admin_feor[#All],MATCH(Bérköltség!H103,admin_feor[[#All],[Foglalkozás]],0),2),"NA")</f>
        <v>Vegyészmérnök</v>
      </c>
      <c r="L103" s="438">
        <f ca="1">IFERROR(
INDEX('Admin - FEOR'!$A$4:$F$465,MATCH(Bérköltség!H103,'Admin - FEOR'!$A$4:$A$465,0),
IF(J103="30 év alatt",3,
IF(J103="30–39 éves",4,
IF(J103="40–49 éves",5,
IF(J103="50 év és afelett",6
)))))*1,"NA")</f>
        <v>696588</v>
      </c>
      <c r="M103" s="438">
        <f t="shared" si="249"/>
        <v>460000</v>
      </c>
      <c r="N103" s="443">
        <f t="shared" ca="1" si="250"/>
        <v>0.66036164849236567</v>
      </c>
      <c r="O103" s="438">
        <f ca="1">IFERROR(
INDEX('Admin - FEOR'!$A$4:$F$465,MATCH(Bérköltség!H103,'Admin - FEOR'!$A$4:$A$465,0),
IF(J103="30 év alatt",3,
IF(J103="30–39 éves",4,
IF(J103="40–49 éves",5,
IF(J103="50 év és afelett",6
)))))*1.5,"NA")</f>
        <v>1044882</v>
      </c>
      <c r="P103" s="438">
        <f t="shared" ca="1" si="251"/>
        <v>636537.31034482759</v>
      </c>
      <c r="Q103" s="438">
        <f t="shared" si="252"/>
        <v>280230</v>
      </c>
      <c r="R103" s="444">
        <f t="shared" si="253"/>
        <v>0.60919540229885061</v>
      </c>
      <c r="S103" s="438">
        <f t="shared" ca="1" si="254"/>
        <v>0</v>
      </c>
      <c r="T103" s="438">
        <f t="shared" ca="1" si="255"/>
        <v>0</v>
      </c>
      <c r="U103" s="445">
        <f t="shared" ca="1" si="256"/>
        <v>0</v>
      </c>
      <c r="V103" s="446">
        <f t="shared" ca="1" si="257"/>
        <v>316660</v>
      </c>
      <c r="W103" s="447" t="str">
        <f t="shared" ca="1" si="258"/>
        <v>Nem szükséges indoklás.</v>
      </c>
      <c r="X103" s="571">
        <f t="shared" ca="1" si="259"/>
        <v>0</v>
      </c>
      <c r="Y103" s="554">
        <f t="shared" ca="1" si="260"/>
        <v>280230</v>
      </c>
      <c r="Z103" s="555">
        <f t="shared" ca="1" si="261"/>
        <v>36430</v>
      </c>
      <c r="AA103" s="530"/>
      <c r="AB103" s="530">
        <v>8447772748</v>
      </c>
      <c r="AC103" s="532" t="s">
        <v>214</v>
      </c>
      <c r="AD103" s="483" t="s">
        <v>45</v>
      </c>
      <c r="AE103" s="534" t="s">
        <v>22</v>
      </c>
      <c r="AF103" s="99" t="s">
        <v>124</v>
      </c>
      <c r="AG103" s="99" t="s">
        <v>128</v>
      </c>
      <c r="AH103" s="451" t="s">
        <v>131</v>
      </c>
      <c r="AI103" s="154">
        <v>45231</v>
      </c>
      <c r="AJ103" s="100" t="str">
        <f>IF(AI103&gt;0,
(IF(AI103&lt;Hónapok!$A$10,Admin!$A$28,
(IF(AI103&lt;Hónapok!$A$22,Admin!$B$28,
(IF(AI103&lt;Hónapok!$A$34,Admin!$C$28,
(IF(AI103&lt;Hónapok!$A$46,Admin!$D$28,"")))))))),"")</f>
        <v>3. mérföldkő</v>
      </c>
      <c r="AK103" s="535" t="s">
        <v>8</v>
      </c>
      <c r="AL103" s="115" t="s">
        <v>26</v>
      </c>
      <c r="AM103" s="900">
        <v>460000</v>
      </c>
      <c r="AN103" s="860">
        <f t="shared" si="262"/>
        <v>59800</v>
      </c>
      <c r="AO103" s="101">
        <v>174</v>
      </c>
      <c r="AP103" s="111">
        <v>106</v>
      </c>
      <c r="AQ103" s="884">
        <f t="shared" si="263"/>
        <v>0.60919540229885061</v>
      </c>
      <c r="AR103" s="455">
        <f t="shared" si="264"/>
        <v>280230</v>
      </c>
      <c r="AS103" s="455">
        <f t="shared" si="265"/>
        <v>36430</v>
      </c>
      <c r="AT103" s="102">
        <f t="shared" si="266"/>
        <v>-2.4987506241913593E-7</v>
      </c>
      <c r="AU103" s="116">
        <v>0.13</v>
      </c>
      <c r="AV103" s="565" t="str">
        <f>VLOOKUP(LEFT(AB103,10),Törzsszám!$A$1:$B$908,2,0)</f>
        <v>10001795</v>
      </c>
      <c r="AW103" s="681">
        <f t="shared" ca="1" si="267"/>
        <v>0</v>
      </c>
      <c r="AX103" s="540"/>
      <c r="AY103" s="664"/>
      <c r="AZ103" s="799"/>
      <c r="BA103" s="673"/>
      <c r="BB103" s="650"/>
      <c r="BC103" s="649"/>
      <c r="BD103" s="672"/>
      <c r="BE103" s="143" t="s">
        <v>197</v>
      </c>
    </row>
    <row r="104" spans="1:59" s="463" customFormat="1" ht="31.5" x14ac:dyDescent="0.25">
      <c r="A104" s="694" t="str">
        <f ca="1">Bérköltség!$B104</f>
        <v>FEOR</v>
      </c>
      <c r="B104" s="694" t="str">
        <f ca="1">IFERROR(
IF(AND(Bérköltség!$F104="",H104="NA"),"HIÁNYOS ADATOK",
IF(Bérköltség!$F104&lt;Bérköltség!$U104,Admin!$B$18,Admin!$B$17)),
"")</f>
        <v>FEOR</v>
      </c>
      <c r="C104" s="437">
        <f>IFERROR(INDEX('Historikus berek_2021-2'!$A$1:$F$903,MATCH(AB104,'Historikus berek_2021-2'!$A$1:$A$903,0),4),"")</f>
        <v>328933.33333333331</v>
      </c>
      <c r="D104" s="438">
        <f t="shared" si="5"/>
        <v>328933.33333333331</v>
      </c>
      <c r="E104" s="437">
        <f t="shared" si="6"/>
        <v>349999</v>
      </c>
      <c r="F104" s="439">
        <f t="shared" si="7"/>
        <v>23804.203333333309</v>
      </c>
      <c r="G104" s="440">
        <f t="shared" si="8"/>
        <v>371694.66666666663</v>
      </c>
      <c r="H104" s="441">
        <f>IFERROR(INDEX('FEOR kodok'!$A$2:$J$1126,MATCH(Bérköltség!AB104,'FEOR kodok'!$B$2:$B$1126,0),8),"NA")</f>
        <v>2139</v>
      </c>
      <c r="I104" s="436">
        <f ca="1">IFERROR(INDEX('FEOR kodok'!$A$2:$J$1126,MATCH(Bérköltség!AB104,'FEOR kodok'!$B$2:$B$1126,0),10),"NA")</f>
        <v>30</v>
      </c>
      <c r="J104" s="442" t="str">
        <f t="shared" ca="1" si="9"/>
        <v>30–39 éves</v>
      </c>
      <c r="K104" s="436" t="str">
        <f>IFERROR(INDEX(admin_feor[#All],MATCH(Bérköltség!H104,admin_feor[[#All],[Foglalkozás]],0),2),"NA")</f>
        <v>Egyéb, máshova nem sorolható mérnök</v>
      </c>
      <c r="L104" s="438">
        <f ca="1">IFERROR(
INDEX('Admin - FEOR'!$A$4:$F$465,MATCH(Bérköltség!H104,'Admin - FEOR'!$A$4:$A$465,0),
IF(J104="30 év alatt",3,
IF(J104="30–39 éves",4,
IF(J104="40–49 éves",5,
IF(J104="50 év és afelett",6
)))))*1,"NA")</f>
        <v>845378</v>
      </c>
      <c r="M104" s="438">
        <f t="shared" si="10"/>
        <v>349999</v>
      </c>
      <c r="N104" s="443">
        <f t="shared" ca="1" si="11"/>
        <v>0.41401479574817418</v>
      </c>
      <c r="O104" s="438">
        <f ca="1">IFERROR(
INDEX('Admin - FEOR'!$A$4:$F$465,MATCH(Bérköltség!H104,'Admin - FEOR'!$A$4:$A$465,0),
IF(J104="30 év alatt",3,
IF(J104="30–39 éves",4,
IF(J104="40–49 éves",5,
IF(J104="50 év és afelett",6
)))))*1.5,"NA")</f>
        <v>1268067</v>
      </c>
      <c r="P104" s="438">
        <f t="shared" ca="1" si="12"/>
        <v>1268067</v>
      </c>
      <c r="Q104" s="438">
        <f t="shared" si="13"/>
        <v>349999</v>
      </c>
      <c r="R104" s="444">
        <f t="shared" si="14"/>
        <v>1</v>
      </c>
      <c r="S104" s="438">
        <f t="shared" ca="1" si="15"/>
        <v>0</v>
      </c>
      <c r="T104" s="438">
        <f t="shared" ca="1" si="16"/>
        <v>0</v>
      </c>
      <c r="U104" s="445">
        <f t="shared" ca="1" si="17"/>
        <v>0</v>
      </c>
      <c r="V104" s="446">
        <f t="shared" ca="1" si="18"/>
        <v>395499</v>
      </c>
      <c r="W104" s="447" t="str">
        <f t="shared" ca="1" si="19"/>
        <v>Nem szükséges indoklás.</v>
      </c>
      <c r="X104" s="571">
        <f t="shared" ca="1" si="20"/>
        <v>0</v>
      </c>
      <c r="Y104" s="554">
        <f t="shared" ca="1" si="21"/>
        <v>349999</v>
      </c>
      <c r="Z104" s="555">
        <f t="shared" ca="1" si="22"/>
        <v>45500</v>
      </c>
      <c r="AA104" s="573">
        <v>2</v>
      </c>
      <c r="AB104" s="543">
        <v>8460541932</v>
      </c>
      <c r="AC104" s="449" t="s">
        <v>160</v>
      </c>
      <c r="AD104" s="459" t="s">
        <v>45</v>
      </c>
      <c r="AE104" s="533" t="s">
        <v>24</v>
      </c>
      <c r="AF104" s="466" t="s">
        <v>119</v>
      </c>
      <c r="AG104" s="466" t="s">
        <v>161</v>
      </c>
      <c r="AH104" s="451" t="s">
        <v>131</v>
      </c>
      <c r="AI104" s="154">
        <v>44743</v>
      </c>
      <c r="AJ104" s="100" t="str">
        <f>IF(AI104&gt;0,
(IF(AI104&lt;Hónapok!$A$10,Admin!$A$28,
(IF(AI104&lt;Hónapok!$A$22,Admin!$B$28,
(IF(AI104&lt;Hónapok!$A$34,Admin!$C$28,
(IF(AI104&lt;Hónapok!$A$46,Admin!$D$28,"")))))))),"")</f>
        <v>2. mérföldkő</v>
      </c>
      <c r="AK104" s="470" t="s">
        <v>7</v>
      </c>
      <c r="AL104" s="466" t="s">
        <v>26</v>
      </c>
      <c r="AM104" s="900">
        <f>350000-1</f>
        <v>349999</v>
      </c>
      <c r="AN104" s="860">
        <f t="shared" si="166"/>
        <v>45500</v>
      </c>
      <c r="AO104" s="466">
        <v>174</v>
      </c>
      <c r="AP104" s="467">
        <v>174</v>
      </c>
      <c r="AQ104" s="454">
        <f t="shared" si="167"/>
        <v>1</v>
      </c>
      <c r="AR104" s="455">
        <f t="shared" si="168"/>
        <v>349999</v>
      </c>
      <c r="AS104" s="455">
        <f t="shared" si="169"/>
        <v>45500</v>
      </c>
      <c r="AT104" s="102">
        <f t="shared" si="170"/>
        <v>0</v>
      </c>
      <c r="AU104" s="116">
        <v>0.13</v>
      </c>
      <c r="AV104" s="565" t="str">
        <f>VLOOKUP(LEFT(AB104,10),Törzsszám!$A$1:$B$908,2,0)</f>
        <v>10001357</v>
      </c>
      <c r="AW104" s="615">
        <f t="shared" ca="1" si="24"/>
        <v>0</v>
      </c>
      <c r="AX104" s="471" t="s">
        <v>209</v>
      </c>
      <c r="AY104" s="527"/>
      <c r="AZ104" s="502" t="s">
        <v>4607</v>
      </c>
      <c r="BA104" s="674">
        <v>349999</v>
      </c>
      <c r="BB104" s="651">
        <v>45500</v>
      </c>
      <c r="BC104" s="649">
        <f t="shared" ref="BC104:BD110" ca="1" si="268">Y104-BA104</f>
        <v>0</v>
      </c>
      <c r="BD104" s="672">
        <f t="shared" ca="1" si="268"/>
        <v>0</v>
      </c>
      <c r="BE104" s="703" t="s">
        <v>162</v>
      </c>
      <c r="BF104" s="481"/>
      <c r="BG104" s="481"/>
    </row>
    <row r="105" spans="1:59" s="463" customFormat="1" ht="31.5" x14ac:dyDescent="0.25">
      <c r="A105" s="694" t="str">
        <f ca="1">Bérköltség!$B105</f>
        <v>FEOR</v>
      </c>
      <c r="B105" s="694" t="str">
        <f ca="1">IFERROR(
IF(AND(Bérköltség!$F105="",H105="NA"),"HIÁNYOS ADATOK",
IF(Bérköltség!$F105&lt;Bérköltség!$U105,Admin!$B$18,Admin!$B$17)),
"")</f>
        <v>FEOR</v>
      </c>
      <c r="C105" s="437">
        <f>IFERROR(INDEX('Historikus berek_2021-2'!$A$1:$F$903,MATCH(AB105,'Historikus berek_2021-2'!$A$1:$A$903,0),4),"")</f>
        <v>328933.33333333331</v>
      </c>
      <c r="D105" s="438">
        <f t="shared" si="5"/>
        <v>328933.33333333331</v>
      </c>
      <c r="E105" s="437">
        <f t="shared" si="6"/>
        <v>304348</v>
      </c>
      <c r="F105" s="439">
        <f t="shared" si="7"/>
        <v>0</v>
      </c>
      <c r="G105" s="440">
        <f t="shared" si="8"/>
        <v>343913.24</v>
      </c>
      <c r="H105" s="441">
        <f>IFERROR(INDEX('FEOR kodok'!$A$2:$J$1126,MATCH(Bérköltség!AB105,'FEOR kodok'!$B$2:$B$1126,0),8),"NA")</f>
        <v>2139</v>
      </c>
      <c r="I105" s="436">
        <f ca="1">IFERROR(INDEX('FEOR kodok'!$A$2:$J$1126,MATCH(Bérköltség!AB105,'FEOR kodok'!$B$2:$B$1126,0),10),"NA")</f>
        <v>30</v>
      </c>
      <c r="J105" s="442" t="str">
        <f t="shared" ca="1" si="9"/>
        <v>30–39 éves</v>
      </c>
      <c r="K105" s="436" t="str">
        <f>IFERROR(INDEX(admin_feor[#All],MATCH(Bérköltség!H105,admin_feor[[#All],[Foglalkozás]],0),2),"NA")</f>
        <v>Egyéb, máshova nem sorolható mérnök</v>
      </c>
      <c r="L105" s="438">
        <f ca="1">IFERROR(
INDEX('Admin - FEOR'!$A$4:$F$465,MATCH(Bérköltség!H105,'Admin - FEOR'!$A$4:$A$465,0),
IF(J105="30 év alatt",3,
IF(J105="30–39 éves",4,
IF(J105="40–49 éves",5,
IF(J105="50 év és afelett",6
)))))*1,"NA")</f>
        <v>845378</v>
      </c>
      <c r="M105" s="438">
        <f t="shared" si="10"/>
        <v>304348</v>
      </c>
      <c r="N105" s="443">
        <f t="shared" ca="1" si="11"/>
        <v>0.36001410020133007</v>
      </c>
      <c r="O105" s="438">
        <f ca="1">IFERROR(
INDEX('Admin - FEOR'!$A$4:$F$465,MATCH(Bérköltség!H105,'Admin - FEOR'!$A$4:$A$465,0),
IF(J105="30 év alatt",3,
IF(J105="30–39 éves",4,
IF(J105="40–49 éves",5,
IF(J105="50 év és afelett",6
)))))*1.5,"NA")</f>
        <v>1268067</v>
      </c>
      <c r="P105" s="438">
        <f t="shared" ca="1" si="12"/>
        <v>1268067</v>
      </c>
      <c r="Q105" s="438">
        <f t="shared" si="13"/>
        <v>304348</v>
      </c>
      <c r="R105" s="444">
        <f t="shared" si="14"/>
        <v>1</v>
      </c>
      <c r="S105" s="438">
        <f t="shared" ca="1" si="15"/>
        <v>0</v>
      </c>
      <c r="T105" s="438">
        <f t="shared" ca="1" si="16"/>
        <v>0</v>
      </c>
      <c r="U105" s="445">
        <f t="shared" ca="1" si="17"/>
        <v>0</v>
      </c>
      <c r="V105" s="446">
        <f t="shared" ca="1" si="18"/>
        <v>343913</v>
      </c>
      <c r="W105" s="447" t="str">
        <f t="shared" ca="1" si="19"/>
        <v>Nem szükséges indoklás.</v>
      </c>
      <c r="X105" s="571">
        <f t="shared" ca="1" si="20"/>
        <v>0</v>
      </c>
      <c r="Y105" s="554">
        <f t="shared" ca="1" si="21"/>
        <v>304348</v>
      </c>
      <c r="Z105" s="555">
        <f t="shared" ca="1" si="22"/>
        <v>39565</v>
      </c>
      <c r="AA105" s="573">
        <v>2</v>
      </c>
      <c r="AB105" s="543">
        <v>8460541932</v>
      </c>
      <c r="AC105" s="449" t="s">
        <v>160</v>
      </c>
      <c r="AD105" s="459" t="s">
        <v>45</v>
      </c>
      <c r="AE105" s="533" t="s">
        <v>24</v>
      </c>
      <c r="AF105" s="466" t="s">
        <v>119</v>
      </c>
      <c r="AG105" s="466" t="s">
        <v>161</v>
      </c>
      <c r="AH105" s="451" t="s">
        <v>131</v>
      </c>
      <c r="AI105" s="154">
        <v>44774</v>
      </c>
      <c r="AJ105" s="100" t="str">
        <f>IF(AI105&gt;0,
(IF(AI105&lt;Hónapok!$A$10,Admin!$A$28,
(IF(AI105&lt;Hónapok!$A$22,Admin!$B$28,
(IF(AI105&lt;Hónapok!$A$34,Admin!$C$28,
(IF(AI105&lt;Hónapok!$A$46,Admin!$D$28,"")))))))),"")</f>
        <v>2. mérföldkő</v>
      </c>
      <c r="AK105" s="470" t="s">
        <v>7</v>
      </c>
      <c r="AL105" s="466" t="s">
        <v>26</v>
      </c>
      <c r="AM105" s="900">
        <v>304348</v>
      </c>
      <c r="AN105" s="860">
        <f t="shared" si="166"/>
        <v>39565</v>
      </c>
      <c r="AO105" s="466">
        <v>174</v>
      </c>
      <c r="AP105" s="467">
        <v>174</v>
      </c>
      <c r="AQ105" s="454">
        <f t="shared" si="167"/>
        <v>1</v>
      </c>
      <c r="AR105" s="455">
        <f t="shared" si="168"/>
        <v>304348</v>
      </c>
      <c r="AS105" s="455">
        <f t="shared" si="169"/>
        <v>39565</v>
      </c>
      <c r="AT105" s="102">
        <f t="shared" si="170"/>
        <v>0</v>
      </c>
      <c r="AU105" s="116">
        <v>0.13</v>
      </c>
      <c r="AV105" s="565" t="str">
        <f>VLOOKUP(LEFT(AB105,10),Törzsszám!$A$1:$B$908,2,0)</f>
        <v>10001357</v>
      </c>
      <c r="AW105" s="615">
        <f t="shared" ca="1" si="24"/>
        <v>0</v>
      </c>
      <c r="AX105" s="468" t="s">
        <v>218</v>
      </c>
      <c r="AY105" s="665"/>
      <c r="AZ105" s="502" t="s">
        <v>4607</v>
      </c>
      <c r="BA105" s="674">
        <v>309735</v>
      </c>
      <c r="BB105" s="651">
        <v>40266</v>
      </c>
      <c r="BC105" s="649">
        <f t="shared" ca="1" si="268"/>
        <v>-5387</v>
      </c>
      <c r="BD105" s="672">
        <f t="shared" ca="1" si="268"/>
        <v>-701</v>
      </c>
      <c r="BE105" s="703" t="s">
        <v>162</v>
      </c>
      <c r="BF105" s="481"/>
    </row>
    <row r="106" spans="1:59" s="463" customFormat="1" ht="31.5" x14ac:dyDescent="0.25">
      <c r="A106" s="694" t="str">
        <f ca="1">Bérköltség!$B106</f>
        <v>FEOR</v>
      </c>
      <c r="B106" s="694" t="str">
        <f ca="1">IFERROR(
IF(AND(Bérköltség!$F106="",H106="NA"),"HIÁNYOS ADATOK",
IF(Bérköltség!$F106&lt;Bérköltség!$U106,Admin!$B$18,Admin!$B$17)),
"")</f>
        <v>FEOR</v>
      </c>
      <c r="C106" s="437">
        <f>IFERROR(INDEX('Historikus berek_2021-2'!$A$1:$F$903,MATCH(AB106,'Historikus berek_2021-2'!$A$1:$A$903,0),4),"")</f>
        <v>328933.33333333331</v>
      </c>
      <c r="D106" s="438">
        <f t="shared" si="5"/>
        <v>328933.33333333331</v>
      </c>
      <c r="E106" s="437">
        <f t="shared" si="6"/>
        <v>350000</v>
      </c>
      <c r="F106" s="439">
        <f t="shared" si="7"/>
        <v>23805.333333333314</v>
      </c>
      <c r="G106" s="440">
        <f t="shared" si="8"/>
        <v>371694.66666666663</v>
      </c>
      <c r="H106" s="441">
        <f>IFERROR(INDEX('FEOR kodok'!$A$2:$J$1126,MATCH(Bérköltség!AB106,'FEOR kodok'!$B$2:$B$1126,0),8),"NA")</f>
        <v>2139</v>
      </c>
      <c r="I106" s="436">
        <f ca="1">IFERROR(INDEX('FEOR kodok'!$A$2:$J$1126,MATCH(Bérköltség!AB106,'FEOR kodok'!$B$2:$B$1126,0),10),"NA")</f>
        <v>30</v>
      </c>
      <c r="J106" s="442" t="str">
        <f t="shared" ca="1" si="9"/>
        <v>30–39 éves</v>
      </c>
      <c r="K106" s="436" t="str">
        <f>IFERROR(INDEX(admin_feor[#All],MATCH(Bérköltség!H106,admin_feor[[#All],[Foglalkozás]],0),2),"NA")</f>
        <v>Egyéb, máshova nem sorolható mérnök</v>
      </c>
      <c r="L106" s="438">
        <f ca="1">IFERROR(
INDEX('Admin - FEOR'!$A$4:$F$465,MATCH(Bérköltség!H106,'Admin - FEOR'!$A$4:$A$465,0),
IF(J106="30 év alatt",3,
IF(J106="30–39 éves",4,
IF(J106="40–49 éves",5,
IF(J106="50 év és afelett",6
)))))*1,"NA")</f>
        <v>845378</v>
      </c>
      <c r="M106" s="438">
        <f t="shared" si="10"/>
        <v>350000</v>
      </c>
      <c r="N106" s="443">
        <f t="shared" ca="1" si="11"/>
        <v>0.41401597865097034</v>
      </c>
      <c r="O106" s="438">
        <f ca="1">IFERROR(
INDEX('Admin - FEOR'!$A$4:$F$465,MATCH(Bérköltség!H106,'Admin - FEOR'!$A$4:$A$465,0),
IF(J106="30 év alatt",3,
IF(J106="30–39 éves",4,
IF(J106="40–49 éves",5,
IF(J106="50 év és afelett",6
)))))*1.5,"NA")</f>
        <v>1268067</v>
      </c>
      <c r="P106" s="438">
        <f t="shared" ca="1" si="12"/>
        <v>1268067</v>
      </c>
      <c r="Q106" s="438">
        <f t="shared" si="13"/>
        <v>350000</v>
      </c>
      <c r="R106" s="444">
        <f t="shared" si="14"/>
        <v>1</v>
      </c>
      <c r="S106" s="438">
        <f t="shared" ca="1" si="15"/>
        <v>0</v>
      </c>
      <c r="T106" s="438">
        <f t="shared" ca="1" si="16"/>
        <v>0</v>
      </c>
      <c r="U106" s="445">
        <f t="shared" ca="1" si="17"/>
        <v>0</v>
      </c>
      <c r="V106" s="446">
        <f t="shared" ca="1" si="18"/>
        <v>395500</v>
      </c>
      <c r="W106" s="447" t="str">
        <f t="shared" ca="1" si="19"/>
        <v>Nem szükséges indoklás.</v>
      </c>
      <c r="X106" s="571">
        <f t="shared" ca="1" si="20"/>
        <v>0</v>
      </c>
      <c r="Y106" s="554">
        <f t="shared" ca="1" si="21"/>
        <v>350000</v>
      </c>
      <c r="Z106" s="555">
        <f t="shared" ca="1" si="22"/>
        <v>45500</v>
      </c>
      <c r="AA106" s="573">
        <v>2</v>
      </c>
      <c r="AB106" s="477">
        <v>8460541932</v>
      </c>
      <c r="AC106" s="475" t="s">
        <v>160</v>
      </c>
      <c r="AD106" s="459" t="s">
        <v>45</v>
      </c>
      <c r="AE106" s="533" t="s">
        <v>24</v>
      </c>
      <c r="AF106" s="466" t="s">
        <v>119</v>
      </c>
      <c r="AG106" s="466" t="s">
        <v>161</v>
      </c>
      <c r="AH106" s="451" t="s">
        <v>131</v>
      </c>
      <c r="AI106" s="154">
        <v>44805</v>
      </c>
      <c r="AJ106" s="100" t="str">
        <f>IF(AI106&gt;0,
(IF(AI106&lt;Hónapok!$A$10,Admin!$A$28,
(IF(AI106&lt;Hónapok!$A$22,Admin!$B$28,
(IF(AI106&lt;Hónapok!$A$34,Admin!$C$28,
(IF(AI106&lt;Hónapok!$A$46,Admin!$D$28,"")))))))),"")</f>
        <v>2. mérföldkő</v>
      </c>
      <c r="AK106" s="469" t="s">
        <v>7</v>
      </c>
      <c r="AL106" s="466" t="s">
        <v>26</v>
      </c>
      <c r="AM106" s="900">
        <v>350000</v>
      </c>
      <c r="AN106" s="860">
        <f t="shared" si="166"/>
        <v>45500</v>
      </c>
      <c r="AO106" s="466">
        <v>174</v>
      </c>
      <c r="AP106" s="467">
        <v>174</v>
      </c>
      <c r="AQ106" s="454">
        <f t="shared" si="167"/>
        <v>1</v>
      </c>
      <c r="AR106" s="455">
        <f t="shared" si="168"/>
        <v>350000</v>
      </c>
      <c r="AS106" s="455">
        <f t="shared" si="169"/>
        <v>45500</v>
      </c>
      <c r="AT106" s="102">
        <f t="shared" si="170"/>
        <v>0</v>
      </c>
      <c r="AU106" s="116">
        <v>0.13</v>
      </c>
      <c r="AV106" s="565" t="str">
        <f>VLOOKUP(LEFT(AB106,10),Törzsszám!$A$1:$B$908,2,0)</f>
        <v>10001357</v>
      </c>
      <c r="AW106" s="615">
        <f t="shared" ca="1" si="24"/>
        <v>0</v>
      </c>
      <c r="AX106" s="468" t="s">
        <v>228</v>
      </c>
      <c r="AY106" s="527"/>
      <c r="AZ106" s="502" t="s">
        <v>4607</v>
      </c>
      <c r="BA106" s="674">
        <v>309735</v>
      </c>
      <c r="BB106" s="651">
        <v>40266</v>
      </c>
      <c r="BC106" s="649">
        <f t="shared" ca="1" si="268"/>
        <v>40265</v>
      </c>
      <c r="BD106" s="672">
        <f t="shared" ca="1" si="268"/>
        <v>5234</v>
      </c>
      <c r="BE106" s="703" t="s">
        <v>162</v>
      </c>
      <c r="BF106" s="481"/>
    </row>
    <row r="107" spans="1:59" s="463" customFormat="1" ht="31.5" x14ac:dyDescent="0.25">
      <c r="A107" s="694" t="str">
        <f ca="1">Bérköltség!$B107</f>
        <v>FEOR</v>
      </c>
      <c r="B107" s="694" t="str">
        <f ca="1">IFERROR(
IF(AND(Bérköltség!$F107="",H107="NA"),"HIÁNYOS ADATOK",
IF(Bérköltség!$F107&lt;Bérköltség!$U107,Admin!$B$18,Admin!$B$17)),
"")</f>
        <v>FEOR</v>
      </c>
      <c r="C107" s="437">
        <f>IFERROR(INDEX('Historikus berek_2021-2'!$A$1:$F$903,MATCH(AB107,'Historikus berek_2021-2'!$A$1:$A$903,0),4),"")</f>
        <v>328933.33333333331</v>
      </c>
      <c r="D107" s="438">
        <f t="shared" si="5"/>
        <v>328933.33333333331</v>
      </c>
      <c r="E107" s="437">
        <f t="shared" si="6"/>
        <v>330000</v>
      </c>
      <c r="F107" s="439">
        <f t="shared" si="7"/>
        <v>1205.3333333333139</v>
      </c>
      <c r="G107" s="440">
        <f t="shared" si="8"/>
        <v>371694.66666666663</v>
      </c>
      <c r="H107" s="441">
        <f>IFERROR(INDEX('FEOR kodok'!$A$2:$J$1126,MATCH(Bérköltség!AB107,'FEOR kodok'!$B$2:$B$1126,0),8),"NA")</f>
        <v>2139</v>
      </c>
      <c r="I107" s="436">
        <f ca="1">IFERROR(INDEX('FEOR kodok'!$A$2:$J$1126,MATCH(Bérköltség!AB107,'FEOR kodok'!$B$2:$B$1126,0),10),"NA")</f>
        <v>30</v>
      </c>
      <c r="J107" s="442" t="str">
        <f t="shared" ca="1" si="9"/>
        <v>30–39 éves</v>
      </c>
      <c r="K107" s="436" t="str">
        <f>IFERROR(INDEX(admin_feor[#All],MATCH(Bérköltség!H107,admin_feor[[#All],[Foglalkozás]],0),2),"NA")</f>
        <v>Egyéb, máshova nem sorolható mérnök</v>
      </c>
      <c r="L107" s="438">
        <f ca="1">IFERROR(
INDEX('Admin - FEOR'!$A$4:$F$465,MATCH(Bérköltség!H107,'Admin - FEOR'!$A$4:$A$465,0),
IF(J107="30 év alatt",3,
IF(J107="30–39 éves",4,
IF(J107="40–49 éves",5,
IF(J107="50 év és afelett",6
)))))*1,"NA")</f>
        <v>845378</v>
      </c>
      <c r="M107" s="438">
        <f t="shared" si="10"/>
        <v>330000</v>
      </c>
      <c r="N107" s="443">
        <f t="shared" ca="1" si="11"/>
        <v>0.39035792272805775</v>
      </c>
      <c r="O107" s="438">
        <f ca="1">IFERROR(
INDEX('Admin - FEOR'!$A$4:$F$465,MATCH(Bérköltség!H107,'Admin - FEOR'!$A$4:$A$465,0),
IF(J107="30 év alatt",3,
IF(J107="30–39 éves",4,
IF(J107="40–49 éves",5,
IF(J107="50 év és afelett",6
)))))*1.5,"NA")</f>
        <v>1268067</v>
      </c>
      <c r="P107" s="438">
        <f t="shared" ca="1" si="12"/>
        <v>1268067</v>
      </c>
      <c r="Q107" s="438">
        <f t="shared" si="13"/>
        <v>330000</v>
      </c>
      <c r="R107" s="444">
        <f t="shared" si="14"/>
        <v>1</v>
      </c>
      <c r="S107" s="438">
        <f t="shared" ca="1" si="15"/>
        <v>0</v>
      </c>
      <c r="T107" s="438">
        <f t="shared" ca="1" si="16"/>
        <v>0</v>
      </c>
      <c r="U107" s="445">
        <f t="shared" ca="1" si="17"/>
        <v>0</v>
      </c>
      <c r="V107" s="446">
        <f t="shared" ca="1" si="18"/>
        <v>372900</v>
      </c>
      <c r="W107" s="447" t="str">
        <f t="shared" ca="1" si="19"/>
        <v>Nem szükséges indoklás.</v>
      </c>
      <c r="X107" s="571">
        <f t="shared" ca="1" si="20"/>
        <v>0</v>
      </c>
      <c r="Y107" s="554">
        <f t="shared" ca="1" si="21"/>
        <v>330000</v>
      </c>
      <c r="Z107" s="555">
        <f t="shared" ca="1" si="22"/>
        <v>42900</v>
      </c>
      <c r="AA107" s="573">
        <v>2</v>
      </c>
      <c r="AB107" s="477">
        <v>8460541932</v>
      </c>
      <c r="AC107" s="475" t="s">
        <v>160</v>
      </c>
      <c r="AD107" s="459" t="s">
        <v>45</v>
      </c>
      <c r="AE107" s="533" t="s">
        <v>24</v>
      </c>
      <c r="AF107" s="466" t="s">
        <v>119</v>
      </c>
      <c r="AG107" s="466" t="s">
        <v>161</v>
      </c>
      <c r="AH107" s="451" t="s">
        <v>131</v>
      </c>
      <c r="AI107" s="154">
        <v>44835</v>
      </c>
      <c r="AJ107" s="100" t="str">
        <f>IF(AI107&gt;0,
(IF(AI107&lt;Hónapok!$A$10,Admin!$A$28,
(IF(AI107&lt;Hónapok!$A$22,Admin!$B$28,
(IF(AI107&lt;Hónapok!$A$34,Admin!$C$28,
(IF(AI107&lt;Hónapok!$A$46,Admin!$D$28,"")))))))),"")</f>
        <v>2. mérföldkő</v>
      </c>
      <c r="AK107" s="469" t="s">
        <v>7</v>
      </c>
      <c r="AL107" s="466" t="s">
        <v>26</v>
      </c>
      <c r="AM107" s="900">
        <v>330000</v>
      </c>
      <c r="AN107" s="860">
        <f t="shared" si="166"/>
        <v>42900</v>
      </c>
      <c r="AO107" s="466">
        <v>174</v>
      </c>
      <c r="AP107" s="467">
        <v>174</v>
      </c>
      <c r="AQ107" s="454">
        <f t="shared" si="167"/>
        <v>1</v>
      </c>
      <c r="AR107" s="455">
        <f t="shared" si="168"/>
        <v>330000</v>
      </c>
      <c r="AS107" s="455">
        <f t="shared" si="169"/>
        <v>42900</v>
      </c>
      <c r="AT107" s="102">
        <f t="shared" si="170"/>
        <v>0</v>
      </c>
      <c r="AU107" s="116">
        <v>0.13</v>
      </c>
      <c r="AV107" s="565" t="str">
        <f>VLOOKUP(LEFT(AB107,10),Törzsszám!$A$1:$B$908,2,0)</f>
        <v>10001357</v>
      </c>
      <c r="AW107" s="615">
        <f t="shared" ca="1" si="24"/>
        <v>0</v>
      </c>
      <c r="AX107" s="468" t="s">
        <v>251</v>
      </c>
      <c r="AY107" s="527"/>
      <c r="AZ107" s="502" t="s">
        <v>4607</v>
      </c>
      <c r="BA107" s="674">
        <v>309735</v>
      </c>
      <c r="BB107" s="651">
        <v>40266</v>
      </c>
      <c r="BC107" s="649">
        <f t="shared" ca="1" si="268"/>
        <v>20265</v>
      </c>
      <c r="BD107" s="672">
        <f t="shared" ca="1" si="268"/>
        <v>2634</v>
      </c>
      <c r="BE107" s="703" t="s">
        <v>162</v>
      </c>
      <c r="BF107" s="481"/>
    </row>
    <row r="108" spans="1:59" s="463" customFormat="1" ht="31.5" x14ac:dyDescent="0.25">
      <c r="A108" s="694" t="str">
        <f ca="1">Bérköltség!$B108</f>
        <v>FEOR</v>
      </c>
      <c r="B108" s="694" t="str">
        <f ca="1">IFERROR(
IF(AND(Bérköltség!$F108="",H108="NA"),"HIÁNYOS ADATOK",
IF(Bérköltség!$F108&lt;Bérköltség!$U108,Admin!$B$18,Admin!$B$17)),
"")</f>
        <v>FEOR</v>
      </c>
      <c r="C108" s="437">
        <f>IFERROR(INDEX('Historikus berek_2021-2'!$A$1:$F$903,MATCH(AB108,'Historikus berek_2021-2'!$A$1:$A$903,0),4),"")</f>
        <v>328933.33333333331</v>
      </c>
      <c r="D108" s="438">
        <f t="shared" si="5"/>
        <v>328933.33333333331</v>
      </c>
      <c r="E108" s="437">
        <f t="shared" si="6"/>
        <v>350000</v>
      </c>
      <c r="F108" s="439">
        <f t="shared" si="7"/>
        <v>23805.333333333314</v>
      </c>
      <c r="G108" s="440">
        <f t="shared" si="8"/>
        <v>371694.66666666663</v>
      </c>
      <c r="H108" s="441">
        <f>IFERROR(INDEX('FEOR kodok'!$A$2:$J$1126,MATCH(Bérköltség!AB108,'FEOR kodok'!$B$2:$B$1126,0),8),"NA")</f>
        <v>2139</v>
      </c>
      <c r="I108" s="436">
        <f ca="1">IFERROR(INDEX('FEOR kodok'!$A$2:$J$1126,MATCH(Bérköltség!AB108,'FEOR kodok'!$B$2:$B$1126,0),10),"NA")</f>
        <v>30</v>
      </c>
      <c r="J108" s="442" t="str">
        <f t="shared" ca="1" si="9"/>
        <v>30–39 éves</v>
      </c>
      <c r="K108" s="436" t="str">
        <f>IFERROR(INDEX(admin_feor[#All],MATCH(Bérköltség!H108,admin_feor[[#All],[Foglalkozás]],0),2),"NA")</f>
        <v>Egyéb, máshova nem sorolható mérnök</v>
      </c>
      <c r="L108" s="438">
        <f ca="1">IFERROR(
INDEX('Admin - FEOR'!$A$4:$F$465,MATCH(Bérköltség!H108,'Admin - FEOR'!$A$4:$A$465,0),
IF(J108="30 év alatt",3,
IF(J108="30–39 éves",4,
IF(J108="40–49 éves",5,
IF(J108="50 év és afelett",6
)))))*1,"NA")</f>
        <v>845378</v>
      </c>
      <c r="M108" s="438">
        <f t="shared" si="10"/>
        <v>350000</v>
      </c>
      <c r="N108" s="443">
        <f t="shared" ca="1" si="11"/>
        <v>0.41401597865097034</v>
      </c>
      <c r="O108" s="438">
        <f ca="1">IFERROR(
INDEX('Admin - FEOR'!$A$4:$F$465,MATCH(Bérköltség!H108,'Admin - FEOR'!$A$4:$A$465,0),
IF(J108="30 év alatt",3,
IF(J108="30–39 éves",4,
IF(J108="40–49 éves",5,
IF(J108="50 év és afelett",6
)))))*1.5,"NA")</f>
        <v>1268067</v>
      </c>
      <c r="P108" s="438">
        <f t="shared" ca="1" si="12"/>
        <v>1268067</v>
      </c>
      <c r="Q108" s="438">
        <f t="shared" si="13"/>
        <v>350000</v>
      </c>
      <c r="R108" s="444">
        <f t="shared" si="14"/>
        <v>1</v>
      </c>
      <c r="S108" s="438">
        <f t="shared" ca="1" si="15"/>
        <v>0</v>
      </c>
      <c r="T108" s="438">
        <f t="shared" ca="1" si="16"/>
        <v>0</v>
      </c>
      <c r="U108" s="445">
        <f t="shared" ca="1" si="17"/>
        <v>0</v>
      </c>
      <c r="V108" s="446">
        <f t="shared" ca="1" si="18"/>
        <v>395500</v>
      </c>
      <c r="W108" s="447" t="str">
        <f t="shared" ca="1" si="19"/>
        <v>Nem szükséges indoklás.</v>
      </c>
      <c r="X108" s="571">
        <f t="shared" ca="1" si="20"/>
        <v>0</v>
      </c>
      <c r="Y108" s="554">
        <f t="shared" ca="1" si="21"/>
        <v>350000</v>
      </c>
      <c r="Z108" s="555">
        <f t="shared" ca="1" si="22"/>
        <v>45500</v>
      </c>
      <c r="AA108" s="573">
        <v>2</v>
      </c>
      <c r="AB108" s="477">
        <v>8460541932</v>
      </c>
      <c r="AC108" s="475" t="s">
        <v>160</v>
      </c>
      <c r="AD108" s="459" t="s">
        <v>45</v>
      </c>
      <c r="AE108" s="533" t="s">
        <v>24</v>
      </c>
      <c r="AF108" s="466" t="s">
        <v>119</v>
      </c>
      <c r="AG108" s="466" t="s">
        <v>161</v>
      </c>
      <c r="AH108" s="451" t="s">
        <v>131</v>
      </c>
      <c r="AI108" s="154">
        <v>44866</v>
      </c>
      <c r="AJ108" s="100" t="str">
        <f>IF(AI108&gt;0,
(IF(AI108&lt;Hónapok!$A$10,Admin!$A$28,
(IF(AI108&lt;Hónapok!$A$22,Admin!$B$28,
(IF(AI108&lt;Hónapok!$A$34,Admin!$C$28,
(IF(AI108&lt;Hónapok!$A$46,Admin!$D$28,"")))))))),"")</f>
        <v>2. mérföldkő</v>
      </c>
      <c r="AK108" s="469" t="s">
        <v>7</v>
      </c>
      <c r="AL108" s="466" t="s">
        <v>26</v>
      </c>
      <c r="AM108" s="900">
        <v>350000</v>
      </c>
      <c r="AN108" s="860">
        <f t="shared" si="166"/>
        <v>45500</v>
      </c>
      <c r="AO108" s="466">
        <v>174</v>
      </c>
      <c r="AP108" s="467">
        <v>174</v>
      </c>
      <c r="AQ108" s="454">
        <f t="shared" si="167"/>
        <v>1</v>
      </c>
      <c r="AR108" s="455">
        <f t="shared" si="168"/>
        <v>350000</v>
      </c>
      <c r="AS108" s="455">
        <f t="shared" si="169"/>
        <v>45500</v>
      </c>
      <c r="AT108" s="102">
        <f t="shared" si="170"/>
        <v>0</v>
      </c>
      <c r="AU108" s="116">
        <v>0.13</v>
      </c>
      <c r="AV108" s="565" t="str">
        <f>VLOOKUP(LEFT(AB108,10),Törzsszám!$A$1:$B$908,2,0)</f>
        <v>10001357</v>
      </c>
      <c r="AW108" s="681">
        <f t="shared" ca="1" si="24"/>
        <v>0</v>
      </c>
      <c r="AX108" s="468" t="s">
        <v>260</v>
      </c>
      <c r="AY108" s="527"/>
      <c r="AZ108" s="502" t="s">
        <v>4607</v>
      </c>
      <c r="BA108" s="674">
        <v>309735</v>
      </c>
      <c r="BB108" s="651">
        <v>40266</v>
      </c>
      <c r="BC108" s="649">
        <f t="shared" ca="1" si="268"/>
        <v>40265</v>
      </c>
      <c r="BD108" s="672">
        <f t="shared" ca="1" si="268"/>
        <v>5234</v>
      </c>
      <c r="BE108" s="703" t="s">
        <v>162</v>
      </c>
      <c r="BF108" s="481"/>
    </row>
    <row r="109" spans="1:59" s="463" customFormat="1" ht="31.5" x14ac:dyDescent="0.25">
      <c r="A109" s="694" t="str">
        <f ca="1">Bérköltség!$B109</f>
        <v>FEOR</v>
      </c>
      <c r="B109" s="694" t="str">
        <f ca="1">IFERROR(
IF(AND(Bérköltség!$F109="",H109="NA"),"HIÁNYOS ADATOK",
IF(Bérköltség!$F109&lt;Bérköltség!$U109,Admin!$B$18,Admin!$B$17)),
"")</f>
        <v>FEOR</v>
      </c>
      <c r="C109" s="437">
        <f>IFERROR(INDEX('Historikus berek_2021-2'!$A$1:$F$903,MATCH(AB109,'Historikus berek_2021-2'!$A$1:$A$903,0),4),"")</f>
        <v>328933.33333333331</v>
      </c>
      <c r="D109" s="438">
        <f t="shared" si="5"/>
        <v>328933.33333333331</v>
      </c>
      <c r="E109" s="437">
        <f t="shared" si="6"/>
        <v>350000</v>
      </c>
      <c r="F109" s="439">
        <f t="shared" si="7"/>
        <v>23805.333333333314</v>
      </c>
      <c r="G109" s="440">
        <f t="shared" si="8"/>
        <v>371694.66666666663</v>
      </c>
      <c r="H109" s="441">
        <f>IFERROR(INDEX('FEOR kodok'!$A$2:$J$1126,MATCH(Bérköltség!AB109,'FEOR kodok'!$B$2:$B$1126,0),8),"NA")</f>
        <v>2139</v>
      </c>
      <c r="I109" s="436">
        <f ca="1">IFERROR(INDEX('FEOR kodok'!$A$2:$J$1126,MATCH(Bérköltség!AB109,'FEOR kodok'!$B$2:$B$1126,0),10),"NA")</f>
        <v>30</v>
      </c>
      <c r="J109" s="442" t="str">
        <f t="shared" ca="1" si="9"/>
        <v>30–39 éves</v>
      </c>
      <c r="K109" s="436" t="str">
        <f>IFERROR(INDEX(admin_feor[#All],MATCH(Bérköltség!H109,admin_feor[[#All],[Foglalkozás]],0),2),"NA")</f>
        <v>Egyéb, máshova nem sorolható mérnök</v>
      </c>
      <c r="L109" s="438">
        <f ca="1">IFERROR(
INDEX('Admin - FEOR'!$A$4:$F$465,MATCH(Bérköltség!H109,'Admin - FEOR'!$A$4:$A$465,0),
IF(J109="30 év alatt",3,
IF(J109="30–39 éves",4,
IF(J109="40–49 éves",5,
IF(J109="50 év és afelett",6
)))))*1,"NA")</f>
        <v>845378</v>
      </c>
      <c r="M109" s="438">
        <f t="shared" si="10"/>
        <v>350000</v>
      </c>
      <c r="N109" s="443">
        <f t="shared" ca="1" si="11"/>
        <v>0.41401597865097034</v>
      </c>
      <c r="O109" s="438">
        <f ca="1">IFERROR(
INDEX('Admin - FEOR'!$A$4:$F$465,MATCH(Bérköltség!H109,'Admin - FEOR'!$A$4:$A$465,0),
IF(J109="30 év alatt",3,
IF(J109="30–39 éves",4,
IF(J109="40–49 éves",5,
IF(J109="50 év és afelett",6
)))))*1.5,"NA")</f>
        <v>1268067</v>
      </c>
      <c r="P109" s="438">
        <f t="shared" ca="1" si="12"/>
        <v>1268067</v>
      </c>
      <c r="Q109" s="438">
        <f t="shared" si="13"/>
        <v>350000</v>
      </c>
      <c r="R109" s="444">
        <f t="shared" si="14"/>
        <v>1</v>
      </c>
      <c r="S109" s="438">
        <f t="shared" ca="1" si="15"/>
        <v>0</v>
      </c>
      <c r="T109" s="438">
        <f t="shared" ca="1" si="16"/>
        <v>0</v>
      </c>
      <c r="U109" s="445">
        <f t="shared" ca="1" si="17"/>
        <v>0</v>
      </c>
      <c r="V109" s="446">
        <f t="shared" ca="1" si="18"/>
        <v>395500</v>
      </c>
      <c r="W109" s="447" t="str">
        <f t="shared" ca="1" si="19"/>
        <v>Nem szükséges indoklás.</v>
      </c>
      <c r="X109" s="571">
        <f t="shared" ca="1" si="20"/>
        <v>0</v>
      </c>
      <c r="Y109" s="554">
        <f t="shared" ca="1" si="21"/>
        <v>350000</v>
      </c>
      <c r="Z109" s="555">
        <f t="shared" ca="1" si="22"/>
        <v>45500</v>
      </c>
      <c r="AA109" s="573">
        <v>2</v>
      </c>
      <c r="AB109" s="477">
        <v>8460541932</v>
      </c>
      <c r="AC109" s="475" t="s">
        <v>160</v>
      </c>
      <c r="AD109" s="459" t="s">
        <v>45</v>
      </c>
      <c r="AE109" s="533" t="s">
        <v>24</v>
      </c>
      <c r="AF109" s="480" t="s">
        <v>119</v>
      </c>
      <c r="AG109" s="466" t="s">
        <v>161</v>
      </c>
      <c r="AH109" s="484" t="s">
        <v>131</v>
      </c>
      <c r="AI109" s="274">
        <v>44896</v>
      </c>
      <c r="AJ109" s="100" t="str">
        <f>IF(AI109&gt;0,
(IF(AI109&lt;Hónapok!$A$10,Admin!$A$28,
(IF(AI109&lt;Hónapok!$A$22,Admin!$B$28,
(IF(AI109&lt;Hónapok!$A$34,Admin!$C$28,
(IF(AI109&lt;Hónapok!$A$46,Admin!$D$28,"")))))))),"")</f>
        <v>2. mérföldkő</v>
      </c>
      <c r="AK109" s="467" t="s">
        <v>7</v>
      </c>
      <c r="AL109" s="466" t="s">
        <v>26</v>
      </c>
      <c r="AM109" s="900">
        <v>350000</v>
      </c>
      <c r="AN109" s="860">
        <f t="shared" si="166"/>
        <v>45500</v>
      </c>
      <c r="AO109" s="466">
        <v>174</v>
      </c>
      <c r="AP109" s="467">
        <v>174</v>
      </c>
      <c r="AQ109" s="454">
        <f t="shared" si="167"/>
        <v>1</v>
      </c>
      <c r="AR109" s="455">
        <f t="shared" si="168"/>
        <v>350000</v>
      </c>
      <c r="AS109" s="455">
        <f t="shared" si="169"/>
        <v>45500</v>
      </c>
      <c r="AT109" s="102">
        <f t="shared" si="170"/>
        <v>0</v>
      </c>
      <c r="AU109" s="116">
        <v>0.13</v>
      </c>
      <c r="AV109" s="565" t="str">
        <f>VLOOKUP(LEFT(AB109,10),Törzsszám!$A$1:$B$908,2,0)</f>
        <v>10001357</v>
      </c>
      <c r="AW109" s="681">
        <f t="shared" ca="1" si="24"/>
        <v>0</v>
      </c>
      <c r="AX109" s="471" t="s">
        <v>262</v>
      </c>
      <c r="AY109" s="541"/>
      <c r="AZ109" s="502" t="s">
        <v>4607</v>
      </c>
      <c r="BA109" s="674">
        <v>309735</v>
      </c>
      <c r="BB109" s="651">
        <v>40266</v>
      </c>
      <c r="BC109" s="649">
        <f t="shared" ca="1" si="268"/>
        <v>40265</v>
      </c>
      <c r="BD109" s="672">
        <f t="shared" ca="1" si="268"/>
        <v>5234</v>
      </c>
      <c r="BE109" s="703" t="s">
        <v>162</v>
      </c>
      <c r="BF109" s="481"/>
    </row>
    <row r="110" spans="1:59" s="463" customFormat="1" ht="31.5" x14ac:dyDescent="0.25">
      <c r="A110" s="694" t="str">
        <f ca="1">Bérköltség!$B110</f>
        <v>FEOR</v>
      </c>
      <c r="B110" s="694" t="str">
        <f ca="1">IFERROR(
IF(AND(Bérköltség!$F110="",H110="NA"),"HIÁNYOS ADATOK",
IF(Bérköltség!$F110&lt;Bérköltség!$U110,Admin!$B$18,Admin!$B$17)),
"")</f>
        <v>FEOR</v>
      </c>
      <c r="C110" s="437">
        <f>IFERROR(INDEX('Historikus berek_2021-2'!$A$1:$F$903,MATCH(AB110,'Historikus berek_2021-2'!$A$1:$A$903,0),4),"")</f>
        <v>328933.33333333331</v>
      </c>
      <c r="D110" s="438">
        <f t="shared" si="5"/>
        <v>328933.33333333331</v>
      </c>
      <c r="E110" s="437">
        <f t="shared" si="6"/>
        <v>262500</v>
      </c>
      <c r="F110" s="439">
        <f t="shared" si="7"/>
        <v>0</v>
      </c>
      <c r="G110" s="440">
        <f t="shared" si="8"/>
        <v>296625</v>
      </c>
      <c r="H110" s="441">
        <f>IFERROR(INDEX('FEOR kodok'!$A$2:$J$1126,MATCH(Bérköltség!AB110,'FEOR kodok'!$B$2:$B$1126,0),8),"NA")</f>
        <v>2139</v>
      </c>
      <c r="I110" s="436">
        <f ca="1">IFERROR(INDEX('FEOR kodok'!$A$2:$J$1126,MATCH(Bérköltség!AB110,'FEOR kodok'!$B$2:$B$1126,0),10),"NA")</f>
        <v>30</v>
      </c>
      <c r="J110" s="442" t="str">
        <f t="shared" ca="1" si="9"/>
        <v>30–39 éves</v>
      </c>
      <c r="K110" s="436" t="str">
        <f>IFERROR(INDEX(admin_feor[#All],MATCH(Bérköltség!H110,admin_feor[[#All],[Foglalkozás]],0),2),"NA")</f>
        <v>Egyéb, máshova nem sorolható mérnök</v>
      </c>
      <c r="L110" s="438">
        <f ca="1">IFERROR(
INDEX('Admin - FEOR'!$A$4:$F$465,MATCH(Bérköltség!H110,'Admin - FEOR'!$A$4:$A$465,0),
IF(J110="30 év alatt",3,
IF(J110="30–39 éves",4,
IF(J110="40–49 éves",5,
IF(J110="50 év és afelett",6
)))))*1,"NA")</f>
        <v>845378</v>
      </c>
      <c r="M110" s="438">
        <f t="shared" si="10"/>
        <v>262500</v>
      </c>
      <c r="N110" s="443">
        <f t="shared" ca="1" si="11"/>
        <v>0.31051198398822777</v>
      </c>
      <c r="O110" s="438">
        <f ca="1">IFERROR(
INDEX('Admin - FEOR'!$A$4:$F$465,MATCH(Bérköltség!H110,'Admin - FEOR'!$A$4:$A$465,0),
IF(J110="30 év alatt",3,
IF(J110="30–39 éves",4,
IF(J110="40–49 éves",5,
IF(J110="50 év és afelett",6
)))))*1.5,"NA")</f>
        <v>1268067</v>
      </c>
      <c r="P110" s="438">
        <f t="shared" ca="1" si="12"/>
        <v>1268067</v>
      </c>
      <c r="Q110" s="438">
        <f t="shared" si="13"/>
        <v>262500</v>
      </c>
      <c r="R110" s="444">
        <f t="shared" si="14"/>
        <v>1</v>
      </c>
      <c r="S110" s="438">
        <f t="shared" ca="1" si="15"/>
        <v>0</v>
      </c>
      <c r="T110" s="438">
        <f t="shared" ca="1" si="16"/>
        <v>0</v>
      </c>
      <c r="U110" s="445">
        <f t="shared" ca="1" si="17"/>
        <v>0</v>
      </c>
      <c r="V110" s="446">
        <f t="shared" ca="1" si="18"/>
        <v>296625</v>
      </c>
      <c r="W110" s="447" t="str">
        <f t="shared" ca="1" si="19"/>
        <v>Nem szükséges indoklás.</v>
      </c>
      <c r="X110" s="571">
        <f t="shared" ca="1" si="20"/>
        <v>0</v>
      </c>
      <c r="Y110" s="554">
        <f t="shared" ca="1" si="21"/>
        <v>262500</v>
      </c>
      <c r="Z110" s="555">
        <f t="shared" ca="1" si="22"/>
        <v>34125</v>
      </c>
      <c r="AA110" s="573">
        <v>2</v>
      </c>
      <c r="AB110" s="477">
        <v>8460541932</v>
      </c>
      <c r="AC110" s="475" t="s">
        <v>160</v>
      </c>
      <c r="AD110" s="459" t="s">
        <v>45</v>
      </c>
      <c r="AE110" s="533" t="s">
        <v>24</v>
      </c>
      <c r="AF110" s="480" t="s">
        <v>119</v>
      </c>
      <c r="AG110" s="466" t="s">
        <v>161</v>
      </c>
      <c r="AH110" s="484" t="s">
        <v>131</v>
      </c>
      <c r="AI110" s="274">
        <v>44927</v>
      </c>
      <c r="AJ110" s="100" t="str">
        <f>IF(AI110&gt;0,
(IF(AI110&lt;Hónapok!$A$10,Admin!$A$28,
(IF(AI110&lt;Hónapok!$A$22,Admin!$B$28,
(IF(AI110&lt;Hónapok!$A$34,Admin!$C$28,
(IF(AI110&lt;Hónapok!$A$46,Admin!$D$28,"")))))))),"")</f>
        <v>2. mérföldkő</v>
      </c>
      <c r="AK110" s="469" t="s">
        <v>7</v>
      </c>
      <c r="AL110" s="466" t="s">
        <v>26</v>
      </c>
      <c r="AM110" s="900">
        <v>262500</v>
      </c>
      <c r="AN110" s="860">
        <f t="shared" si="166"/>
        <v>34125</v>
      </c>
      <c r="AO110" s="466">
        <v>130</v>
      </c>
      <c r="AP110" s="467">
        <v>130</v>
      </c>
      <c r="AQ110" s="454">
        <f t="shared" si="167"/>
        <v>1</v>
      </c>
      <c r="AR110" s="455">
        <f t="shared" si="168"/>
        <v>262500</v>
      </c>
      <c r="AS110" s="455">
        <f t="shared" si="169"/>
        <v>34125</v>
      </c>
      <c r="AT110" s="102">
        <f t="shared" si="170"/>
        <v>0</v>
      </c>
      <c r="AU110" s="116">
        <v>0.13</v>
      </c>
      <c r="AV110" s="565" t="str">
        <f>VLOOKUP(LEFT(AB110,10),Törzsszám!$A$1:$B$908,2,0)</f>
        <v>10001357</v>
      </c>
      <c r="AW110" s="681">
        <f t="shared" ca="1" si="24"/>
        <v>0</v>
      </c>
      <c r="AX110" s="471" t="s">
        <v>2518</v>
      </c>
      <c r="AY110" s="541"/>
      <c r="AZ110" s="502" t="s">
        <v>4607</v>
      </c>
      <c r="BA110" s="674">
        <v>232301</v>
      </c>
      <c r="BB110" s="651">
        <v>30199</v>
      </c>
      <c r="BC110" s="649">
        <f t="shared" ca="1" si="268"/>
        <v>30199</v>
      </c>
      <c r="BD110" s="672">
        <f t="shared" ca="1" si="268"/>
        <v>3926</v>
      </c>
      <c r="BE110" s="703" t="s">
        <v>162</v>
      </c>
      <c r="BF110" s="481"/>
    </row>
    <row r="111" spans="1:59" s="463" customFormat="1" ht="31.5" x14ac:dyDescent="0.25">
      <c r="A111" s="694" t="str">
        <f ca="1">Bérköltség!$B111</f>
        <v>FEOR</v>
      </c>
      <c r="B111" s="694" t="str">
        <f ca="1">IFERROR(
IF(AND(Bérköltség!$F111="",H111="NA"),"HIÁNYOS ADATOK",
IF(Bérköltség!$F111&lt;Bérköltség!$U111,Admin!$B$18,Admin!$B$17)),
"")</f>
        <v>FEOR</v>
      </c>
      <c r="C111" s="437">
        <f>IFERROR(INDEX('Historikus berek_2021-2'!$A$1:$F$903,MATCH(AB111,'Historikus berek_2021-2'!$A$1:$A$903,0),4),"")</f>
        <v>328933.33333333331</v>
      </c>
      <c r="D111" s="438">
        <f t="shared" si="5"/>
        <v>328933.33333333331</v>
      </c>
      <c r="E111" s="437">
        <f t="shared" si="6"/>
        <v>262500</v>
      </c>
      <c r="F111" s="439">
        <f t="shared" si="7"/>
        <v>0</v>
      </c>
      <c r="G111" s="440">
        <f t="shared" si="8"/>
        <v>296625</v>
      </c>
      <c r="H111" s="441">
        <f>IFERROR(INDEX('FEOR kodok'!$A$2:$J$1126,MATCH(Bérköltség!AB111,'FEOR kodok'!$B$2:$B$1126,0),8),"NA")</f>
        <v>2139</v>
      </c>
      <c r="I111" s="436">
        <f ca="1">IFERROR(INDEX('FEOR kodok'!$A$2:$J$1126,MATCH(Bérköltség!AB111,'FEOR kodok'!$B$2:$B$1126,0),10),"NA")</f>
        <v>30</v>
      </c>
      <c r="J111" s="442" t="str">
        <f t="shared" ca="1" si="9"/>
        <v>30–39 éves</v>
      </c>
      <c r="K111" s="436" t="str">
        <f>IFERROR(INDEX(admin_feor[#All],MATCH(Bérköltség!H111,admin_feor[[#All],[Foglalkozás]],0),2),"NA")</f>
        <v>Egyéb, máshova nem sorolható mérnök</v>
      </c>
      <c r="L111" s="438">
        <f ca="1">IFERROR(
INDEX('Admin - FEOR'!$A$4:$F$465,MATCH(Bérköltség!H111,'Admin - FEOR'!$A$4:$A$465,0),
IF(J111="30 év alatt",3,
IF(J111="30–39 éves",4,
IF(J111="40–49 éves",5,
IF(J111="50 év és afelett",6
)))))*1,"NA")</f>
        <v>845378</v>
      </c>
      <c r="M111" s="438">
        <f t="shared" si="10"/>
        <v>262500</v>
      </c>
      <c r="N111" s="443">
        <f t="shared" ca="1" si="11"/>
        <v>0.31051198398822777</v>
      </c>
      <c r="O111" s="438">
        <f ca="1">IFERROR(
INDEX('Admin - FEOR'!$A$4:$F$465,MATCH(Bérköltség!H111,'Admin - FEOR'!$A$4:$A$465,0),
IF(J111="30 év alatt",3,
IF(J111="30–39 éves",4,
IF(J111="40–49 éves",5,
IF(J111="50 év és afelett",6
)))))*1.5,"NA")</f>
        <v>1268067</v>
      </c>
      <c r="P111" s="438">
        <f t="shared" ca="1" si="12"/>
        <v>1268067</v>
      </c>
      <c r="Q111" s="438">
        <f t="shared" si="13"/>
        <v>262500</v>
      </c>
      <c r="R111" s="444">
        <f t="shared" si="14"/>
        <v>1</v>
      </c>
      <c r="S111" s="438">
        <f t="shared" ca="1" si="15"/>
        <v>0</v>
      </c>
      <c r="T111" s="438">
        <f t="shared" ca="1" si="16"/>
        <v>0</v>
      </c>
      <c r="U111" s="445">
        <f t="shared" ca="1" si="17"/>
        <v>0</v>
      </c>
      <c r="V111" s="446">
        <f t="shared" ca="1" si="18"/>
        <v>296625</v>
      </c>
      <c r="W111" s="447" t="str">
        <f t="shared" ca="1" si="19"/>
        <v>Nem szükséges indoklás.</v>
      </c>
      <c r="X111" s="571">
        <f t="shared" ca="1" si="20"/>
        <v>0</v>
      </c>
      <c r="Y111" s="554">
        <f t="shared" ca="1" si="21"/>
        <v>262500</v>
      </c>
      <c r="Z111" s="555">
        <f t="shared" ca="1" si="22"/>
        <v>34125</v>
      </c>
      <c r="AA111" s="687"/>
      <c r="AB111" s="477">
        <v>8460541932</v>
      </c>
      <c r="AC111" s="475" t="s">
        <v>160</v>
      </c>
      <c r="AD111" s="459" t="s">
        <v>45</v>
      </c>
      <c r="AE111" s="533" t="s">
        <v>24</v>
      </c>
      <c r="AF111" s="480" t="s">
        <v>119</v>
      </c>
      <c r="AG111" s="466" t="s">
        <v>161</v>
      </c>
      <c r="AH111" s="484" t="s">
        <v>131</v>
      </c>
      <c r="AI111" s="274">
        <v>44958</v>
      </c>
      <c r="AJ111" s="100" t="str">
        <f>IF(AI111&gt;0,
(IF(AI111&lt;Hónapok!$A$10,Admin!$A$28,
(IF(AI111&lt;Hónapok!$A$22,Admin!$B$28,
(IF(AI111&lt;Hónapok!$A$34,Admin!$C$28,
(IF(AI111&lt;Hónapok!$A$46,Admin!$D$28,"")))))))),"")</f>
        <v>2. mérföldkő</v>
      </c>
      <c r="AK111" s="469" t="s">
        <v>7</v>
      </c>
      <c r="AL111" s="466" t="s">
        <v>26</v>
      </c>
      <c r="AM111" s="900">
        <v>262500</v>
      </c>
      <c r="AN111" s="860">
        <f t="shared" si="166"/>
        <v>34125</v>
      </c>
      <c r="AO111" s="466">
        <v>130</v>
      </c>
      <c r="AP111" s="467">
        <v>130</v>
      </c>
      <c r="AQ111" s="454">
        <f t="shared" si="167"/>
        <v>1</v>
      </c>
      <c r="AR111" s="455">
        <f t="shared" si="168"/>
        <v>262500</v>
      </c>
      <c r="AS111" s="455">
        <f t="shared" si="169"/>
        <v>34125</v>
      </c>
      <c r="AT111" s="102">
        <f t="shared" si="170"/>
        <v>0</v>
      </c>
      <c r="AU111" s="116">
        <v>0.13</v>
      </c>
      <c r="AV111" s="565" t="str">
        <f>VLOOKUP(LEFT(AB111,10),Törzsszám!$A$1:$B$908,2,0)</f>
        <v>10001357</v>
      </c>
      <c r="AW111" s="681">
        <f t="shared" ca="1" si="24"/>
        <v>0</v>
      </c>
      <c r="AX111" s="537" t="s">
        <v>4557</v>
      </c>
      <c r="AY111" s="541"/>
      <c r="AZ111" s="800"/>
      <c r="BA111" s="674"/>
      <c r="BB111" s="651"/>
      <c r="BC111" s="649"/>
      <c r="BD111" s="672"/>
      <c r="BE111" s="703" t="s">
        <v>162</v>
      </c>
      <c r="BF111" s="481"/>
    </row>
    <row r="112" spans="1:59" s="463" customFormat="1" ht="31.5" x14ac:dyDescent="0.25">
      <c r="A112" s="694" t="str">
        <f ca="1">Bérköltség!$B112</f>
        <v>FEOR</v>
      </c>
      <c r="B112" s="694" t="str">
        <f ca="1">IFERROR(
IF(AND(Bérköltség!$F112="",H112="NA"),"HIÁNYOS ADATOK",
IF(Bérköltség!$F112&lt;Bérköltség!$U112,Admin!$B$18,Admin!$B$17)),
"")</f>
        <v>FEOR</v>
      </c>
      <c r="C112" s="437">
        <f>IFERROR(INDEX('Historikus berek_2021-2'!$A$1:$F$903,MATCH(AB112,'Historikus berek_2021-2'!$A$1:$A$903,0),4),"")</f>
        <v>328933.33333333331</v>
      </c>
      <c r="D112" s="438">
        <f t="shared" si="5"/>
        <v>328933.33333333331</v>
      </c>
      <c r="E112" s="437">
        <f t="shared" si="6"/>
        <v>202841</v>
      </c>
      <c r="F112" s="439">
        <f t="shared" si="7"/>
        <v>0</v>
      </c>
      <c r="G112" s="440">
        <f t="shared" si="8"/>
        <v>229210.33</v>
      </c>
      <c r="H112" s="441">
        <f>IFERROR(INDEX('FEOR kodok'!$A$2:$J$1126,MATCH(Bérköltség!AB112,'FEOR kodok'!$B$2:$B$1126,0),8),"NA")</f>
        <v>2139</v>
      </c>
      <c r="I112" s="436">
        <f ca="1">IFERROR(INDEX('FEOR kodok'!$A$2:$J$1126,MATCH(Bérköltség!AB112,'FEOR kodok'!$B$2:$B$1126,0),10),"NA")</f>
        <v>30</v>
      </c>
      <c r="J112" s="442" t="str">
        <f t="shared" ca="1" si="9"/>
        <v>30–39 éves</v>
      </c>
      <c r="K112" s="436" t="str">
        <f>IFERROR(INDEX(admin_feor[#All],MATCH(Bérköltség!H112,admin_feor[[#All],[Foglalkozás]],0),2),"NA")</f>
        <v>Egyéb, máshova nem sorolható mérnök</v>
      </c>
      <c r="L112" s="438">
        <f ca="1">IFERROR(
INDEX('Admin - FEOR'!$A$4:$F$465,MATCH(Bérköltség!H112,'Admin - FEOR'!$A$4:$A$465,0),
IF(J112="30 év alatt",3,
IF(J112="30–39 éves",4,
IF(J112="40–49 éves",5,
IF(J112="50 év és afelett",6
)))))*1,"NA")</f>
        <v>845378</v>
      </c>
      <c r="M112" s="438">
        <f t="shared" si="10"/>
        <v>202841</v>
      </c>
      <c r="N112" s="443">
        <f t="shared" ca="1" si="11"/>
        <v>0.23994118607297563</v>
      </c>
      <c r="O112" s="438">
        <f ca="1">IFERROR(
INDEX('Admin - FEOR'!$A$4:$F$465,MATCH(Bérköltség!H112,'Admin - FEOR'!$A$4:$A$465,0),
IF(J112="30 év alatt",3,
IF(J112="30–39 éves",4,
IF(J112="40–49 éves",5,
IF(J112="50 év és afelett",6
)))))*1.5,"NA")</f>
        <v>1268067</v>
      </c>
      <c r="P112" s="438">
        <f t="shared" ca="1" si="12"/>
        <v>1268067</v>
      </c>
      <c r="Q112" s="438">
        <f t="shared" si="13"/>
        <v>202841</v>
      </c>
      <c r="R112" s="444">
        <f t="shared" si="14"/>
        <v>1</v>
      </c>
      <c r="S112" s="438">
        <f t="shared" ca="1" si="15"/>
        <v>0</v>
      </c>
      <c r="T112" s="438">
        <f t="shared" ca="1" si="16"/>
        <v>0</v>
      </c>
      <c r="U112" s="445">
        <f t="shared" ca="1" si="17"/>
        <v>0</v>
      </c>
      <c r="V112" s="446">
        <f t="shared" ca="1" si="18"/>
        <v>229210</v>
      </c>
      <c r="W112" s="447" t="str">
        <f t="shared" ca="1" si="19"/>
        <v>Nem szükséges indoklás.</v>
      </c>
      <c r="X112" s="571">
        <f t="shared" ca="1" si="20"/>
        <v>0</v>
      </c>
      <c r="Y112" s="554">
        <f t="shared" ca="1" si="21"/>
        <v>202841</v>
      </c>
      <c r="Z112" s="555">
        <f t="shared" ca="1" si="22"/>
        <v>26369</v>
      </c>
      <c r="AA112" s="687"/>
      <c r="AB112" s="477">
        <v>8460541932</v>
      </c>
      <c r="AC112" s="475" t="s">
        <v>160</v>
      </c>
      <c r="AD112" s="459" t="s">
        <v>45</v>
      </c>
      <c r="AE112" s="533" t="s">
        <v>24</v>
      </c>
      <c r="AF112" s="480" t="s">
        <v>119</v>
      </c>
      <c r="AG112" s="466" t="s">
        <v>161</v>
      </c>
      <c r="AH112" s="484" t="s">
        <v>131</v>
      </c>
      <c r="AI112" s="274">
        <v>44986</v>
      </c>
      <c r="AJ112" s="100" t="str">
        <f>IF(AI112&gt;0,
(IF(AI112&lt;Hónapok!$A$10,Admin!$A$28,
(IF(AI112&lt;Hónapok!$A$22,Admin!$B$28,
(IF(AI112&lt;Hónapok!$A$34,Admin!$C$28,
(IF(AI112&lt;Hónapok!$A$46,Admin!$D$28,"")))))))),"")</f>
        <v>3. mérföldkő</v>
      </c>
      <c r="AK112" s="470" t="s">
        <v>7</v>
      </c>
      <c r="AL112" s="466" t="s">
        <v>26</v>
      </c>
      <c r="AM112" s="900">
        <v>202841</v>
      </c>
      <c r="AN112" s="860">
        <f t="shared" si="166"/>
        <v>26369</v>
      </c>
      <c r="AO112" s="466">
        <v>130</v>
      </c>
      <c r="AP112" s="467">
        <v>130</v>
      </c>
      <c r="AQ112" s="454">
        <f t="shared" si="167"/>
        <v>1</v>
      </c>
      <c r="AR112" s="455">
        <f t="shared" si="168"/>
        <v>202841</v>
      </c>
      <c r="AS112" s="455">
        <f t="shared" si="169"/>
        <v>26369</v>
      </c>
      <c r="AT112" s="102">
        <f t="shared" si="170"/>
        <v>0</v>
      </c>
      <c r="AU112" s="116">
        <v>0.13</v>
      </c>
      <c r="AV112" s="565" t="str">
        <f>VLOOKUP(LEFT(AB112,10),Törzsszám!$A$1:$B$908,2,0)</f>
        <v>10001357</v>
      </c>
      <c r="AW112" s="681">
        <f t="shared" ca="1" si="24"/>
        <v>0</v>
      </c>
      <c r="AX112" s="471" t="s">
        <v>4561</v>
      </c>
      <c r="AY112" s="541"/>
      <c r="AZ112" s="800"/>
      <c r="BA112" s="674"/>
      <c r="BB112" s="651"/>
      <c r="BC112" s="649"/>
      <c r="BD112" s="672"/>
      <c r="BE112" s="703" t="s">
        <v>162</v>
      </c>
      <c r="BF112" s="481"/>
    </row>
    <row r="113" spans="1:58" s="463" customFormat="1" ht="31.5" x14ac:dyDescent="0.25">
      <c r="A113" s="694" t="str">
        <f ca="1">Bérköltség!$B113</f>
        <v>FEOR</v>
      </c>
      <c r="B113" s="694" t="str">
        <f ca="1">IFERROR(
IF(AND(Bérköltség!$F113="",H113="NA"),"HIÁNYOS ADATOK",
IF(Bérköltség!$F113&lt;Bérköltség!$U113,Admin!$B$18,Admin!$B$17)),
"")</f>
        <v>FEOR</v>
      </c>
      <c r="C113" s="437">
        <f>IFERROR(INDEX('Historikus berek_2021-2'!$A$1:$F$903,MATCH(AB113,'Historikus berek_2021-2'!$A$1:$A$903,0),4),"")</f>
        <v>328933.33333333331</v>
      </c>
      <c r="D113" s="438">
        <f t="shared" ref="D113:D115" si="269">IFERROR(C113*AQ113,"NA")</f>
        <v>328933.33333333331</v>
      </c>
      <c r="E113" s="437">
        <f t="shared" ref="E113:E115" si="270">AR113</f>
        <v>262500</v>
      </c>
      <c r="F113" s="439">
        <f t="shared" ref="F113:F125" si="271">IFERROR(IF((E113*(1+AU113)-D113*(1+AU113))&lt;0,0,(E113*(1+AU113)-D113*(1+AU113))),"")</f>
        <v>0</v>
      </c>
      <c r="G113" s="440">
        <f t="shared" ref="G113:G125" si="272">IFERROR((E113*(1+AU113)-F113),"")</f>
        <v>296625</v>
      </c>
      <c r="H113" s="441">
        <f>IFERROR(INDEX('FEOR kodok'!$A$2:$J$1126,MATCH(Bérköltség!AB113,'FEOR kodok'!$B$2:$B$1126,0),8),"NA")</f>
        <v>2139</v>
      </c>
      <c r="I113" s="436">
        <f ca="1">IFERROR(INDEX('FEOR kodok'!$A$2:$J$1126,MATCH(Bérköltség!AB113,'FEOR kodok'!$B$2:$B$1126,0),10),"NA")</f>
        <v>30</v>
      </c>
      <c r="J113" s="442" t="str">
        <f t="shared" ref="J113:J115" ca="1" si="273">IF(I113="NA","NA",
IF(I113&lt;30,"30 év alatt",
IF(AND(I113&gt;=30,I113&lt;=39),"30–39 éves",
IF(AND(I113&gt;=40,I113&lt;=49),"40–49 éves",
IF(I113&gt;=50,"50 év és afelett",
"")))))</f>
        <v>30–39 éves</v>
      </c>
      <c r="K113" s="436" t="str">
        <f>IFERROR(INDEX(admin_feor[#All],MATCH(Bérköltség!H113,admin_feor[[#All],[Foglalkozás]],0),2),"NA")</f>
        <v>Egyéb, máshova nem sorolható mérnök</v>
      </c>
      <c r="L113" s="438">
        <f ca="1">IFERROR(
INDEX('Admin - FEOR'!$A$4:$F$465,MATCH(Bérköltség!H113,'Admin - FEOR'!$A$4:$A$465,0),
IF(J113="30 év alatt",3,
IF(J113="30–39 éves",4,
IF(J113="40–49 éves",5,
IF(J113="50 év és afelett",6
)))))*1,"NA")</f>
        <v>845378</v>
      </c>
      <c r="M113" s="438">
        <f t="shared" ref="M113:M115" si="274">AM113</f>
        <v>262500</v>
      </c>
      <c r="N113" s="443">
        <f t="shared" ref="N113:N115" ca="1" si="275">IFERROR(
M113/L113,"NA")</f>
        <v>0.31051198398822777</v>
      </c>
      <c r="O113" s="438">
        <f ca="1">IFERROR(
INDEX('Admin - FEOR'!$A$4:$F$465,MATCH(Bérköltség!H113,'Admin - FEOR'!$A$4:$A$465,0),
IF(J113="30 év alatt",3,
IF(J113="30–39 éves",4,
IF(J113="40–49 éves",5,
IF(J113="50 év és afelett",6
)))))*1.5,"NA")</f>
        <v>1268067</v>
      </c>
      <c r="P113" s="438">
        <f t="shared" ref="P113:P115" ca="1" si="276">IFERROR(
AQ113*O113,"NA")</f>
        <v>1268067</v>
      </c>
      <c r="Q113" s="438">
        <f t="shared" ref="Q113:Q115" si="277">IFERROR(AR113,"")</f>
        <v>262500</v>
      </c>
      <c r="R113" s="444">
        <f t="shared" ref="R113:R115" si="278">IFERROR(AQ113,"")</f>
        <v>1</v>
      </c>
      <c r="S113" s="438">
        <f t="shared" ref="S113:S115" ca="1" si="279">IFERROR(
IF(AR113-P113&lt;0,0,AR113-P113),"NA")</f>
        <v>0</v>
      </c>
      <c r="T113" s="438">
        <f t="shared" ref="T113:T115" ca="1" si="280">IFERROR(
S113*AU113,"NA")</f>
        <v>0</v>
      </c>
      <c r="U113" s="445">
        <f t="shared" ref="U113:U115" ca="1" si="281">IFERROR(
S113+T113,"NA")</f>
        <v>0</v>
      </c>
      <c r="V113" s="446">
        <f t="shared" ref="V113:V115" ca="1" si="282">IFERROR(
IF(U113&gt;0,AR113+AS113-U113,AR113+AS113),"NA")</f>
        <v>296625</v>
      </c>
      <c r="W113" s="447" t="str">
        <f t="shared" ref="W113:W115" ca="1" si="283">IF(P113="NA","FEOR hiányzik",
IF(AND(N113&gt;1,A113="FEOR"),CONCATENATE("Indoklás szükséges mivel a FEOR: ",ROUND(N113*100,1),"%"),"Nem szükséges indoklás.")
)</f>
        <v>Nem szükséges indoklás.</v>
      </c>
      <c r="X113" s="571">
        <f t="shared" ref="X113:X115" ca="1" si="284">IF(A113="FEOR",U113,IF(A113="HIÁNYOS ADATOK","HIÁNYOS ADATOK",F113))</f>
        <v>0</v>
      </c>
      <c r="Y113" s="554">
        <f t="shared" ref="Y113:Y115" ca="1" si="285">IF(A113="FEOR",ROUND(V113/(1+AU113),0),IF(A113="HIÁNYOS ADATOK","HIÁNYOS ADATOK",ROUND(G113/(1+AU113),0)))</f>
        <v>262500</v>
      </c>
      <c r="Z113" s="555">
        <f t="shared" ref="Z113:Z115" ca="1" si="286">IF(A113="FEOR",ROUND(V113-Y113,0),IF(A113="HIÁNYOS ADATOK","HIÁNYOS ADATOK",ROUND(G113-Y113,0)))</f>
        <v>34125</v>
      </c>
      <c r="AA113" s="687"/>
      <c r="AB113" s="474">
        <v>8460541932</v>
      </c>
      <c r="AC113" s="475" t="s">
        <v>160</v>
      </c>
      <c r="AD113" s="459" t="s">
        <v>45</v>
      </c>
      <c r="AE113" s="533" t="s">
        <v>24</v>
      </c>
      <c r="AF113" s="691" t="s">
        <v>124</v>
      </c>
      <c r="AG113" s="466" t="s">
        <v>161</v>
      </c>
      <c r="AH113" s="484" t="s">
        <v>131</v>
      </c>
      <c r="AI113" s="274">
        <v>45017</v>
      </c>
      <c r="AJ113" s="100" t="str">
        <f>IF(AI113&gt;0,
(IF(AI113&lt;[1]Hónapok!$A$10,[1]Admin!$A$28,
(IF(AI113&lt;[1]Hónapok!$A$22,[1]Admin!$B$28,
(IF(AI113&lt;[1]Hónapok!$A$34,[1]Admin!$C$28,
(IF(AI113&lt;[1]Hónapok!$A$46,[1]Admin!$D$28,"")))))))),"")</f>
        <v>3. mérföldkő</v>
      </c>
      <c r="AK113" s="469" t="s">
        <v>7</v>
      </c>
      <c r="AL113" s="466" t="s">
        <v>26</v>
      </c>
      <c r="AM113" s="900">
        <v>262500</v>
      </c>
      <c r="AN113" s="860">
        <f t="shared" si="166"/>
        <v>34125</v>
      </c>
      <c r="AO113" s="466">
        <v>130</v>
      </c>
      <c r="AP113" s="467">
        <v>130</v>
      </c>
      <c r="AQ113" s="454">
        <f t="shared" si="167"/>
        <v>1</v>
      </c>
      <c r="AR113" s="455">
        <f t="shared" si="168"/>
        <v>262500</v>
      </c>
      <c r="AS113" s="455">
        <f t="shared" si="169"/>
        <v>34125</v>
      </c>
      <c r="AT113" s="102">
        <f t="shared" si="170"/>
        <v>0</v>
      </c>
      <c r="AU113" s="116">
        <v>0.13</v>
      </c>
      <c r="AV113" s="565" t="str">
        <f>VLOOKUP(LEFT(AB113,10),Törzsszám!$A$1:$B$908,2,0)</f>
        <v>10001357</v>
      </c>
      <c r="AW113" s="681">
        <f t="shared" ca="1" si="24"/>
        <v>0</v>
      </c>
      <c r="AX113" s="471" t="s">
        <v>4581</v>
      </c>
      <c r="AY113" s="541"/>
      <c r="AZ113" s="800"/>
      <c r="BA113" s="674"/>
      <c r="BB113" s="651"/>
      <c r="BC113" s="649"/>
      <c r="BD113" s="672"/>
      <c r="BE113" s="703" t="s">
        <v>162</v>
      </c>
      <c r="BF113" s="481" t="s">
        <v>4559</v>
      </c>
    </row>
    <row r="114" spans="1:58" s="463" customFormat="1" ht="31.5" x14ac:dyDescent="0.25">
      <c r="A114" s="694" t="str">
        <f ca="1">Bérköltség!$B114</f>
        <v>FEOR</v>
      </c>
      <c r="B114" s="694" t="str">
        <f ca="1">IFERROR(
IF(AND(Bérköltség!$F114="",H114="NA"),"HIÁNYOS ADATOK",
IF(Bérköltség!$F114&lt;Bérköltség!$U114,Admin!$B$18,Admin!$B$17)),
"")</f>
        <v>FEOR</v>
      </c>
      <c r="C114" s="437">
        <f>IFERROR(INDEX('Historikus berek_2021-2'!$A$1:$F$903,MATCH(AB114,'Historikus berek_2021-2'!$A$1:$A$903,0),4),"")</f>
        <v>328933.33333333331</v>
      </c>
      <c r="D114" s="438">
        <f t="shared" si="269"/>
        <v>328933.33333333331</v>
      </c>
      <c r="E114" s="437">
        <f t="shared" si="270"/>
        <v>262500</v>
      </c>
      <c r="F114" s="439">
        <f t="shared" si="271"/>
        <v>0</v>
      </c>
      <c r="G114" s="440">
        <f t="shared" si="272"/>
        <v>296625</v>
      </c>
      <c r="H114" s="441">
        <f>IFERROR(INDEX('FEOR kodok'!$A$2:$J$1126,MATCH(Bérköltség!AB114,'FEOR kodok'!$B$2:$B$1126,0),8),"NA")</f>
        <v>2139</v>
      </c>
      <c r="I114" s="436">
        <f ca="1">IFERROR(INDEX('FEOR kodok'!$A$2:$J$1126,MATCH(Bérköltség!AB114,'FEOR kodok'!$B$2:$B$1126,0),10),"NA")</f>
        <v>30</v>
      </c>
      <c r="J114" s="442" t="str">
        <f t="shared" ca="1" si="273"/>
        <v>30–39 éves</v>
      </c>
      <c r="K114" s="436" t="str">
        <f>IFERROR(INDEX(admin_feor[#All],MATCH(Bérköltség!H114,admin_feor[[#All],[Foglalkozás]],0),2),"NA")</f>
        <v>Egyéb, máshova nem sorolható mérnök</v>
      </c>
      <c r="L114" s="438">
        <f ca="1">IFERROR(
INDEX('Admin - FEOR'!$A$4:$F$465,MATCH(Bérköltség!H114,'Admin - FEOR'!$A$4:$A$465,0),
IF(J114="30 év alatt",3,
IF(J114="30–39 éves",4,
IF(J114="40–49 éves",5,
IF(J114="50 év és afelett",6
)))))*1,"NA")</f>
        <v>845378</v>
      </c>
      <c r="M114" s="438">
        <f t="shared" si="274"/>
        <v>262500</v>
      </c>
      <c r="N114" s="443">
        <f t="shared" ca="1" si="275"/>
        <v>0.31051198398822777</v>
      </c>
      <c r="O114" s="438">
        <f ca="1">IFERROR(
INDEX('Admin - FEOR'!$A$4:$F$465,MATCH(Bérköltség!H114,'Admin - FEOR'!$A$4:$A$465,0),
IF(J114="30 év alatt",3,
IF(J114="30–39 éves",4,
IF(J114="40–49 éves",5,
IF(J114="50 év és afelett",6
)))))*1.5,"NA")</f>
        <v>1268067</v>
      </c>
      <c r="P114" s="438">
        <f t="shared" ca="1" si="276"/>
        <v>1268067</v>
      </c>
      <c r="Q114" s="438">
        <f t="shared" si="277"/>
        <v>262500</v>
      </c>
      <c r="R114" s="444">
        <f t="shared" si="278"/>
        <v>1</v>
      </c>
      <c r="S114" s="438">
        <f t="shared" ca="1" si="279"/>
        <v>0</v>
      </c>
      <c r="T114" s="438">
        <f t="shared" ca="1" si="280"/>
        <v>0</v>
      </c>
      <c r="U114" s="445">
        <f t="shared" ca="1" si="281"/>
        <v>0</v>
      </c>
      <c r="V114" s="446">
        <f t="shared" ca="1" si="282"/>
        <v>296625</v>
      </c>
      <c r="W114" s="447" t="str">
        <f t="shared" ca="1" si="283"/>
        <v>Nem szükséges indoklás.</v>
      </c>
      <c r="X114" s="571">
        <f t="shared" ca="1" si="284"/>
        <v>0</v>
      </c>
      <c r="Y114" s="554">
        <f t="shared" ca="1" si="285"/>
        <v>262500</v>
      </c>
      <c r="Z114" s="555">
        <f t="shared" ca="1" si="286"/>
        <v>34125</v>
      </c>
      <c r="AA114" s="687"/>
      <c r="AB114" s="474">
        <v>8460541932</v>
      </c>
      <c r="AC114" s="475" t="s">
        <v>160</v>
      </c>
      <c r="AD114" s="459" t="s">
        <v>45</v>
      </c>
      <c r="AE114" s="533" t="s">
        <v>24</v>
      </c>
      <c r="AF114" s="691" t="s">
        <v>124</v>
      </c>
      <c r="AG114" s="466" t="s">
        <v>161</v>
      </c>
      <c r="AH114" s="484" t="s">
        <v>131</v>
      </c>
      <c r="AI114" s="274">
        <v>45047</v>
      </c>
      <c r="AJ114" s="100" t="str">
        <f>IF(AI114&gt;0,
(IF(AI114&lt;[1]Hónapok!$A$10,[1]Admin!$A$28,
(IF(AI114&lt;[1]Hónapok!$A$22,[1]Admin!$B$28,
(IF(AI114&lt;[1]Hónapok!$A$34,[1]Admin!$C$28,
(IF(AI114&lt;[1]Hónapok!$A$46,[1]Admin!$D$28,"")))))))),"")</f>
        <v>3. mérföldkő</v>
      </c>
      <c r="AK114" s="469" t="s">
        <v>7</v>
      </c>
      <c r="AL114" s="466" t="s">
        <v>26</v>
      </c>
      <c r="AM114" s="900">
        <v>262500</v>
      </c>
      <c r="AN114" s="860">
        <f t="shared" si="166"/>
        <v>34125</v>
      </c>
      <c r="AO114" s="466">
        <v>130</v>
      </c>
      <c r="AP114" s="467">
        <v>130</v>
      </c>
      <c r="AQ114" s="454">
        <f t="shared" si="167"/>
        <v>1</v>
      </c>
      <c r="AR114" s="455">
        <f t="shared" si="168"/>
        <v>262500</v>
      </c>
      <c r="AS114" s="455">
        <f t="shared" si="169"/>
        <v>34125</v>
      </c>
      <c r="AT114" s="102">
        <f t="shared" si="170"/>
        <v>0</v>
      </c>
      <c r="AU114" s="116">
        <v>0.13</v>
      </c>
      <c r="AV114" s="565" t="str">
        <f>VLOOKUP(LEFT(AB114,10),Törzsszám!$A$1:$B$908,2,0)</f>
        <v>10001357</v>
      </c>
      <c r="AW114" s="681">
        <f t="shared" ca="1" si="24"/>
        <v>0</v>
      </c>
      <c r="AX114" s="471" t="s">
        <v>4596</v>
      </c>
      <c r="AY114" s="541"/>
      <c r="AZ114" s="800"/>
      <c r="BA114" s="674"/>
      <c r="BB114" s="651"/>
      <c r="BC114" s="649"/>
      <c r="BD114" s="672"/>
      <c r="BE114" s="703" t="s">
        <v>162</v>
      </c>
      <c r="BF114" s="481" t="s">
        <v>4559</v>
      </c>
    </row>
    <row r="115" spans="1:58" s="463" customFormat="1" ht="31.5" x14ac:dyDescent="0.25">
      <c r="A115" s="694" t="str">
        <f ca="1">Bérköltség!$B115</f>
        <v>FEOR</v>
      </c>
      <c r="B115" s="694" t="str">
        <f ca="1">IFERROR(
IF(AND(Bérköltség!$F115="",H115="NA"),"HIÁNYOS ADATOK",
IF(Bérköltség!$F115&lt;Bérköltség!$U115,Admin!$B$18,Admin!$B$17)),
"")</f>
        <v>FEOR</v>
      </c>
      <c r="C115" s="437">
        <f>IFERROR(INDEX('Historikus berek_2021-2'!$A$1:$F$903,MATCH(AB115,'Historikus berek_2021-2'!$A$1:$A$903,0),4),"")</f>
        <v>328933.33333333331</v>
      </c>
      <c r="D115" s="438">
        <f t="shared" si="269"/>
        <v>328933.33333333331</v>
      </c>
      <c r="E115" s="437">
        <f t="shared" si="270"/>
        <v>262500</v>
      </c>
      <c r="F115" s="439">
        <f t="shared" si="271"/>
        <v>0</v>
      </c>
      <c r="G115" s="440">
        <f t="shared" si="272"/>
        <v>296625</v>
      </c>
      <c r="H115" s="441">
        <f>IFERROR(INDEX('FEOR kodok'!$A$2:$J$1126,MATCH(Bérköltség!AB115,'FEOR kodok'!$B$2:$B$1126,0),8),"NA")</f>
        <v>2139</v>
      </c>
      <c r="I115" s="436">
        <f ca="1">IFERROR(INDEX('FEOR kodok'!$A$2:$J$1126,MATCH(Bérköltség!AB115,'FEOR kodok'!$B$2:$B$1126,0),10),"NA")</f>
        <v>30</v>
      </c>
      <c r="J115" s="442" t="str">
        <f t="shared" ca="1" si="273"/>
        <v>30–39 éves</v>
      </c>
      <c r="K115" s="436" t="str">
        <f>IFERROR(INDEX(admin_feor[#All],MATCH(Bérköltség!H115,admin_feor[[#All],[Foglalkozás]],0),2),"NA")</f>
        <v>Egyéb, máshova nem sorolható mérnök</v>
      </c>
      <c r="L115" s="438">
        <f ca="1">IFERROR(
INDEX('Admin - FEOR'!$A$4:$F$465,MATCH(Bérköltség!H115,'Admin - FEOR'!$A$4:$A$465,0),
IF(J115="30 év alatt",3,
IF(J115="30–39 éves",4,
IF(J115="40–49 éves",5,
IF(J115="50 év és afelett",6
)))))*1,"NA")</f>
        <v>845378</v>
      </c>
      <c r="M115" s="438">
        <f t="shared" si="274"/>
        <v>262500</v>
      </c>
      <c r="N115" s="443">
        <f t="shared" ca="1" si="275"/>
        <v>0.31051198398822777</v>
      </c>
      <c r="O115" s="438">
        <f ca="1">IFERROR(
INDEX('Admin - FEOR'!$A$4:$F$465,MATCH(Bérköltség!H115,'Admin - FEOR'!$A$4:$A$465,0),
IF(J115="30 év alatt",3,
IF(J115="30–39 éves",4,
IF(J115="40–49 éves",5,
IF(J115="50 év és afelett",6
)))))*1.5,"NA")</f>
        <v>1268067</v>
      </c>
      <c r="P115" s="438">
        <f t="shared" ca="1" si="276"/>
        <v>1268067</v>
      </c>
      <c r="Q115" s="438">
        <f t="shared" si="277"/>
        <v>262500</v>
      </c>
      <c r="R115" s="444">
        <f t="shared" si="278"/>
        <v>1</v>
      </c>
      <c r="S115" s="438">
        <f t="shared" ca="1" si="279"/>
        <v>0</v>
      </c>
      <c r="T115" s="438">
        <f t="shared" ca="1" si="280"/>
        <v>0</v>
      </c>
      <c r="U115" s="445">
        <f t="shared" ca="1" si="281"/>
        <v>0</v>
      </c>
      <c r="V115" s="446">
        <f t="shared" ca="1" si="282"/>
        <v>296625</v>
      </c>
      <c r="W115" s="447" t="str">
        <f t="shared" ca="1" si="283"/>
        <v>Nem szükséges indoklás.</v>
      </c>
      <c r="X115" s="571">
        <f t="shared" ca="1" si="284"/>
        <v>0</v>
      </c>
      <c r="Y115" s="554">
        <f t="shared" ca="1" si="285"/>
        <v>262500</v>
      </c>
      <c r="Z115" s="555">
        <f t="shared" ca="1" si="286"/>
        <v>34125</v>
      </c>
      <c r="AA115" s="687"/>
      <c r="AB115" s="474">
        <v>8460541932</v>
      </c>
      <c r="AC115" s="475" t="s">
        <v>160</v>
      </c>
      <c r="AD115" s="459" t="s">
        <v>45</v>
      </c>
      <c r="AE115" s="533" t="s">
        <v>24</v>
      </c>
      <c r="AF115" s="691" t="s">
        <v>124</v>
      </c>
      <c r="AG115" s="466" t="s">
        <v>161</v>
      </c>
      <c r="AH115" s="484" t="s">
        <v>131</v>
      </c>
      <c r="AI115" s="274">
        <v>45078</v>
      </c>
      <c r="AJ115" s="100" t="str">
        <f>IF(AI115&gt;0,
(IF(AI115&lt;[1]Hónapok!$A$10,[1]Admin!$A$28,
(IF(AI115&lt;[1]Hónapok!$A$22,[1]Admin!$B$28,
(IF(AI115&lt;[1]Hónapok!$A$34,[1]Admin!$C$28,
(IF(AI115&lt;[1]Hónapok!$A$46,[1]Admin!$D$28,"")))))))),"")</f>
        <v>3. mérföldkő</v>
      </c>
      <c r="AK115" s="469" t="s">
        <v>7</v>
      </c>
      <c r="AL115" s="466" t="s">
        <v>26</v>
      </c>
      <c r="AM115" s="900">
        <v>262500</v>
      </c>
      <c r="AN115" s="860">
        <f t="shared" si="166"/>
        <v>34125</v>
      </c>
      <c r="AO115" s="466">
        <v>130</v>
      </c>
      <c r="AP115" s="467">
        <v>130</v>
      </c>
      <c r="AQ115" s="843">
        <f t="shared" si="167"/>
        <v>1</v>
      </c>
      <c r="AR115" s="455">
        <f t="shared" si="168"/>
        <v>262500</v>
      </c>
      <c r="AS115" s="455">
        <f t="shared" si="169"/>
        <v>34125</v>
      </c>
      <c r="AT115" s="102">
        <f t="shared" si="170"/>
        <v>0</v>
      </c>
      <c r="AU115" s="116">
        <v>0.13</v>
      </c>
      <c r="AV115" s="565" t="str">
        <f>VLOOKUP(LEFT(AB115,10),Törzsszám!$A$1:$B$908,2,0)</f>
        <v>10001357</v>
      </c>
      <c r="AW115" s="681">
        <f t="shared" ca="1" si="24"/>
        <v>0</v>
      </c>
      <c r="AX115" s="471" t="s">
        <v>4606</v>
      </c>
      <c r="AY115" s="541"/>
      <c r="AZ115" s="800"/>
      <c r="BA115" s="674"/>
      <c r="BB115" s="651"/>
      <c r="BC115" s="649"/>
      <c r="BD115" s="672"/>
      <c r="BE115" s="703" t="s">
        <v>162</v>
      </c>
      <c r="BF115" s="481" t="s">
        <v>4559</v>
      </c>
    </row>
    <row r="116" spans="1:58" s="463" customFormat="1" ht="31.5" x14ac:dyDescent="0.25">
      <c r="A116" s="694" t="str">
        <f ca="1">Bérköltség!$B116</f>
        <v>FEOR</v>
      </c>
      <c r="B116" s="694" t="str">
        <f ca="1">IFERROR(
IF(AND(Bérköltség!$F116="",H116="NA"),"HIÁNYOS ADATOK",
IF(Bérköltség!$F116&lt;Bérköltség!$U116,Admin!$B$18,Admin!$B$17)),
"")</f>
        <v>FEOR</v>
      </c>
      <c r="C116" s="437">
        <f>IFERROR(INDEX('Historikus berek_2021-2'!$A$1:$F$903,MATCH(AB116,'Historikus berek_2021-2'!$A$1:$A$903,0),4),"")</f>
        <v>328933.33333333331</v>
      </c>
      <c r="D116" s="438">
        <f t="shared" ref="D116:D120" si="287">IFERROR(C116*AQ116,"NA")</f>
        <v>328933.33333333331</v>
      </c>
      <c r="E116" s="437">
        <f t="shared" ref="E116:E120" si="288">AR116</f>
        <v>262500</v>
      </c>
      <c r="F116" s="439">
        <f t="shared" ref="F116:F120" si="289">IFERROR(IF((E116*(1+AU116)-D116*(1+AU116))&lt;0,0,(E116*(1+AU116)-D116*(1+AU116))),"")</f>
        <v>0</v>
      </c>
      <c r="G116" s="440">
        <f t="shared" ref="G116:G120" si="290">IFERROR((E116*(1+AU116)-F116),"")</f>
        <v>296625</v>
      </c>
      <c r="H116" s="441">
        <f>IFERROR(INDEX('FEOR kodok'!$A$2:$J$1126,MATCH(Bérköltség!AB116,'FEOR kodok'!$B$2:$B$1126,0),8),"NA")</f>
        <v>2139</v>
      </c>
      <c r="I116" s="436">
        <f ca="1">IFERROR(INDEX('FEOR kodok'!$A$2:$J$1126,MATCH(Bérköltség!AB116,'FEOR kodok'!$B$2:$B$1126,0),10),"NA")</f>
        <v>30</v>
      </c>
      <c r="J116" s="442" t="str">
        <f t="shared" ref="J116:J120" ca="1" si="291">IF(I116="NA","NA",
IF(I116&lt;30,"30 év alatt",
IF(AND(I116&gt;=30,I116&lt;=39),"30–39 éves",
IF(AND(I116&gt;=40,I116&lt;=49),"40–49 éves",
IF(I116&gt;=50,"50 év és afelett",
"")))))</f>
        <v>30–39 éves</v>
      </c>
      <c r="K116" s="436" t="str">
        <f>IFERROR(INDEX(admin_feor[#All],MATCH(Bérköltség!H116,admin_feor[[#All],[Foglalkozás]],0),2),"NA")</f>
        <v>Egyéb, máshova nem sorolható mérnök</v>
      </c>
      <c r="L116" s="438">
        <f ca="1">IFERROR(
INDEX('Admin - FEOR'!$A$4:$F$465,MATCH(Bérköltség!H116,'Admin - FEOR'!$A$4:$A$465,0),
IF(J116="30 év alatt",3,
IF(J116="30–39 éves",4,
IF(J116="40–49 éves",5,
IF(J116="50 év és afelett",6
)))))*1,"NA")</f>
        <v>845378</v>
      </c>
      <c r="M116" s="438">
        <f t="shared" ref="M116:M120" si="292">AM116</f>
        <v>262500</v>
      </c>
      <c r="N116" s="443">
        <f t="shared" ref="N116:N120" ca="1" si="293">IFERROR(
M116/L116,"NA")</f>
        <v>0.31051198398822777</v>
      </c>
      <c r="O116" s="438">
        <f ca="1">IFERROR(
INDEX('Admin - FEOR'!$A$4:$F$465,MATCH(Bérköltség!H116,'Admin - FEOR'!$A$4:$A$465,0),
IF(J116="30 év alatt",3,
IF(J116="30–39 éves",4,
IF(J116="40–49 éves",5,
IF(J116="50 év és afelett",6
)))))*1.5,"NA")</f>
        <v>1268067</v>
      </c>
      <c r="P116" s="438">
        <f t="shared" ref="P116:P120" ca="1" si="294">IFERROR(
AQ116*O116,"NA")</f>
        <v>1268067</v>
      </c>
      <c r="Q116" s="438">
        <f t="shared" ref="Q116:Q120" si="295">IFERROR(AR116,"")</f>
        <v>262500</v>
      </c>
      <c r="R116" s="444">
        <f t="shared" ref="R116:R120" si="296">IFERROR(AQ116,"")</f>
        <v>1</v>
      </c>
      <c r="S116" s="438">
        <f t="shared" ref="S116:S120" ca="1" si="297">IFERROR(
IF(AR116-P116&lt;0,0,AR116-P116),"NA")</f>
        <v>0</v>
      </c>
      <c r="T116" s="438">
        <f t="shared" ref="T116:T120" ca="1" si="298">IFERROR(
S116*AU116,"NA")</f>
        <v>0</v>
      </c>
      <c r="U116" s="445">
        <f t="shared" ref="U116:U120" ca="1" si="299">IFERROR(
S116+T116,"NA")</f>
        <v>0</v>
      </c>
      <c r="V116" s="446">
        <f t="shared" ref="V116:V120" ca="1" si="300">IFERROR(
IF(U116&gt;0,AR116+AS116-U116,AR116+AS116),"NA")</f>
        <v>296625</v>
      </c>
      <c r="W116" s="447" t="str">
        <f t="shared" ref="W116:W120" ca="1" si="301">IF(P116="NA","FEOR hiányzik",
IF(AND(N116&gt;1,A116="FEOR"),CONCATENATE("Indoklás szükséges mivel a FEOR: ",ROUND(N116*100,1),"%"),"Nem szükséges indoklás.")
)</f>
        <v>Nem szükséges indoklás.</v>
      </c>
      <c r="X116" s="571">
        <f t="shared" ref="X116:X120" ca="1" si="302">IF(A116="FEOR",U116,IF(A116="HIÁNYOS ADATOK","HIÁNYOS ADATOK",F116))</f>
        <v>0</v>
      </c>
      <c r="Y116" s="554">
        <f t="shared" ref="Y116:Y120" ca="1" si="303">IF(A116="FEOR",ROUND(V116/(1+AU116),0),IF(A116="HIÁNYOS ADATOK","HIÁNYOS ADATOK",ROUND(G116/(1+AU116),0)))</f>
        <v>262500</v>
      </c>
      <c r="Z116" s="555">
        <f t="shared" ref="Z116:Z120" ca="1" si="304">IF(A116="FEOR",ROUND(V116-Y116,0),IF(A116="HIÁNYOS ADATOK","HIÁNYOS ADATOK",ROUND(G116-Y116,0)))</f>
        <v>34125</v>
      </c>
      <c r="AA116" s="687"/>
      <c r="AB116" s="474">
        <v>8460541932</v>
      </c>
      <c r="AC116" s="475" t="s">
        <v>160</v>
      </c>
      <c r="AD116" s="459" t="s">
        <v>45</v>
      </c>
      <c r="AE116" s="533" t="s">
        <v>24</v>
      </c>
      <c r="AF116" s="693" t="s">
        <v>124</v>
      </c>
      <c r="AG116" s="466" t="s">
        <v>161</v>
      </c>
      <c r="AH116" s="484" t="s">
        <v>131</v>
      </c>
      <c r="AI116" s="274">
        <v>45108</v>
      </c>
      <c r="AJ116" s="100" t="str">
        <f>IF(AI116&gt;0,
(IF(AI116&lt;[1]Hónapok!$A$10,[1]Admin!$A$28,
(IF(AI116&lt;[1]Hónapok!$A$22,[1]Admin!$B$28,
(IF(AI116&lt;[1]Hónapok!$A$34,[1]Admin!$C$28,
(IF(AI116&lt;[1]Hónapok!$A$46,[1]Admin!$D$28,"")))))))),"")</f>
        <v>3. mérföldkő</v>
      </c>
      <c r="AK116" s="469" t="s">
        <v>7</v>
      </c>
      <c r="AL116" s="466" t="s">
        <v>26</v>
      </c>
      <c r="AM116" s="900">
        <v>262500</v>
      </c>
      <c r="AN116" s="860">
        <f t="shared" ref="AN116:AN120" si="305">IFERROR(ROUND(AM116*AU116,0),"")</f>
        <v>34125</v>
      </c>
      <c r="AO116" s="466">
        <v>130</v>
      </c>
      <c r="AP116" s="467">
        <v>130</v>
      </c>
      <c r="AQ116" s="682">
        <f t="shared" ref="AQ116:AQ120" si="306">IFERROR(AP116/AO116,"")</f>
        <v>1</v>
      </c>
      <c r="AR116" s="455">
        <f t="shared" ref="AR116:AR120" si="307">IFERROR(ROUND(AM116*AP116/AO116,0),"")</f>
        <v>262500</v>
      </c>
      <c r="AS116" s="455">
        <f t="shared" ref="AS116:AS120" si="308">IFERROR(ROUND(AR116*AU116,0),"")</f>
        <v>34125</v>
      </c>
      <c r="AT116" s="102">
        <f t="shared" ref="AT116:AT120" si="309">IFERROR(AP116/AO116-AR116/AM116,"")</f>
        <v>0</v>
      </c>
      <c r="AU116" s="116">
        <v>0.13</v>
      </c>
      <c r="AV116" s="565" t="str">
        <f>VLOOKUP(LEFT(AB116,10),Törzsszám!$A$1:$B$908,2,0)</f>
        <v>10001357</v>
      </c>
      <c r="AW116" s="681">
        <f t="shared" ref="AW116:AW120" ca="1" si="310">(Y116+Z116)-(AR116+AS116)</f>
        <v>0</v>
      </c>
      <c r="AX116" s="471" t="s">
        <v>4610</v>
      </c>
      <c r="AY116" s="541"/>
      <c r="AZ116" s="800"/>
      <c r="BA116" s="674"/>
      <c r="BB116" s="651"/>
      <c r="BC116" s="649"/>
      <c r="BD116" s="672"/>
      <c r="BE116" s="703" t="s">
        <v>162</v>
      </c>
      <c r="BF116" s="481"/>
    </row>
    <row r="117" spans="1:58" s="463" customFormat="1" ht="31.5" x14ac:dyDescent="0.25">
      <c r="A117" s="694" t="str">
        <f ca="1">Bérköltség!$B117</f>
        <v>FEOR</v>
      </c>
      <c r="B117" s="694" t="str">
        <f ca="1">IFERROR(
IF(AND(Bérköltség!$F117="",H117="NA"),"HIÁNYOS ADATOK",
IF(Bérköltség!$F117&lt;Bérköltség!$U117,Admin!$B$18,Admin!$B$17)),
"")</f>
        <v>FEOR</v>
      </c>
      <c r="C117" s="437">
        <f>IFERROR(INDEX('Historikus berek_2021-2'!$A$1:$F$903,MATCH(AB117,'Historikus berek_2021-2'!$A$1:$A$903,0),4),"")</f>
        <v>328933.33333333331</v>
      </c>
      <c r="D117" s="438">
        <f t="shared" si="287"/>
        <v>328933.33333333331</v>
      </c>
      <c r="E117" s="437">
        <f t="shared" si="288"/>
        <v>262500</v>
      </c>
      <c r="F117" s="439">
        <f t="shared" si="289"/>
        <v>0</v>
      </c>
      <c r="G117" s="440">
        <f t="shared" si="290"/>
        <v>296625</v>
      </c>
      <c r="H117" s="441">
        <f>IFERROR(INDEX('FEOR kodok'!$A$2:$J$1126,MATCH(Bérköltség!AB117,'FEOR kodok'!$B$2:$B$1126,0),8),"NA")</f>
        <v>2139</v>
      </c>
      <c r="I117" s="436">
        <f ca="1">IFERROR(INDEX('FEOR kodok'!$A$2:$J$1126,MATCH(Bérköltség!AB117,'FEOR kodok'!$B$2:$B$1126,0),10),"NA")</f>
        <v>30</v>
      </c>
      <c r="J117" s="442" t="str">
        <f t="shared" ca="1" si="291"/>
        <v>30–39 éves</v>
      </c>
      <c r="K117" s="436" t="str">
        <f>IFERROR(INDEX(admin_feor[#All],MATCH(Bérköltség!H117,admin_feor[[#All],[Foglalkozás]],0),2),"NA")</f>
        <v>Egyéb, máshova nem sorolható mérnök</v>
      </c>
      <c r="L117" s="438">
        <f ca="1">IFERROR(
INDEX('Admin - FEOR'!$A$4:$F$465,MATCH(Bérköltség!H117,'Admin - FEOR'!$A$4:$A$465,0),
IF(J117="30 év alatt",3,
IF(J117="30–39 éves",4,
IF(J117="40–49 éves",5,
IF(J117="50 év és afelett",6
)))))*1,"NA")</f>
        <v>845378</v>
      </c>
      <c r="M117" s="438">
        <f t="shared" si="292"/>
        <v>262500</v>
      </c>
      <c r="N117" s="443">
        <f t="shared" ca="1" si="293"/>
        <v>0.31051198398822777</v>
      </c>
      <c r="O117" s="438">
        <f ca="1">IFERROR(
INDEX('Admin - FEOR'!$A$4:$F$465,MATCH(Bérköltség!H117,'Admin - FEOR'!$A$4:$A$465,0),
IF(J117="30 év alatt",3,
IF(J117="30–39 éves",4,
IF(J117="40–49 éves",5,
IF(J117="50 év és afelett",6
)))))*1.5,"NA")</f>
        <v>1268067</v>
      </c>
      <c r="P117" s="438">
        <f t="shared" ca="1" si="294"/>
        <v>1268067</v>
      </c>
      <c r="Q117" s="438">
        <f t="shared" si="295"/>
        <v>262500</v>
      </c>
      <c r="R117" s="444">
        <f t="shared" si="296"/>
        <v>1</v>
      </c>
      <c r="S117" s="438">
        <f t="shared" ca="1" si="297"/>
        <v>0</v>
      </c>
      <c r="T117" s="438">
        <f t="shared" ca="1" si="298"/>
        <v>0</v>
      </c>
      <c r="U117" s="445">
        <f t="shared" ca="1" si="299"/>
        <v>0</v>
      </c>
      <c r="V117" s="446">
        <f t="shared" ca="1" si="300"/>
        <v>296625</v>
      </c>
      <c r="W117" s="447" t="str">
        <f t="shared" ca="1" si="301"/>
        <v>Nem szükséges indoklás.</v>
      </c>
      <c r="X117" s="571">
        <f t="shared" ca="1" si="302"/>
        <v>0</v>
      </c>
      <c r="Y117" s="554">
        <f t="shared" ca="1" si="303"/>
        <v>262500</v>
      </c>
      <c r="Z117" s="555">
        <f t="shared" ca="1" si="304"/>
        <v>34125</v>
      </c>
      <c r="AA117" s="687"/>
      <c r="AB117" s="474">
        <v>8460541932</v>
      </c>
      <c r="AC117" s="475" t="s">
        <v>160</v>
      </c>
      <c r="AD117" s="459" t="s">
        <v>45</v>
      </c>
      <c r="AE117" s="533" t="s">
        <v>24</v>
      </c>
      <c r="AF117" s="693" t="s">
        <v>124</v>
      </c>
      <c r="AG117" s="466" t="s">
        <v>161</v>
      </c>
      <c r="AH117" s="484" t="s">
        <v>131</v>
      </c>
      <c r="AI117" s="274">
        <v>45139</v>
      </c>
      <c r="AJ117" s="100" t="str">
        <f>IF(AI117&gt;0,
(IF(AI117&lt;[1]Hónapok!$A$10,[1]Admin!$A$28,
(IF(AI117&lt;[1]Hónapok!$A$22,[1]Admin!$B$28,
(IF(AI117&lt;[1]Hónapok!$A$34,[1]Admin!$C$28,
(IF(AI117&lt;[1]Hónapok!$A$46,[1]Admin!$D$28,"")))))))),"")</f>
        <v>3. mérföldkő</v>
      </c>
      <c r="AK117" s="469" t="s">
        <v>7</v>
      </c>
      <c r="AL117" s="466" t="s">
        <v>26</v>
      </c>
      <c r="AM117" s="900">
        <v>262500</v>
      </c>
      <c r="AN117" s="860">
        <f t="shared" si="305"/>
        <v>34125</v>
      </c>
      <c r="AO117" s="466">
        <v>130</v>
      </c>
      <c r="AP117" s="467">
        <v>130</v>
      </c>
      <c r="AQ117" s="454">
        <f t="shared" si="306"/>
        <v>1</v>
      </c>
      <c r="AR117" s="455">
        <f t="shared" si="307"/>
        <v>262500</v>
      </c>
      <c r="AS117" s="455">
        <f t="shared" si="308"/>
        <v>34125</v>
      </c>
      <c r="AT117" s="102">
        <f t="shared" si="309"/>
        <v>0</v>
      </c>
      <c r="AU117" s="116">
        <v>0.13</v>
      </c>
      <c r="AV117" s="565" t="str">
        <f>VLOOKUP(LEFT(AB117,10),Törzsszám!$A$1:$B$908,2,0)</f>
        <v>10001357</v>
      </c>
      <c r="AW117" s="681">
        <f t="shared" ca="1" si="310"/>
        <v>0</v>
      </c>
      <c r="AX117" s="471" t="s">
        <v>4613</v>
      </c>
      <c r="AY117" s="541"/>
      <c r="AZ117" s="800"/>
      <c r="BA117" s="674"/>
      <c r="BB117" s="651"/>
      <c r="BC117" s="649"/>
      <c r="BD117" s="672"/>
      <c r="BE117" s="703" t="s">
        <v>162</v>
      </c>
      <c r="BF117" s="481"/>
    </row>
    <row r="118" spans="1:58" s="463" customFormat="1" ht="31.5" x14ac:dyDescent="0.25">
      <c r="A118" s="694" t="str">
        <f ca="1">Bérköltség!$B118</f>
        <v>FEOR</v>
      </c>
      <c r="B118" s="694" t="str">
        <f ca="1">IFERROR(
IF(AND(Bérköltség!$F118="",H118="NA"),"HIÁNYOS ADATOK",
IF(Bérköltség!$F118&lt;Bérköltség!$U118,Admin!$B$18,Admin!$B$17)),
"")</f>
        <v>FEOR</v>
      </c>
      <c r="C118" s="437">
        <f>IFERROR(INDEX('Historikus berek_2021-2'!$A$1:$F$903,MATCH(AB118,'Historikus berek_2021-2'!$A$1:$A$903,0),4),"")</f>
        <v>328933.33333333331</v>
      </c>
      <c r="D118" s="438">
        <f t="shared" si="287"/>
        <v>328933.33333333331</v>
      </c>
      <c r="E118" s="437">
        <f t="shared" si="288"/>
        <v>262500</v>
      </c>
      <c r="F118" s="439">
        <f t="shared" si="289"/>
        <v>0</v>
      </c>
      <c r="G118" s="440">
        <f t="shared" si="290"/>
        <v>296625</v>
      </c>
      <c r="H118" s="441">
        <f>IFERROR(INDEX('FEOR kodok'!$A$2:$J$1126,MATCH(Bérköltség!AB118,'FEOR kodok'!$B$2:$B$1126,0),8),"NA")</f>
        <v>2139</v>
      </c>
      <c r="I118" s="436">
        <f ca="1">IFERROR(INDEX('FEOR kodok'!$A$2:$J$1126,MATCH(Bérköltség!AB118,'FEOR kodok'!$B$2:$B$1126,0),10),"NA")</f>
        <v>30</v>
      </c>
      <c r="J118" s="442" t="str">
        <f t="shared" ca="1" si="291"/>
        <v>30–39 éves</v>
      </c>
      <c r="K118" s="436" t="str">
        <f>IFERROR(INDEX(admin_feor[#All],MATCH(Bérköltség!H118,admin_feor[[#All],[Foglalkozás]],0),2),"NA")</f>
        <v>Egyéb, máshova nem sorolható mérnök</v>
      </c>
      <c r="L118" s="438">
        <f ca="1">IFERROR(
INDEX('Admin - FEOR'!$A$4:$F$465,MATCH(Bérköltség!H118,'Admin - FEOR'!$A$4:$A$465,0),
IF(J118="30 év alatt",3,
IF(J118="30–39 éves",4,
IF(J118="40–49 éves",5,
IF(J118="50 év és afelett",6
)))))*1,"NA")</f>
        <v>845378</v>
      </c>
      <c r="M118" s="438">
        <f t="shared" si="292"/>
        <v>262500</v>
      </c>
      <c r="N118" s="443">
        <f t="shared" ca="1" si="293"/>
        <v>0.31051198398822777</v>
      </c>
      <c r="O118" s="438">
        <f ca="1">IFERROR(
INDEX('Admin - FEOR'!$A$4:$F$465,MATCH(Bérköltség!H118,'Admin - FEOR'!$A$4:$A$465,0),
IF(J118="30 év alatt",3,
IF(J118="30–39 éves",4,
IF(J118="40–49 éves",5,
IF(J118="50 év és afelett",6
)))))*1.5,"NA")</f>
        <v>1268067</v>
      </c>
      <c r="P118" s="438">
        <f t="shared" ca="1" si="294"/>
        <v>1268067</v>
      </c>
      <c r="Q118" s="438">
        <f t="shared" si="295"/>
        <v>262500</v>
      </c>
      <c r="R118" s="444">
        <f t="shared" si="296"/>
        <v>1</v>
      </c>
      <c r="S118" s="438">
        <f t="shared" ca="1" si="297"/>
        <v>0</v>
      </c>
      <c r="T118" s="438">
        <f t="shared" ca="1" si="298"/>
        <v>0</v>
      </c>
      <c r="U118" s="445">
        <f t="shared" ca="1" si="299"/>
        <v>0</v>
      </c>
      <c r="V118" s="446">
        <f t="shared" ca="1" si="300"/>
        <v>296625</v>
      </c>
      <c r="W118" s="447" t="str">
        <f t="shared" ca="1" si="301"/>
        <v>Nem szükséges indoklás.</v>
      </c>
      <c r="X118" s="571">
        <f t="shared" ca="1" si="302"/>
        <v>0</v>
      </c>
      <c r="Y118" s="554">
        <f t="shared" ca="1" si="303"/>
        <v>262500</v>
      </c>
      <c r="Z118" s="555">
        <f t="shared" ca="1" si="304"/>
        <v>34125</v>
      </c>
      <c r="AA118" s="687"/>
      <c r="AB118" s="474">
        <v>8460541932</v>
      </c>
      <c r="AC118" s="475" t="s">
        <v>160</v>
      </c>
      <c r="AD118" s="459" t="s">
        <v>45</v>
      </c>
      <c r="AE118" s="533" t="s">
        <v>24</v>
      </c>
      <c r="AF118" s="693" t="s">
        <v>124</v>
      </c>
      <c r="AG118" s="466" t="s">
        <v>161</v>
      </c>
      <c r="AH118" s="484" t="s">
        <v>131</v>
      </c>
      <c r="AI118" s="274">
        <v>45170</v>
      </c>
      <c r="AJ118" s="100" t="str">
        <f>IF(AI118&gt;0,
(IF(AI118&lt;[1]Hónapok!$A$10,[1]Admin!$A$28,
(IF(AI118&lt;[1]Hónapok!$A$22,[1]Admin!$B$28,
(IF(AI118&lt;[1]Hónapok!$A$34,[1]Admin!$C$28,
(IF(AI118&lt;[1]Hónapok!$A$46,[1]Admin!$D$28,"")))))))),"")</f>
        <v>3. mérföldkő</v>
      </c>
      <c r="AK118" s="469" t="s">
        <v>7</v>
      </c>
      <c r="AL118" s="466" t="s">
        <v>26</v>
      </c>
      <c r="AM118" s="900">
        <v>262500</v>
      </c>
      <c r="AN118" s="860">
        <f t="shared" si="305"/>
        <v>34125</v>
      </c>
      <c r="AO118" s="466">
        <v>130</v>
      </c>
      <c r="AP118" s="467">
        <v>130</v>
      </c>
      <c r="AQ118" s="454">
        <f t="shared" si="306"/>
        <v>1</v>
      </c>
      <c r="AR118" s="455">
        <f t="shared" si="307"/>
        <v>262500</v>
      </c>
      <c r="AS118" s="455">
        <f t="shared" si="308"/>
        <v>34125</v>
      </c>
      <c r="AT118" s="102">
        <f t="shared" si="309"/>
        <v>0</v>
      </c>
      <c r="AU118" s="116">
        <v>0.13</v>
      </c>
      <c r="AV118" s="565" t="str">
        <f>VLOOKUP(LEFT(AB118,10),Törzsszám!$A$1:$B$908,2,0)</f>
        <v>10001357</v>
      </c>
      <c r="AW118" s="681">
        <f t="shared" ca="1" si="310"/>
        <v>0</v>
      </c>
      <c r="AX118" s="471" t="s">
        <v>4618</v>
      </c>
      <c r="AY118" s="541"/>
      <c r="AZ118" s="800"/>
      <c r="BA118" s="674"/>
      <c r="BB118" s="651"/>
      <c r="BC118" s="649"/>
      <c r="BD118" s="672"/>
      <c r="BE118" s="703" t="s">
        <v>162</v>
      </c>
      <c r="BF118" s="481"/>
    </row>
    <row r="119" spans="1:58" s="463" customFormat="1" ht="31.5" x14ac:dyDescent="0.25">
      <c r="A119" s="694" t="str">
        <f ca="1">Bérköltség!$B119</f>
        <v>FEOR</v>
      </c>
      <c r="B119" s="694" t="str">
        <f ca="1">IFERROR(
IF(AND(Bérköltség!$F119="",H119="NA"),"HIÁNYOS ADATOK",
IF(Bérköltség!$F119&lt;Bérköltség!$U119,Admin!$B$18,Admin!$B$17)),
"")</f>
        <v>FEOR</v>
      </c>
      <c r="C119" s="437">
        <f>IFERROR(INDEX('Historikus berek_2021-2'!$A$1:$F$903,MATCH(AB119,'Historikus berek_2021-2'!$A$1:$A$903,0),4),"")</f>
        <v>328933.33333333331</v>
      </c>
      <c r="D119" s="438">
        <f t="shared" si="287"/>
        <v>328933.33333333331</v>
      </c>
      <c r="E119" s="437">
        <f t="shared" si="288"/>
        <v>262500</v>
      </c>
      <c r="F119" s="439">
        <f t="shared" si="289"/>
        <v>0</v>
      </c>
      <c r="G119" s="440">
        <f t="shared" si="290"/>
        <v>296625</v>
      </c>
      <c r="H119" s="441">
        <f>IFERROR(INDEX('FEOR kodok'!$A$2:$J$1126,MATCH(Bérköltség!AB119,'FEOR kodok'!$B$2:$B$1126,0),8),"NA")</f>
        <v>2139</v>
      </c>
      <c r="I119" s="436">
        <f ca="1">IFERROR(INDEX('FEOR kodok'!$A$2:$J$1126,MATCH(Bérköltség!AB119,'FEOR kodok'!$B$2:$B$1126,0),10),"NA")</f>
        <v>30</v>
      </c>
      <c r="J119" s="442" t="str">
        <f t="shared" ca="1" si="291"/>
        <v>30–39 éves</v>
      </c>
      <c r="K119" s="436" t="str">
        <f>IFERROR(INDEX(admin_feor[#All],MATCH(Bérköltség!H119,admin_feor[[#All],[Foglalkozás]],0),2),"NA")</f>
        <v>Egyéb, máshova nem sorolható mérnök</v>
      </c>
      <c r="L119" s="438">
        <f ca="1">IFERROR(
INDEX('Admin - FEOR'!$A$4:$F$465,MATCH(Bérköltség!H119,'Admin - FEOR'!$A$4:$A$465,0),
IF(J119="30 év alatt",3,
IF(J119="30–39 éves",4,
IF(J119="40–49 éves",5,
IF(J119="50 év és afelett",6
)))))*1,"NA")</f>
        <v>845378</v>
      </c>
      <c r="M119" s="438">
        <f t="shared" si="292"/>
        <v>262500</v>
      </c>
      <c r="N119" s="443">
        <f t="shared" ca="1" si="293"/>
        <v>0.31051198398822777</v>
      </c>
      <c r="O119" s="438">
        <f ca="1">IFERROR(
INDEX('Admin - FEOR'!$A$4:$F$465,MATCH(Bérköltség!H119,'Admin - FEOR'!$A$4:$A$465,0),
IF(J119="30 év alatt",3,
IF(J119="30–39 éves",4,
IF(J119="40–49 éves",5,
IF(J119="50 év és afelett",6
)))))*1.5,"NA")</f>
        <v>1268067</v>
      </c>
      <c r="P119" s="438">
        <f t="shared" ca="1" si="294"/>
        <v>1268067</v>
      </c>
      <c r="Q119" s="438">
        <f t="shared" si="295"/>
        <v>262500</v>
      </c>
      <c r="R119" s="444">
        <f t="shared" si="296"/>
        <v>1</v>
      </c>
      <c r="S119" s="438">
        <f t="shared" ca="1" si="297"/>
        <v>0</v>
      </c>
      <c r="T119" s="438">
        <f t="shared" ca="1" si="298"/>
        <v>0</v>
      </c>
      <c r="U119" s="445">
        <f t="shared" ca="1" si="299"/>
        <v>0</v>
      </c>
      <c r="V119" s="446">
        <f t="shared" ca="1" si="300"/>
        <v>296625</v>
      </c>
      <c r="W119" s="447" t="str">
        <f t="shared" ca="1" si="301"/>
        <v>Nem szükséges indoklás.</v>
      </c>
      <c r="X119" s="571">
        <f t="shared" ca="1" si="302"/>
        <v>0</v>
      </c>
      <c r="Y119" s="554">
        <f t="shared" ca="1" si="303"/>
        <v>262500</v>
      </c>
      <c r="Z119" s="555">
        <f t="shared" ca="1" si="304"/>
        <v>34125</v>
      </c>
      <c r="AA119" s="687"/>
      <c r="AB119" s="474">
        <v>8460541932</v>
      </c>
      <c r="AC119" s="475" t="s">
        <v>160</v>
      </c>
      <c r="AD119" s="459" t="s">
        <v>45</v>
      </c>
      <c r="AE119" s="533" t="s">
        <v>24</v>
      </c>
      <c r="AF119" s="693" t="s">
        <v>124</v>
      </c>
      <c r="AG119" s="466" t="s">
        <v>161</v>
      </c>
      <c r="AH119" s="484" t="s">
        <v>131</v>
      </c>
      <c r="AI119" s="274">
        <v>45200</v>
      </c>
      <c r="AJ119" s="100" t="str">
        <f>IF(AI119&gt;0,
(IF(AI119&lt;[1]Hónapok!$A$10,[1]Admin!$A$28,
(IF(AI119&lt;[1]Hónapok!$A$22,[1]Admin!$B$28,
(IF(AI119&lt;[1]Hónapok!$A$34,[1]Admin!$C$28,
(IF(AI119&lt;[1]Hónapok!$A$46,[1]Admin!$D$28,"")))))))),"")</f>
        <v>3. mérföldkő</v>
      </c>
      <c r="AK119" s="469" t="s">
        <v>8</v>
      </c>
      <c r="AL119" s="466" t="s">
        <v>26</v>
      </c>
      <c r="AM119" s="900">
        <v>262500</v>
      </c>
      <c r="AN119" s="860">
        <f t="shared" si="305"/>
        <v>34125</v>
      </c>
      <c r="AO119" s="466">
        <v>130</v>
      </c>
      <c r="AP119" s="467">
        <v>130</v>
      </c>
      <c r="AQ119" s="454">
        <f t="shared" si="306"/>
        <v>1</v>
      </c>
      <c r="AR119" s="455">
        <f t="shared" si="307"/>
        <v>262500</v>
      </c>
      <c r="AS119" s="455">
        <f t="shared" si="308"/>
        <v>34125</v>
      </c>
      <c r="AT119" s="102">
        <f t="shared" si="309"/>
        <v>0</v>
      </c>
      <c r="AU119" s="116">
        <v>0.13</v>
      </c>
      <c r="AV119" s="565" t="str">
        <f>VLOOKUP(LEFT(AB119,10),Törzsszám!$A$1:$B$908,2,0)</f>
        <v>10001357</v>
      </c>
      <c r="AW119" s="681">
        <f t="shared" ca="1" si="310"/>
        <v>0</v>
      </c>
      <c r="AX119" s="471"/>
      <c r="AY119" s="541"/>
      <c r="AZ119" s="800"/>
      <c r="BA119" s="674"/>
      <c r="BB119" s="651"/>
      <c r="BC119" s="649"/>
      <c r="BD119" s="672"/>
      <c r="BE119" s="703" t="s">
        <v>162</v>
      </c>
      <c r="BF119" s="481"/>
    </row>
    <row r="120" spans="1:58" s="463" customFormat="1" ht="31.5" x14ac:dyDescent="0.25">
      <c r="A120" s="694" t="str">
        <f ca="1">Bérköltség!$B120</f>
        <v>FEOR</v>
      </c>
      <c r="B120" s="694" t="str">
        <f ca="1">IFERROR(
IF(AND(Bérköltség!$F120="",H120="NA"),"HIÁNYOS ADATOK",
IF(Bérköltség!$F120&lt;Bérköltség!$U120,Admin!$B$18,Admin!$B$17)),
"")</f>
        <v>FEOR</v>
      </c>
      <c r="C120" s="437">
        <f>IFERROR(INDEX('Historikus berek_2021-2'!$A$1:$F$903,MATCH(AB120,'Historikus berek_2021-2'!$A$1:$A$903,0),4),"")</f>
        <v>328933.33333333331</v>
      </c>
      <c r="D120" s="438">
        <f t="shared" si="287"/>
        <v>328933.33333333331</v>
      </c>
      <c r="E120" s="437">
        <f t="shared" si="288"/>
        <v>262500</v>
      </c>
      <c r="F120" s="439">
        <f t="shared" si="289"/>
        <v>0</v>
      </c>
      <c r="G120" s="440">
        <f t="shared" si="290"/>
        <v>296625</v>
      </c>
      <c r="H120" s="441">
        <f>IFERROR(INDEX('FEOR kodok'!$A$2:$J$1126,MATCH(Bérköltség!AB120,'FEOR kodok'!$B$2:$B$1126,0),8),"NA")</f>
        <v>2139</v>
      </c>
      <c r="I120" s="436">
        <f ca="1">IFERROR(INDEX('FEOR kodok'!$A$2:$J$1126,MATCH(Bérköltség!AB120,'FEOR kodok'!$B$2:$B$1126,0),10),"NA")</f>
        <v>30</v>
      </c>
      <c r="J120" s="442" t="str">
        <f t="shared" ca="1" si="291"/>
        <v>30–39 éves</v>
      </c>
      <c r="K120" s="436" t="str">
        <f>IFERROR(INDEX(admin_feor[#All],MATCH(Bérköltség!H120,admin_feor[[#All],[Foglalkozás]],0),2),"NA")</f>
        <v>Egyéb, máshova nem sorolható mérnök</v>
      </c>
      <c r="L120" s="438">
        <f ca="1">IFERROR(
INDEX('Admin - FEOR'!$A$4:$F$465,MATCH(Bérköltség!H120,'Admin - FEOR'!$A$4:$A$465,0),
IF(J120="30 év alatt",3,
IF(J120="30–39 éves",4,
IF(J120="40–49 éves",5,
IF(J120="50 év és afelett",6
)))))*1,"NA")</f>
        <v>845378</v>
      </c>
      <c r="M120" s="438">
        <f t="shared" si="292"/>
        <v>262500</v>
      </c>
      <c r="N120" s="443">
        <f t="shared" ca="1" si="293"/>
        <v>0.31051198398822777</v>
      </c>
      <c r="O120" s="438">
        <f ca="1">IFERROR(
INDEX('Admin - FEOR'!$A$4:$F$465,MATCH(Bérköltség!H120,'Admin - FEOR'!$A$4:$A$465,0),
IF(J120="30 év alatt",3,
IF(J120="30–39 éves",4,
IF(J120="40–49 éves",5,
IF(J120="50 év és afelett",6
)))))*1.5,"NA")</f>
        <v>1268067</v>
      </c>
      <c r="P120" s="438">
        <f t="shared" ca="1" si="294"/>
        <v>1268067</v>
      </c>
      <c r="Q120" s="438">
        <f t="shared" si="295"/>
        <v>262500</v>
      </c>
      <c r="R120" s="444">
        <f t="shared" si="296"/>
        <v>1</v>
      </c>
      <c r="S120" s="438">
        <f t="shared" ca="1" si="297"/>
        <v>0</v>
      </c>
      <c r="T120" s="438">
        <f t="shared" ca="1" si="298"/>
        <v>0</v>
      </c>
      <c r="U120" s="445">
        <f t="shared" ca="1" si="299"/>
        <v>0</v>
      </c>
      <c r="V120" s="446">
        <f t="shared" ca="1" si="300"/>
        <v>296625</v>
      </c>
      <c r="W120" s="447" t="str">
        <f t="shared" ca="1" si="301"/>
        <v>Nem szükséges indoklás.</v>
      </c>
      <c r="X120" s="571">
        <f t="shared" ca="1" si="302"/>
        <v>0</v>
      </c>
      <c r="Y120" s="554">
        <f t="shared" ca="1" si="303"/>
        <v>262500</v>
      </c>
      <c r="Z120" s="555">
        <f t="shared" ca="1" si="304"/>
        <v>34125</v>
      </c>
      <c r="AA120" s="687"/>
      <c r="AB120" s="474">
        <v>8460541932</v>
      </c>
      <c r="AC120" s="475" t="s">
        <v>160</v>
      </c>
      <c r="AD120" s="459" t="s">
        <v>45</v>
      </c>
      <c r="AE120" s="533" t="s">
        <v>24</v>
      </c>
      <c r="AF120" s="693" t="s">
        <v>124</v>
      </c>
      <c r="AG120" s="466" t="s">
        <v>161</v>
      </c>
      <c r="AH120" s="484" t="s">
        <v>131</v>
      </c>
      <c r="AI120" s="274">
        <v>45231</v>
      </c>
      <c r="AJ120" s="100" t="str">
        <f>IF(AI120&gt;0,
(IF(AI120&lt;[1]Hónapok!$A$10,[1]Admin!$A$28,
(IF(AI120&lt;[1]Hónapok!$A$22,[1]Admin!$B$28,
(IF(AI120&lt;[1]Hónapok!$A$34,[1]Admin!$C$28,
(IF(AI120&lt;[1]Hónapok!$A$46,[1]Admin!$D$28,"")))))))),"")</f>
        <v>3. mérföldkő</v>
      </c>
      <c r="AK120" s="469" t="s">
        <v>8</v>
      </c>
      <c r="AL120" s="466" t="s">
        <v>26</v>
      </c>
      <c r="AM120" s="900">
        <v>262500</v>
      </c>
      <c r="AN120" s="860">
        <f t="shared" si="305"/>
        <v>34125</v>
      </c>
      <c r="AO120" s="466">
        <v>130</v>
      </c>
      <c r="AP120" s="467">
        <v>130</v>
      </c>
      <c r="AQ120" s="454">
        <f t="shared" si="306"/>
        <v>1</v>
      </c>
      <c r="AR120" s="455">
        <f t="shared" si="307"/>
        <v>262500</v>
      </c>
      <c r="AS120" s="455">
        <f t="shared" si="308"/>
        <v>34125</v>
      </c>
      <c r="AT120" s="102">
        <f t="shared" si="309"/>
        <v>0</v>
      </c>
      <c r="AU120" s="116">
        <v>0.13</v>
      </c>
      <c r="AV120" s="565" t="str">
        <f>VLOOKUP(LEFT(AB120,10),Törzsszám!$A$1:$B$908,2,0)</f>
        <v>10001357</v>
      </c>
      <c r="AW120" s="681">
        <f t="shared" ca="1" si="310"/>
        <v>0</v>
      </c>
      <c r="AX120" s="471"/>
      <c r="AY120" s="541"/>
      <c r="AZ120" s="800"/>
      <c r="BA120" s="674"/>
      <c r="BB120" s="651"/>
      <c r="BC120" s="649"/>
      <c r="BD120" s="672"/>
      <c r="BE120" s="703" t="s">
        <v>162</v>
      </c>
      <c r="BF120" s="481"/>
    </row>
    <row r="121" spans="1:58" s="457" customFormat="1" ht="31.5" x14ac:dyDescent="0.25">
      <c r="A121" s="694" t="str">
        <f ca="1">Bérköltség!$B121</f>
        <v>FEOR</v>
      </c>
      <c r="B121" s="694" t="str">
        <f ca="1">IFERROR(
IF(AND(Bérköltség!$F121="",H121="NA"),"HIÁNYOS ADATOK",
IF(Bérköltség!$F121&lt;Bérköltség!$U121,Admin!$B$18,Admin!$B$17)),
"")</f>
        <v>FEOR</v>
      </c>
      <c r="C121" s="437" t="str">
        <f>IFERROR(INDEX('Historikus berek_2021-2'!$A$1:$F$903,MATCH(AB121,'Historikus berek_2021-2'!$A$1:$A$903,0),4),"")</f>
        <v/>
      </c>
      <c r="D121" s="438" t="str">
        <f>IFERROR(C121*AQ121,"NA")</f>
        <v>NA</v>
      </c>
      <c r="E121" s="437">
        <f>AR121</f>
        <v>410000</v>
      </c>
      <c r="F121" s="439" t="str">
        <f t="shared" si="271"/>
        <v/>
      </c>
      <c r="G121" s="440" t="str">
        <f t="shared" si="272"/>
        <v/>
      </c>
      <c r="H121" s="441">
        <f>IFERROR(INDEX('FEOR kodok'!$A$2:$J$1126,MATCH(Bérköltség!AB121,'FEOR kodok'!$B$2:$B$1126,0),8),"NA")</f>
        <v>2117</v>
      </c>
      <c r="I121" s="436">
        <f ca="1">IFERROR(INDEX('FEOR kodok'!$A$2:$J$1126,MATCH(Bérköltség!AB121,'FEOR kodok'!$B$2:$B$1126,0),10),"NA")</f>
        <v>59</v>
      </c>
      <c r="J121" s="442" t="str">
        <f ca="1">IF(I121="NA","NA",
IF(I121&lt;30,"30 év alatt",
IF(AND(I121&gt;=30,I121&lt;=39),"30–39 éves",
IF(AND(I121&gt;=40,I121&lt;=49),"40–49 éves",
IF(I121&gt;=50,"50 év és afelett",
"")))))</f>
        <v>50 év és afelett</v>
      </c>
      <c r="K121" s="436" t="str">
        <f>IFERROR(INDEX(admin_feor[#All],MATCH(Bérköltség!H121,admin_feor[[#All],[Foglalkozás]],0),2),"NA")</f>
        <v>Vegyészmérnök</v>
      </c>
      <c r="L121" s="438">
        <f ca="1">IFERROR(
INDEX('Admin - FEOR'!$A$4:$F$465,MATCH(Bérköltség!H121,'Admin - FEOR'!$A$4:$A$465,0),
IF(J121="30 év alatt",3,
IF(J121="30–39 éves",4,
IF(J121="40–49 éves",5,
IF(J121="50 év és afelett",6
)))))*1,"NA")</f>
        <v>826737</v>
      </c>
      <c r="M121" s="438">
        <f>AM121</f>
        <v>410000</v>
      </c>
      <c r="N121" s="443">
        <f ca="1">IFERROR(
M121/L121,"NA")</f>
        <v>0.49592554826988511</v>
      </c>
      <c r="O121" s="438">
        <f ca="1">IFERROR(
INDEX('Admin - FEOR'!$A$4:$F$465,MATCH(Bérköltség!H121,'Admin - FEOR'!$A$4:$A$465,0),
IF(J121="30 év alatt",3,
IF(J121="30–39 éves",4,
IF(J121="40–49 éves",5,
IF(J121="50 év és afelett",6
)))))*1.5,"NA")</f>
        <v>1240105.5</v>
      </c>
      <c r="P121" s="438">
        <f ca="1">IFERROR(
AQ121*O121,"NA")</f>
        <v>1240105.5</v>
      </c>
      <c r="Q121" s="438">
        <f>IFERROR(AR121,"")</f>
        <v>410000</v>
      </c>
      <c r="R121" s="444">
        <f>IFERROR(AQ121,"")</f>
        <v>1</v>
      </c>
      <c r="S121" s="438">
        <f ca="1">IFERROR(
IF(AR121-P121&lt;0,0,AR121-P121),"NA")</f>
        <v>0</v>
      </c>
      <c r="T121" s="438">
        <f ca="1">IFERROR(
S121*AU121,"NA")</f>
        <v>0</v>
      </c>
      <c r="U121" s="445">
        <f ca="1">IFERROR(
S121+T121,"NA")</f>
        <v>0</v>
      </c>
      <c r="V121" s="446">
        <f ca="1">IFERROR(
IF(U121&gt;0,AR121+AS121-U121,AR121+AS121),"NA")</f>
        <v>463300</v>
      </c>
      <c r="W121" s="447" t="str">
        <f ca="1">IF(P121="NA","FEOR hiányzik",
IF(AND(N121&gt;1,A121="FEOR"),CONCATENATE("Indoklás szükséges mivel a FEOR: ",ROUND(N121*100,1),"%"),"Nem szükséges indoklás.")
)</f>
        <v>Nem szükséges indoklás.</v>
      </c>
      <c r="X121" s="571">
        <f ca="1">IF(A121="FEOR",U121,IF(A121="HIÁNYOS ADATOK","HIÁNYOS ADATOK",F121))</f>
        <v>0</v>
      </c>
      <c r="Y121" s="554">
        <f t="shared" ca="1" si="21"/>
        <v>410000</v>
      </c>
      <c r="Z121" s="555">
        <f t="shared" ca="1" si="22"/>
        <v>53300</v>
      </c>
      <c r="AA121" s="573">
        <v>2</v>
      </c>
      <c r="AB121" s="474">
        <v>8354561240</v>
      </c>
      <c r="AC121" s="449" t="s">
        <v>200</v>
      </c>
      <c r="AD121" s="459" t="s">
        <v>45</v>
      </c>
      <c r="AE121" s="533" t="s">
        <v>24</v>
      </c>
      <c r="AF121" s="480" t="s">
        <v>125</v>
      </c>
      <c r="AG121" s="466" t="s">
        <v>191</v>
      </c>
      <c r="AH121" s="451" t="s">
        <v>131</v>
      </c>
      <c r="AI121" s="154">
        <v>44805</v>
      </c>
      <c r="AJ121" s="100" t="str">
        <f>IF(AI121&gt;0,
(IF(AI121&lt;Hónapok!$A$10,Admin!$A$28,
(IF(AI121&lt;Hónapok!$A$22,Admin!$B$28,
(IF(AI121&lt;Hónapok!$A$34,Admin!$C$28,
(IF(AI121&lt;Hónapok!$A$46,Admin!$D$28,"")))))))),"")</f>
        <v>2. mérföldkő</v>
      </c>
      <c r="AK121" s="469" t="s">
        <v>7</v>
      </c>
      <c r="AL121" s="466" t="s">
        <v>26</v>
      </c>
      <c r="AM121" s="900">
        <v>410000</v>
      </c>
      <c r="AN121" s="860">
        <f>IFERROR(ROUND(AM121*AU121,0),"")</f>
        <v>53300</v>
      </c>
      <c r="AO121" s="466">
        <v>174</v>
      </c>
      <c r="AP121" s="467">
        <v>174</v>
      </c>
      <c r="AQ121" s="454">
        <f>IFERROR(AP121/AO121,"")</f>
        <v>1</v>
      </c>
      <c r="AR121" s="455">
        <f>IFERROR(ROUND(AM121*AP121/AO121,0),"")</f>
        <v>410000</v>
      </c>
      <c r="AS121" s="455">
        <f>IFERROR(ROUND(AR121*AU121,0),"")</f>
        <v>53300</v>
      </c>
      <c r="AT121" s="102">
        <f>IFERROR(AP121/AO121-AR121/AM121,"")</f>
        <v>0</v>
      </c>
      <c r="AU121" s="116">
        <v>0.13</v>
      </c>
      <c r="AV121" s="565" t="str">
        <f>VLOOKUP(LEFT(AB121,10),Törzsszám!$A$1:$B$908,2,0)</f>
        <v>10002190</v>
      </c>
      <c r="AW121" s="615">
        <f t="shared" ref="AW121:AW224" ca="1" si="311">(Y121+Z121)-(AR121+AS121)</f>
        <v>0</v>
      </c>
      <c r="AX121" s="471" t="s">
        <v>228</v>
      </c>
      <c r="AY121" s="527"/>
      <c r="AZ121" s="502" t="s">
        <v>4607</v>
      </c>
      <c r="BA121" s="674">
        <v>309735</v>
      </c>
      <c r="BB121" s="651">
        <v>40266</v>
      </c>
      <c r="BC121" s="649">
        <f t="shared" ref="BC121:BD125" ca="1" si="312">Y121-BA121</f>
        <v>100265</v>
      </c>
      <c r="BD121" s="672">
        <f t="shared" ca="1" si="312"/>
        <v>13034</v>
      </c>
      <c r="BE121" s="703" t="s">
        <v>201</v>
      </c>
    </row>
    <row r="122" spans="1:58" s="463" customFormat="1" ht="31.5" x14ac:dyDescent="0.25">
      <c r="A122" s="694" t="str">
        <f ca="1">Bérköltség!$B122</f>
        <v>FEOR</v>
      </c>
      <c r="B122" s="694" t="str">
        <f ca="1">IFERROR(
IF(AND(Bérköltség!$F122="",H122="NA"),"HIÁNYOS ADATOK",
IF(Bérköltség!$F122&lt;Bérköltség!$U122,Admin!$B$18,Admin!$B$17)),
"")</f>
        <v>FEOR</v>
      </c>
      <c r="C122" s="437" t="str">
        <f>IFERROR(INDEX('Historikus berek_2021-2'!$A$1:$F$903,MATCH(AB122,'Historikus berek_2021-2'!$A$1:$A$903,0),4),"")</f>
        <v/>
      </c>
      <c r="D122" s="438" t="str">
        <f t="shared" si="5"/>
        <v>NA</v>
      </c>
      <c r="E122" s="437">
        <f t="shared" si="6"/>
        <v>410000</v>
      </c>
      <c r="F122" s="439" t="str">
        <f t="shared" si="271"/>
        <v/>
      </c>
      <c r="G122" s="440" t="str">
        <f t="shared" si="272"/>
        <v/>
      </c>
      <c r="H122" s="441">
        <f>IFERROR(INDEX('FEOR kodok'!$A$2:$J$1126,MATCH(Bérköltség!AB122,'FEOR kodok'!$B$2:$B$1126,0),8),"NA")</f>
        <v>2117</v>
      </c>
      <c r="I122" s="436">
        <f ca="1">IFERROR(INDEX('FEOR kodok'!$A$2:$J$1126,MATCH(Bérköltség!AB122,'FEOR kodok'!$B$2:$B$1126,0),10),"NA")</f>
        <v>59</v>
      </c>
      <c r="J122" s="442" t="str">
        <f t="shared" ca="1" si="9"/>
        <v>50 év és afelett</v>
      </c>
      <c r="K122" s="436" t="str">
        <f>IFERROR(INDEX(admin_feor[#All],MATCH(Bérköltség!H122,admin_feor[[#All],[Foglalkozás]],0),2),"NA")</f>
        <v>Vegyészmérnök</v>
      </c>
      <c r="L122" s="438">
        <f ca="1">IFERROR(
INDEX('Admin - FEOR'!$A$4:$F$465,MATCH(Bérköltség!H122,'Admin - FEOR'!$A$4:$A$465,0),
IF(J122="30 év alatt",3,
IF(J122="30–39 éves",4,
IF(J122="40–49 éves",5,
IF(J122="50 év és afelett",6
)))))*1,"NA")</f>
        <v>826737</v>
      </c>
      <c r="M122" s="438">
        <f t="shared" si="10"/>
        <v>410000</v>
      </c>
      <c r="N122" s="443">
        <f t="shared" ca="1" si="11"/>
        <v>0.49592554826988511</v>
      </c>
      <c r="O122" s="438">
        <f ca="1">IFERROR(
INDEX('Admin - FEOR'!$A$4:$F$465,MATCH(Bérköltség!H122,'Admin - FEOR'!$A$4:$A$465,0),
IF(J122="30 év alatt",3,
IF(J122="30–39 éves",4,
IF(J122="40–49 éves",5,
IF(J122="50 év és afelett",6
)))))*1.5,"NA")</f>
        <v>1240105.5</v>
      </c>
      <c r="P122" s="438">
        <f t="shared" ca="1" si="12"/>
        <v>1240105.5</v>
      </c>
      <c r="Q122" s="438">
        <f t="shared" si="13"/>
        <v>410000</v>
      </c>
      <c r="R122" s="444">
        <f t="shared" si="14"/>
        <v>1</v>
      </c>
      <c r="S122" s="438">
        <f t="shared" ca="1" si="15"/>
        <v>0</v>
      </c>
      <c r="T122" s="438">
        <f t="shared" ca="1" si="16"/>
        <v>0</v>
      </c>
      <c r="U122" s="445">
        <f t="shared" ca="1" si="17"/>
        <v>0</v>
      </c>
      <c r="V122" s="446">
        <f t="shared" ca="1" si="18"/>
        <v>437300</v>
      </c>
      <c r="W122" s="447" t="str">
        <f t="shared" ca="1" si="19"/>
        <v>Nem szükséges indoklás.</v>
      </c>
      <c r="X122" s="571">
        <f t="shared" ca="1" si="20"/>
        <v>0</v>
      </c>
      <c r="Y122" s="554">
        <f t="shared" ca="1" si="21"/>
        <v>410000</v>
      </c>
      <c r="Z122" s="556">
        <f t="shared" ca="1" si="22"/>
        <v>27300</v>
      </c>
      <c r="AA122" s="573">
        <v>2</v>
      </c>
      <c r="AB122" s="477">
        <v>8354561240</v>
      </c>
      <c r="AC122" s="475" t="s">
        <v>200</v>
      </c>
      <c r="AD122" s="459" t="s">
        <v>45</v>
      </c>
      <c r="AE122" s="533" t="s">
        <v>24</v>
      </c>
      <c r="AF122" s="480" t="s">
        <v>125</v>
      </c>
      <c r="AG122" s="466" t="s">
        <v>191</v>
      </c>
      <c r="AH122" s="484" t="s">
        <v>131</v>
      </c>
      <c r="AI122" s="274">
        <v>44835</v>
      </c>
      <c r="AJ122" s="100" t="str">
        <f>IF(AI122&gt;0,
(IF(AI122&lt;Hónapok!$A$10,Admin!$A$28,
(IF(AI122&lt;Hónapok!$A$22,Admin!$B$28,
(IF(AI122&lt;Hónapok!$A$34,Admin!$C$28,
(IF(AI122&lt;Hónapok!$A$46,Admin!$D$28,"")))))))),"")</f>
        <v>2. mérföldkő</v>
      </c>
      <c r="AK122" s="469" t="s">
        <v>7</v>
      </c>
      <c r="AL122" s="466" t="s">
        <v>26</v>
      </c>
      <c r="AM122" s="900">
        <v>410000</v>
      </c>
      <c r="AN122" s="863">
        <v>27300</v>
      </c>
      <c r="AO122" s="466">
        <v>174</v>
      </c>
      <c r="AP122" s="467">
        <v>174</v>
      </c>
      <c r="AQ122" s="454">
        <f t="shared" ref="AQ122:AQ224" si="313">IFERROR(AP122/AO122,"")</f>
        <v>1</v>
      </c>
      <c r="AR122" s="455">
        <f t="shared" ref="AR122:AR224" si="314">IFERROR(ROUND(AM122*AP122/AO122,0),"")</f>
        <v>410000</v>
      </c>
      <c r="AS122" s="528">
        <f t="shared" ref="AS122:AS224" si="315">IFERROR(ROUND(AR122*AU122,0),"")</f>
        <v>27300</v>
      </c>
      <c r="AT122" s="102">
        <f t="shared" ref="AT122:AT224" si="316">IFERROR(AP122/AO122-AR122/AM122,"")</f>
        <v>0</v>
      </c>
      <c r="AU122" s="529">
        <f t="shared" ref="AU122:AU126" si="317">AN122/AM122</f>
        <v>6.658536585365854E-2</v>
      </c>
      <c r="AV122" s="565" t="str">
        <f>VLOOKUP(LEFT(AB122,10),Törzsszám!$A$1:$B$908,2,0)</f>
        <v>10002190</v>
      </c>
      <c r="AW122" s="615">
        <f t="shared" ca="1" si="311"/>
        <v>0</v>
      </c>
      <c r="AX122" s="468" t="s">
        <v>251</v>
      </c>
      <c r="AY122" s="541"/>
      <c r="AZ122" s="502" t="s">
        <v>4607</v>
      </c>
      <c r="BA122" s="674">
        <v>309735</v>
      </c>
      <c r="BB122" s="651">
        <v>20624</v>
      </c>
      <c r="BC122" s="649">
        <f t="shared" ca="1" si="312"/>
        <v>100265</v>
      </c>
      <c r="BD122" s="672">
        <f t="shared" ca="1" si="312"/>
        <v>6676</v>
      </c>
      <c r="BE122" s="703" t="s">
        <v>201</v>
      </c>
      <c r="BF122" s="481"/>
    </row>
    <row r="123" spans="1:58" s="457" customFormat="1" ht="31.5" x14ac:dyDescent="0.25">
      <c r="A123" s="694" t="str">
        <f ca="1">Bérköltség!$B123</f>
        <v>FEOR</v>
      </c>
      <c r="B123" s="694" t="str">
        <f ca="1">IFERROR(
IF(AND(Bérköltség!$F123="",H123="NA"),"HIÁNYOS ADATOK",
IF(Bérköltség!$F123&lt;Bérköltség!$U123,Admin!$B$18,Admin!$B$17)),
"")</f>
        <v>FEOR</v>
      </c>
      <c r="C123" s="437" t="str">
        <f>IFERROR(INDEX('Historikus berek_2021-2'!$A$1:$F$903,MATCH(AB123,'Historikus berek_2021-2'!$A$1:$A$903,0),4),"")</f>
        <v/>
      </c>
      <c r="D123" s="438" t="str">
        <f t="shared" si="5"/>
        <v>NA</v>
      </c>
      <c r="E123" s="437">
        <f t="shared" si="6"/>
        <v>410000</v>
      </c>
      <c r="F123" s="439" t="str">
        <f t="shared" si="271"/>
        <v/>
      </c>
      <c r="G123" s="440" t="str">
        <f t="shared" si="272"/>
        <v/>
      </c>
      <c r="H123" s="441">
        <f>IFERROR(INDEX('FEOR kodok'!$A$2:$J$1126,MATCH(Bérköltség!AB123,'FEOR kodok'!$B$2:$B$1126,0),8),"NA")</f>
        <v>2117</v>
      </c>
      <c r="I123" s="436">
        <f ca="1">IFERROR(INDEX('FEOR kodok'!$A$2:$J$1126,MATCH(Bérköltség!AB123,'FEOR kodok'!$B$2:$B$1126,0),10),"NA")</f>
        <v>59</v>
      </c>
      <c r="J123" s="442" t="str">
        <f t="shared" ca="1" si="9"/>
        <v>50 év és afelett</v>
      </c>
      <c r="K123" s="436" t="str">
        <f>IFERROR(INDEX(admin_feor[#All],MATCH(Bérköltség!H123,admin_feor[[#All],[Foglalkozás]],0),2),"NA")</f>
        <v>Vegyészmérnök</v>
      </c>
      <c r="L123" s="438">
        <f ca="1">IFERROR(
INDEX('Admin - FEOR'!$A$4:$F$465,MATCH(Bérköltség!H123,'Admin - FEOR'!$A$4:$A$465,0),
IF(J123="30 év alatt",3,
IF(J123="30–39 éves",4,
IF(J123="40–49 éves",5,
IF(J123="50 év és afelett",6
)))))*1,"NA")</f>
        <v>826737</v>
      </c>
      <c r="M123" s="438">
        <f t="shared" si="10"/>
        <v>410000</v>
      </c>
      <c r="N123" s="443">
        <f t="shared" ca="1" si="11"/>
        <v>0.49592554826988511</v>
      </c>
      <c r="O123" s="438">
        <f ca="1">IFERROR(
INDEX('Admin - FEOR'!$A$4:$F$465,MATCH(Bérköltség!H123,'Admin - FEOR'!$A$4:$A$465,0),
IF(J123="30 év alatt",3,
IF(J123="30–39 éves",4,
IF(J123="40–49 éves",5,
IF(J123="50 év és afelett",6
)))))*1.5,"NA")</f>
        <v>1240105.5</v>
      </c>
      <c r="P123" s="438">
        <f t="shared" ca="1" si="12"/>
        <v>1240105.5</v>
      </c>
      <c r="Q123" s="438">
        <f t="shared" si="13"/>
        <v>410000</v>
      </c>
      <c r="R123" s="444">
        <f t="shared" si="14"/>
        <v>1</v>
      </c>
      <c r="S123" s="438">
        <f t="shared" ca="1" si="15"/>
        <v>0</v>
      </c>
      <c r="T123" s="438">
        <f t="shared" ca="1" si="16"/>
        <v>0</v>
      </c>
      <c r="U123" s="445">
        <f t="shared" ca="1" si="17"/>
        <v>0</v>
      </c>
      <c r="V123" s="446">
        <f t="shared" ca="1" si="18"/>
        <v>437300</v>
      </c>
      <c r="W123" s="447" t="str">
        <f t="shared" ca="1" si="19"/>
        <v>Nem szükséges indoklás.</v>
      </c>
      <c r="X123" s="571">
        <f t="shared" ca="1" si="20"/>
        <v>0</v>
      </c>
      <c r="Y123" s="554">
        <f t="shared" ca="1" si="21"/>
        <v>410000</v>
      </c>
      <c r="Z123" s="556">
        <f t="shared" ca="1" si="22"/>
        <v>27300</v>
      </c>
      <c r="AA123" s="573">
        <v>2</v>
      </c>
      <c r="AB123" s="477">
        <v>8354561240</v>
      </c>
      <c r="AC123" s="475" t="s">
        <v>200</v>
      </c>
      <c r="AD123" s="472" t="s">
        <v>45</v>
      </c>
      <c r="AE123" s="450" t="s">
        <v>24</v>
      </c>
      <c r="AF123" s="480" t="s">
        <v>125</v>
      </c>
      <c r="AG123" s="548" t="s">
        <v>191</v>
      </c>
      <c r="AH123" s="484" t="s">
        <v>131</v>
      </c>
      <c r="AI123" s="274">
        <v>44866</v>
      </c>
      <c r="AJ123" s="100" t="str">
        <f>IF(AI123&gt;0,
(IF(AI123&lt;Hónapok!$A$10,Admin!$A$28,
(IF(AI123&lt;Hónapok!$A$22,Admin!$B$28,
(IF(AI123&lt;Hónapok!$A$34,Admin!$C$28,
(IF(AI123&lt;Hónapok!$A$46,Admin!$D$28,"")))))))),"")</f>
        <v>2. mérföldkő</v>
      </c>
      <c r="AK123" s="470" t="s">
        <v>7</v>
      </c>
      <c r="AL123" s="547" t="s">
        <v>26</v>
      </c>
      <c r="AM123" s="905">
        <v>410000</v>
      </c>
      <c r="AN123" s="863">
        <v>27300</v>
      </c>
      <c r="AO123" s="547">
        <v>174</v>
      </c>
      <c r="AP123" s="549">
        <v>174</v>
      </c>
      <c r="AQ123" s="454">
        <f t="shared" si="313"/>
        <v>1</v>
      </c>
      <c r="AR123" s="455">
        <f t="shared" si="314"/>
        <v>410000</v>
      </c>
      <c r="AS123" s="528">
        <f t="shared" si="315"/>
        <v>27300</v>
      </c>
      <c r="AT123" s="102">
        <f t="shared" si="316"/>
        <v>0</v>
      </c>
      <c r="AU123" s="529">
        <f t="shared" si="317"/>
        <v>6.658536585365854E-2</v>
      </c>
      <c r="AV123" s="565" t="str">
        <f>VLOOKUP(LEFT(AB123,10),Törzsszám!$A$1:$B$908,2,0)</f>
        <v>10002190</v>
      </c>
      <c r="AW123" s="615">
        <f t="shared" ca="1" si="311"/>
        <v>0</v>
      </c>
      <c r="AX123" s="473" t="s">
        <v>260</v>
      </c>
      <c r="AY123" s="503"/>
      <c r="AZ123" s="502" t="s">
        <v>4607</v>
      </c>
      <c r="BA123" s="674">
        <v>309735</v>
      </c>
      <c r="BB123" s="651">
        <v>20624</v>
      </c>
      <c r="BC123" s="649">
        <f t="shared" ca="1" si="312"/>
        <v>100265</v>
      </c>
      <c r="BD123" s="672">
        <f t="shared" ca="1" si="312"/>
        <v>6676</v>
      </c>
      <c r="BE123" s="703" t="s">
        <v>201</v>
      </c>
    </row>
    <row r="124" spans="1:58" s="457" customFormat="1" ht="31.5" x14ac:dyDescent="0.25">
      <c r="A124" s="694" t="str">
        <f ca="1">Bérköltség!$B124</f>
        <v>FEOR</v>
      </c>
      <c r="B124" s="694" t="str">
        <f ca="1">IFERROR(
IF(AND(Bérköltség!$F124="",H124="NA"),"HIÁNYOS ADATOK",
IF(Bérköltség!$F124&lt;Bérköltség!$U124,Admin!$B$18,Admin!$B$17)),
"")</f>
        <v>FEOR</v>
      </c>
      <c r="C124" s="437" t="str">
        <f>IFERROR(INDEX('Historikus berek_2021-2'!$A$1:$F$903,MATCH(AB124,'Historikus berek_2021-2'!$A$1:$A$903,0),4),"")</f>
        <v/>
      </c>
      <c r="D124" s="438" t="str">
        <f t="shared" si="5"/>
        <v>NA</v>
      </c>
      <c r="E124" s="437">
        <f t="shared" si="6"/>
        <v>410000</v>
      </c>
      <c r="F124" s="439" t="str">
        <f t="shared" si="271"/>
        <v/>
      </c>
      <c r="G124" s="440" t="str">
        <f t="shared" si="272"/>
        <v/>
      </c>
      <c r="H124" s="441">
        <f>IFERROR(INDEX('FEOR kodok'!$A$2:$J$1126,MATCH(Bérköltség!AB124,'FEOR kodok'!$B$2:$B$1126,0),8),"NA")</f>
        <v>2117</v>
      </c>
      <c r="I124" s="436">
        <f ca="1">IFERROR(INDEX('FEOR kodok'!$A$2:$J$1126,MATCH(Bérköltség!AB124,'FEOR kodok'!$B$2:$B$1126,0),10),"NA")</f>
        <v>59</v>
      </c>
      <c r="J124" s="442" t="str">
        <f t="shared" ca="1" si="9"/>
        <v>50 év és afelett</v>
      </c>
      <c r="K124" s="436" t="str">
        <f>IFERROR(INDEX(admin_feor[#All],MATCH(Bérköltség!H124,admin_feor[[#All],[Foglalkozás]],0),2),"NA")</f>
        <v>Vegyészmérnök</v>
      </c>
      <c r="L124" s="438">
        <f ca="1">IFERROR(
INDEX('Admin - FEOR'!$A$4:$F$465,MATCH(Bérköltség!H124,'Admin - FEOR'!$A$4:$A$465,0),
IF(J124="30 év alatt",3,
IF(J124="30–39 éves",4,
IF(J124="40–49 éves",5,
IF(J124="50 év és afelett",6
)))))*1,"NA")</f>
        <v>826737</v>
      </c>
      <c r="M124" s="438">
        <f t="shared" si="10"/>
        <v>410000</v>
      </c>
      <c r="N124" s="443">
        <f t="shared" ca="1" si="11"/>
        <v>0.49592554826988511</v>
      </c>
      <c r="O124" s="438">
        <f ca="1">IFERROR(
INDEX('Admin - FEOR'!$A$4:$F$465,MATCH(Bérköltség!H124,'Admin - FEOR'!$A$4:$A$465,0),
IF(J124="30 év alatt",3,
IF(J124="30–39 éves",4,
IF(J124="40–49 éves",5,
IF(J124="50 év és afelett",6
)))))*1.5,"NA")</f>
        <v>1240105.5</v>
      </c>
      <c r="P124" s="438">
        <f t="shared" ca="1" si="12"/>
        <v>1240105.5</v>
      </c>
      <c r="Q124" s="438">
        <f t="shared" si="13"/>
        <v>410000</v>
      </c>
      <c r="R124" s="444">
        <f t="shared" si="14"/>
        <v>1</v>
      </c>
      <c r="S124" s="438">
        <f t="shared" ca="1" si="15"/>
        <v>0</v>
      </c>
      <c r="T124" s="438">
        <f t="shared" ca="1" si="16"/>
        <v>0</v>
      </c>
      <c r="U124" s="445">
        <f t="shared" ca="1" si="17"/>
        <v>0</v>
      </c>
      <c r="V124" s="446">
        <f t="shared" ca="1" si="18"/>
        <v>437426</v>
      </c>
      <c r="W124" s="447" t="str">
        <f t="shared" ca="1" si="19"/>
        <v>Nem szükséges indoklás.</v>
      </c>
      <c r="X124" s="571">
        <f t="shared" ca="1" si="20"/>
        <v>0</v>
      </c>
      <c r="Y124" s="554">
        <f t="shared" ref="Y124:Y230" ca="1" si="318">IF(A124="FEOR",ROUND(V124/(1+AU124),0),IF(A124="HIÁNYOS ADATOK","HIÁNYOS ADATOK",ROUND(G124/(1+AU124),0)))</f>
        <v>410000</v>
      </c>
      <c r="Z124" s="556">
        <f t="shared" ref="Z124:Z230" ca="1" si="319">IF(A124="FEOR",ROUND(V124-Y124,0),IF(A124="HIÁNYOS ADATOK","HIÁNYOS ADATOK",ROUND(G124-Y124,0)))</f>
        <v>27426</v>
      </c>
      <c r="AA124" s="573">
        <v>2</v>
      </c>
      <c r="AB124" s="477">
        <v>8354561240</v>
      </c>
      <c r="AC124" s="449" t="s">
        <v>200</v>
      </c>
      <c r="AD124" s="472" t="s">
        <v>45</v>
      </c>
      <c r="AE124" s="450" t="s">
        <v>24</v>
      </c>
      <c r="AF124" s="466" t="s">
        <v>125</v>
      </c>
      <c r="AG124" s="466" t="s">
        <v>191</v>
      </c>
      <c r="AH124" s="451" t="s">
        <v>131</v>
      </c>
      <c r="AI124" s="154">
        <v>44896</v>
      </c>
      <c r="AJ124" s="100" t="str">
        <f>IF(AI124&gt;0,
(IF(AI124&lt;Hónapok!$A$10,Admin!$A$28,
(IF(AI124&lt;Hónapok!$A$22,Admin!$B$28,
(IF(AI124&lt;Hónapok!$A$34,Admin!$C$28,
(IF(AI124&lt;Hónapok!$A$46,Admin!$D$28,"")))))))),"")</f>
        <v>2. mérföldkő</v>
      </c>
      <c r="AK124" s="469" t="s">
        <v>7</v>
      </c>
      <c r="AL124" s="466" t="s">
        <v>26</v>
      </c>
      <c r="AM124" s="907">
        <v>410000</v>
      </c>
      <c r="AN124" s="863">
        <v>27426</v>
      </c>
      <c r="AO124" s="466">
        <v>174</v>
      </c>
      <c r="AP124" s="467">
        <v>174</v>
      </c>
      <c r="AQ124" s="454">
        <f t="shared" si="313"/>
        <v>1</v>
      </c>
      <c r="AR124" s="455">
        <f t="shared" si="314"/>
        <v>410000</v>
      </c>
      <c r="AS124" s="528">
        <f t="shared" si="315"/>
        <v>27426</v>
      </c>
      <c r="AT124" s="102">
        <f t="shared" si="316"/>
        <v>0</v>
      </c>
      <c r="AU124" s="529">
        <f t="shared" si="317"/>
        <v>6.6892682926829275E-2</v>
      </c>
      <c r="AV124" s="565" t="str">
        <f>VLOOKUP(LEFT(AB124,10),Törzsszám!$A$1:$B$908,2,0)</f>
        <v>10002190</v>
      </c>
      <c r="AW124" s="615">
        <f t="shared" ca="1" si="311"/>
        <v>0</v>
      </c>
      <c r="AX124" s="468" t="s">
        <v>262</v>
      </c>
      <c r="AY124" s="665"/>
      <c r="AZ124" s="502" t="s">
        <v>4607</v>
      </c>
      <c r="BA124" s="674">
        <v>309735</v>
      </c>
      <c r="BB124" s="651">
        <v>20719</v>
      </c>
      <c r="BC124" s="649">
        <f t="shared" ca="1" si="312"/>
        <v>100265</v>
      </c>
      <c r="BD124" s="672">
        <f t="shared" ca="1" si="312"/>
        <v>6707</v>
      </c>
      <c r="BE124" s="703" t="s">
        <v>201</v>
      </c>
    </row>
    <row r="125" spans="1:58" s="457" customFormat="1" ht="31.5" x14ac:dyDescent="0.25">
      <c r="A125" s="694" t="str">
        <f ca="1">Bérköltség!$B125</f>
        <v>FEOR</v>
      </c>
      <c r="B125" s="694" t="str">
        <f ca="1">IFERROR(
IF(AND(Bérköltség!$F125="",H125="NA"),"HIÁNYOS ADATOK",
IF(Bérköltség!$F125&lt;Bérköltség!$U125,Admin!$B$18,Admin!$B$17)),
"")</f>
        <v>FEOR</v>
      </c>
      <c r="C125" s="437" t="str">
        <f>IFERROR(INDEX('Historikus berek_2021-2'!$A$1:$F$903,MATCH(AB125,'Historikus berek_2021-2'!$A$1:$A$903,0),4),"")</f>
        <v/>
      </c>
      <c r="D125" s="438" t="str">
        <f t="shared" ref="D125:D230" si="320">IFERROR(C125*AQ125,"NA")</f>
        <v>NA</v>
      </c>
      <c r="E125" s="437">
        <f t="shared" ref="E125:E230" si="321">AR125</f>
        <v>410000</v>
      </c>
      <c r="F125" s="439" t="str">
        <f t="shared" si="271"/>
        <v/>
      </c>
      <c r="G125" s="440" t="str">
        <f t="shared" si="272"/>
        <v/>
      </c>
      <c r="H125" s="441">
        <f>IFERROR(INDEX('FEOR kodok'!$A$2:$J$1126,MATCH(Bérköltség!AB125,'FEOR kodok'!$B$2:$B$1126,0),8),"NA")</f>
        <v>2117</v>
      </c>
      <c r="I125" s="436">
        <f ca="1">IFERROR(INDEX('FEOR kodok'!$A$2:$J$1126,MATCH(Bérköltség!AB125,'FEOR kodok'!$B$2:$B$1126,0),10),"NA")</f>
        <v>59</v>
      </c>
      <c r="J125" s="442" t="str">
        <f t="shared" ref="J125:J230" ca="1" si="322">IF(I125="NA","NA",
IF(I125&lt;30,"30 év alatt",
IF(AND(I125&gt;=30,I125&lt;=39),"30–39 éves",
IF(AND(I125&gt;=40,I125&lt;=49),"40–49 éves",
IF(I125&gt;=50,"50 év és afelett",
"")))))</f>
        <v>50 év és afelett</v>
      </c>
      <c r="K125" s="436" t="str">
        <f>IFERROR(INDEX(admin_feor[#All],MATCH(Bérköltség!H125,admin_feor[[#All],[Foglalkozás]],0),2),"NA")</f>
        <v>Vegyészmérnök</v>
      </c>
      <c r="L125" s="438">
        <f ca="1">IFERROR(
INDEX('Admin - FEOR'!$A$4:$F$465,MATCH(Bérköltség!H125,'Admin - FEOR'!$A$4:$A$465,0),
IF(J125="30 év alatt",3,
IF(J125="30–39 éves",4,
IF(J125="40–49 éves",5,
IF(J125="50 év és afelett",6
)))))*1,"NA")</f>
        <v>826737</v>
      </c>
      <c r="M125" s="438">
        <f t="shared" ref="M125:M230" si="323">AM125</f>
        <v>410000</v>
      </c>
      <c r="N125" s="443">
        <f t="shared" ref="N125:N230" ca="1" si="324">IFERROR(
M125/L125,"NA")</f>
        <v>0.49592554826988511</v>
      </c>
      <c r="O125" s="438">
        <f ca="1">IFERROR(
INDEX('Admin - FEOR'!$A$4:$F$465,MATCH(Bérköltség!H125,'Admin - FEOR'!$A$4:$A$465,0),
IF(J125="30 év alatt",3,
IF(J125="30–39 éves",4,
IF(J125="40–49 éves",5,
IF(J125="50 év és afelett",6
)))))*1.5,"NA")</f>
        <v>1240105.5</v>
      </c>
      <c r="P125" s="438">
        <f t="shared" ref="P125:P230" ca="1" si="325">IFERROR(
AQ125*O125,"NA")</f>
        <v>1240105.5</v>
      </c>
      <c r="Q125" s="438">
        <f t="shared" ref="Q125:Q230" si="326">IFERROR(AR125,"")</f>
        <v>410000</v>
      </c>
      <c r="R125" s="444">
        <f t="shared" ref="R125:R230" si="327">IFERROR(AQ125,"")</f>
        <v>1</v>
      </c>
      <c r="S125" s="438">
        <f t="shared" ref="S125:S230" ca="1" si="328">IFERROR(
IF(AR125-P125&lt;0,0,AR125-P125),"NA")</f>
        <v>0</v>
      </c>
      <c r="T125" s="438">
        <f t="shared" ref="T125:T230" ca="1" si="329">IFERROR(
S125*AU125,"NA")</f>
        <v>0</v>
      </c>
      <c r="U125" s="445">
        <f t="shared" ref="U125:U230" ca="1" si="330">IFERROR(
S125+T125,"NA")</f>
        <v>0</v>
      </c>
      <c r="V125" s="446">
        <f t="shared" ref="V125:V230" ca="1" si="331">IFERROR(
IF(U125&gt;0,AR125+AS125-U125,AR125+AS125),"NA")</f>
        <v>433140</v>
      </c>
      <c r="W125" s="447" t="str">
        <f t="shared" ref="W125:W230" ca="1" si="332">IF(P125="NA","FEOR hiányzik",
IF(AND(N125&gt;1,A125="FEOR"),CONCATENATE("Indoklás szükséges mivel a FEOR: ",ROUND(N125*100,1),"%"),"Nem szükséges indoklás.")
)</f>
        <v>Nem szükséges indoklás.</v>
      </c>
      <c r="X125" s="571">
        <f t="shared" ref="X125:X230" ca="1" si="333">IF(A125="FEOR",U125,IF(A125="HIÁNYOS ADATOK","HIÁNYOS ADATOK",F125))</f>
        <v>0</v>
      </c>
      <c r="Y125" s="554">
        <f t="shared" ca="1" si="318"/>
        <v>410000</v>
      </c>
      <c r="Z125" s="556">
        <f t="shared" ca="1" si="319"/>
        <v>23140</v>
      </c>
      <c r="AA125" s="573">
        <v>2</v>
      </c>
      <c r="AB125" s="477">
        <v>8354561240</v>
      </c>
      <c r="AC125" s="449" t="s">
        <v>200</v>
      </c>
      <c r="AD125" s="472" t="s">
        <v>45</v>
      </c>
      <c r="AE125" s="450" t="s">
        <v>24</v>
      </c>
      <c r="AF125" s="480" t="s">
        <v>125</v>
      </c>
      <c r="AG125" s="466" t="s">
        <v>191</v>
      </c>
      <c r="AH125" s="451" t="s">
        <v>131</v>
      </c>
      <c r="AI125" s="154">
        <v>44927</v>
      </c>
      <c r="AJ125" s="100" t="str">
        <f>IF(AI125&gt;0,
(IF(AI125&lt;Hónapok!$A$10,Admin!$A$28,
(IF(AI125&lt;Hónapok!$A$22,Admin!$B$28,
(IF(AI125&lt;Hónapok!$A$34,Admin!$C$28,
(IF(AI125&lt;Hónapok!$A$46,Admin!$D$28,"")))))))),"")</f>
        <v>2. mérföldkő</v>
      </c>
      <c r="AK125" s="469" t="s">
        <v>7</v>
      </c>
      <c r="AL125" s="466" t="s">
        <v>26</v>
      </c>
      <c r="AM125" s="907">
        <v>410000</v>
      </c>
      <c r="AN125" s="863">
        <v>23140</v>
      </c>
      <c r="AO125" s="466">
        <v>174</v>
      </c>
      <c r="AP125" s="467">
        <v>174</v>
      </c>
      <c r="AQ125" s="454">
        <f t="shared" si="313"/>
        <v>1</v>
      </c>
      <c r="AR125" s="455">
        <f t="shared" si="314"/>
        <v>410000</v>
      </c>
      <c r="AS125" s="528">
        <f t="shared" si="315"/>
        <v>23140</v>
      </c>
      <c r="AT125" s="102">
        <f t="shared" si="316"/>
        <v>0</v>
      </c>
      <c r="AU125" s="529">
        <f t="shared" si="317"/>
        <v>5.6439024390243904E-2</v>
      </c>
      <c r="AV125" s="565" t="str">
        <f>VLOOKUP(LEFT(AB125,10),Törzsszám!$A$1:$B$908,2,0)</f>
        <v>10002190</v>
      </c>
      <c r="AW125" s="615">
        <f t="shared" ca="1" si="311"/>
        <v>0</v>
      </c>
      <c r="AX125" s="468" t="s">
        <v>2518</v>
      </c>
      <c r="AY125" s="527"/>
      <c r="AZ125" s="502" t="s">
        <v>4607</v>
      </c>
      <c r="BA125" s="674">
        <v>309735</v>
      </c>
      <c r="BB125" s="651">
        <v>17481</v>
      </c>
      <c r="BC125" s="649">
        <f t="shared" ca="1" si="312"/>
        <v>100265</v>
      </c>
      <c r="BD125" s="672">
        <f t="shared" ca="1" si="312"/>
        <v>5659</v>
      </c>
      <c r="BE125" s="703" t="s">
        <v>201</v>
      </c>
    </row>
    <row r="126" spans="1:58" s="457" customFormat="1" ht="31.5" x14ac:dyDescent="0.25">
      <c r="A126" s="694" t="str">
        <f ca="1">Bérköltség!$B126</f>
        <v>FEOR</v>
      </c>
      <c r="B126" s="694" t="str">
        <f ca="1">IFERROR(
IF(AND(Bérköltség!$F126="",H126="NA"),"HIÁNYOS ADATOK",
IF(Bérköltség!$F126&lt;Bérköltség!$U126,Admin!$B$18,Admin!$B$17)),
"")</f>
        <v>FEOR</v>
      </c>
      <c r="C126" s="437" t="str">
        <f>IFERROR(INDEX('Historikus berek_2021-2'!$A$1:$F$903,MATCH(AB126,'Historikus berek_2021-2'!$A$1:$A$903,0),4),"")</f>
        <v/>
      </c>
      <c r="D126" s="438" t="str">
        <f t="shared" si="320"/>
        <v>NA</v>
      </c>
      <c r="E126" s="437">
        <f t="shared" si="321"/>
        <v>410000</v>
      </c>
      <c r="F126" s="439" t="str">
        <f t="shared" ref="F126:F230" si="334">IFERROR(IF((E126*(1+AU126)-D126*(1+AU126))&lt;0,0,(E126*(1+AU126)-D126*(1+AU126))),"")</f>
        <v/>
      </c>
      <c r="G126" s="440" t="str">
        <f t="shared" ref="G126:G230" si="335">IFERROR((E126*(1+AU126)-F126),"")</f>
        <v/>
      </c>
      <c r="H126" s="441">
        <f>IFERROR(INDEX('FEOR kodok'!$A$2:$J$1126,MATCH(Bérköltség!AB126,'FEOR kodok'!$B$2:$B$1126,0),8),"NA")</f>
        <v>2117</v>
      </c>
      <c r="I126" s="436">
        <f ca="1">IFERROR(INDEX('FEOR kodok'!$A$2:$J$1126,MATCH(Bérköltség!AB126,'FEOR kodok'!$B$2:$B$1126,0),10),"NA")</f>
        <v>59</v>
      </c>
      <c r="J126" s="442" t="str">
        <f t="shared" ca="1" si="322"/>
        <v>50 év és afelett</v>
      </c>
      <c r="K126" s="436" t="str">
        <f>IFERROR(INDEX(admin_feor[#All],MATCH(Bérköltség!H126,admin_feor[[#All],[Foglalkozás]],0),2),"NA")</f>
        <v>Vegyészmérnök</v>
      </c>
      <c r="L126" s="438">
        <f ca="1">IFERROR(
INDEX('Admin - FEOR'!$A$4:$F$465,MATCH(Bérköltség!H126,'Admin - FEOR'!$A$4:$A$465,0),
IF(J126="30 év alatt",3,
IF(J126="30–39 éves",4,
IF(J126="40–49 éves",5,
IF(J126="50 év és afelett",6
)))))*1,"NA")</f>
        <v>826737</v>
      </c>
      <c r="M126" s="438">
        <f t="shared" si="323"/>
        <v>410000</v>
      </c>
      <c r="N126" s="443">
        <f t="shared" ca="1" si="324"/>
        <v>0.49592554826988511</v>
      </c>
      <c r="O126" s="438">
        <f ca="1">IFERROR(
INDEX('Admin - FEOR'!$A$4:$F$465,MATCH(Bérköltség!H126,'Admin - FEOR'!$A$4:$A$465,0),
IF(J126="30 év alatt",3,
IF(J126="30–39 éves",4,
IF(J126="40–49 éves",5,
IF(J126="50 év és afelett",6
)))))*1.5,"NA")</f>
        <v>1240105.5</v>
      </c>
      <c r="P126" s="438">
        <f t="shared" ca="1" si="325"/>
        <v>1240105.5</v>
      </c>
      <c r="Q126" s="438">
        <f t="shared" si="326"/>
        <v>410000</v>
      </c>
      <c r="R126" s="444">
        <f t="shared" si="327"/>
        <v>1</v>
      </c>
      <c r="S126" s="438">
        <f t="shared" ca="1" si="328"/>
        <v>0</v>
      </c>
      <c r="T126" s="438">
        <f t="shared" ca="1" si="329"/>
        <v>0</v>
      </c>
      <c r="U126" s="445">
        <f t="shared" ca="1" si="330"/>
        <v>0</v>
      </c>
      <c r="V126" s="446">
        <f t="shared" ca="1" si="331"/>
        <v>433140</v>
      </c>
      <c r="W126" s="447" t="str">
        <f t="shared" ca="1" si="332"/>
        <v>Nem szükséges indoklás.</v>
      </c>
      <c r="X126" s="571">
        <f t="shared" ca="1" si="333"/>
        <v>0</v>
      </c>
      <c r="Y126" s="554">
        <f t="shared" ca="1" si="318"/>
        <v>410000</v>
      </c>
      <c r="Z126" s="556">
        <f t="shared" ca="1" si="319"/>
        <v>23140</v>
      </c>
      <c r="AA126" s="464"/>
      <c r="AB126" s="477">
        <v>8354561240</v>
      </c>
      <c r="AC126" s="449" t="s">
        <v>200</v>
      </c>
      <c r="AD126" s="472" t="s">
        <v>45</v>
      </c>
      <c r="AE126" s="450" t="s">
        <v>24</v>
      </c>
      <c r="AF126" s="466" t="s">
        <v>125</v>
      </c>
      <c r="AG126" s="466" t="s">
        <v>191</v>
      </c>
      <c r="AH126" s="451" t="s">
        <v>131</v>
      </c>
      <c r="AI126" s="154">
        <v>44958</v>
      </c>
      <c r="AJ126" s="100" t="str">
        <f>IF(AI126&gt;0,
(IF(AI126&lt;Hónapok!$A$10,Admin!$A$28,
(IF(AI126&lt;Hónapok!$A$22,Admin!$B$28,
(IF(AI126&lt;Hónapok!$A$34,Admin!$C$28,
(IF(AI126&lt;Hónapok!$A$46,Admin!$D$28,"")))))))),"")</f>
        <v>2. mérföldkő</v>
      </c>
      <c r="AK126" s="469" t="s">
        <v>7</v>
      </c>
      <c r="AL126" s="466" t="s">
        <v>26</v>
      </c>
      <c r="AM126" s="907">
        <v>410000</v>
      </c>
      <c r="AN126" s="863">
        <v>23140</v>
      </c>
      <c r="AO126" s="466">
        <v>174</v>
      </c>
      <c r="AP126" s="467">
        <v>174</v>
      </c>
      <c r="AQ126" s="454">
        <f t="shared" si="313"/>
        <v>1</v>
      </c>
      <c r="AR126" s="455">
        <f t="shared" si="314"/>
        <v>410000</v>
      </c>
      <c r="AS126" s="528">
        <f>IFERROR(ROUND(AR126*AU126,0),"")</f>
        <v>23140</v>
      </c>
      <c r="AT126" s="102">
        <f t="shared" si="316"/>
        <v>0</v>
      </c>
      <c r="AU126" s="529">
        <f t="shared" si="317"/>
        <v>5.6439024390243904E-2</v>
      </c>
      <c r="AV126" s="565" t="str">
        <f>VLOOKUP(LEFT(AB126,10),Törzsszám!$A$1:$B$908,2,0)</f>
        <v>10002190</v>
      </c>
      <c r="AW126" s="615">
        <f t="shared" ca="1" si="311"/>
        <v>0</v>
      </c>
      <c r="AX126" s="537" t="s">
        <v>4557</v>
      </c>
      <c r="AY126" s="527"/>
      <c r="AZ126" s="665"/>
      <c r="BA126" s="674"/>
      <c r="BB126" s="651"/>
      <c r="BC126" s="649"/>
      <c r="BD126" s="672"/>
      <c r="BE126" s="703" t="s">
        <v>201</v>
      </c>
    </row>
    <row r="127" spans="1:58" s="457" customFormat="1" ht="31.5" x14ac:dyDescent="0.25">
      <c r="A127" s="694" t="str">
        <f ca="1">Bérköltség!$B127</f>
        <v>FEOR</v>
      </c>
      <c r="B127" s="694" t="str">
        <f ca="1">IFERROR(
IF(AND(Bérköltség!$F127="",H127="NA"),"HIÁNYOS ADATOK",
IF(Bérköltség!$F127&lt;Bérköltség!$U127,Admin!$B$18,Admin!$B$17)),
"")</f>
        <v>FEOR</v>
      </c>
      <c r="C127" s="437" t="str">
        <f>IFERROR(INDEX('Historikus berek_2021-2'!$A$1:$F$903,MATCH(AB127,'Historikus berek_2021-2'!$A$1:$A$903,0),4),"")</f>
        <v/>
      </c>
      <c r="D127" s="438" t="str">
        <f t="shared" si="320"/>
        <v>NA</v>
      </c>
      <c r="E127" s="437">
        <f t="shared" si="321"/>
        <v>354091</v>
      </c>
      <c r="F127" s="439" t="str">
        <f t="shared" si="334"/>
        <v/>
      </c>
      <c r="G127" s="440" t="str">
        <f t="shared" si="335"/>
        <v/>
      </c>
      <c r="H127" s="441">
        <f>IFERROR(INDEX('FEOR kodok'!$A$2:$J$1126,MATCH(Bérköltség!AB127,'FEOR kodok'!$B$2:$B$1126,0),8),"NA")</f>
        <v>2117</v>
      </c>
      <c r="I127" s="436">
        <f ca="1">IFERROR(INDEX('FEOR kodok'!$A$2:$J$1126,MATCH(Bérköltség!AB127,'FEOR kodok'!$B$2:$B$1126,0),10),"NA")</f>
        <v>59</v>
      </c>
      <c r="J127" s="442" t="str">
        <f t="shared" ca="1" si="322"/>
        <v>50 év és afelett</v>
      </c>
      <c r="K127" s="436" t="str">
        <f>IFERROR(INDEX(admin_feor[#All],MATCH(Bérköltség!H127,admin_feor[[#All],[Foglalkozás]],0),2),"NA")</f>
        <v>Vegyészmérnök</v>
      </c>
      <c r="L127" s="438">
        <f ca="1">IFERROR(
INDEX('Admin - FEOR'!$A$4:$F$465,MATCH(Bérköltség!H127,'Admin - FEOR'!$A$4:$A$465,0),
IF(J127="30 év alatt",3,
IF(J127="30–39 éves",4,
IF(J127="40–49 éves",5,
IF(J127="50 év és afelett",6
)))))*1,"NA")</f>
        <v>826737</v>
      </c>
      <c r="M127" s="438">
        <f t="shared" si="323"/>
        <v>354091</v>
      </c>
      <c r="N127" s="443">
        <f t="shared" ca="1" si="324"/>
        <v>0.42829944710349238</v>
      </c>
      <c r="O127" s="438">
        <f ca="1">IFERROR(
INDEX('Admin - FEOR'!$A$4:$F$465,MATCH(Bérköltség!H127,'Admin - FEOR'!$A$4:$A$465,0),
IF(J127="30 év alatt",3,
IF(J127="30–39 éves",4,
IF(J127="40–49 éves",5,
IF(J127="50 év és afelett",6
)))))*1.5,"NA")</f>
        <v>1240105.5</v>
      </c>
      <c r="P127" s="438">
        <f t="shared" ca="1" si="325"/>
        <v>1240105.5</v>
      </c>
      <c r="Q127" s="438">
        <f t="shared" si="326"/>
        <v>354091</v>
      </c>
      <c r="R127" s="444">
        <f t="shared" si="327"/>
        <v>1</v>
      </c>
      <c r="S127" s="438">
        <f t="shared" ca="1" si="328"/>
        <v>0</v>
      </c>
      <c r="T127" s="438">
        <f t="shared" ca="1" si="329"/>
        <v>0</v>
      </c>
      <c r="U127" s="445">
        <f t="shared" ca="1" si="330"/>
        <v>0</v>
      </c>
      <c r="V127" s="446">
        <f t="shared" ca="1" si="331"/>
        <v>384576</v>
      </c>
      <c r="W127" s="447" t="str">
        <f t="shared" ca="1" si="332"/>
        <v>Nem szükséges indoklás.</v>
      </c>
      <c r="X127" s="571">
        <f t="shared" ca="1" si="333"/>
        <v>0</v>
      </c>
      <c r="Y127" s="554">
        <f t="shared" ca="1" si="318"/>
        <v>354091</v>
      </c>
      <c r="Z127" s="556">
        <f t="shared" ca="1" si="319"/>
        <v>30485</v>
      </c>
      <c r="AA127" s="464"/>
      <c r="AB127" s="477">
        <v>8354561240</v>
      </c>
      <c r="AC127" s="449" t="s">
        <v>200</v>
      </c>
      <c r="AD127" s="482" t="s">
        <v>45</v>
      </c>
      <c r="AE127" s="450" t="s">
        <v>24</v>
      </c>
      <c r="AF127" s="480" t="s">
        <v>125</v>
      </c>
      <c r="AG127" s="466" t="s">
        <v>191</v>
      </c>
      <c r="AH127" s="451" t="s">
        <v>131</v>
      </c>
      <c r="AI127" s="154">
        <v>44986</v>
      </c>
      <c r="AJ127" s="100" t="str">
        <f>IF(AI127&gt;0,
(IF(AI127&lt;Hónapok!$A$10,Admin!$A$28,
(IF(AI127&lt;Hónapok!$A$22,Admin!$B$28,
(IF(AI127&lt;Hónapok!$A$34,Admin!$C$28,
(IF(AI127&lt;Hónapok!$A$46,Admin!$D$28,"")))))))),"")</f>
        <v>3. mérföldkő</v>
      </c>
      <c r="AK127" s="470" t="s">
        <v>7</v>
      </c>
      <c r="AL127" s="466" t="s">
        <v>26</v>
      </c>
      <c r="AM127" s="907">
        <v>354091</v>
      </c>
      <c r="AN127" s="863">
        <v>30485</v>
      </c>
      <c r="AO127" s="466">
        <v>174</v>
      </c>
      <c r="AP127" s="467">
        <v>174</v>
      </c>
      <c r="AQ127" s="454">
        <f t="shared" si="313"/>
        <v>1</v>
      </c>
      <c r="AR127" s="455">
        <f t="shared" si="314"/>
        <v>354091</v>
      </c>
      <c r="AS127" s="528">
        <v>30485</v>
      </c>
      <c r="AT127" s="102">
        <f t="shared" si="316"/>
        <v>0</v>
      </c>
      <c r="AU127" s="529">
        <f>AN127/AM127</f>
        <v>8.6093687780824699E-2</v>
      </c>
      <c r="AV127" s="565" t="str">
        <f>VLOOKUP(LEFT(AB127,10),Törzsszám!$A$1:$B$908,2,0)</f>
        <v>10002190</v>
      </c>
      <c r="AW127" s="681">
        <f t="shared" ca="1" si="311"/>
        <v>0</v>
      </c>
      <c r="AX127" s="471" t="s">
        <v>4561</v>
      </c>
      <c r="AY127" s="527"/>
      <c r="AZ127" s="665"/>
      <c r="BA127" s="674"/>
      <c r="BB127" s="651"/>
      <c r="BC127" s="649"/>
      <c r="BD127" s="672"/>
      <c r="BE127" s="703" t="s">
        <v>201</v>
      </c>
    </row>
    <row r="128" spans="1:58" s="457" customFormat="1" ht="31.5" x14ac:dyDescent="0.25">
      <c r="A128" s="694" t="str">
        <f ca="1">Bérköltség!$B128</f>
        <v>FEOR</v>
      </c>
      <c r="B128" s="694" t="str">
        <f ca="1">IFERROR(
IF(AND(Bérköltség!$F128="",H128="NA"),"HIÁNYOS ADATOK",
IF(Bérköltség!$F128&lt;Bérköltség!$U128,Admin!$B$18,Admin!$B$17)),
"")</f>
        <v>FEOR</v>
      </c>
      <c r="C128" s="437" t="str">
        <f>IFERROR(INDEX('Historikus berek_2021-2'!$A$1:$F$903,MATCH(AB128,'Historikus berek_2021-2'!$A$1:$A$903,0),4),"")</f>
        <v/>
      </c>
      <c r="D128" s="438" t="str">
        <f t="shared" si="320"/>
        <v>NA</v>
      </c>
      <c r="E128" s="437">
        <f t="shared" si="321"/>
        <v>403166</v>
      </c>
      <c r="F128" s="439" t="str">
        <f t="shared" si="334"/>
        <v/>
      </c>
      <c r="G128" s="440" t="str">
        <f t="shared" si="335"/>
        <v/>
      </c>
      <c r="H128" s="441">
        <f>IFERROR(INDEX('FEOR kodok'!$A$2:$J$1126,MATCH(Bérköltség!AB128,'FEOR kodok'!$B$2:$B$1126,0),8),"NA")</f>
        <v>2117</v>
      </c>
      <c r="I128" s="436">
        <f ca="1">IFERROR(INDEX('FEOR kodok'!$A$2:$J$1126,MATCH(Bérköltség!AB128,'FEOR kodok'!$B$2:$B$1126,0),10),"NA")</f>
        <v>59</v>
      </c>
      <c r="J128" s="442" t="str">
        <f t="shared" ca="1" si="322"/>
        <v>50 év és afelett</v>
      </c>
      <c r="K128" s="436" t="str">
        <f>IFERROR(INDEX(admin_feor[#All],MATCH(Bérköltség!H128,admin_feor[[#All],[Foglalkozás]],0),2),"NA")</f>
        <v>Vegyészmérnök</v>
      </c>
      <c r="L128" s="438">
        <f ca="1">IFERROR(
INDEX('Admin - FEOR'!$A$4:$F$465,MATCH(Bérköltség!H128,'Admin - FEOR'!$A$4:$A$465,0),
IF(J128="30 év alatt",3,
IF(J128="30–39 éves",4,
IF(J128="40–49 éves",5,
IF(J128="50 év és afelett",6
)))))*1,"NA")</f>
        <v>826737</v>
      </c>
      <c r="M128" s="438">
        <f t="shared" si="323"/>
        <v>403166</v>
      </c>
      <c r="N128" s="443">
        <f t="shared" ca="1" si="324"/>
        <v>0.48765931608238172</v>
      </c>
      <c r="O128" s="438">
        <f ca="1">IFERROR(
INDEX('Admin - FEOR'!$A$4:$F$465,MATCH(Bérköltség!H128,'Admin - FEOR'!$A$4:$A$465,0),
IF(J128="30 év alatt",3,
IF(J128="30–39 éves",4,
IF(J128="40–49 éves",5,
IF(J128="50 év és afelett",6
)))))*1.5,"NA")</f>
        <v>1240105.5</v>
      </c>
      <c r="P128" s="438">
        <f t="shared" ca="1" si="325"/>
        <v>1240105.5</v>
      </c>
      <c r="Q128" s="438">
        <f t="shared" si="326"/>
        <v>403166</v>
      </c>
      <c r="R128" s="444">
        <f t="shared" si="327"/>
        <v>1</v>
      </c>
      <c r="S128" s="438">
        <f t="shared" ca="1" si="328"/>
        <v>0</v>
      </c>
      <c r="T128" s="438">
        <f t="shared" ca="1" si="329"/>
        <v>0</v>
      </c>
      <c r="U128" s="445">
        <f t="shared" ca="1" si="330"/>
        <v>0</v>
      </c>
      <c r="V128" s="446">
        <f t="shared" ca="1" si="331"/>
        <v>440498</v>
      </c>
      <c r="W128" s="447" t="str">
        <f t="shared" ca="1" si="332"/>
        <v>Nem szükséges indoklás.</v>
      </c>
      <c r="X128" s="571">
        <f t="shared" ca="1" si="333"/>
        <v>0</v>
      </c>
      <c r="Y128" s="554">
        <f t="shared" ca="1" si="318"/>
        <v>403166</v>
      </c>
      <c r="Z128" s="556">
        <f t="shared" ca="1" si="319"/>
        <v>37332</v>
      </c>
      <c r="AA128" s="464"/>
      <c r="AB128" s="474">
        <v>8354561240</v>
      </c>
      <c r="AC128" s="449" t="s">
        <v>200</v>
      </c>
      <c r="AD128" s="483" t="s">
        <v>45</v>
      </c>
      <c r="AE128" s="450" t="s">
        <v>24</v>
      </c>
      <c r="AF128" s="480" t="s">
        <v>125</v>
      </c>
      <c r="AG128" s="466" t="s">
        <v>191</v>
      </c>
      <c r="AH128" s="451" t="s">
        <v>131</v>
      </c>
      <c r="AI128" s="154">
        <v>45017</v>
      </c>
      <c r="AJ128" s="100" t="str">
        <f>IF(AI128&gt;0,
(IF(AI128&lt;Hónapok!$A$10,Admin!$A$28,
(IF(AI128&lt;Hónapok!$A$22,Admin!$B$28,
(IF(AI128&lt;Hónapok!$A$34,Admin!$C$28,
(IF(AI128&lt;Hónapok!$A$46,Admin!$D$28,"")))))))),"")</f>
        <v>3. mérföldkő</v>
      </c>
      <c r="AK128" s="469" t="s">
        <v>7</v>
      </c>
      <c r="AL128" s="466" t="s">
        <v>26</v>
      </c>
      <c r="AM128" s="907">
        <v>403166</v>
      </c>
      <c r="AN128" s="863">
        <v>37332</v>
      </c>
      <c r="AO128" s="466">
        <v>174</v>
      </c>
      <c r="AP128" s="467">
        <v>174</v>
      </c>
      <c r="AQ128" s="454">
        <f t="shared" si="313"/>
        <v>1</v>
      </c>
      <c r="AR128" s="455">
        <f t="shared" si="314"/>
        <v>403166</v>
      </c>
      <c r="AS128" s="528">
        <v>37332</v>
      </c>
      <c r="AT128" s="102">
        <f t="shared" si="316"/>
        <v>0</v>
      </c>
      <c r="AU128" s="529">
        <f>AN128/AM128</f>
        <v>9.2597094000982219E-2</v>
      </c>
      <c r="AV128" s="565" t="str">
        <f>VLOOKUP(LEFT(AB128,10),Törzsszám!$A$1:$B$908,2,0)</f>
        <v>10002190</v>
      </c>
      <c r="AW128" s="681">
        <f t="shared" ca="1" si="311"/>
        <v>0</v>
      </c>
      <c r="AX128" s="471" t="s">
        <v>4581</v>
      </c>
      <c r="AY128" s="527"/>
      <c r="AZ128" s="665"/>
      <c r="BA128" s="674"/>
      <c r="BB128" s="651"/>
      <c r="BC128" s="649"/>
      <c r="BD128" s="672"/>
      <c r="BE128" s="703" t="s">
        <v>201</v>
      </c>
    </row>
    <row r="129" spans="1:58" s="457" customFormat="1" ht="31.5" x14ac:dyDescent="0.25">
      <c r="A129" s="694" t="str">
        <f ca="1">Bérköltség!$B129</f>
        <v>FEOR</v>
      </c>
      <c r="B129" s="694" t="str">
        <f ca="1">IFERROR(
IF(AND(Bérköltség!$F129="",H129="NA"),"HIÁNYOS ADATOK",
IF(Bérköltség!$F129&lt;Bérköltség!$U129,Admin!$B$18,Admin!$B$17)),
"")</f>
        <v>FEOR</v>
      </c>
      <c r="C129" s="437" t="str">
        <f>IFERROR(INDEX('Historikus berek_2021-2'!$A$1:$F$903,MATCH(AB129,'Historikus berek_2021-2'!$A$1:$A$903,0),4),"")</f>
        <v/>
      </c>
      <c r="D129" s="438" t="str">
        <f t="shared" si="320"/>
        <v>NA</v>
      </c>
      <c r="E129" s="437">
        <f t="shared" si="321"/>
        <v>410000</v>
      </c>
      <c r="F129" s="439" t="str">
        <f t="shared" si="334"/>
        <v/>
      </c>
      <c r="G129" s="440" t="str">
        <f t="shared" si="335"/>
        <v/>
      </c>
      <c r="H129" s="441">
        <f>IFERROR(INDEX('FEOR kodok'!$A$2:$J$1126,MATCH(Bérköltség!AB129,'FEOR kodok'!$B$2:$B$1126,0),8),"NA")</f>
        <v>2117</v>
      </c>
      <c r="I129" s="436">
        <f ca="1">IFERROR(INDEX('FEOR kodok'!$A$2:$J$1126,MATCH(Bérköltség!AB129,'FEOR kodok'!$B$2:$B$1126,0),10),"NA")</f>
        <v>59</v>
      </c>
      <c r="J129" s="442" t="str">
        <f t="shared" ca="1" si="322"/>
        <v>50 év és afelett</v>
      </c>
      <c r="K129" s="436" t="str">
        <f>IFERROR(INDEX(admin_feor[#All],MATCH(Bérköltség!H129,admin_feor[[#All],[Foglalkozás]],0),2),"NA")</f>
        <v>Vegyészmérnök</v>
      </c>
      <c r="L129" s="438">
        <f ca="1">IFERROR(
INDEX('Admin - FEOR'!$A$4:$F$465,MATCH(Bérköltség!H129,'Admin - FEOR'!$A$4:$A$465,0),
IF(J129="30 év alatt",3,
IF(J129="30–39 éves",4,
IF(J129="40–49 éves",5,
IF(J129="50 év és afelett",6
)))))*1,"NA")</f>
        <v>826737</v>
      </c>
      <c r="M129" s="438">
        <f t="shared" si="323"/>
        <v>410000</v>
      </c>
      <c r="N129" s="443">
        <f t="shared" ca="1" si="324"/>
        <v>0.49592554826988511</v>
      </c>
      <c r="O129" s="438">
        <f ca="1">IFERROR(
INDEX('Admin - FEOR'!$A$4:$F$465,MATCH(Bérköltség!H129,'Admin - FEOR'!$A$4:$A$465,0),
IF(J129="30 év alatt",3,
IF(J129="30–39 éves",4,
IF(J129="40–49 éves",5,
IF(J129="50 év és afelett",6
)))))*1.5,"NA")</f>
        <v>1240105.5</v>
      </c>
      <c r="P129" s="438">
        <f t="shared" ca="1" si="325"/>
        <v>1240105.5</v>
      </c>
      <c r="Q129" s="438">
        <f t="shared" si="326"/>
        <v>410000</v>
      </c>
      <c r="R129" s="444">
        <f t="shared" si="327"/>
        <v>1</v>
      </c>
      <c r="S129" s="438">
        <f t="shared" ca="1" si="328"/>
        <v>0</v>
      </c>
      <c r="T129" s="438">
        <f t="shared" ca="1" si="329"/>
        <v>0</v>
      </c>
      <c r="U129" s="445">
        <f t="shared" ca="1" si="330"/>
        <v>0</v>
      </c>
      <c r="V129" s="446">
        <f t="shared" ca="1" si="331"/>
        <v>448220</v>
      </c>
      <c r="W129" s="447" t="str">
        <f t="shared" ca="1" si="332"/>
        <v>Nem szükséges indoklás.</v>
      </c>
      <c r="X129" s="571">
        <f t="shared" ca="1" si="333"/>
        <v>0</v>
      </c>
      <c r="Y129" s="554">
        <f t="shared" ca="1" si="318"/>
        <v>410000</v>
      </c>
      <c r="Z129" s="556">
        <f t="shared" ca="1" si="319"/>
        <v>38220</v>
      </c>
      <c r="AA129" s="464"/>
      <c r="AB129" s="474">
        <v>8354561240</v>
      </c>
      <c r="AC129" s="449" t="s">
        <v>200</v>
      </c>
      <c r="AD129" s="483" t="s">
        <v>45</v>
      </c>
      <c r="AE129" s="450" t="s">
        <v>24</v>
      </c>
      <c r="AF129" s="480" t="s">
        <v>125</v>
      </c>
      <c r="AG129" s="466" t="s">
        <v>191</v>
      </c>
      <c r="AH129" s="451" t="s">
        <v>131</v>
      </c>
      <c r="AI129" s="154">
        <v>45047</v>
      </c>
      <c r="AJ129" s="100" t="str">
        <f>IF(AI129&gt;0,
(IF(AI129&lt;Hónapok!$A$10,Admin!$A$28,
(IF(AI129&lt;Hónapok!$A$22,Admin!$B$28,
(IF(AI129&lt;Hónapok!$A$34,Admin!$C$28,
(IF(AI129&lt;Hónapok!$A$46,Admin!$D$28,"")))))))),"")</f>
        <v>3. mérföldkő</v>
      </c>
      <c r="AK129" s="469" t="s">
        <v>7</v>
      </c>
      <c r="AL129" s="466" t="s">
        <v>26</v>
      </c>
      <c r="AM129" s="907">
        <v>410000</v>
      </c>
      <c r="AN129" s="863">
        <v>38220</v>
      </c>
      <c r="AO129" s="466">
        <v>174</v>
      </c>
      <c r="AP129" s="467">
        <v>174</v>
      </c>
      <c r="AQ129" s="454">
        <f t="shared" si="313"/>
        <v>1</v>
      </c>
      <c r="AR129" s="455">
        <f t="shared" si="314"/>
        <v>410000</v>
      </c>
      <c r="AS129" s="528">
        <f>IFERROR(ROUND(AR129*AU129,0),"")</f>
        <v>38220</v>
      </c>
      <c r="AT129" s="102">
        <f t="shared" si="316"/>
        <v>0</v>
      </c>
      <c r="AU129" s="529">
        <f>AN129/AM129</f>
        <v>9.3219512195121951E-2</v>
      </c>
      <c r="AV129" s="565" t="str">
        <f>VLOOKUP(LEFT(AB129,10),Törzsszám!$A$1:$B$908,2,0)</f>
        <v>10002190</v>
      </c>
      <c r="AW129" s="681">
        <f t="shared" ca="1" si="311"/>
        <v>0</v>
      </c>
      <c r="AX129" s="471" t="s">
        <v>4596</v>
      </c>
      <c r="AY129" s="527"/>
      <c r="AZ129" s="665"/>
      <c r="BA129" s="674"/>
      <c r="BB129" s="651"/>
      <c r="BC129" s="649"/>
      <c r="BD129" s="672"/>
      <c r="BE129" s="703" t="s">
        <v>201</v>
      </c>
    </row>
    <row r="130" spans="1:58" s="457" customFormat="1" ht="31.5" x14ac:dyDescent="0.25">
      <c r="A130" s="694" t="str">
        <f ca="1">Bérköltség!$B130</f>
        <v>FEOR</v>
      </c>
      <c r="B130" s="694" t="str">
        <f ca="1">IFERROR(
IF(AND(Bérköltség!$F130="",H130="NA"),"HIÁNYOS ADATOK",
IF(Bérköltség!$F130&lt;Bérköltség!$U130,Admin!$B$18,Admin!$B$17)),
"")</f>
        <v>FEOR</v>
      </c>
      <c r="C130" s="437" t="str">
        <f>IFERROR(INDEX('Historikus berek_2021-2'!$A$1:$F$903,MATCH(AB130,'Historikus berek_2021-2'!$A$1:$A$903,0),4),"")</f>
        <v/>
      </c>
      <c r="D130" s="438" t="str">
        <f t="shared" si="320"/>
        <v>NA</v>
      </c>
      <c r="E130" s="437">
        <f t="shared" si="321"/>
        <v>410000</v>
      </c>
      <c r="F130" s="439" t="str">
        <f t="shared" si="334"/>
        <v/>
      </c>
      <c r="G130" s="440" t="str">
        <f t="shared" si="335"/>
        <v/>
      </c>
      <c r="H130" s="441">
        <f>IFERROR(INDEX('FEOR kodok'!$A$2:$J$1126,MATCH(Bérköltség!AB130,'FEOR kodok'!$B$2:$B$1126,0),8),"NA")</f>
        <v>2117</v>
      </c>
      <c r="I130" s="436">
        <f ca="1">IFERROR(INDEX('FEOR kodok'!$A$2:$J$1126,MATCH(Bérköltség!AB130,'FEOR kodok'!$B$2:$B$1126,0),10),"NA")</f>
        <v>59</v>
      </c>
      <c r="J130" s="442" t="str">
        <f t="shared" ca="1" si="322"/>
        <v>50 év és afelett</v>
      </c>
      <c r="K130" s="436" t="str">
        <f>IFERROR(INDEX(admin_feor[#All],MATCH(Bérköltség!H130,admin_feor[[#All],[Foglalkozás]],0),2),"NA")</f>
        <v>Vegyészmérnök</v>
      </c>
      <c r="L130" s="438">
        <f ca="1">IFERROR(
INDEX('Admin - FEOR'!$A$4:$F$465,MATCH(Bérköltség!H130,'Admin - FEOR'!$A$4:$A$465,0),
IF(J130="30 év alatt",3,
IF(J130="30–39 éves",4,
IF(J130="40–49 éves",5,
IF(J130="50 év és afelett",6
)))))*1,"NA")</f>
        <v>826737</v>
      </c>
      <c r="M130" s="438">
        <f t="shared" si="323"/>
        <v>410000</v>
      </c>
      <c r="N130" s="443">
        <f t="shared" ca="1" si="324"/>
        <v>0.49592554826988511</v>
      </c>
      <c r="O130" s="438">
        <f ca="1">IFERROR(
INDEX('Admin - FEOR'!$A$4:$F$465,MATCH(Bérköltség!H130,'Admin - FEOR'!$A$4:$A$465,0),
IF(J130="30 év alatt",3,
IF(J130="30–39 éves",4,
IF(J130="40–49 éves",5,
IF(J130="50 év és afelett",6
)))))*1.5,"NA")</f>
        <v>1240105.5</v>
      </c>
      <c r="P130" s="438">
        <f t="shared" ca="1" si="325"/>
        <v>1240105.5</v>
      </c>
      <c r="Q130" s="438">
        <f t="shared" si="326"/>
        <v>410000</v>
      </c>
      <c r="R130" s="444">
        <f t="shared" si="327"/>
        <v>1</v>
      </c>
      <c r="S130" s="438">
        <f t="shared" ca="1" si="328"/>
        <v>0</v>
      </c>
      <c r="T130" s="438">
        <f t="shared" ca="1" si="329"/>
        <v>0</v>
      </c>
      <c r="U130" s="445">
        <f t="shared" ca="1" si="330"/>
        <v>0</v>
      </c>
      <c r="V130" s="446">
        <f t="shared" ca="1" si="331"/>
        <v>448220</v>
      </c>
      <c r="W130" s="447" t="str">
        <f t="shared" ca="1" si="332"/>
        <v>Nem szükséges indoklás.</v>
      </c>
      <c r="X130" s="571">
        <f t="shared" ca="1" si="333"/>
        <v>0</v>
      </c>
      <c r="Y130" s="554">
        <f t="shared" ca="1" si="318"/>
        <v>410000</v>
      </c>
      <c r="Z130" s="556">
        <f t="shared" ca="1" si="319"/>
        <v>38220</v>
      </c>
      <c r="AA130" s="464"/>
      <c r="AB130" s="474">
        <v>8354561240</v>
      </c>
      <c r="AC130" s="449" t="s">
        <v>200</v>
      </c>
      <c r="AD130" s="483" t="s">
        <v>45</v>
      </c>
      <c r="AE130" s="450" t="s">
        <v>24</v>
      </c>
      <c r="AF130" s="480" t="s">
        <v>125</v>
      </c>
      <c r="AG130" s="466" t="s">
        <v>191</v>
      </c>
      <c r="AH130" s="451" t="s">
        <v>131</v>
      </c>
      <c r="AI130" s="154">
        <v>45078</v>
      </c>
      <c r="AJ130" s="100" t="str">
        <f>IF(AI130&gt;0,
(IF(AI130&lt;Hónapok!$A$10,Admin!$A$28,
(IF(AI130&lt;Hónapok!$A$22,Admin!$B$28,
(IF(AI130&lt;Hónapok!$A$34,Admin!$C$28,
(IF(AI130&lt;Hónapok!$A$46,Admin!$D$28,"")))))))),"")</f>
        <v>3. mérföldkő</v>
      </c>
      <c r="AK130" s="469" t="s">
        <v>7</v>
      </c>
      <c r="AL130" s="466" t="s">
        <v>26</v>
      </c>
      <c r="AM130" s="907">
        <v>410000</v>
      </c>
      <c r="AN130" s="863">
        <v>38220</v>
      </c>
      <c r="AO130" s="466">
        <v>174</v>
      </c>
      <c r="AP130" s="467">
        <v>174</v>
      </c>
      <c r="AQ130" s="843">
        <f t="shared" si="313"/>
        <v>1</v>
      </c>
      <c r="AR130" s="455">
        <f t="shared" si="314"/>
        <v>410000</v>
      </c>
      <c r="AS130" s="528">
        <f t="shared" ref="AS130:AS132" si="336">IFERROR(ROUND(AR130*AU130,0),"")</f>
        <v>38220</v>
      </c>
      <c r="AT130" s="102">
        <f t="shared" si="316"/>
        <v>0</v>
      </c>
      <c r="AU130" s="529">
        <f t="shared" ref="AU130:AU132" si="337">AN130/AM130</f>
        <v>9.3219512195121951E-2</v>
      </c>
      <c r="AV130" s="565" t="str">
        <f>VLOOKUP(LEFT(AB130,10),Törzsszám!$A$1:$B$908,2,0)</f>
        <v>10002190</v>
      </c>
      <c r="AW130" s="681">
        <f t="shared" ca="1" si="311"/>
        <v>0</v>
      </c>
      <c r="AX130" s="471" t="s">
        <v>4606</v>
      </c>
      <c r="AY130" s="527"/>
      <c r="AZ130" s="665"/>
      <c r="BA130" s="674"/>
      <c r="BB130" s="651"/>
      <c r="BC130" s="649"/>
      <c r="BD130" s="672"/>
      <c r="BE130" s="703" t="s">
        <v>201</v>
      </c>
    </row>
    <row r="131" spans="1:58" s="457" customFormat="1" ht="31.5" x14ac:dyDescent="0.25">
      <c r="A131" s="694" t="str">
        <f ca="1">Bérköltség!$B131</f>
        <v>FEOR</v>
      </c>
      <c r="B131" s="694" t="str">
        <f ca="1">IFERROR(
IF(AND(Bérköltség!$F131="",H131="NA"),"HIÁNYOS ADATOK",
IF(Bérköltség!$F131&lt;Bérköltség!$U131,Admin!$B$18,Admin!$B$17)),
"")</f>
        <v>FEOR</v>
      </c>
      <c r="C131" s="437" t="str">
        <f>IFERROR(INDEX('Historikus berek_2021-2'!$A$1:$F$903,MATCH(AB131,'Historikus berek_2021-2'!$A$1:$A$903,0),4),"")</f>
        <v/>
      </c>
      <c r="D131" s="438" t="str">
        <f t="shared" si="320"/>
        <v>NA</v>
      </c>
      <c r="E131" s="437">
        <f t="shared" si="321"/>
        <v>410000</v>
      </c>
      <c r="F131" s="439" t="str">
        <f t="shared" si="334"/>
        <v/>
      </c>
      <c r="G131" s="440" t="str">
        <f t="shared" si="335"/>
        <v/>
      </c>
      <c r="H131" s="441">
        <f>IFERROR(INDEX('FEOR kodok'!$A$2:$J$1126,MATCH(Bérköltség!AB131,'FEOR kodok'!$B$2:$B$1126,0),8),"NA")</f>
        <v>2117</v>
      </c>
      <c r="I131" s="436">
        <f ca="1">IFERROR(INDEX('FEOR kodok'!$A$2:$J$1126,MATCH(Bérköltség!AB131,'FEOR kodok'!$B$2:$B$1126,0),10),"NA")</f>
        <v>59</v>
      </c>
      <c r="J131" s="442" t="str">
        <f t="shared" ca="1" si="322"/>
        <v>50 év és afelett</v>
      </c>
      <c r="K131" s="436" t="str">
        <f>IFERROR(INDEX(admin_feor[#All],MATCH(Bérköltség!H131,admin_feor[[#All],[Foglalkozás]],0),2),"NA")</f>
        <v>Vegyészmérnök</v>
      </c>
      <c r="L131" s="438">
        <f ca="1">IFERROR(
INDEX('Admin - FEOR'!$A$4:$F$465,MATCH(Bérköltség!H131,'Admin - FEOR'!$A$4:$A$465,0),
IF(J131="30 év alatt",3,
IF(J131="30–39 éves",4,
IF(J131="40–49 éves",5,
IF(J131="50 év és afelett",6
)))))*1,"NA")</f>
        <v>826737</v>
      </c>
      <c r="M131" s="438">
        <f t="shared" si="323"/>
        <v>410000</v>
      </c>
      <c r="N131" s="443">
        <f t="shared" ca="1" si="324"/>
        <v>0.49592554826988511</v>
      </c>
      <c r="O131" s="438">
        <f ca="1">IFERROR(
INDEX('Admin - FEOR'!$A$4:$F$465,MATCH(Bérköltség!H131,'Admin - FEOR'!$A$4:$A$465,0),
IF(J131="30 év alatt",3,
IF(J131="30–39 éves",4,
IF(J131="40–49 éves",5,
IF(J131="50 év és afelett",6
)))))*1.5,"NA")</f>
        <v>1240105.5</v>
      </c>
      <c r="P131" s="438">
        <f t="shared" ca="1" si="325"/>
        <v>1240105.5</v>
      </c>
      <c r="Q131" s="438">
        <f t="shared" si="326"/>
        <v>410000</v>
      </c>
      <c r="R131" s="444">
        <f t="shared" si="327"/>
        <v>1</v>
      </c>
      <c r="S131" s="438">
        <f t="shared" ca="1" si="328"/>
        <v>0</v>
      </c>
      <c r="T131" s="438">
        <f t="shared" ca="1" si="329"/>
        <v>0</v>
      </c>
      <c r="U131" s="445">
        <f t="shared" ca="1" si="330"/>
        <v>0</v>
      </c>
      <c r="V131" s="446">
        <f t="shared" ca="1" si="331"/>
        <v>448220</v>
      </c>
      <c r="W131" s="447" t="str">
        <f t="shared" ca="1" si="332"/>
        <v>Nem szükséges indoklás.</v>
      </c>
      <c r="X131" s="571">
        <f t="shared" ca="1" si="333"/>
        <v>0</v>
      </c>
      <c r="Y131" s="554">
        <f t="shared" ca="1" si="318"/>
        <v>410000</v>
      </c>
      <c r="Z131" s="556">
        <f t="shared" ca="1" si="319"/>
        <v>38220</v>
      </c>
      <c r="AA131" s="690"/>
      <c r="AB131" s="314">
        <v>8354561240</v>
      </c>
      <c r="AC131" s="489" t="s">
        <v>200</v>
      </c>
      <c r="AD131" s="483" t="s">
        <v>45</v>
      </c>
      <c r="AE131" s="485" t="s">
        <v>24</v>
      </c>
      <c r="AF131" s="691" t="s">
        <v>125</v>
      </c>
      <c r="AG131" s="692" t="s">
        <v>191</v>
      </c>
      <c r="AH131" s="490" t="s">
        <v>131</v>
      </c>
      <c r="AI131" s="365">
        <v>45108</v>
      </c>
      <c r="AJ131" s="100" t="str">
        <f>IF(AI131&gt;0,
(IF(AI131&lt;Hónapok!$A$10,Admin!$A$28,
(IF(AI131&lt;Hónapok!$A$22,Admin!$B$28,
(IF(AI131&lt;Hónapok!$A$34,Admin!$C$28,
(IF(AI131&lt;Hónapok!$A$46,Admin!$D$28,"")))))))),"")</f>
        <v>3. mérföldkő</v>
      </c>
      <c r="AK131" s="469" t="s">
        <v>7</v>
      </c>
      <c r="AL131" s="692" t="s">
        <v>26</v>
      </c>
      <c r="AM131" s="907">
        <v>410000</v>
      </c>
      <c r="AN131" s="863">
        <v>38220</v>
      </c>
      <c r="AO131" s="692">
        <v>174</v>
      </c>
      <c r="AP131" s="469">
        <v>174</v>
      </c>
      <c r="AQ131" s="682">
        <f t="shared" si="313"/>
        <v>1</v>
      </c>
      <c r="AR131" s="455">
        <f t="shared" si="314"/>
        <v>410000</v>
      </c>
      <c r="AS131" s="528">
        <f t="shared" si="336"/>
        <v>38220</v>
      </c>
      <c r="AT131" s="102">
        <f t="shared" si="316"/>
        <v>0</v>
      </c>
      <c r="AU131" s="529">
        <f t="shared" si="337"/>
        <v>9.3219512195121951E-2</v>
      </c>
      <c r="AV131" s="565" t="str">
        <f>VLOOKUP(LEFT(AB131,10),Törzsszám!$A$1:$B$908,2,0)</f>
        <v>10002190</v>
      </c>
      <c r="AW131" s="681">
        <f t="shared" ca="1" si="311"/>
        <v>0</v>
      </c>
      <c r="AX131" s="471" t="s">
        <v>4610</v>
      </c>
      <c r="AY131" s="495"/>
      <c r="AZ131" s="551"/>
      <c r="BA131" s="674"/>
      <c r="BB131" s="651"/>
      <c r="BC131" s="649"/>
      <c r="BD131" s="672"/>
      <c r="BE131" s="703" t="s">
        <v>201</v>
      </c>
    </row>
    <row r="132" spans="1:58" s="457" customFormat="1" ht="31.5" x14ac:dyDescent="0.25">
      <c r="A132" s="694" t="str">
        <f ca="1">Bérköltség!$B132</f>
        <v>FEOR</v>
      </c>
      <c r="B132" s="694" t="str">
        <f ca="1">IFERROR(
IF(AND(Bérköltség!$F132="",H132="NA"),"HIÁNYOS ADATOK",
IF(Bérköltség!$F132&lt;Bérköltség!$U132,Admin!$B$18,Admin!$B$17)),
"")</f>
        <v>FEOR</v>
      </c>
      <c r="C132" s="437" t="str">
        <f>IFERROR(INDEX('Historikus berek_2021-2'!$A$1:$F$903,MATCH(AB132,'Historikus berek_2021-2'!$A$1:$A$903,0),4),"")</f>
        <v/>
      </c>
      <c r="D132" s="438" t="str">
        <f t="shared" si="320"/>
        <v>NA</v>
      </c>
      <c r="E132" s="437">
        <f t="shared" si="321"/>
        <v>410000</v>
      </c>
      <c r="F132" s="439" t="str">
        <f t="shared" si="334"/>
        <v/>
      </c>
      <c r="G132" s="440" t="str">
        <f t="shared" si="335"/>
        <v/>
      </c>
      <c r="H132" s="441">
        <f>IFERROR(INDEX('FEOR kodok'!$A$2:$J$1126,MATCH(Bérköltség!AB132,'FEOR kodok'!$B$2:$B$1126,0),8),"NA")</f>
        <v>2117</v>
      </c>
      <c r="I132" s="436">
        <f ca="1">IFERROR(INDEX('FEOR kodok'!$A$2:$J$1126,MATCH(Bérköltség!AB132,'FEOR kodok'!$B$2:$B$1126,0),10),"NA")</f>
        <v>59</v>
      </c>
      <c r="J132" s="442" t="str">
        <f t="shared" ca="1" si="322"/>
        <v>50 év és afelett</v>
      </c>
      <c r="K132" s="436" t="str">
        <f>IFERROR(INDEX(admin_feor[#All],MATCH(Bérköltség!H132,admin_feor[[#All],[Foglalkozás]],0),2),"NA")</f>
        <v>Vegyészmérnök</v>
      </c>
      <c r="L132" s="438">
        <f ca="1">IFERROR(
INDEX('Admin - FEOR'!$A$4:$F$465,MATCH(Bérköltség!H132,'Admin - FEOR'!$A$4:$A$465,0),
IF(J132="30 év alatt",3,
IF(J132="30–39 éves",4,
IF(J132="40–49 éves",5,
IF(J132="50 év és afelett",6
)))))*1,"NA")</f>
        <v>826737</v>
      </c>
      <c r="M132" s="438">
        <f t="shared" si="323"/>
        <v>410000</v>
      </c>
      <c r="N132" s="443">
        <f t="shared" ca="1" si="324"/>
        <v>0.49592554826988511</v>
      </c>
      <c r="O132" s="438">
        <f ca="1">IFERROR(
INDEX('Admin - FEOR'!$A$4:$F$465,MATCH(Bérköltség!H132,'Admin - FEOR'!$A$4:$A$465,0),
IF(J132="30 év alatt",3,
IF(J132="30–39 éves",4,
IF(J132="40–49 éves",5,
IF(J132="50 év és afelett",6
)))))*1.5,"NA")</f>
        <v>1240105.5</v>
      </c>
      <c r="P132" s="438">
        <f t="shared" ca="1" si="325"/>
        <v>1240105.5</v>
      </c>
      <c r="Q132" s="438">
        <f t="shared" si="326"/>
        <v>410000</v>
      </c>
      <c r="R132" s="444">
        <f t="shared" si="327"/>
        <v>1</v>
      </c>
      <c r="S132" s="438">
        <f t="shared" ca="1" si="328"/>
        <v>0</v>
      </c>
      <c r="T132" s="438">
        <f t="shared" ca="1" si="329"/>
        <v>0</v>
      </c>
      <c r="U132" s="445">
        <f t="shared" ca="1" si="330"/>
        <v>0</v>
      </c>
      <c r="V132" s="446">
        <f t="shared" ca="1" si="331"/>
        <v>448220</v>
      </c>
      <c r="W132" s="447" t="str">
        <f t="shared" ca="1" si="332"/>
        <v>Nem szükséges indoklás.</v>
      </c>
      <c r="X132" s="571">
        <f t="shared" ca="1" si="333"/>
        <v>0</v>
      </c>
      <c r="Y132" s="554">
        <f t="shared" ca="1" si="318"/>
        <v>410000</v>
      </c>
      <c r="Z132" s="556">
        <f t="shared" ca="1" si="319"/>
        <v>38220</v>
      </c>
      <c r="AA132" s="690"/>
      <c r="AB132" s="314">
        <v>8354561240</v>
      </c>
      <c r="AC132" s="489" t="s">
        <v>200</v>
      </c>
      <c r="AD132" s="483" t="s">
        <v>45</v>
      </c>
      <c r="AE132" s="485" t="s">
        <v>24</v>
      </c>
      <c r="AF132" s="693" t="s">
        <v>125</v>
      </c>
      <c r="AG132" s="692" t="s">
        <v>191</v>
      </c>
      <c r="AH132" s="490" t="s">
        <v>131</v>
      </c>
      <c r="AI132" s="365">
        <v>45139</v>
      </c>
      <c r="AJ132" s="100" t="str">
        <f>IF(AI132&gt;0,
(IF(AI132&lt;Hónapok!$A$10,Admin!$A$28,
(IF(AI132&lt;Hónapok!$A$22,Admin!$B$28,
(IF(AI132&lt;Hónapok!$A$34,Admin!$C$28,
(IF(AI132&lt;Hónapok!$A$46,Admin!$D$28,"")))))))),"")</f>
        <v>3. mérföldkő</v>
      </c>
      <c r="AK132" s="469" t="s">
        <v>7</v>
      </c>
      <c r="AL132" s="692" t="s">
        <v>26</v>
      </c>
      <c r="AM132" s="907">
        <v>410000</v>
      </c>
      <c r="AN132" s="863">
        <v>38220</v>
      </c>
      <c r="AO132" s="692">
        <v>174</v>
      </c>
      <c r="AP132" s="469">
        <v>174</v>
      </c>
      <c r="AQ132" s="454">
        <f t="shared" si="313"/>
        <v>1</v>
      </c>
      <c r="AR132" s="455">
        <f t="shared" si="314"/>
        <v>410000</v>
      </c>
      <c r="AS132" s="528">
        <f t="shared" si="336"/>
        <v>38220</v>
      </c>
      <c r="AT132" s="102">
        <f t="shared" si="316"/>
        <v>0</v>
      </c>
      <c r="AU132" s="529">
        <f t="shared" si="337"/>
        <v>9.3219512195121951E-2</v>
      </c>
      <c r="AV132" s="565" t="str">
        <f>VLOOKUP(LEFT(AB132,10),Törzsszám!$A$1:$B$908,2,0)</f>
        <v>10002190</v>
      </c>
      <c r="AW132" s="681">
        <f t="shared" ca="1" si="311"/>
        <v>0</v>
      </c>
      <c r="AX132" s="471" t="s">
        <v>4613</v>
      </c>
      <c r="AY132" s="495"/>
      <c r="AZ132" s="551"/>
      <c r="BA132" s="674"/>
      <c r="BB132" s="651"/>
      <c r="BC132" s="649"/>
      <c r="BD132" s="672"/>
      <c r="BE132" s="703" t="s">
        <v>201</v>
      </c>
    </row>
    <row r="133" spans="1:58" s="457" customFormat="1" ht="31.5" x14ac:dyDescent="0.25">
      <c r="A133" s="694" t="str">
        <f ca="1">Bérköltség!$B133</f>
        <v>FEOR</v>
      </c>
      <c r="B133" s="694" t="str">
        <f ca="1">IFERROR(
IF(AND(Bérköltség!$F133="",H133="NA"),"HIÁNYOS ADATOK",
IF(Bérköltség!$F133&lt;Bérköltség!$U133,Admin!$B$18,Admin!$B$17)),
"")</f>
        <v>FEOR</v>
      </c>
      <c r="C133" s="437" t="str">
        <f>IFERROR(INDEX('Historikus berek_2021-2'!$A$1:$F$903,MATCH(AB133,'Historikus berek_2021-2'!$A$1:$A$903,0),4),"")</f>
        <v/>
      </c>
      <c r="D133" s="438" t="str">
        <f t="shared" ref="D133:D138" si="338">IFERROR(C133*AQ133,"NA")</f>
        <v>NA</v>
      </c>
      <c r="E133" s="437">
        <f t="shared" ref="E133:E138" si="339">AR133</f>
        <v>386572</v>
      </c>
      <c r="F133" s="439" t="str">
        <f t="shared" ref="F133:F138" si="340">IFERROR(IF((E133*(1+AU133)-D133*(1+AU133))&lt;0,0,(E133*(1+AU133)-D133*(1+AU133))),"")</f>
        <v/>
      </c>
      <c r="G133" s="440" t="str">
        <f t="shared" ref="G133:G138" si="341">IFERROR((E133*(1+AU133)-F133),"")</f>
        <v/>
      </c>
      <c r="H133" s="441">
        <f>IFERROR(INDEX('FEOR kodok'!$A$2:$J$1126,MATCH(Bérköltség!AB133,'FEOR kodok'!$B$2:$B$1126,0),8),"NA")</f>
        <v>2117</v>
      </c>
      <c r="I133" s="436">
        <f ca="1">IFERROR(INDEX('FEOR kodok'!$A$2:$J$1126,MATCH(Bérköltség!AB133,'FEOR kodok'!$B$2:$B$1126,0),10),"NA")</f>
        <v>59</v>
      </c>
      <c r="J133" s="442" t="str">
        <f t="shared" ref="J133:J138" ca="1" si="342">IF(I133="NA","NA",
IF(I133&lt;30,"30 év alatt",
IF(AND(I133&gt;=30,I133&lt;=39),"30–39 éves",
IF(AND(I133&gt;=40,I133&lt;=49),"40–49 éves",
IF(I133&gt;=50,"50 év és afelett",
"")))))</f>
        <v>50 év és afelett</v>
      </c>
      <c r="K133" s="436" t="str">
        <f>IFERROR(INDEX(admin_feor[#All],MATCH(Bérköltség!H133,admin_feor[[#All],[Foglalkozás]],0),2),"NA")</f>
        <v>Vegyészmérnök</v>
      </c>
      <c r="L133" s="438">
        <f ca="1">IFERROR(
INDEX('Admin - FEOR'!$A$4:$F$465,MATCH(Bérköltség!H133,'Admin - FEOR'!$A$4:$A$465,0),
IF(J133="30 év alatt",3,
IF(J133="30–39 éves",4,
IF(J133="40–49 éves",5,
IF(J133="50 év és afelett",6
)))))*1,"NA")</f>
        <v>826737</v>
      </c>
      <c r="M133" s="438">
        <f t="shared" ref="M133:M138" si="343">AM133</f>
        <v>386572</v>
      </c>
      <c r="N133" s="443">
        <f t="shared" ref="N133:N138" ca="1" si="344">IFERROR(
M133/L133,"NA")</f>
        <v>0.46758763669703907</v>
      </c>
      <c r="O133" s="438">
        <f ca="1">IFERROR(
INDEX('Admin - FEOR'!$A$4:$F$465,MATCH(Bérköltség!H133,'Admin - FEOR'!$A$4:$A$465,0),
IF(J133="30 év alatt",3,
IF(J133="30–39 éves",4,
IF(J133="40–49 éves",5,
IF(J133="50 év és afelett",6
)))))*1.5,"NA")</f>
        <v>1240105.5</v>
      </c>
      <c r="P133" s="438">
        <f t="shared" ref="P133:P138" ca="1" si="345">IFERROR(
AQ133*O133,"NA")</f>
        <v>1240105.5</v>
      </c>
      <c r="Q133" s="438">
        <f t="shared" ref="Q133:Q138" si="346">IFERROR(AR133,"")</f>
        <v>386572</v>
      </c>
      <c r="R133" s="444">
        <f t="shared" ref="R133:R138" si="347">IFERROR(AQ133,"")</f>
        <v>1</v>
      </c>
      <c r="S133" s="438">
        <f t="shared" ref="S133:S138" ca="1" si="348">IFERROR(
IF(AR133-P133&lt;0,0,AR133-P133),"NA")</f>
        <v>0</v>
      </c>
      <c r="T133" s="438">
        <f t="shared" ref="T133:T138" ca="1" si="349">IFERROR(
S133*AU133,"NA")</f>
        <v>0</v>
      </c>
      <c r="U133" s="445">
        <f t="shared" ref="U133:U138" ca="1" si="350">IFERROR(
S133+T133,"NA")</f>
        <v>0</v>
      </c>
      <c r="V133" s="446">
        <f t="shared" ref="V133:V138" ca="1" si="351">IFERROR(
IF(U133&gt;0,AR133+AS133-U133,AR133+AS133),"NA")</f>
        <v>421746</v>
      </c>
      <c r="W133" s="447" t="str">
        <f t="shared" ref="W133:W138" ca="1" si="352">IF(P133="NA","FEOR hiányzik",
IF(AND(N133&gt;1,A133="FEOR"),CONCATENATE("Indoklás szükséges mivel a FEOR: ",ROUND(N133*100,1),"%"),"Nem szükséges indoklás.")
)</f>
        <v>Nem szükséges indoklás.</v>
      </c>
      <c r="X133" s="571">
        <f t="shared" ref="X133:X138" ca="1" si="353">IF(A133="FEOR",U133,IF(A133="HIÁNYOS ADATOK","HIÁNYOS ADATOK",F133))</f>
        <v>0</v>
      </c>
      <c r="Y133" s="554">
        <f t="shared" ref="Y133:Y138" ca="1" si="354">IF(A133="FEOR",ROUND(V133/(1+AU133),0),IF(A133="HIÁNYOS ADATOK","HIÁNYOS ADATOK",ROUND(G133/(1+AU133),0)))</f>
        <v>386572</v>
      </c>
      <c r="Z133" s="556">
        <f t="shared" ref="Z133:Z138" ca="1" si="355">IF(A133="FEOR",ROUND(V133-Y133,0),IF(A133="HIÁNYOS ADATOK","HIÁNYOS ADATOK",ROUND(G133-Y133,0)))</f>
        <v>35174</v>
      </c>
      <c r="AA133" s="690"/>
      <c r="AB133" s="314">
        <v>8354561240</v>
      </c>
      <c r="AC133" s="489" t="s">
        <v>200</v>
      </c>
      <c r="AD133" s="483" t="s">
        <v>45</v>
      </c>
      <c r="AE133" s="485" t="s">
        <v>24</v>
      </c>
      <c r="AF133" s="693" t="s">
        <v>125</v>
      </c>
      <c r="AG133" s="692" t="s">
        <v>191</v>
      </c>
      <c r="AH133" s="490" t="s">
        <v>131</v>
      </c>
      <c r="AI133" s="365">
        <v>45170</v>
      </c>
      <c r="AJ133" s="100" t="str">
        <f>IF(AI133&gt;0,
(IF(AI133&lt;Hónapok!$A$10,Admin!$A$28,
(IF(AI133&lt;Hónapok!$A$22,Admin!$B$28,
(IF(AI133&lt;Hónapok!$A$34,Admin!$C$28,
(IF(AI133&lt;Hónapok!$A$46,Admin!$D$28,"")))))))),"")</f>
        <v>3. mérföldkő</v>
      </c>
      <c r="AK133" s="469" t="s">
        <v>7</v>
      </c>
      <c r="AL133" s="692" t="s">
        <v>26</v>
      </c>
      <c r="AM133" s="907">
        <v>386572</v>
      </c>
      <c r="AN133" s="863">
        <v>35174</v>
      </c>
      <c r="AO133" s="692">
        <v>174</v>
      </c>
      <c r="AP133" s="469">
        <v>174</v>
      </c>
      <c r="AQ133" s="454">
        <f t="shared" ref="AQ133:AQ138" si="356">IFERROR(AP133/AO133,"")</f>
        <v>1</v>
      </c>
      <c r="AR133" s="455">
        <f t="shared" ref="AR133:AR138" si="357">IFERROR(ROUND(AM133*AP133/AO133,0),"")</f>
        <v>386572</v>
      </c>
      <c r="AS133" s="528">
        <f t="shared" ref="AS133:AS138" si="358">IFERROR(ROUND(AR133*AU133,0),"")</f>
        <v>35174</v>
      </c>
      <c r="AT133" s="102">
        <f t="shared" ref="AT133:AT138" si="359">IFERROR(AP133/AO133-AR133/AM133,"")</f>
        <v>0</v>
      </c>
      <c r="AU133" s="529">
        <f t="shared" ref="AU133:AU138" si="360">AN133/AM133</f>
        <v>9.0989518123402627E-2</v>
      </c>
      <c r="AV133" s="565" t="str">
        <f>VLOOKUP(LEFT(AB133,10),Törzsszám!$A$1:$B$908,2,0)</f>
        <v>10002190</v>
      </c>
      <c r="AW133" s="681">
        <f t="shared" ref="AW133:AW138" ca="1" si="361">(Y133+Z133)-(AR133+AS133)</f>
        <v>0</v>
      </c>
      <c r="AX133" s="471" t="s">
        <v>4618</v>
      </c>
      <c r="AY133" s="495"/>
      <c r="AZ133" s="551"/>
      <c r="BA133" s="674"/>
      <c r="BB133" s="651"/>
      <c r="BC133" s="649"/>
      <c r="BD133" s="672"/>
      <c r="BE133" s="703" t="s">
        <v>201</v>
      </c>
    </row>
    <row r="134" spans="1:58" s="457" customFormat="1" ht="31.5" x14ac:dyDescent="0.25">
      <c r="A134" s="694" t="str">
        <f ca="1">Bérköltség!$B134</f>
        <v>FEOR</v>
      </c>
      <c r="B134" s="694" t="str">
        <f ca="1">IFERROR(
IF(AND(Bérköltség!$F134="",H134="NA"),"HIÁNYOS ADATOK",
IF(Bérköltség!$F134&lt;Bérköltség!$U134,Admin!$B$18,Admin!$B$17)),
"")</f>
        <v>FEOR</v>
      </c>
      <c r="C134" s="437" t="str">
        <f>IFERROR(INDEX('Historikus berek_2021-2'!$A$1:$F$903,MATCH(AB134,'Historikus berek_2021-2'!$A$1:$A$903,0),4),"")</f>
        <v/>
      </c>
      <c r="D134" s="438" t="str">
        <f t="shared" si="338"/>
        <v>NA</v>
      </c>
      <c r="E134" s="437">
        <f t="shared" si="339"/>
        <v>410000</v>
      </c>
      <c r="F134" s="439" t="str">
        <f t="shared" si="340"/>
        <v/>
      </c>
      <c r="G134" s="440" t="str">
        <f t="shared" si="341"/>
        <v/>
      </c>
      <c r="H134" s="441">
        <f>IFERROR(INDEX('FEOR kodok'!$A$2:$J$1126,MATCH(Bérköltség!AB134,'FEOR kodok'!$B$2:$B$1126,0),8),"NA")</f>
        <v>2117</v>
      </c>
      <c r="I134" s="436">
        <f ca="1">IFERROR(INDEX('FEOR kodok'!$A$2:$J$1126,MATCH(Bérköltség!AB134,'FEOR kodok'!$B$2:$B$1126,0),10),"NA")</f>
        <v>59</v>
      </c>
      <c r="J134" s="442" t="str">
        <f t="shared" ca="1" si="342"/>
        <v>50 év és afelett</v>
      </c>
      <c r="K134" s="436" t="str">
        <f>IFERROR(INDEX(admin_feor[#All],MATCH(Bérköltség!H134,admin_feor[[#All],[Foglalkozás]],0),2),"NA")</f>
        <v>Vegyészmérnök</v>
      </c>
      <c r="L134" s="438">
        <f ca="1">IFERROR(
INDEX('Admin - FEOR'!$A$4:$F$465,MATCH(Bérköltség!H134,'Admin - FEOR'!$A$4:$A$465,0),
IF(J134="30 év alatt",3,
IF(J134="30–39 éves",4,
IF(J134="40–49 éves",5,
IF(J134="50 év és afelett",6
)))))*1,"NA")</f>
        <v>826737</v>
      </c>
      <c r="M134" s="438">
        <f t="shared" si="343"/>
        <v>410000</v>
      </c>
      <c r="N134" s="443">
        <f t="shared" ca="1" si="344"/>
        <v>0.49592554826988511</v>
      </c>
      <c r="O134" s="438">
        <f ca="1">IFERROR(
INDEX('Admin - FEOR'!$A$4:$F$465,MATCH(Bérköltség!H134,'Admin - FEOR'!$A$4:$A$465,0),
IF(J134="30 év alatt",3,
IF(J134="30–39 éves",4,
IF(J134="40–49 éves",5,
IF(J134="50 év és afelett",6
)))))*1.5,"NA")</f>
        <v>1240105.5</v>
      </c>
      <c r="P134" s="438">
        <f t="shared" ca="1" si="345"/>
        <v>1240105.5</v>
      </c>
      <c r="Q134" s="438">
        <f t="shared" si="346"/>
        <v>410000</v>
      </c>
      <c r="R134" s="444">
        <f t="shared" si="347"/>
        <v>1</v>
      </c>
      <c r="S134" s="438">
        <f t="shared" ca="1" si="348"/>
        <v>0</v>
      </c>
      <c r="T134" s="438">
        <f t="shared" ca="1" si="349"/>
        <v>0</v>
      </c>
      <c r="U134" s="445">
        <f t="shared" ca="1" si="350"/>
        <v>0</v>
      </c>
      <c r="V134" s="446">
        <f t="shared" ca="1" si="351"/>
        <v>448220</v>
      </c>
      <c r="W134" s="447" t="str">
        <f t="shared" ca="1" si="352"/>
        <v>Nem szükséges indoklás.</v>
      </c>
      <c r="X134" s="571">
        <f t="shared" ca="1" si="353"/>
        <v>0</v>
      </c>
      <c r="Y134" s="554">
        <f t="shared" ca="1" si="354"/>
        <v>410000</v>
      </c>
      <c r="Z134" s="556">
        <f t="shared" ca="1" si="355"/>
        <v>38220</v>
      </c>
      <c r="AA134" s="690"/>
      <c r="AB134" s="314">
        <v>8354561240</v>
      </c>
      <c r="AC134" s="489" t="s">
        <v>200</v>
      </c>
      <c r="AD134" s="483" t="s">
        <v>45</v>
      </c>
      <c r="AE134" s="485" t="s">
        <v>24</v>
      </c>
      <c r="AF134" s="693" t="s">
        <v>125</v>
      </c>
      <c r="AG134" s="692" t="s">
        <v>191</v>
      </c>
      <c r="AH134" s="490" t="s">
        <v>131</v>
      </c>
      <c r="AI134" s="365">
        <v>45200</v>
      </c>
      <c r="AJ134" s="100" t="str">
        <f>IF(AI134&gt;0,
(IF(AI134&lt;Hónapok!$A$10,Admin!$A$28,
(IF(AI134&lt;Hónapok!$A$22,Admin!$B$28,
(IF(AI134&lt;Hónapok!$A$34,Admin!$C$28,
(IF(AI134&lt;Hónapok!$A$46,Admin!$D$28,"")))))))),"")</f>
        <v>3. mérföldkő</v>
      </c>
      <c r="AK134" s="469" t="s">
        <v>8</v>
      </c>
      <c r="AL134" s="692" t="s">
        <v>26</v>
      </c>
      <c r="AM134" s="907">
        <v>410000</v>
      </c>
      <c r="AN134" s="863">
        <v>38220</v>
      </c>
      <c r="AO134" s="692">
        <v>174</v>
      </c>
      <c r="AP134" s="469">
        <v>174</v>
      </c>
      <c r="AQ134" s="454">
        <f t="shared" si="356"/>
        <v>1</v>
      </c>
      <c r="AR134" s="455">
        <f t="shared" si="357"/>
        <v>410000</v>
      </c>
      <c r="AS134" s="528">
        <f t="shared" si="358"/>
        <v>38220</v>
      </c>
      <c r="AT134" s="102">
        <f t="shared" si="359"/>
        <v>0</v>
      </c>
      <c r="AU134" s="529">
        <f t="shared" si="360"/>
        <v>9.3219512195121951E-2</v>
      </c>
      <c r="AV134" s="565" t="str">
        <f>VLOOKUP(LEFT(AB134,10),Törzsszám!$A$1:$B$908,2,0)</f>
        <v>10002190</v>
      </c>
      <c r="AW134" s="681">
        <f t="shared" ca="1" si="361"/>
        <v>0</v>
      </c>
      <c r="AX134" s="471"/>
      <c r="AY134" s="495"/>
      <c r="AZ134" s="551"/>
      <c r="BA134" s="674"/>
      <c r="BB134" s="651"/>
      <c r="BC134" s="649"/>
      <c r="BD134" s="672"/>
      <c r="BE134" s="703" t="s">
        <v>201</v>
      </c>
    </row>
    <row r="135" spans="1:58" s="457" customFormat="1" ht="31.5" x14ac:dyDescent="0.25">
      <c r="A135" s="694" t="str">
        <f ca="1">Bérköltség!$B135</f>
        <v>FEOR</v>
      </c>
      <c r="B135" s="694" t="str">
        <f ca="1">IFERROR(
IF(AND(Bérköltség!$F135="",H135="NA"),"HIÁNYOS ADATOK",
IF(Bérköltség!$F135&lt;Bérköltség!$U135,Admin!$B$18,Admin!$B$17)),
"")</f>
        <v>FEOR</v>
      </c>
      <c r="C135" s="437" t="str">
        <f>IFERROR(INDEX('Historikus berek_2021-2'!$A$1:$F$903,MATCH(AB135,'Historikus berek_2021-2'!$A$1:$A$903,0),4),"")</f>
        <v/>
      </c>
      <c r="D135" s="438" t="str">
        <f t="shared" si="338"/>
        <v>NA</v>
      </c>
      <c r="E135" s="437">
        <f t="shared" si="339"/>
        <v>410000</v>
      </c>
      <c r="F135" s="439" t="str">
        <f t="shared" si="340"/>
        <v/>
      </c>
      <c r="G135" s="440" t="str">
        <f t="shared" si="341"/>
        <v/>
      </c>
      <c r="H135" s="441">
        <f>IFERROR(INDEX('FEOR kodok'!$A$2:$J$1126,MATCH(Bérköltség!AB135,'FEOR kodok'!$B$2:$B$1126,0),8),"NA")</f>
        <v>2117</v>
      </c>
      <c r="I135" s="436">
        <f ca="1">IFERROR(INDEX('FEOR kodok'!$A$2:$J$1126,MATCH(Bérköltség!AB135,'FEOR kodok'!$B$2:$B$1126,0),10),"NA")</f>
        <v>59</v>
      </c>
      <c r="J135" s="442" t="str">
        <f t="shared" ca="1" si="342"/>
        <v>50 év és afelett</v>
      </c>
      <c r="K135" s="436" t="str">
        <f>IFERROR(INDEX(admin_feor[#All],MATCH(Bérköltség!H135,admin_feor[[#All],[Foglalkozás]],0),2),"NA")</f>
        <v>Vegyészmérnök</v>
      </c>
      <c r="L135" s="438">
        <f ca="1">IFERROR(
INDEX('Admin - FEOR'!$A$4:$F$465,MATCH(Bérköltség!H135,'Admin - FEOR'!$A$4:$A$465,0),
IF(J135="30 év alatt",3,
IF(J135="30–39 éves",4,
IF(J135="40–49 éves",5,
IF(J135="50 év és afelett",6
)))))*1,"NA")</f>
        <v>826737</v>
      </c>
      <c r="M135" s="438">
        <f t="shared" si="343"/>
        <v>410000</v>
      </c>
      <c r="N135" s="443">
        <f t="shared" ca="1" si="344"/>
        <v>0.49592554826988511</v>
      </c>
      <c r="O135" s="438">
        <f ca="1">IFERROR(
INDEX('Admin - FEOR'!$A$4:$F$465,MATCH(Bérköltség!H135,'Admin - FEOR'!$A$4:$A$465,0),
IF(J135="30 év alatt",3,
IF(J135="30–39 éves",4,
IF(J135="40–49 éves",5,
IF(J135="50 év és afelett",6
)))))*1.5,"NA")</f>
        <v>1240105.5</v>
      </c>
      <c r="P135" s="438">
        <f t="shared" ca="1" si="345"/>
        <v>1240105.5</v>
      </c>
      <c r="Q135" s="438">
        <f t="shared" si="346"/>
        <v>410000</v>
      </c>
      <c r="R135" s="444">
        <f t="shared" si="347"/>
        <v>1</v>
      </c>
      <c r="S135" s="438">
        <f t="shared" ca="1" si="348"/>
        <v>0</v>
      </c>
      <c r="T135" s="438">
        <f t="shared" ca="1" si="349"/>
        <v>0</v>
      </c>
      <c r="U135" s="445">
        <f t="shared" ca="1" si="350"/>
        <v>0</v>
      </c>
      <c r="V135" s="446">
        <f t="shared" ca="1" si="351"/>
        <v>448220</v>
      </c>
      <c r="W135" s="447" t="str">
        <f t="shared" ca="1" si="352"/>
        <v>Nem szükséges indoklás.</v>
      </c>
      <c r="X135" s="571">
        <f t="shared" ca="1" si="353"/>
        <v>0</v>
      </c>
      <c r="Y135" s="554">
        <f t="shared" ca="1" si="354"/>
        <v>410000</v>
      </c>
      <c r="Z135" s="556">
        <f t="shared" ca="1" si="355"/>
        <v>38220</v>
      </c>
      <c r="AA135" s="690"/>
      <c r="AB135" s="314">
        <v>8354561240</v>
      </c>
      <c r="AC135" s="489" t="s">
        <v>200</v>
      </c>
      <c r="AD135" s="483" t="s">
        <v>45</v>
      </c>
      <c r="AE135" s="485" t="s">
        <v>24</v>
      </c>
      <c r="AF135" s="693" t="s">
        <v>125</v>
      </c>
      <c r="AG135" s="692" t="s">
        <v>191</v>
      </c>
      <c r="AH135" s="490" t="s">
        <v>131</v>
      </c>
      <c r="AI135" s="365">
        <v>45231</v>
      </c>
      <c r="AJ135" s="100" t="str">
        <f>IF(AI135&gt;0,
(IF(AI135&lt;Hónapok!$A$10,Admin!$A$28,
(IF(AI135&lt;Hónapok!$A$22,Admin!$B$28,
(IF(AI135&lt;Hónapok!$A$34,Admin!$C$28,
(IF(AI135&lt;Hónapok!$A$46,Admin!$D$28,"")))))))),"")</f>
        <v>3. mérföldkő</v>
      </c>
      <c r="AK135" s="469" t="s">
        <v>8</v>
      </c>
      <c r="AL135" s="692" t="s">
        <v>26</v>
      </c>
      <c r="AM135" s="907">
        <v>410000</v>
      </c>
      <c r="AN135" s="863">
        <v>38220</v>
      </c>
      <c r="AO135" s="692">
        <v>174</v>
      </c>
      <c r="AP135" s="469">
        <v>174</v>
      </c>
      <c r="AQ135" s="454">
        <f t="shared" si="356"/>
        <v>1</v>
      </c>
      <c r="AR135" s="455">
        <f t="shared" si="357"/>
        <v>410000</v>
      </c>
      <c r="AS135" s="528">
        <f t="shared" si="358"/>
        <v>38220</v>
      </c>
      <c r="AT135" s="102">
        <f t="shared" si="359"/>
        <v>0</v>
      </c>
      <c r="AU135" s="529">
        <f t="shared" si="360"/>
        <v>9.3219512195121951E-2</v>
      </c>
      <c r="AV135" s="565" t="str">
        <f>VLOOKUP(LEFT(AB135,10),Törzsszám!$A$1:$B$908,2,0)</f>
        <v>10002190</v>
      </c>
      <c r="AW135" s="681">
        <f t="shared" ca="1" si="361"/>
        <v>0</v>
      </c>
      <c r="AX135" s="471"/>
      <c r="AY135" s="495"/>
      <c r="AZ135" s="551"/>
      <c r="BA135" s="674"/>
      <c r="BB135" s="651"/>
      <c r="BC135" s="649"/>
      <c r="BD135" s="672"/>
      <c r="BE135" s="703" t="s">
        <v>201</v>
      </c>
    </row>
    <row r="136" spans="1:58" s="457" customFormat="1" ht="31.5" x14ac:dyDescent="0.25">
      <c r="A136" s="694" t="str">
        <f ca="1">Bérköltség!$B136</f>
        <v>FEOR</v>
      </c>
      <c r="B136" s="694" t="str">
        <f ca="1">IFERROR(
IF(AND(Bérköltség!$F136="",H136="NA"),"HIÁNYOS ADATOK",
IF(Bérköltség!$F136&lt;Bérköltség!$U136,Admin!$B$18,Admin!$B$17)),
"")</f>
        <v>FEOR</v>
      </c>
      <c r="C136" s="437" t="str">
        <f>IFERROR(INDEX('Historikus berek_2021-2'!$A$1:$F$903,MATCH(AB136,'Historikus berek_2021-2'!$A$1:$A$903,0),4),"")</f>
        <v/>
      </c>
      <c r="D136" s="438" t="str">
        <f t="shared" si="338"/>
        <v>NA</v>
      </c>
      <c r="E136" s="437">
        <f t="shared" si="339"/>
        <v>410000</v>
      </c>
      <c r="F136" s="439" t="str">
        <f t="shared" si="340"/>
        <v/>
      </c>
      <c r="G136" s="440" t="str">
        <f t="shared" si="341"/>
        <v/>
      </c>
      <c r="H136" s="441">
        <f>IFERROR(INDEX('FEOR kodok'!$A$2:$J$1126,MATCH(Bérköltség!AB136,'FEOR kodok'!$B$2:$B$1126,0),8),"NA")</f>
        <v>2117</v>
      </c>
      <c r="I136" s="436">
        <f ca="1">IFERROR(INDEX('FEOR kodok'!$A$2:$J$1126,MATCH(Bérköltség!AB136,'FEOR kodok'!$B$2:$B$1126,0),10),"NA")</f>
        <v>59</v>
      </c>
      <c r="J136" s="442" t="str">
        <f t="shared" ca="1" si="342"/>
        <v>50 év és afelett</v>
      </c>
      <c r="K136" s="436" t="str">
        <f>IFERROR(INDEX(admin_feor[#All],MATCH(Bérköltség!H136,admin_feor[[#All],[Foglalkozás]],0),2),"NA")</f>
        <v>Vegyészmérnök</v>
      </c>
      <c r="L136" s="438">
        <f ca="1">IFERROR(
INDEX('Admin - FEOR'!$A$4:$F$465,MATCH(Bérköltség!H136,'Admin - FEOR'!$A$4:$A$465,0),
IF(J136="30 év alatt",3,
IF(J136="30–39 éves",4,
IF(J136="40–49 éves",5,
IF(J136="50 év és afelett",6
)))))*1,"NA")</f>
        <v>826737</v>
      </c>
      <c r="M136" s="438">
        <f t="shared" si="343"/>
        <v>410000</v>
      </c>
      <c r="N136" s="443">
        <f t="shared" ca="1" si="344"/>
        <v>0.49592554826988511</v>
      </c>
      <c r="O136" s="438">
        <f ca="1">IFERROR(
INDEX('Admin - FEOR'!$A$4:$F$465,MATCH(Bérköltség!H136,'Admin - FEOR'!$A$4:$A$465,0),
IF(J136="30 év alatt",3,
IF(J136="30–39 éves",4,
IF(J136="40–49 éves",5,
IF(J136="50 év és afelett",6
)))))*1.5,"NA")</f>
        <v>1240105.5</v>
      </c>
      <c r="P136" s="438">
        <f t="shared" ca="1" si="345"/>
        <v>1240105.5</v>
      </c>
      <c r="Q136" s="438">
        <f t="shared" si="346"/>
        <v>410000</v>
      </c>
      <c r="R136" s="444">
        <f t="shared" si="347"/>
        <v>1</v>
      </c>
      <c r="S136" s="438">
        <f t="shared" ca="1" si="348"/>
        <v>0</v>
      </c>
      <c r="T136" s="438">
        <f t="shared" ca="1" si="349"/>
        <v>0</v>
      </c>
      <c r="U136" s="445">
        <f t="shared" ca="1" si="350"/>
        <v>0</v>
      </c>
      <c r="V136" s="446">
        <f t="shared" ca="1" si="351"/>
        <v>448220</v>
      </c>
      <c r="W136" s="447" t="str">
        <f t="shared" ca="1" si="352"/>
        <v>Nem szükséges indoklás.</v>
      </c>
      <c r="X136" s="571">
        <f t="shared" ca="1" si="353"/>
        <v>0</v>
      </c>
      <c r="Y136" s="554">
        <f t="shared" ca="1" si="354"/>
        <v>410000</v>
      </c>
      <c r="Z136" s="556">
        <f t="shared" ca="1" si="355"/>
        <v>38220</v>
      </c>
      <c r="AA136" s="690"/>
      <c r="AB136" s="314">
        <v>8354561240</v>
      </c>
      <c r="AC136" s="489" t="s">
        <v>200</v>
      </c>
      <c r="AD136" s="483" t="s">
        <v>45</v>
      </c>
      <c r="AE136" s="485" t="s">
        <v>24</v>
      </c>
      <c r="AF136" s="693" t="s">
        <v>125</v>
      </c>
      <c r="AG136" s="692" t="s">
        <v>191</v>
      </c>
      <c r="AH136" s="490" t="s">
        <v>131</v>
      </c>
      <c r="AI136" s="365">
        <v>45261</v>
      </c>
      <c r="AJ136" s="100" t="str">
        <f>IF(AI136&gt;0,
(IF(AI136&lt;Hónapok!$A$10,Admin!$A$28,
(IF(AI136&lt;Hónapok!$A$22,Admin!$B$28,
(IF(AI136&lt;Hónapok!$A$34,Admin!$C$28,
(IF(AI136&lt;Hónapok!$A$46,Admin!$D$28,"")))))))),"")</f>
        <v>3. mérföldkő</v>
      </c>
      <c r="AK136" s="469" t="s">
        <v>8</v>
      </c>
      <c r="AL136" s="692" t="s">
        <v>26</v>
      </c>
      <c r="AM136" s="907">
        <v>410000</v>
      </c>
      <c r="AN136" s="863">
        <v>38220</v>
      </c>
      <c r="AO136" s="692">
        <v>174</v>
      </c>
      <c r="AP136" s="469">
        <v>174</v>
      </c>
      <c r="AQ136" s="454">
        <f t="shared" si="356"/>
        <v>1</v>
      </c>
      <c r="AR136" s="455">
        <f t="shared" si="357"/>
        <v>410000</v>
      </c>
      <c r="AS136" s="528">
        <f t="shared" si="358"/>
        <v>38220</v>
      </c>
      <c r="AT136" s="102">
        <f t="shared" si="359"/>
        <v>0</v>
      </c>
      <c r="AU136" s="529">
        <f t="shared" si="360"/>
        <v>9.3219512195121951E-2</v>
      </c>
      <c r="AV136" s="565" t="str">
        <f>VLOOKUP(LEFT(AB136,10),Törzsszám!$A$1:$B$908,2,0)</f>
        <v>10002190</v>
      </c>
      <c r="AW136" s="681">
        <f t="shared" ca="1" si="361"/>
        <v>0</v>
      </c>
      <c r="AX136" s="471"/>
      <c r="AY136" s="495"/>
      <c r="AZ136" s="551"/>
      <c r="BA136" s="674"/>
      <c r="BB136" s="651"/>
      <c r="BC136" s="649"/>
      <c r="BD136" s="672"/>
      <c r="BE136" s="703" t="s">
        <v>201</v>
      </c>
    </row>
    <row r="137" spans="1:58" s="457" customFormat="1" ht="31.5" x14ac:dyDescent="0.25">
      <c r="A137" s="694" t="str">
        <f ca="1">Bérköltség!$B137</f>
        <v>FEOR</v>
      </c>
      <c r="B137" s="694" t="str">
        <f ca="1">IFERROR(
IF(AND(Bérköltség!$F137="",H137="NA"),"HIÁNYOS ADATOK",
IF(Bérköltség!$F137&lt;Bérköltség!$U137,Admin!$B$18,Admin!$B$17)),
"")</f>
        <v>FEOR</v>
      </c>
      <c r="C137" s="437" t="str">
        <f>IFERROR(INDEX('Historikus berek_2021-2'!$A$1:$F$903,MATCH(AB137,'Historikus berek_2021-2'!$A$1:$A$903,0),4),"")</f>
        <v/>
      </c>
      <c r="D137" s="438" t="str">
        <f t="shared" si="338"/>
        <v>NA</v>
      </c>
      <c r="E137" s="437">
        <f t="shared" si="339"/>
        <v>410000</v>
      </c>
      <c r="F137" s="439" t="str">
        <f t="shared" si="340"/>
        <v/>
      </c>
      <c r="G137" s="440" t="str">
        <f t="shared" si="341"/>
        <v/>
      </c>
      <c r="H137" s="441">
        <f>IFERROR(INDEX('FEOR kodok'!$A$2:$J$1126,MATCH(Bérköltség!AB137,'FEOR kodok'!$B$2:$B$1126,0),8),"NA")</f>
        <v>2117</v>
      </c>
      <c r="I137" s="436">
        <f ca="1">IFERROR(INDEX('FEOR kodok'!$A$2:$J$1126,MATCH(Bérköltség!AB137,'FEOR kodok'!$B$2:$B$1126,0),10),"NA")</f>
        <v>59</v>
      </c>
      <c r="J137" s="442" t="str">
        <f t="shared" ca="1" si="342"/>
        <v>50 év és afelett</v>
      </c>
      <c r="K137" s="436" t="str">
        <f>IFERROR(INDEX(admin_feor[#All],MATCH(Bérköltség!H137,admin_feor[[#All],[Foglalkozás]],0),2),"NA")</f>
        <v>Vegyészmérnök</v>
      </c>
      <c r="L137" s="438">
        <f ca="1">IFERROR(
INDEX('Admin - FEOR'!$A$4:$F$465,MATCH(Bérköltség!H137,'Admin - FEOR'!$A$4:$A$465,0),
IF(J137="30 év alatt",3,
IF(J137="30–39 éves",4,
IF(J137="40–49 éves",5,
IF(J137="50 év és afelett",6
)))))*1,"NA")</f>
        <v>826737</v>
      </c>
      <c r="M137" s="438">
        <f t="shared" si="343"/>
        <v>410000</v>
      </c>
      <c r="N137" s="443">
        <f t="shared" ca="1" si="344"/>
        <v>0.49592554826988511</v>
      </c>
      <c r="O137" s="438">
        <f ca="1">IFERROR(
INDEX('Admin - FEOR'!$A$4:$F$465,MATCH(Bérköltség!H137,'Admin - FEOR'!$A$4:$A$465,0),
IF(J137="30 év alatt",3,
IF(J137="30–39 éves",4,
IF(J137="40–49 éves",5,
IF(J137="50 év és afelett",6
)))))*1.5,"NA")</f>
        <v>1240105.5</v>
      </c>
      <c r="P137" s="438">
        <f t="shared" ca="1" si="345"/>
        <v>1240105.5</v>
      </c>
      <c r="Q137" s="438">
        <f t="shared" si="346"/>
        <v>410000</v>
      </c>
      <c r="R137" s="444">
        <f t="shared" si="347"/>
        <v>1</v>
      </c>
      <c r="S137" s="438">
        <f t="shared" ca="1" si="348"/>
        <v>0</v>
      </c>
      <c r="T137" s="438">
        <f t="shared" ca="1" si="349"/>
        <v>0</v>
      </c>
      <c r="U137" s="445">
        <f t="shared" ca="1" si="350"/>
        <v>0</v>
      </c>
      <c r="V137" s="446">
        <f t="shared" ca="1" si="351"/>
        <v>448220</v>
      </c>
      <c r="W137" s="447" t="str">
        <f t="shared" ca="1" si="352"/>
        <v>Nem szükséges indoklás.</v>
      </c>
      <c r="X137" s="571">
        <f t="shared" ca="1" si="353"/>
        <v>0</v>
      </c>
      <c r="Y137" s="554">
        <f t="shared" ca="1" si="354"/>
        <v>410000</v>
      </c>
      <c r="Z137" s="556">
        <f t="shared" ca="1" si="355"/>
        <v>38220</v>
      </c>
      <c r="AA137" s="690"/>
      <c r="AB137" s="314">
        <v>8354561240</v>
      </c>
      <c r="AC137" s="489" t="s">
        <v>200</v>
      </c>
      <c r="AD137" s="483" t="s">
        <v>45</v>
      </c>
      <c r="AE137" s="485" t="s">
        <v>24</v>
      </c>
      <c r="AF137" s="693" t="s">
        <v>125</v>
      </c>
      <c r="AG137" s="692" t="s">
        <v>191</v>
      </c>
      <c r="AH137" s="490" t="s">
        <v>131</v>
      </c>
      <c r="AI137" s="365">
        <v>45292</v>
      </c>
      <c r="AJ137" s="100" t="str">
        <f>IF(AI137&gt;0,
(IF(AI137&lt;Hónapok!$A$10,Admin!$A$28,
(IF(AI137&lt;Hónapok!$A$22,Admin!$B$28,
(IF(AI137&lt;Hónapok!$A$34,Admin!$C$28,
(IF(AI137&lt;Hónapok!$A$46,Admin!$D$28,"")))))))),"")</f>
        <v>3. mérföldkő</v>
      </c>
      <c r="AK137" s="469" t="s">
        <v>8</v>
      </c>
      <c r="AL137" s="692" t="s">
        <v>26</v>
      </c>
      <c r="AM137" s="907">
        <v>410000</v>
      </c>
      <c r="AN137" s="863">
        <v>38220</v>
      </c>
      <c r="AO137" s="692">
        <v>174</v>
      </c>
      <c r="AP137" s="469">
        <v>174</v>
      </c>
      <c r="AQ137" s="454">
        <f t="shared" si="356"/>
        <v>1</v>
      </c>
      <c r="AR137" s="455">
        <f t="shared" si="357"/>
        <v>410000</v>
      </c>
      <c r="AS137" s="528">
        <f t="shared" si="358"/>
        <v>38220</v>
      </c>
      <c r="AT137" s="102">
        <f t="shared" si="359"/>
        <v>0</v>
      </c>
      <c r="AU137" s="529">
        <f t="shared" si="360"/>
        <v>9.3219512195121951E-2</v>
      </c>
      <c r="AV137" s="565" t="str">
        <f>VLOOKUP(LEFT(AB137,10),Törzsszám!$A$1:$B$908,2,0)</f>
        <v>10002190</v>
      </c>
      <c r="AW137" s="681">
        <f t="shared" ca="1" si="361"/>
        <v>0</v>
      </c>
      <c r="AX137" s="471"/>
      <c r="AY137" s="495"/>
      <c r="AZ137" s="551"/>
      <c r="BA137" s="674"/>
      <c r="BB137" s="651"/>
      <c r="BC137" s="649"/>
      <c r="BD137" s="672"/>
      <c r="BE137" s="703" t="s">
        <v>201</v>
      </c>
    </row>
    <row r="138" spans="1:58" s="457" customFormat="1" ht="31.5" x14ac:dyDescent="0.25">
      <c r="A138" s="694" t="str">
        <f ca="1">Bérköltség!$B138</f>
        <v>FEOR</v>
      </c>
      <c r="B138" s="694" t="str">
        <f ca="1">IFERROR(
IF(AND(Bérköltség!$F138="",H138="NA"),"HIÁNYOS ADATOK",
IF(Bérköltség!$F138&lt;Bérköltség!$U138,Admin!$B$18,Admin!$B$17)),
"")</f>
        <v>FEOR</v>
      </c>
      <c r="C138" s="437" t="str">
        <f>IFERROR(INDEX('Historikus berek_2021-2'!$A$1:$F$903,MATCH(AB138,'Historikus berek_2021-2'!$A$1:$A$903,0),4),"")</f>
        <v/>
      </c>
      <c r="D138" s="438" t="str">
        <f t="shared" si="338"/>
        <v>NA</v>
      </c>
      <c r="E138" s="437">
        <f t="shared" si="339"/>
        <v>410000</v>
      </c>
      <c r="F138" s="439" t="str">
        <f t="shared" si="340"/>
        <v/>
      </c>
      <c r="G138" s="440" t="str">
        <f t="shared" si="341"/>
        <v/>
      </c>
      <c r="H138" s="441">
        <f>IFERROR(INDEX('FEOR kodok'!$A$2:$J$1126,MATCH(Bérköltség!AB138,'FEOR kodok'!$B$2:$B$1126,0),8),"NA")</f>
        <v>2117</v>
      </c>
      <c r="I138" s="436">
        <f ca="1">IFERROR(INDEX('FEOR kodok'!$A$2:$J$1126,MATCH(Bérköltség!AB138,'FEOR kodok'!$B$2:$B$1126,0),10),"NA")</f>
        <v>59</v>
      </c>
      <c r="J138" s="442" t="str">
        <f t="shared" ca="1" si="342"/>
        <v>50 év és afelett</v>
      </c>
      <c r="K138" s="436" t="str">
        <f>IFERROR(INDEX(admin_feor[#All],MATCH(Bérköltség!H138,admin_feor[[#All],[Foglalkozás]],0),2),"NA")</f>
        <v>Vegyészmérnök</v>
      </c>
      <c r="L138" s="438">
        <f ca="1">IFERROR(
INDEX('Admin - FEOR'!$A$4:$F$465,MATCH(Bérköltség!H138,'Admin - FEOR'!$A$4:$A$465,0),
IF(J138="30 év alatt",3,
IF(J138="30–39 éves",4,
IF(J138="40–49 éves",5,
IF(J138="50 év és afelett",6
)))))*1,"NA")</f>
        <v>826737</v>
      </c>
      <c r="M138" s="438">
        <f t="shared" si="343"/>
        <v>410000</v>
      </c>
      <c r="N138" s="443">
        <f t="shared" ca="1" si="344"/>
        <v>0.49592554826988511</v>
      </c>
      <c r="O138" s="438">
        <f ca="1">IFERROR(
INDEX('Admin - FEOR'!$A$4:$F$465,MATCH(Bérköltség!H138,'Admin - FEOR'!$A$4:$A$465,0),
IF(J138="30 év alatt",3,
IF(J138="30–39 éves",4,
IF(J138="40–49 éves",5,
IF(J138="50 év és afelett",6
)))))*1.5,"NA")</f>
        <v>1240105.5</v>
      </c>
      <c r="P138" s="438">
        <f t="shared" ca="1" si="345"/>
        <v>1240105.5</v>
      </c>
      <c r="Q138" s="438">
        <f t="shared" si="346"/>
        <v>410000</v>
      </c>
      <c r="R138" s="444">
        <f t="shared" si="347"/>
        <v>1</v>
      </c>
      <c r="S138" s="438">
        <f t="shared" ca="1" si="348"/>
        <v>0</v>
      </c>
      <c r="T138" s="438">
        <f t="shared" ca="1" si="349"/>
        <v>0</v>
      </c>
      <c r="U138" s="445">
        <f t="shared" ca="1" si="350"/>
        <v>0</v>
      </c>
      <c r="V138" s="446">
        <f t="shared" ca="1" si="351"/>
        <v>448220</v>
      </c>
      <c r="W138" s="447" t="str">
        <f t="shared" ca="1" si="352"/>
        <v>Nem szükséges indoklás.</v>
      </c>
      <c r="X138" s="571">
        <f t="shared" ca="1" si="353"/>
        <v>0</v>
      </c>
      <c r="Y138" s="554">
        <f t="shared" ca="1" si="354"/>
        <v>410000</v>
      </c>
      <c r="Z138" s="556">
        <f t="shared" ca="1" si="355"/>
        <v>38220</v>
      </c>
      <c r="AA138" s="690"/>
      <c r="AB138" s="314">
        <v>8354561240</v>
      </c>
      <c r="AC138" s="489" t="s">
        <v>200</v>
      </c>
      <c r="AD138" s="483" t="s">
        <v>45</v>
      </c>
      <c r="AE138" s="485" t="s">
        <v>24</v>
      </c>
      <c r="AF138" s="693" t="s">
        <v>125</v>
      </c>
      <c r="AG138" s="692" t="s">
        <v>191</v>
      </c>
      <c r="AH138" s="490" t="s">
        <v>131</v>
      </c>
      <c r="AI138" s="365">
        <v>45323</v>
      </c>
      <c r="AJ138" s="100" t="str">
        <f>IF(AI138&gt;0,
(IF(AI138&lt;Hónapok!$A$10,Admin!$A$28,
(IF(AI138&lt;Hónapok!$A$22,Admin!$B$28,
(IF(AI138&lt;Hónapok!$A$34,Admin!$C$28,
(IF(AI138&lt;Hónapok!$A$46,Admin!$D$28,"")))))))),"")</f>
        <v>3. mérföldkő</v>
      </c>
      <c r="AK138" s="469" t="s">
        <v>8</v>
      </c>
      <c r="AL138" s="692" t="s">
        <v>26</v>
      </c>
      <c r="AM138" s="907">
        <v>410000</v>
      </c>
      <c r="AN138" s="863">
        <v>38220</v>
      </c>
      <c r="AO138" s="692">
        <v>174</v>
      </c>
      <c r="AP138" s="469">
        <v>174</v>
      </c>
      <c r="AQ138" s="454">
        <f t="shared" si="356"/>
        <v>1</v>
      </c>
      <c r="AR138" s="455">
        <f t="shared" si="357"/>
        <v>410000</v>
      </c>
      <c r="AS138" s="528">
        <f t="shared" si="358"/>
        <v>38220</v>
      </c>
      <c r="AT138" s="102">
        <f t="shared" si="359"/>
        <v>0</v>
      </c>
      <c r="AU138" s="529">
        <f t="shared" si="360"/>
        <v>9.3219512195121951E-2</v>
      </c>
      <c r="AV138" s="565" t="str">
        <f>VLOOKUP(LEFT(AB138,10),Törzsszám!$A$1:$B$908,2,0)</f>
        <v>10002190</v>
      </c>
      <c r="AW138" s="681">
        <f t="shared" ca="1" si="361"/>
        <v>0</v>
      </c>
      <c r="AX138" s="471"/>
      <c r="AY138" s="495"/>
      <c r="AZ138" s="551"/>
      <c r="BA138" s="674"/>
      <c r="BB138" s="651"/>
      <c r="BC138" s="649"/>
      <c r="BD138" s="672"/>
      <c r="BE138" s="703" t="s">
        <v>201</v>
      </c>
    </row>
    <row r="139" spans="1:58" s="457" customFormat="1" ht="31.5" x14ac:dyDescent="0.25">
      <c r="A139" s="694" t="str">
        <f ca="1">Bérköltség!$B139</f>
        <v>FEOR</v>
      </c>
      <c r="B139" s="694" t="str">
        <f ca="1">IFERROR(
IF(AND(Bérköltség!$F139="",H139="NA"),"HIÁNYOS ADATOK",
IF(Bérköltség!$F139&lt;Bérköltség!$U139,Admin!$B$18,Admin!$B$17)),
"")</f>
        <v>FEOR</v>
      </c>
      <c r="C139" s="437">
        <f>IFERROR(INDEX('Historikus berek_2021-2'!$A$1:$F$903,MATCH(AB139,'Historikus berek_2021-2'!$A$1:$A$903,0),4),"")</f>
        <v>815233.33333333337</v>
      </c>
      <c r="D139" s="438">
        <f t="shared" si="320"/>
        <v>524747.89272030653</v>
      </c>
      <c r="E139" s="437">
        <f t="shared" si="321"/>
        <v>901149</v>
      </c>
      <c r="F139" s="439">
        <f t="shared" si="334"/>
        <v>425333.25122605357</v>
      </c>
      <c r="G139" s="440">
        <f t="shared" si="335"/>
        <v>592965.11877394631</v>
      </c>
      <c r="H139" s="441">
        <f>IFERROR(INDEX('FEOR kodok'!$A$2:$J$1126,MATCH(Bérköltség!AB139,'FEOR kodok'!$B$2:$B$1126,0),8),"NA")</f>
        <v>1413</v>
      </c>
      <c r="I139" s="436">
        <f ca="1">IFERROR(INDEX('FEOR kodok'!$A$2:$J$1126,MATCH(Bérköltség!AB139,'FEOR kodok'!$B$2:$B$1126,0),10),"NA")</f>
        <v>45</v>
      </c>
      <c r="J139" s="442" t="str">
        <f t="shared" ca="1" si="322"/>
        <v>40–49 éves</v>
      </c>
      <c r="K139" s="436" t="str">
        <f>IFERROR(INDEX(admin_feor[#All],MATCH(Bérköltség!H139,admin_feor[[#All],[Foglalkozás]],0),2),"NA")</f>
        <v>Kutatási és fejlesztési tevékenységet folytató egység vezetője</v>
      </c>
      <c r="L139" s="438">
        <f ca="1">IFERROR(
INDEX('Admin - FEOR'!$A$4:$F$465,MATCH(Bérköltség!H139,'Admin - FEOR'!$A$4:$A$465,0),
IF(J139="30 év alatt",3,
IF(J139="30–39 éves",4,
IF(J139="40–49 éves",5,
IF(J139="50 év és afelett",6
)))))*1,"NA")</f>
        <v>1275992</v>
      </c>
      <c r="M139" s="438">
        <f t="shared" si="323"/>
        <v>1399999</v>
      </c>
      <c r="N139" s="443">
        <f t="shared" ca="1" si="324"/>
        <v>1.0971847785879536</v>
      </c>
      <c r="O139" s="438">
        <f ca="1">IFERROR(
INDEX('Admin - FEOR'!$A$4:$F$465,MATCH(Bérköltség!H139,'Admin - FEOR'!$A$4:$A$465,0),
IF(J139="30 év alatt",3,
IF(J139="30–39 éves",4,
IF(J139="40–49 éves",5,
IF(J139="50 év és afelett",6
)))))*1.5,"NA")</f>
        <v>1913988</v>
      </c>
      <c r="P139" s="438">
        <f t="shared" ca="1" si="325"/>
        <v>1231992.2758620689</v>
      </c>
      <c r="Q139" s="438">
        <f t="shared" si="326"/>
        <v>901149</v>
      </c>
      <c r="R139" s="444">
        <f t="shared" si="327"/>
        <v>0.64367816091954022</v>
      </c>
      <c r="S139" s="438">
        <f t="shared" ca="1" si="328"/>
        <v>0</v>
      </c>
      <c r="T139" s="438">
        <f t="shared" ca="1" si="329"/>
        <v>0</v>
      </c>
      <c r="U139" s="445">
        <f t="shared" ca="1" si="330"/>
        <v>0</v>
      </c>
      <c r="V139" s="446">
        <f t="shared" ca="1" si="331"/>
        <v>1018298</v>
      </c>
      <c r="W139" s="447" t="str">
        <f t="shared" ca="1" si="332"/>
        <v>Indoklás szükséges mivel a FEOR: 109,7%</v>
      </c>
      <c r="X139" s="571">
        <f t="shared" ca="1" si="333"/>
        <v>0</v>
      </c>
      <c r="Y139" s="554">
        <f t="shared" ca="1" si="318"/>
        <v>901149</v>
      </c>
      <c r="Z139" s="554">
        <f t="shared" ca="1" si="319"/>
        <v>117149</v>
      </c>
      <c r="AA139" s="573">
        <v>2</v>
      </c>
      <c r="AB139" s="474">
        <v>8407900273</v>
      </c>
      <c r="AC139" s="449" t="s">
        <v>150</v>
      </c>
      <c r="AD139" s="483" t="s">
        <v>45</v>
      </c>
      <c r="AE139" s="450" t="s">
        <v>49</v>
      </c>
      <c r="AF139" s="247" t="s">
        <v>125</v>
      </c>
      <c r="AG139" s="99" t="s">
        <v>163</v>
      </c>
      <c r="AH139" s="451" t="s">
        <v>131</v>
      </c>
      <c r="AI139" s="154">
        <v>44743</v>
      </c>
      <c r="AJ139" s="100" t="str">
        <f>IF(AI139&gt;0,
(IF(AI139&lt;Hónapok!$A$10,Admin!$A$28,
(IF(AI139&lt;Hónapok!$A$22,Admin!$B$28,
(IF(AI139&lt;Hónapok!$A$34,Admin!$C$28,
(IF(AI139&lt;Hónapok!$A$46,Admin!$D$28,"")))))))),"")</f>
        <v>2. mérföldkő</v>
      </c>
      <c r="AK139" s="467" t="s">
        <v>7</v>
      </c>
      <c r="AL139" s="101" t="s">
        <v>26</v>
      </c>
      <c r="AM139" s="900">
        <v>1399999</v>
      </c>
      <c r="AN139" s="860">
        <f t="shared" ref="AN139:AN173" si="362">IFERROR(ROUND(AM139*AU139,0),"")</f>
        <v>182000</v>
      </c>
      <c r="AO139" s="536">
        <v>174</v>
      </c>
      <c r="AP139" s="453">
        <v>112</v>
      </c>
      <c r="AQ139" s="454">
        <f t="shared" si="313"/>
        <v>0.64367816091954022</v>
      </c>
      <c r="AR139" s="455">
        <f t="shared" si="314"/>
        <v>901149</v>
      </c>
      <c r="AS139" s="455">
        <f t="shared" si="315"/>
        <v>117149</v>
      </c>
      <c r="AT139" s="102">
        <f t="shared" si="316"/>
        <v>-1.5599354330486648E-7</v>
      </c>
      <c r="AU139" s="116">
        <v>0.13</v>
      </c>
      <c r="AV139" s="565" t="str">
        <f>VLOOKUP(LEFT(AB139,10),Törzsszám!$A$1:$B$908,2,0)</f>
        <v>10000344</v>
      </c>
      <c r="AW139" s="615">
        <f t="shared" ca="1" si="311"/>
        <v>0</v>
      </c>
      <c r="AX139" s="473" t="s">
        <v>209</v>
      </c>
      <c r="AY139" s="486">
        <v>1399999</v>
      </c>
      <c r="AZ139" s="847" t="s">
        <v>4607</v>
      </c>
      <c r="BA139" s="671">
        <v>455702</v>
      </c>
      <c r="BB139" s="649">
        <v>59241</v>
      </c>
      <c r="BC139" s="649">
        <f t="shared" ref="BC139:BD145" ca="1" si="363">Y139-BA139</f>
        <v>445447</v>
      </c>
      <c r="BD139" s="672">
        <f t="shared" ca="1" si="363"/>
        <v>57908</v>
      </c>
      <c r="BE139" s="450" t="s">
        <v>154</v>
      </c>
      <c r="BF139" s="487"/>
    </row>
    <row r="140" spans="1:58" s="457" customFormat="1" ht="31.5" x14ac:dyDescent="0.25">
      <c r="A140" s="694" t="str">
        <f ca="1">Bérköltség!$B140</f>
        <v>FEOR</v>
      </c>
      <c r="B140" s="694" t="str">
        <f ca="1">IFERROR(
IF(AND(Bérköltség!$F140="",H140="NA"),"HIÁNYOS ADATOK",
IF(Bérköltség!$F140&lt;Bérköltség!$U140,Admin!$B$18,Admin!$B$17)),
"")</f>
        <v>FEOR</v>
      </c>
      <c r="C140" s="437">
        <f>IFERROR(INDEX('Historikus berek_2021-2'!$A$1:$F$903,MATCH(AB140,'Historikus berek_2021-2'!$A$1:$A$903,0),4),"")</f>
        <v>815233.33333333337</v>
      </c>
      <c r="D140" s="438">
        <f t="shared" si="320"/>
        <v>524747.89272030653</v>
      </c>
      <c r="E140" s="437">
        <f t="shared" si="321"/>
        <v>901149</v>
      </c>
      <c r="F140" s="439">
        <f t="shared" si="334"/>
        <v>425333.25122605357</v>
      </c>
      <c r="G140" s="440">
        <f t="shared" si="335"/>
        <v>592965.11877394631</v>
      </c>
      <c r="H140" s="441">
        <f>IFERROR(INDEX('FEOR kodok'!$A$2:$J$1126,MATCH(Bérköltség!AB140,'FEOR kodok'!$B$2:$B$1126,0),8),"NA")</f>
        <v>1413</v>
      </c>
      <c r="I140" s="436">
        <f ca="1">IFERROR(INDEX('FEOR kodok'!$A$2:$J$1126,MATCH(Bérköltség!AB140,'FEOR kodok'!$B$2:$B$1126,0),10),"NA")</f>
        <v>45</v>
      </c>
      <c r="J140" s="442" t="str">
        <f t="shared" ca="1" si="322"/>
        <v>40–49 éves</v>
      </c>
      <c r="K140" s="436" t="str">
        <f>IFERROR(INDEX(admin_feor[#All],MATCH(Bérköltség!H140,admin_feor[[#All],[Foglalkozás]],0),2),"NA")</f>
        <v>Kutatási és fejlesztési tevékenységet folytató egység vezetője</v>
      </c>
      <c r="L140" s="438">
        <f ca="1">IFERROR(
INDEX('Admin - FEOR'!$A$4:$F$465,MATCH(Bérköltség!H140,'Admin - FEOR'!$A$4:$A$465,0),
IF(J140="30 év alatt",3,
IF(J140="30–39 éves",4,
IF(J140="40–49 éves",5,
IF(J140="50 év és afelett",6
)))))*1,"NA")</f>
        <v>1275992</v>
      </c>
      <c r="M140" s="438">
        <f t="shared" si="323"/>
        <v>1400000</v>
      </c>
      <c r="N140" s="443">
        <f t="shared" ca="1" si="324"/>
        <v>1.0971855622919267</v>
      </c>
      <c r="O140" s="438">
        <f ca="1">IFERROR(
INDEX('Admin - FEOR'!$A$4:$F$465,MATCH(Bérköltség!H140,'Admin - FEOR'!$A$4:$A$465,0),
IF(J140="30 év alatt",3,
IF(J140="30–39 éves",4,
IF(J140="40–49 éves",5,
IF(J140="50 év és afelett",6
)))))*1.5,"NA")</f>
        <v>1913988</v>
      </c>
      <c r="P140" s="438">
        <f t="shared" ca="1" si="325"/>
        <v>1231992.2758620689</v>
      </c>
      <c r="Q140" s="438">
        <f t="shared" si="326"/>
        <v>901149</v>
      </c>
      <c r="R140" s="444">
        <f t="shared" si="327"/>
        <v>0.64367816091954022</v>
      </c>
      <c r="S140" s="438">
        <f t="shared" ca="1" si="328"/>
        <v>0</v>
      </c>
      <c r="T140" s="438">
        <f t="shared" ca="1" si="329"/>
        <v>0</v>
      </c>
      <c r="U140" s="445">
        <f t="shared" ca="1" si="330"/>
        <v>0</v>
      </c>
      <c r="V140" s="446">
        <f t="shared" ca="1" si="331"/>
        <v>1018298</v>
      </c>
      <c r="W140" s="447" t="str">
        <f t="shared" ca="1" si="332"/>
        <v>Indoklás szükséges mivel a FEOR: 109,7%</v>
      </c>
      <c r="X140" s="571">
        <f t="shared" ca="1" si="333"/>
        <v>0</v>
      </c>
      <c r="Y140" s="554">
        <f t="shared" ca="1" si="318"/>
        <v>901149</v>
      </c>
      <c r="Z140" s="554">
        <f t="shared" ca="1" si="319"/>
        <v>117149</v>
      </c>
      <c r="AA140" s="573">
        <v>2</v>
      </c>
      <c r="AB140" s="474">
        <v>8407900273</v>
      </c>
      <c r="AC140" s="449" t="s">
        <v>150</v>
      </c>
      <c r="AD140" s="483" t="s">
        <v>45</v>
      </c>
      <c r="AE140" s="450" t="s">
        <v>49</v>
      </c>
      <c r="AF140" s="247" t="s">
        <v>125</v>
      </c>
      <c r="AG140" s="99" t="s">
        <v>194</v>
      </c>
      <c r="AH140" s="451" t="s">
        <v>131</v>
      </c>
      <c r="AI140" s="154">
        <v>44774</v>
      </c>
      <c r="AJ140" s="100" t="str">
        <f>IF(AI140&gt;0,
(IF(AI140&lt;Hónapok!$A$10,Admin!$A$28,
(IF(AI140&lt;Hónapok!$A$22,Admin!$B$28,
(IF(AI140&lt;Hónapok!$A$34,Admin!$C$28,
(IF(AI140&lt;Hónapok!$A$46,Admin!$D$28,"")))))))),"")</f>
        <v>2. mérföldkő</v>
      </c>
      <c r="AK140" s="467" t="s">
        <v>7</v>
      </c>
      <c r="AL140" s="101" t="s">
        <v>26</v>
      </c>
      <c r="AM140" s="900">
        <v>1400000</v>
      </c>
      <c r="AN140" s="860">
        <f t="shared" si="362"/>
        <v>182000</v>
      </c>
      <c r="AO140" s="101">
        <v>174</v>
      </c>
      <c r="AP140" s="111">
        <v>112</v>
      </c>
      <c r="AQ140" s="454">
        <f t="shared" si="313"/>
        <v>0.64367816091954022</v>
      </c>
      <c r="AR140" s="455">
        <f t="shared" si="314"/>
        <v>901149</v>
      </c>
      <c r="AS140" s="455">
        <f t="shared" si="315"/>
        <v>117149</v>
      </c>
      <c r="AT140" s="102">
        <f t="shared" si="316"/>
        <v>3.0377668303049887E-7</v>
      </c>
      <c r="AU140" s="116">
        <v>0.13</v>
      </c>
      <c r="AV140" s="565" t="str">
        <f>VLOOKUP(LEFT(AB140,10),Törzsszám!$A$1:$B$908,2,0)</f>
        <v>10000344</v>
      </c>
      <c r="AW140" s="615">
        <f t="shared" ca="1" si="311"/>
        <v>0</v>
      </c>
      <c r="AX140" s="471" t="s">
        <v>218</v>
      </c>
      <c r="AY140" s="486">
        <v>1400000</v>
      </c>
      <c r="AZ140" s="847" t="s">
        <v>4607</v>
      </c>
      <c r="BA140" s="671">
        <v>455702</v>
      </c>
      <c r="BB140" s="649">
        <v>59241</v>
      </c>
      <c r="BC140" s="649">
        <f t="shared" ca="1" si="363"/>
        <v>445447</v>
      </c>
      <c r="BD140" s="672">
        <f t="shared" ca="1" si="363"/>
        <v>57908</v>
      </c>
      <c r="BE140" s="450" t="s">
        <v>154</v>
      </c>
      <c r="BF140" s="487"/>
    </row>
    <row r="141" spans="1:58" s="457" customFormat="1" ht="31.5" x14ac:dyDescent="0.25">
      <c r="A141" s="694" t="str">
        <f ca="1">Bérköltség!$B141</f>
        <v>FEOR</v>
      </c>
      <c r="B141" s="694" t="str">
        <f ca="1">IFERROR(
IF(AND(Bérköltség!$F141="",H141="NA"),"HIÁNYOS ADATOK",
IF(Bérköltség!$F141&lt;Bérköltség!$U141,Admin!$B$18,Admin!$B$17)),
"")</f>
        <v>FEOR</v>
      </c>
      <c r="C141" s="437">
        <f>IFERROR(INDEX('Historikus berek_2021-2'!$A$1:$F$903,MATCH(AB141,'Historikus berek_2021-2'!$A$1:$A$903,0),4),"")</f>
        <v>815233.33333333337</v>
      </c>
      <c r="D141" s="438">
        <f t="shared" si="320"/>
        <v>524747.89272030653</v>
      </c>
      <c r="E141" s="437">
        <f t="shared" si="321"/>
        <v>901149</v>
      </c>
      <c r="F141" s="439">
        <f t="shared" si="334"/>
        <v>425333.25122605357</v>
      </c>
      <c r="G141" s="440">
        <f t="shared" si="335"/>
        <v>592965.11877394631</v>
      </c>
      <c r="H141" s="441">
        <f>IFERROR(INDEX('FEOR kodok'!$A$2:$J$1126,MATCH(Bérköltség!AB141,'FEOR kodok'!$B$2:$B$1126,0),8),"NA")</f>
        <v>1413</v>
      </c>
      <c r="I141" s="436">
        <f ca="1">IFERROR(INDEX('FEOR kodok'!$A$2:$J$1126,MATCH(Bérköltség!AB141,'FEOR kodok'!$B$2:$B$1126,0),10),"NA")</f>
        <v>45</v>
      </c>
      <c r="J141" s="442" t="str">
        <f t="shared" ca="1" si="322"/>
        <v>40–49 éves</v>
      </c>
      <c r="K141" s="436" t="str">
        <f>IFERROR(INDEX(admin_feor[#All],MATCH(Bérköltség!H141,admin_feor[[#All],[Foglalkozás]],0),2),"NA")</f>
        <v>Kutatási és fejlesztési tevékenységet folytató egység vezetője</v>
      </c>
      <c r="L141" s="438">
        <f ca="1">IFERROR(
INDEX('Admin - FEOR'!$A$4:$F$465,MATCH(Bérköltség!H141,'Admin - FEOR'!$A$4:$A$465,0),
IF(J141="30 év alatt",3,
IF(J141="30–39 éves",4,
IF(J141="40–49 éves",5,
IF(J141="50 év és afelett",6
)))))*1,"NA")</f>
        <v>1275992</v>
      </c>
      <c r="M141" s="438">
        <f t="shared" si="323"/>
        <v>1400000</v>
      </c>
      <c r="N141" s="443">
        <f t="shared" ca="1" si="324"/>
        <v>1.0971855622919267</v>
      </c>
      <c r="O141" s="438">
        <f ca="1">IFERROR(
INDEX('Admin - FEOR'!$A$4:$F$465,MATCH(Bérköltség!H141,'Admin - FEOR'!$A$4:$A$465,0),
IF(J141="30 év alatt",3,
IF(J141="30–39 éves",4,
IF(J141="40–49 éves",5,
IF(J141="50 év és afelett",6
)))))*1.5,"NA")</f>
        <v>1913988</v>
      </c>
      <c r="P141" s="438">
        <f t="shared" ca="1" si="325"/>
        <v>1231992.2758620689</v>
      </c>
      <c r="Q141" s="438">
        <f t="shared" si="326"/>
        <v>901149</v>
      </c>
      <c r="R141" s="444">
        <f t="shared" si="327"/>
        <v>0.64367816091954022</v>
      </c>
      <c r="S141" s="438">
        <f t="shared" ca="1" si="328"/>
        <v>0</v>
      </c>
      <c r="T141" s="438">
        <f t="shared" ca="1" si="329"/>
        <v>0</v>
      </c>
      <c r="U141" s="445">
        <f t="shared" ca="1" si="330"/>
        <v>0</v>
      </c>
      <c r="V141" s="446">
        <f t="shared" ca="1" si="331"/>
        <v>1018298</v>
      </c>
      <c r="W141" s="447" t="str">
        <f t="shared" ca="1" si="332"/>
        <v>Indoklás szükséges mivel a FEOR: 109,7%</v>
      </c>
      <c r="X141" s="571">
        <f t="shared" ca="1" si="333"/>
        <v>0</v>
      </c>
      <c r="Y141" s="554">
        <f t="shared" ca="1" si="318"/>
        <v>901149</v>
      </c>
      <c r="Z141" s="554">
        <f t="shared" ca="1" si="319"/>
        <v>117149</v>
      </c>
      <c r="AA141" s="573">
        <v>2</v>
      </c>
      <c r="AB141" s="474">
        <v>8407900273</v>
      </c>
      <c r="AC141" s="449" t="s">
        <v>150</v>
      </c>
      <c r="AD141" s="483" t="s">
        <v>45</v>
      </c>
      <c r="AE141" s="450" t="s">
        <v>49</v>
      </c>
      <c r="AF141" s="247" t="s">
        <v>125</v>
      </c>
      <c r="AG141" s="99" t="s">
        <v>194</v>
      </c>
      <c r="AH141" s="451" t="s">
        <v>131</v>
      </c>
      <c r="AI141" s="154">
        <v>44805</v>
      </c>
      <c r="AJ141" s="100" t="str">
        <f>IF(AI141&gt;0,
(IF(AI141&lt;Hónapok!$A$10,Admin!$A$28,
(IF(AI141&lt;Hónapok!$A$22,Admin!$B$28,
(IF(AI141&lt;Hónapok!$A$34,Admin!$C$28,
(IF(AI141&lt;Hónapok!$A$46,Admin!$D$28,"")))))))),"")</f>
        <v>2. mérföldkő</v>
      </c>
      <c r="AK141" s="467" t="s">
        <v>7</v>
      </c>
      <c r="AL141" s="101" t="s">
        <v>26</v>
      </c>
      <c r="AM141" s="900">
        <v>1400000</v>
      </c>
      <c r="AN141" s="860">
        <f t="shared" si="362"/>
        <v>182000</v>
      </c>
      <c r="AO141" s="101">
        <v>174</v>
      </c>
      <c r="AP141" s="111">
        <v>112</v>
      </c>
      <c r="AQ141" s="454">
        <f t="shared" si="313"/>
        <v>0.64367816091954022</v>
      </c>
      <c r="AR141" s="455">
        <f t="shared" si="314"/>
        <v>901149</v>
      </c>
      <c r="AS141" s="455">
        <f t="shared" si="315"/>
        <v>117149</v>
      </c>
      <c r="AT141" s="102">
        <f t="shared" si="316"/>
        <v>3.0377668303049887E-7</v>
      </c>
      <c r="AU141" s="116">
        <v>0.13</v>
      </c>
      <c r="AV141" s="565" t="str">
        <f>VLOOKUP(LEFT(AB141,10),Törzsszám!$A$1:$B$908,2,0)</f>
        <v>10000344</v>
      </c>
      <c r="AW141" s="615">
        <f t="shared" ca="1" si="311"/>
        <v>0</v>
      </c>
      <c r="AX141" s="471" t="s">
        <v>228</v>
      </c>
      <c r="AY141" s="486">
        <v>1400000</v>
      </c>
      <c r="AZ141" s="847" t="s">
        <v>4607</v>
      </c>
      <c r="BA141" s="671">
        <v>455702</v>
      </c>
      <c r="BB141" s="649">
        <v>59241</v>
      </c>
      <c r="BC141" s="649">
        <f t="shared" ca="1" si="363"/>
        <v>445447</v>
      </c>
      <c r="BD141" s="672">
        <f t="shared" ca="1" si="363"/>
        <v>57908</v>
      </c>
      <c r="BE141" s="450" t="s">
        <v>154</v>
      </c>
      <c r="BF141" s="487"/>
    </row>
    <row r="142" spans="1:58" s="457" customFormat="1" ht="31.5" x14ac:dyDescent="0.25">
      <c r="A142" s="694" t="str">
        <f ca="1">Bérköltség!$B142</f>
        <v>FEOR</v>
      </c>
      <c r="B142" s="694" t="str">
        <f ca="1">IFERROR(
IF(AND(Bérköltség!$F142="",H142="NA"),"HIÁNYOS ADATOK",
IF(Bérköltség!$F142&lt;Bérköltség!$U142,Admin!$B$18,Admin!$B$17)),
"")</f>
        <v>FEOR</v>
      </c>
      <c r="C142" s="437">
        <f>IFERROR(INDEX('Historikus berek_2021-2'!$A$1:$F$903,MATCH(AB142,'Historikus berek_2021-2'!$A$1:$A$903,0),4),"")</f>
        <v>815233.33333333337</v>
      </c>
      <c r="D142" s="438">
        <f t="shared" si="320"/>
        <v>524747.89272030653</v>
      </c>
      <c r="E142" s="437">
        <f t="shared" si="321"/>
        <v>901149</v>
      </c>
      <c r="F142" s="439">
        <f t="shared" si="334"/>
        <v>425333.25122605357</v>
      </c>
      <c r="G142" s="440">
        <f t="shared" si="335"/>
        <v>592965.11877394631</v>
      </c>
      <c r="H142" s="441">
        <f>IFERROR(INDEX('FEOR kodok'!$A$2:$J$1126,MATCH(Bérköltség!AB142,'FEOR kodok'!$B$2:$B$1126,0),8),"NA")</f>
        <v>1413</v>
      </c>
      <c r="I142" s="436">
        <f ca="1">IFERROR(INDEX('FEOR kodok'!$A$2:$J$1126,MATCH(Bérköltség!AB142,'FEOR kodok'!$B$2:$B$1126,0),10),"NA")</f>
        <v>45</v>
      </c>
      <c r="J142" s="442" t="str">
        <f t="shared" ca="1" si="322"/>
        <v>40–49 éves</v>
      </c>
      <c r="K142" s="436" t="str">
        <f>IFERROR(INDEX(admin_feor[#All],MATCH(Bérköltség!H142,admin_feor[[#All],[Foglalkozás]],0),2),"NA")</f>
        <v>Kutatási és fejlesztési tevékenységet folytató egység vezetője</v>
      </c>
      <c r="L142" s="438">
        <f ca="1">IFERROR(
INDEX('Admin - FEOR'!$A$4:$F$465,MATCH(Bérköltség!H142,'Admin - FEOR'!$A$4:$A$465,0),
IF(J142="30 év alatt",3,
IF(J142="30–39 éves",4,
IF(J142="40–49 éves",5,
IF(J142="50 év és afelett",6
)))))*1,"NA")</f>
        <v>1275992</v>
      </c>
      <c r="M142" s="438">
        <f t="shared" si="323"/>
        <v>1400000</v>
      </c>
      <c r="N142" s="443">
        <f t="shared" ca="1" si="324"/>
        <v>1.0971855622919267</v>
      </c>
      <c r="O142" s="438">
        <f ca="1">IFERROR(
INDEX('Admin - FEOR'!$A$4:$F$465,MATCH(Bérköltség!H142,'Admin - FEOR'!$A$4:$A$465,0),
IF(J142="30 év alatt",3,
IF(J142="30–39 éves",4,
IF(J142="40–49 éves",5,
IF(J142="50 év és afelett",6
)))))*1.5,"NA")</f>
        <v>1913988</v>
      </c>
      <c r="P142" s="438">
        <f t="shared" ca="1" si="325"/>
        <v>1231992.2758620689</v>
      </c>
      <c r="Q142" s="438">
        <f t="shared" si="326"/>
        <v>901149</v>
      </c>
      <c r="R142" s="444">
        <f t="shared" si="327"/>
        <v>0.64367816091954022</v>
      </c>
      <c r="S142" s="438">
        <f t="shared" ca="1" si="328"/>
        <v>0</v>
      </c>
      <c r="T142" s="438">
        <f t="shared" ca="1" si="329"/>
        <v>0</v>
      </c>
      <c r="U142" s="445">
        <f t="shared" ca="1" si="330"/>
        <v>0</v>
      </c>
      <c r="V142" s="446">
        <f t="shared" ca="1" si="331"/>
        <v>1018298</v>
      </c>
      <c r="W142" s="447" t="str">
        <f t="shared" ca="1" si="332"/>
        <v>Indoklás szükséges mivel a FEOR: 109,7%</v>
      </c>
      <c r="X142" s="571">
        <f t="shared" ca="1" si="333"/>
        <v>0</v>
      </c>
      <c r="Y142" s="554">
        <f t="shared" ca="1" si="318"/>
        <v>901149</v>
      </c>
      <c r="Z142" s="554">
        <f t="shared" ca="1" si="319"/>
        <v>117149</v>
      </c>
      <c r="AA142" s="573">
        <v>2</v>
      </c>
      <c r="AB142" s="474">
        <v>8407900273</v>
      </c>
      <c r="AC142" s="449" t="s">
        <v>150</v>
      </c>
      <c r="AD142" s="482" t="s">
        <v>45</v>
      </c>
      <c r="AE142" s="450" t="s">
        <v>49</v>
      </c>
      <c r="AF142" s="247" t="s">
        <v>125</v>
      </c>
      <c r="AG142" s="99" t="s">
        <v>194</v>
      </c>
      <c r="AH142" s="451" t="s">
        <v>131</v>
      </c>
      <c r="AI142" s="154">
        <v>44835</v>
      </c>
      <c r="AJ142" s="100" t="str">
        <f>IF(AI142&gt;0,
(IF(AI142&lt;Hónapok!$A$10,Admin!$A$28,
(IF(AI142&lt;Hónapok!$A$22,Admin!$B$28,
(IF(AI142&lt;Hónapok!$A$34,Admin!$C$28,
(IF(AI142&lt;Hónapok!$A$46,Admin!$D$28,"")))))))),"")</f>
        <v>2. mérföldkő</v>
      </c>
      <c r="AK142" s="469" t="s">
        <v>7</v>
      </c>
      <c r="AL142" s="101" t="s">
        <v>26</v>
      </c>
      <c r="AM142" s="900">
        <v>1400000</v>
      </c>
      <c r="AN142" s="860">
        <f t="shared" si="362"/>
        <v>182000</v>
      </c>
      <c r="AO142" s="101">
        <v>174</v>
      </c>
      <c r="AP142" s="111">
        <v>112</v>
      </c>
      <c r="AQ142" s="454">
        <f t="shared" si="313"/>
        <v>0.64367816091954022</v>
      </c>
      <c r="AR142" s="455">
        <f t="shared" si="314"/>
        <v>901149</v>
      </c>
      <c r="AS142" s="455">
        <f t="shared" si="315"/>
        <v>117149</v>
      </c>
      <c r="AT142" s="102">
        <f t="shared" si="316"/>
        <v>3.0377668303049887E-7</v>
      </c>
      <c r="AU142" s="116">
        <v>0.13</v>
      </c>
      <c r="AV142" s="565" t="str">
        <f>VLOOKUP(LEFT(AB142,10),Törzsszám!$A$1:$B$908,2,0)</f>
        <v>10000344</v>
      </c>
      <c r="AW142" s="615">
        <f t="shared" ca="1" si="311"/>
        <v>0</v>
      </c>
      <c r="AX142" s="471" t="s">
        <v>251</v>
      </c>
      <c r="AY142" s="486">
        <v>1400000</v>
      </c>
      <c r="AZ142" s="847" t="s">
        <v>4607</v>
      </c>
      <c r="BA142" s="671">
        <v>455702</v>
      </c>
      <c r="BB142" s="649">
        <v>59241</v>
      </c>
      <c r="BC142" s="649">
        <f t="shared" ca="1" si="363"/>
        <v>445447</v>
      </c>
      <c r="BD142" s="672">
        <f t="shared" ca="1" si="363"/>
        <v>57908</v>
      </c>
      <c r="BE142" s="450" t="s">
        <v>154</v>
      </c>
    </row>
    <row r="143" spans="1:58" s="457" customFormat="1" ht="31.5" x14ac:dyDescent="0.25">
      <c r="A143" s="694" t="str">
        <f ca="1">Bérköltség!$B143</f>
        <v>FEOR</v>
      </c>
      <c r="B143" s="694" t="str">
        <f ca="1">IFERROR(
IF(AND(Bérköltség!$F143="",H143="NA"),"HIÁNYOS ADATOK",
IF(Bérköltség!$F143&lt;Bérköltség!$U143,Admin!$B$18,Admin!$B$17)),
"")</f>
        <v>FEOR</v>
      </c>
      <c r="C143" s="437">
        <f>IFERROR(INDEX('Historikus berek_2021-2'!$A$1:$F$903,MATCH(AB143,'Historikus berek_2021-2'!$A$1:$A$903,0),4),"")</f>
        <v>815233.33333333337</v>
      </c>
      <c r="D143" s="438">
        <f t="shared" si="320"/>
        <v>524747.89272030653</v>
      </c>
      <c r="E143" s="437">
        <f t="shared" si="321"/>
        <v>901149</v>
      </c>
      <c r="F143" s="439">
        <f t="shared" si="334"/>
        <v>425333.25122605357</v>
      </c>
      <c r="G143" s="440">
        <f t="shared" si="335"/>
        <v>592965.11877394631</v>
      </c>
      <c r="H143" s="441">
        <f>IFERROR(INDEX('FEOR kodok'!$A$2:$J$1126,MATCH(Bérköltség!AB143,'FEOR kodok'!$B$2:$B$1126,0),8),"NA")</f>
        <v>1413</v>
      </c>
      <c r="I143" s="436">
        <f ca="1">IFERROR(INDEX('FEOR kodok'!$A$2:$J$1126,MATCH(Bérköltség!AB143,'FEOR kodok'!$B$2:$B$1126,0),10),"NA")</f>
        <v>45</v>
      </c>
      <c r="J143" s="442" t="str">
        <f t="shared" ca="1" si="322"/>
        <v>40–49 éves</v>
      </c>
      <c r="K143" s="436" t="str">
        <f>IFERROR(INDEX(admin_feor[#All],MATCH(Bérköltség!H143,admin_feor[[#All],[Foglalkozás]],0),2),"NA")</f>
        <v>Kutatási és fejlesztési tevékenységet folytató egység vezetője</v>
      </c>
      <c r="L143" s="438">
        <f ca="1">IFERROR(
INDEX('Admin - FEOR'!$A$4:$F$465,MATCH(Bérköltség!H143,'Admin - FEOR'!$A$4:$A$465,0),
IF(J143="30 év alatt",3,
IF(J143="30–39 éves",4,
IF(J143="40–49 éves",5,
IF(J143="50 év és afelett",6
)))))*1,"NA")</f>
        <v>1275992</v>
      </c>
      <c r="M143" s="438">
        <f t="shared" si="323"/>
        <v>1400000</v>
      </c>
      <c r="N143" s="443">
        <f t="shared" ca="1" si="324"/>
        <v>1.0971855622919267</v>
      </c>
      <c r="O143" s="438">
        <f ca="1">IFERROR(
INDEX('Admin - FEOR'!$A$4:$F$465,MATCH(Bérköltség!H143,'Admin - FEOR'!$A$4:$A$465,0),
IF(J143="30 év alatt",3,
IF(J143="30–39 éves",4,
IF(J143="40–49 éves",5,
IF(J143="50 év és afelett",6
)))))*1.5,"NA")</f>
        <v>1913988</v>
      </c>
      <c r="P143" s="438">
        <f t="shared" ca="1" si="325"/>
        <v>1231992.2758620689</v>
      </c>
      <c r="Q143" s="438">
        <f t="shared" si="326"/>
        <v>901149</v>
      </c>
      <c r="R143" s="444">
        <f t="shared" si="327"/>
        <v>0.64367816091954022</v>
      </c>
      <c r="S143" s="438">
        <f t="shared" ca="1" si="328"/>
        <v>0</v>
      </c>
      <c r="T143" s="438">
        <f t="shared" ca="1" si="329"/>
        <v>0</v>
      </c>
      <c r="U143" s="445">
        <f t="shared" ca="1" si="330"/>
        <v>0</v>
      </c>
      <c r="V143" s="446">
        <f t="shared" ca="1" si="331"/>
        <v>1018298</v>
      </c>
      <c r="W143" s="447" t="str">
        <f t="shared" ca="1" si="332"/>
        <v>Indoklás szükséges mivel a FEOR: 109,7%</v>
      </c>
      <c r="X143" s="571">
        <f t="shared" ca="1" si="333"/>
        <v>0</v>
      </c>
      <c r="Y143" s="554">
        <f t="shared" ca="1" si="318"/>
        <v>901149</v>
      </c>
      <c r="Z143" s="554">
        <f t="shared" ca="1" si="319"/>
        <v>117149</v>
      </c>
      <c r="AA143" s="573">
        <v>2</v>
      </c>
      <c r="AB143" s="474">
        <v>8407900273</v>
      </c>
      <c r="AC143" s="449" t="s">
        <v>150</v>
      </c>
      <c r="AD143" s="483" t="s">
        <v>45</v>
      </c>
      <c r="AE143" s="450" t="s">
        <v>49</v>
      </c>
      <c r="AF143" s="247" t="s">
        <v>125</v>
      </c>
      <c r="AG143" s="99" t="s">
        <v>194</v>
      </c>
      <c r="AH143" s="451" t="s">
        <v>131</v>
      </c>
      <c r="AI143" s="154">
        <v>44866</v>
      </c>
      <c r="AJ143" s="100" t="str">
        <f>IF(AI143&gt;0,
(IF(AI143&lt;Hónapok!$A$10,Admin!$A$28,
(IF(AI143&lt;Hónapok!$A$22,Admin!$B$28,
(IF(AI143&lt;Hónapok!$A$34,Admin!$C$28,
(IF(AI143&lt;Hónapok!$A$46,Admin!$D$28,"")))))))),"")</f>
        <v>2. mérföldkő</v>
      </c>
      <c r="AK143" s="469" t="s">
        <v>7</v>
      </c>
      <c r="AL143" s="101" t="s">
        <v>26</v>
      </c>
      <c r="AM143" s="900">
        <v>1400000</v>
      </c>
      <c r="AN143" s="860">
        <f t="shared" si="362"/>
        <v>182000</v>
      </c>
      <c r="AO143" s="101">
        <v>174</v>
      </c>
      <c r="AP143" s="111">
        <v>112</v>
      </c>
      <c r="AQ143" s="454">
        <f t="shared" si="313"/>
        <v>0.64367816091954022</v>
      </c>
      <c r="AR143" s="455">
        <f t="shared" si="314"/>
        <v>901149</v>
      </c>
      <c r="AS143" s="455">
        <f t="shared" si="315"/>
        <v>117149</v>
      </c>
      <c r="AT143" s="102">
        <f t="shared" si="316"/>
        <v>3.0377668303049887E-7</v>
      </c>
      <c r="AU143" s="116">
        <v>0.13</v>
      </c>
      <c r="AV143" s="565" t="str">
        <f>VLOOKUP(LEFT(AB143,10),Törzsszám!$A$1:$B$908,2,0)</f>
        <v>10000344</v>
      </c>
      <c r="AW143" s="615">
        <f t="shared" ca="1" si="311"/>
        <v>0</v>
      </c>
      <c r="AX143" s="468" t="s">
        <v>260</v>
      </c>
      <c r="AY143" s="502">
        <v>1400000</v>
      </c>
      <c r="AZ143" s="847" t="s">
        <v>4607</v>
      </c>
      <c r="BA143" s="671">
        <v>455702</v>
      </c>
      <c r="BB143" s="649">
        <v>59241</v>
      </c>
      <c r="BC143" s="649">
        <f t="shared" ca="1" si="363"/>
        <v>445447</v>
      </c>
      <c r="BD143" s="672">
        <f t="shared" ca="1" si="363"/>
        <v>57908</v>
      </c>
      <c r="BE143" s="450" t="s">
        <v>154</v>
      </c>
    </row>
    <row r="144" spans="1:58" s="457" customFormat="1" ht="31.5" x14ac:dyDescent="0.25">
      <c r="A144" s="694" t="str">
        <f ca="1">Bérköltség!$B144</f>
        <v>FEOR</v>
      </c>
      <c r="B144" s="694" t="str">
        <f ca="1">IFERROR(
IF(AND(Bérköltség!$F144="",H144="NA"),"HIÁNYOS ADATOK",
IF(Bérköltség!$F144&lt;Bérköltség!$U144,Admin!$B$18,Admin!$B$17)),
"")</f>
        <v>FEOR</v>
      </c>
      <c r="C144" s="437">
        <f>IFERROR(INDEX('Historikus berek_2021-2'!$A$1:$F$903,MATCH(AB144,'Historikus berek_2021-2'!$A$1:$A$903,0),4),"")</f>
        <v>815233.33333333337</v>
      </c>
      <c r="D144" s="438">
        <f t="shared" si="320"/>
        <v>524747.89272030653</v>
      </c>
      <c r="E144" s="437">
        <f t="shared" si="321"/>
        <v>901149</v>
      </c>
      <c r="F144" s="439">
        <f t="shared" si="334"/>
        <v>425333.25122605357</v>
      </c>
      <c r="G144" s="440">
        <f t="shared" si="335"/>
        <v>592965.11877394631</v>
      </c>
      <c r="H144" s="441">
        <f>IFERROR(INDEX('FEOR kodok'!$A$2:$J$1126,MATCH(Bérköltség!AB144,'FEOR kodok'!$B$2:$B$1126,0),8),"NA")</f>
        <v>1413</v>
      </c>
      <c r="I144" s="436">
        <f ca="1">IFERROR(INDEX('FEOR kodok'!$A$2:$J$1126,MATCH(Bérköltség!AB144,'FEOR kodok'!$B$2:$B$1126,0),10),"NA")</f>
        <v>45</v>
      </c>
      <c r="J144" s="442" t="str">
        <f t="shared" ca="1" si="322"/>
        <v>40–49 éves</v>
      </c>
      <c r="K144" s="436" t="str">
        <f>IFERROR(INDEX(admin_feor[#All],MATCH(Bérköltség!H144,admin_feor[[#All],[Foglalkozás]],0),2),"NA")</f>
        <v>Kutatási és fejlesztési tevékenységet folytató egység vezetője</v>
      </c>
      <c r="L144" s="438">
        <f ca="1">IFERROR(
INDEX('Admin - FEOR'!$A$4:$F$465,MATCH(Bérköltség!H144,'Admin - FEOR'!$A$4:$A$465,0),
IF(J144="30 év alatt",3,
IF(J144="30–39 éves",4,
IF(J144="40–49 éves",5,
IF(J144="50 év és afelett",6
)))))*1,"NA")</f>
        <v>1275992</v>
      </c>
      <c r="M144" s="438">
        <f t="shared" si="323"/>
        <v>1400000</v>
      </c>
      <c r="N144" s="443">
        <f t="shared" ca="1" si="324"/>
        <v>1.0971855622919267</v>
      </c>
      <c r="O144" s="438">
        <f ca="1">IFERROR(
INDEX('Admin - FEOR'!$A$4:$F$465,MATCH(Bérköltség!H144,'Admin - FEOR'!$A$4:$A$465,0),
IF(J144="30 év alatt",3,
IF(J144="30–39 éves",4,
IF(J144="40–49 éves",5,
IF(J144="50 év és afelett",6
)))))*1.5,"NA")</f>
        <v>1913988</v>
      </c>
      <c r="P144" s="438">
        <f t="shared" ca="1" si="325"/>
        <v>1231992.2758620689</v>
      </c>
      <c r="Q144" s="438">
        <f t="shared" si="326"/>
        <v>901149</v>
      </c>
      <c r="R144" s="444">
        <f t="shared" si="327"/>
        <v>0.64367816091954022</v>
      </c>
      <c r="S144" s="438">
        <f t="shared" ca="1" si="328"/>
        <v>0</v>
      </c>
      <c r="T144" s="438">
        <f t="shared" ca="1" si="329"/>
        <v>0</v>
      </c>
      <c r="U144" s="445">
        <f t="shared" ca="1" si="330"/>
        <v>0</v>
      </c>
      <c r="V144" s="446">
        <f t="shared" ca="1" si="331"/>
        <v>1018298</v>
      </c>
      <c r="W144" s="447" t="str">
        <f t="shared" ca="1" si="332"/>
        <v>Indoklás szükséges mivel a FEOR: 109,7%</v>
      </c>
      <c r="X144" s="571">
        <f t="shared" ca="1" si="333"/>
        <v>0</v>
      </c>
      <c r="Y144" s="554">
        <f t="shared" ca="1" si="318"/>
        <v>901149</v>
      </c>
      <c r="Z144" s="554">
        <f t="shared" ca="1" si="319"/>
        <v>117149</v>
      </c>
      <c r="AA144" s="573">
        <v>2</v>
      </c>
      <c r="AB144" s="474">
        <v>8407900273</v>
      </c>
      <c r="AC144" s="449" t="s">
        <v>150</v>
      </c>
      <c r="AD144" s="483" t="s">
        <v>45</v>
      </c>
      <c r="AE144" s="450" t="s">
        <v>49</v>
      </c>
      <c r="AF144" s="247" t="s">
        <v>125</v>
      </c>
      <c r="AG144" s="99" t="s">
        <v>194</v>
      </c>
      <c r="AH144" s="451" t="s">
        <v>131</v>
      </c>
      <c r="AI144" s="154">
        <v>44896</v>
      </c>
      <c r="AJ144" s="100" t="str">
        <f>IF(AI144&gt;0,
(IF(AI144&lt;Hónapok!$A$10,Admin!$A$28,
(IF(AI144&lt;Hónapok!$A$22,Admin!$B$28,
(IF(AI144&lt;Hónapok!$A$34,Admin!$C$28,
(IF(AI144&lt;Hónapok!$A$46,Admin!$D$28,"")))))))),"")</f>
        <v>2. mérföldkő</v>
      </c>
      <c r="AK144" s="469" t="s">
        <v>7</v>
      </c>
      <c r="AL144" s="101" t="s">
        <v>26</v>
      </c>
      <c r="AM144" s="900">
        <v>1400000</v>
      </c>
      <c r="AN144" s="860">
        <f t="shared" si="362"/>
        <v>182000</v>
      </c>
      <c r="AO144" s="101">
        <v>174</v>
      </c>
      <c r="AP144" s="111">
        <v>112</v>
      </c>
      <c r="AQ144" s="454">
        <f t="shared" si="313"/>
        <v>0.64367816091954022</v>
      </c>
      <c r="AR144" s="455">
        <f t="shared" si="314"/>
        <v>901149</v>
      </c>
      <c r="AS144" s="455">
        <f t="shared" si="315"/>
        <v>117149</v>
      </c>
      <c r="AT144" s="102">
        <f t="shared" si="316"/>
        <v>3.0377668303049887E-7</v>
      </c>
      <c r="AU144" s="116">
        <v>0.13</v>
      </c>
      <c r="AV144" s="565" t="str">
        <f>VLOOKUP(LEFT(AB144,10),Törzsszám!$A$1:$B$908,2,0)</f>
        <v>10000344</v>
      </c>
      <c r="AW144" s="615">
        <f t="shared" ca="1" si="311"/>
        <v>0</v>
      </c>
      <c r="AX144" s="468" t="s">
        <v>262</v>
      </c>
      <c r="AY144" s="486">
        <v>1400000</v>
      </c>
      <c r="AZ144" s="847" t="s">
        <v>4607</v>
      </c>
      <c r="BA144" s="671">
        <v>455702</v>
      </c>
      <c r="BB144" s="649">
        <v>59241</v>
      </c>
      <c r="BC144" s="649">
        <f t="shared" ca="1" si="363"/>
        <v>445447</v>
      </c>
      <c r="BD144" s="672">
        <f t="shared" ca="1" si="363"/>
        <v>57908</v>
      </c>
      <c r="BE144" s="450" t="s">
        <v>154</v>
      </c>
    </row>
    <row r="145" spans="1:57" s="457" customFormat="1" ht="31.5" x14ac:dyDescent="0.25">
      <c r="A145" s="694" t="str">
        <f ca="1">Bérköltség!$B145</f>
        <v>FEOR</v>
      </c>
      <c r="B145" s="694" t="str">
        <f ca="1">IFERROR(
IF(AND(Bérköltség!$F145="",H145="NA"),"HIÁNYOS ADATOK",
IF(Bérköltség!$F145&lt;Bérköltség!$U145,Admin!$B$18,Admin!$B$17)),
"")</f>
        <v>FEOR</v>
      </c>
      <c r="C145" s="437">
        <f>IFERROR(INDEX('Historikus berek_2021-2'!$A$1:$F$903,MATCH(AB145,'Historikus berek_2021-2'!$A$1:$A$903,0),4),"")</f>
        <v>815233.33333333337</v>
      </c>
      <c r="D145" s="438">
        <f t="shared" si="320"/>
        <v>524747.89272030653</v>
      </c>
      <c r="E145" s="437">
        <f t="shared" si="321"/>
        <v>955218</v>
      </c>
      <c r="F145" s="439">
        <f t="shared" si="334"/>
        <v>486431.22122605355</v>
      </c>
      <c r="G145" s="440">
        <f t="shared" si="335"/>
        <v>592965.11877394631</v>
      </c>
      <c r="H145" s="441">
        <f>IFERROR(INDEX('FEOR kodok'!$A$2:$J$1126,MATCH(Bérköltség!AB145,'FEOR kodok'!$B$2:$B$1126,0),8),"NA")</f>
        <v>1413</v>
      </c>
      <c r="I145" s="436">
        <f ca="1">IFERROR(INDEX('FEOR kodok'!$A$2:$J$1126,MATCH(Bérköltség!AB145,'FEOR kodok'!$B$2:$B$1126,0),10),"NA")</f>
        <v>45</v>
      </c>
      <c r="J145" s="442" t="str">
        <f t="shared" ca="1" si="322"/>
        <v>40–49 éves</v>
      </c>
      <c r="K145" s="436" t="str">
        <f>IFERROR(INDEX(admin_feor[#All],MATCH(Bérköltség!H145,admin_feor[[#All],[Foglalkozás]],0),2),"NA")</f>
        <v>Kutatási és fejlesztési tevékenységet folytató egység vezetője</v>
      </c>
      <c r="L145" s="438">
        <f ca="1">IFERROR(
INDEX('Admin - FEOR'!$A$4:$F$465,MATCH(Bérköltség!H145,'Admin - FEOR'!$A$4:$A$465,0),
IF(J145="30 év alatt",3,
IF(J145="30–39 éves",4,
IF(J145="40–49 éves",5,
IF(J145="50 év és afelett",6
)))))*1,"NA")</f>
        <v>1275992</v>
      </c>
      <c r="M145" s="438">
        <f t="shared" si="323"/>
        <v>1484000</v>
      </c>
      <c r="N145" s="443">
        <f t="shared" ca="1" si="324"/>
        <v>1.1630166960294421</v>
      </c>
      <c r="O145" s="438">
        <f ca="1">IFERROR(
INDEX('Admin - FEOR'!$A$4:$F$465,MATCH(Bérköltség!H145,'Admin - FEOR'!$A$4:$A$465,0),
IF(J145="30 év alatt",3,
IF(J145="30–39 éves",4,
IF(J145="40–49 éves",5,
IF(J145="50 év és afelett",6
)))))*1.5,"NA")</f>
        <v>1913988</v>
      </c>
      <c r="P145" s="438">
        <f t="shared" ca="1" si="325"/>
        <v>1231992.2758620689</v>
      </c>
      <c r="Q145" s="438">
        <f t="shared" si="326"/>
        <v>955218</v>
      </c>
      <c r="R145" s="444">
        <f t="shared" si="327"/>
        <v>0.64367816091954022</v>
      </c>
      <c r="S145" s="438">
        <f t="shared" ca="1" si="328"/>
        <v>0</v>
      </c>
      <c r="T145" s="438">
        <f t="shared" ca="1" si="329"/>
        <v>0</v>
      </c>
      <c r="U145" s="445">
        <f t="shared" ca="1" si="330"/>
        <v>0</v>
      </c>
      <c r="V145" s="446">
        <f t="shared" ca="1" si="331"/>
        <v>1079396</v>
      </c>
      <c r="W145" s="447" t="str">
        <f t="shared" ca="1" si="332"/>
        <v>Indoklás szükséges mivel a FEOR: 116,3%</v>
      </c>
      <c r="X145" s="571">
        <f t="shared" ca="1" si="333"/>
        <v>0</v>
      </c>
      <c r="Y145" s="554">
        <f t="shared" ca="1" si="318"/>
        <v>955218</v>
      </c>
      <c r="Z145" s="554">
        <f t="shared" ca="1" si="319"/>
        <v>124178</v>
      </c>
      <c r="AA145" s="573">
        <v>2</v>
      </c>
      <c r="AB145" s="474">
        <v>8407900273</v>
      </c>
      <c r="AC145" s="449" t="s">
        <v>150</v>
      </c>
      <c r="AD145" s="483" t="s">
        <v>45</v>
      </c>
      <c r="AE145" s="450" t="s">
        <v>49</v>
      </c>
      <c r="AF145" s="247" t="s">
        <v>125</v>
      </c>
      <c r="AG145" s="99" t="s">
        <v>194</v>
      </c>
      <c r="AH145" s="451" t="s">
        <v>131</v>
      </c>
      <c r="AI145" s="154">
        <v>44927</v>
      </c>
      <c r="AJ145" s="100" t="str">
        <f>IF(AI145&gt;0,
(IF(AI145&lt;Hónapok!$A$10,Admin!$A$28,
(IF(AI145&lt;Hónapok!$A$22,Admin!$B$28,
(IF(AI145&lt;Hónapok!$A$34,Admin!$C$28,
(IF(AI145&lt;Hónapok!$A$46,Admin!$D$28,"")))))))),"")</f>
        <v>2. mérföldkő</v>
      </c>
      <c r="AK145" s="469" t="s">
        <v>7</v>
      </c>
      <c r="AL145" s="101" t="s">
        <v>26</v>
      </c>
      <c r="AM145" s="900">
        <v>1484000</v>
      </c>
      <c r="AN145" s="860">
        <f t="shared" si="362"/>
        <v>192920</v>
      </c>
      <c r="AO145" s="101">
        <v>174</v>
      </c>
      <c r="AP145" s="111">
        <v>112</v>
      </c>
      <c r="AQ145" s="454">
        <f t="shared" si="313"/>
        <v>0.64367816091954022</v>
      </c>
      <c r="AR145" s="455">
        <f t="shared" si="314"/>
        <v>955218</v>
      </c>
      <c r="AS145" s="455">
        <f t="shared" si="315"/>
        <v>124178</v>
      </c>
      <c r="AT145" s="102">
        <f t="shared" si="316"/>
        <v>2.6334541625150365E-7</v>
      </c>
      <c r="AU145" s="116">
        <v>0.13</v>
      </c>
      <c r="AV145" s="565" t="str">
        <f>VLOOKUP(LEFT(AB145,10),Törzsszám!$A$1:$B$908,2,0)</f>
        <v>10000344</v>
      </c>
      <c r="AW145" s="615">
        <f t="shared" ca="1" si="311"/>
        <v>0</v>
      </c>
      <c r="AX145" s="479" t="s">
        <v>2518</v>
      </c>
      <c r="AY145" s="486">
        <v>1484000</v>
      </c>
      <c r="AZ145" s="847" t="s">
        <v>4607</v>
      </c>
      <c r="BA145" s="671">
        <v>455702</v>
      </c>
      <c r="BB145" s="649">
        <v>59241</v>
      </c>
      <c r="BC145" s="649">
        <f t="shared" ca="1" si="363"/>
        <v>499516</v>
      </c>
      <c r="BD145" s="672">
        <f t="shared" ca="1" si="363"/>
        <v>64937</v>
      </c>
      <c r="BE145" s="450" t="s">
        <v>154</v>
      </c>
    </row>
    <row r="146" spans="1:57" s="457" customFormat="1" ht="31.5" x14ac:dyDescent="0.25">
      <c r="A146" s="694" t="str">
        <f ca="1">Bérköltség!$B146</f>
        <v>FEOR</v>
      </c>
      <c r="B146" s="694" t="str">
        <f ca="1">IFERROR(
IF(AND(Bérköltség!$F146="",H146="NA"),"HIÁNYOS ADATOK",
IF(Bérköltség!$F146&lt;Bérköltség!$U146,Admin!$B$18,Admin!$B$17)),
"")</f>
        <v>FEOR</v>
      </c>
      <c r="C146" s="437">
        <f>IFERROR(INDEX('Historikus berek_2021-2'!$A$1:$F$903,MATCH(AB146,'Historikus berek_2021-2'!$A$1:$A$903,0),4),"")</f>
        <v>815233.33333333337</v>
      </c>
      <c r="D146" s="438">
        <f t="shared" si="320"/>
        <v>524747.89272030653</v>
      </c>
      <c r="E146" s="437">
        <f t="shared" si="321"/>
        <v>955218</v>
      </c>
      <c r="F146" s="439">
        <f t="shared" si="334"/>
        <v>486431.22122605355</v>
      </c>
      <c r="G146" s="440">
        <f t="shared" si="335"/>
        <v>592965.11877394631</v>
      </c>
      <c r="H146" s="441">
        <f>IFERROR(INDEX('FEOR kodok'!$A$2:$J$1126,MATCH(Bérköltség!AB146,'FEOR kodok'!$B$2:$B$1126,0),8),"NA")</f>
        <v>1413</v>
      </c>
      <c r="I146" s="436">
        <f ca="1">IFERROR(INDEX('FEOR kodok'!$A$2:$J$1126,MATCH(Bérköltség!AB146,'FEOR kodok'!$B$2:$B$1126,0),10),"NA")</f>
        <v>45</v>
      </c>
      <c r="J146" s="442" t="str">
        <f t="shared" ca="1" si="322"/>
        <v>40–49 éves</v>
      </c>
      <c r="K146" s="436" t="str">
        <f>IFERROR(INDEX(admin_feor[#All],MATCH(Bérköltség!H146,admin_feor[[#All],[Foglalkozás]],0),2),"NA")</f>
        <v>Kutatási és fejlesztési tevékenységet folytató egység vezetője</v>
      </c>
      <c r="L146" s="438">
        <f ca="1">IFERROR(
INDEX('Admin - FEOR'!$A$4:$F$465,MATCH(Bérköltség!H146,'Admin - FEOR'!$A$4:$A$465,0),
IF(J146="30 év alatt",3,
IF(J146="30–39 éves",4,
IF(J146="40–49 éves",5,
IF(J146="50 év és afelett",6
)))))*1,"NA")</f>
        <v>1275992</v>
      </c>
      <c r="M146" s="438">
        <f t="shared" si="323"/>
        <v>1484000</v>
      </c>
      <c r="N146" s="443">
        <f t="shared" ca="1" si="324"/>
        <v>1.1630166960294421</v>
      </c>
      <c r="O146" s="438">
        <f ca="1">IFERROR(
INDEX('Admin - FEOR'!$A$4:$F$465,MATCH(Bérköltség!H146,'Admin - FEOR'!$A$4:$A$465,0),
IF(J146="30 év alatt",3,
IF(J146="30–39 éves",4,
IF(J146="40–49 éves",5,
IF(J146="50 év és afelett",6
)))))*1.5,"NA")</f>
        <v>1913988</v>
      </c>
      <c r="P146" s="438">
        <f t="shared" ca="1" si="325"/>
        <v>1231992.2758620689</v>
      </c>
      <c r="Q146" s="438">
        <f t="shared" si="326"/>
        <v>955218</v>
      </c>
      <c r="R146" s="444">
        <f t="shared" si="327"/>
        <v>0.64367816091954022</v>
      </c>
      <c r="S146" s="438">
        <f t="shared" ca="1" si="328"/>
        <v>0</v>
      </c>
      <c r="T146" s="438">
        <f t="shared" ca="1" si="329"/>
        <v>0</v>
      </c>
      <c r="U146" s="445">
        <f t="shared" ca="1" si="330"/>
        <v>0</v>
      </c>
      <c r="V146" s="446">
        <f t="shared" ca="1" si="331"/>
        <v>1079396</v>
      </c>
      <c r="W146" s="447" t="str">
        <f t="shared" ca="1" si="332"/>
        <v>Indoklás szükséges mivel a FEOR: 116,3%</v>
      </c>
      <c r="X146" s="571">
        <f t="shared" ca="1" si="333"/>
        <v>0</v>
      </c>
      <c r="Y146" s="554">
        <f t="shared" ca="1" si="318"/>
        <v>955218</v>
      </c>
      <c r="Z146" s="554">
        <f t="shared" ca="1" si="319"/>
        <v>124178</v>
      </c>
      <c r="AA146" s="101"/>
      <c r="AB146" s="474">
        <v>8407900273</v>
      </c>
      <c r="AC146" s="449" t="s">
        <v>150</v>
      </c>
      <c r="AD146" s="482" t="s">
        <v>45</v>
      </c>
      <c r="AE146" s="450" t="s">
        <v>49</v>
      </c>
      <c r="AF146" s="247" t="s">
        <v>125</v>
      </c>
      <c r="AG146" s="99" t="s">
        <v>194</v>
      </c>
      <c r="AH146" s="451" t="s">
        <v>131</v>
      </c>
      <c r="AI146" s="154">
        <v>44958</v>
      </c>
      <c r="AJ146" s="100" t="str">
        <f>IF(AI146&gt;0,
(IF(AI146&lt;Hónapok!$A$10,Admin!$A$28,
(IF(AI146&lt;Hónapok!$A$22,Admin!$B$28,
(IF(AI146&lt;Hónapok!$A$34,Admin!$C$28,
(IF(AI146&lt;Hónapok!$A$46,Admin!$D$28,"")))))))),"")</f>
        <v>2. mérföldkő</v>
      </c>
      <c r="AK146" s="469" t="s">
        <v>7</v>
      </c>
      <c r="AL146" s="101" t="s">
        <v>26</v>
      </c>
      <c r="AM146" s="900">
        <v>1484000</v>
      </c>
      <c r="AN146" s="860">
        <f t="shared" si="362"/>
        <v>192920</v>
      </c>
      <c r="AO146" s="101">
        <v>174</v>
      </c>
      <c r="AP146" s="111">
        <v>112</v>
      </c>
      <c r="AQ146" s="454">
        <f t="shared" si="313"/>
        <v>0.64367816091954022</v>
      </c>
      <c r="AR146" s="455">
        <f t="shared" si="314"/>
        <v>955218</v>
      </c>
      <c r="AS146" s="455">
        <f t="shared" si="315"/>
        <v>124178</v>
      </c>
      <c r="AT146" s="102">
        <f t="shared" si="316"/>
        <v>2.6334541625150365E-7</v>
      </c>
      <c r="AU146" s="116">
        <v>0.13</v>
      </c>
      <c r="AV146" s="565" t="str">
        <f>VLOOKUP(LEFT(AB146,10),Törzsszám!$A$1:$B$908,2,0)</f>
        <v>10000344</v>
      </c>
      <c r="AW146" s="615">
        <f t="shared" ca="1" si="311"/>
        <v>0</v>
      </c>
      <c r="AX146" s="537" t="s">
        <v>4557</v>
      </c>
      <c r="AY146" s="486">
        <v>1400000</v>
      </c>
      <c r="AZ146" s="502"/>
      <c r="BA146" s="671"/>
      <c r="BB146" s="649"/>
      <c r="BC146" s="649"/>
      <c r="BD146" s="672"/>
      <c r="BE146" s="450" t="s">
        <v>154</v>
      </c>
    </row>
    <row r="147" spans="1:57" s="457" customFormat="1" ht="31.5" x14ac:dyDescent="0.25">
      <c r="A147" s="694" t="str">
        <f ca="1">Bérköltség!$B147</f>
        <v>FEOR</v>
      </c>
      <c r="B147" s="694" t="str">
        <f ca="1">IFERROR(
IF(AND(Bérköltség!$F147="",H147="NA"),"HIÁNYOS ADATOK",
IF(Bérköltség!$F147&lt;Bérköltség!$U147,Admin!$B$18,Admin!$B$17)),
"")</f>
        <v>FEOR</v>
      </c>
      <c r="C147" s="437">
        <f>IFERROR(INDEX('Historikus berek_2021-2'!$A$1:$F$903,MATCH(AB147,'Historikus berek_2021-2'!$A$1:$A$903,0),4),"")</f>
        <v>815233.33333333337</v>
      </c>
      <c r="D147" s="438">
        <f t="shared" si="320"/>
        <v>524747.89272030653</v>
      </c>
      <c r="E147" s="437">
        <f t="shared" si="321"/>
        <v>901149</v>
      </c>
      <c r="F147" s="439">
        <f t="shared" si="334"/>
        <v>425333.25122605357</v>
      </c>
      <c r="G147" s="440">
        <f t="shared" si="335"/>
        <v>592965.11877394631</v>
      </c>
      <c r="H147" s="441">
        <f>IFERROR(INDEX('FEOR kodok'!$A$2:$J$1126,MATCH(Bérköltség!AB147,'FEOR kodok'!$B$2:$B$1126,0),8),"NA")</f>
        <v>1413</v>
      </c>
      <c r="I147" s="436">
        <f ca="1">IFERROR(INDEX('FEOR kodok'!$A$2:$J$1126,MATCH(Bérköltség!AB147,'FEOR kodok'!$B$2:$B$1126,0),10),"NA")</f>
        <v>45</v>
      </c>
      <c r="J147" s="442" t="str">
        <f t="shared" ca="1" si="322"/>
        <v>40–49 éves</v>
      </c>
      <c r="K147" s="436" t="str">
        <f>IFERROR(INDEX(admin_feor[#All],MATCH(Bérköltség!H147,admin_feor[[#All],[Foglalkozás]],0),2),"NA")</f>
        <v>Kutatási és fejlesztési tevékenységet folytató egység vezetője</v>
      </c>
      <c r="L147" s="438">
        <f ca="1">IFERROR(
INDEX('Admin - FEOR'!$A$4:$F$465,MATCH(Bérköltség!H147,'Admin - FEOR'!$A$4:$A$465,0),
IF(J147="30 év alatt",3,
IF(J147="30–39 éves",4,
IF(J147="40–49 éves",5,
IF(J147="50 év és afelett",6
)))))*1,"NA")</f>
        <v>1275992</v>
      </c>
      <c r="M147" s="438">
        <f t="shared" si="323"/>
        <v>1400000</v>
      </c>
      <c r="N147" s="443">
        <f t="shared" ca="1" si="324"/>
        <v>1.0971855622919267</v>
      </c>
      <c r="O147" s="438">
        <f ca="1">IFERROR(
INDEX('Admin - FEOR'!$A$4:$F$465,MATCH(Bérköltség!H147,'Admin - FEOR'!$A$4:$A$465,0),
IF(J147="30 év alatt",3,
IF(J147="30–39 éves",4,
IF(J147="40–49 éves",5,
IF(J147="50 év és afelett",6
)))))*1.5,"NA")</f>
        <v>1913988</v>
      </c>
      <c r="P147" s="438">
        <f t="shared" ca="1" si="325"/>
        <v>1231992.2758620689</v>
      </c>
      <c r="Q147" s="438">
        <f t="shared" si="326"/>
        <v>901149</v>
      </c>
      <c r="R147" s="444">
        <f t="shared" si="327"/>
        <v>0.64367816091954022</v>
      </c>
      <c r="S147" s="438">
        <f t="shared" ca="1" si="328"/>
        <v>0</v>
      </c>
      <c r="T147" s="438">
        <f t="shared" ca="1" si="329"/>
        <v>0</v>
      </c>
      <c r="U147" s="445">
        <f t="shared" ca="1" si="330"/>
        <v>0</v>
      </c>
      <c r="V147" s="446">
        <f t="shared" ca="1" si="331"/>
        <v>1018298</v>
      </c>
      <c r="W147" s="447" t="str">
        <f t="shared" ca="1" si="332"/>
        <v>Indoklás szükséges mivel a FEOR: 109,7%</v>
      </c>
      <c r="X147" s="571">
        <f t="shared" ca="1" si="333"/>
        <v>0</v>
      </c>
      <c r="Y147" s="554">
        <f t="shared" ca="1" si="318"/>
        <v>901149</v>
      </c>
      <c r="Z147" s="554">
        <f t="shared" ca="1" si="319"/>
        <v>117149</v>
      </c>
      <c r="AA147" s="101"/>
      <c r="AB147" s="474">
        <v>8407900273</v>
      </c>
      <c r="AC147" s="449" t="s">
        <v>150</v>
      </c>
      <c r="AD147" s="483" t="s">
        <v>45</v>
      </c>
      <c r="AE147" s="450" t="s">
        <v>49</v>
      </c>
      <c r="AF147" s="247" t="s">
        <v>125</v>
      </c>
      <c r="AG147" s="99" t="s">
        <v>194</v>
      </c>
      <c r="AH147" s="451" t="s">
        <v>131</v>
      </c>
      <c r="AI147" s="154">
        <v>44986</v>
      </c>
      <c r="AJ147" s="100" t="str">
        <f>IF(AI147&gt;0,
(IF(AI147&lt;Hónapok!$A$10,Admin!$A$28,
(IF(AI147&lt;Hónapok!$A$22,Admin!$B$28,
(IF(AI147&lt;Hónapok!$A$34,Admin!$C$28,
(IF(AI147&lt;Hónapok!$A$46,Admin!$D$28,"")))))))),"")</f>
        <v>3. mérföldkő</v>
      </c>
      <c r="AK147" s="470" t="s">
        <v>7</v>
      </c>
      <c r="AL147" s="101" t="s">
        <v>26</v>
      </c>
      <c r="AM147" s="900">
        <v>1400000</v>
      </c>
      <c r="AN147" s="860">
        <f t="shared" si="362"/>
        <v>182000</v>
      </c>
      <c r="AO147" s="101">
        <v>174</v>
      </c>
      <c r="AP147" s="111">
        <v>112</v>
      </c>
      <c r="AQ147" s="454">
        <f t="shared" si="313"/>
        <v>0.64367816091954022</v>
      </c>
      <c r="AR147" s="455">
        <f t="shared" si="314"/>
        <v>901149</v>
      </c>
      <c r="AS147" s="455">
        <f t="shared" si="315"/>
        <v>117149</v>
      </c>
      <c r="AT147" s="102">
        <f t="shared" si="316"/>
        <v>3.0377668303049887E-7</v>
      </c>
      <c r="AU147" s="116">
        <v>0.13</v>
      </c>
      <c r="AV147" s="565" t="str">
        <f>VLOOKUP(LEFT(AB147,10),Törzsszám!$A$1:$B$908,2,0)</f>
        <v>10000344</v>
      </c>
      <c r="AW147" s="615">
        <f t="shared" ca="1" si="311"/>
        <v>0</v>
      </c>
      <c r="AX147" s="468" t="s">
        <v>4561</v>
      </c>
      <c r="AY147" s="502">
        <v>1400000</v>
      </c>
      <c r="AZ147" s="502"/>
      <c r="BA147" s="671"/>
      <c r="BB147" s="649"/>
      <c r="BC147" s="649"/>
      <c r="BD147" s="672"/>
      <c r="BE147" s="450" t="s">
        <v>201</v>
      </c>
    </row>
    <row r="148" spans="1:57" s="457" customFormat="1" ht="31.5" x14ac:dyDescent="0.25">
      <c r="A148" s="694" t="str">
        <f ca="1">Bérköltség!$B148</f>
        <v>FEOR</v>
      </c>
      <c r="B148" s="694" t="str">
        <f ca="1">IFERROR(
IF(AND(Bérköltség!$F148="",H148="NA"),"HIÁNYOS ADATOK",
IF(Bérköltség!$F148&lt;Bérköltség!$U148,Admin!$B$18,Admin!$B$17)),
"")</f>
        <v>FEOR</v>
      </c>
      <c r="C148" s="437">
        <f>IFERROR(INDEX('Historikus berek_2021-2'!$A$1:$F$903,MATCH(AB148,'Historikus berek_2021-2'!$A$1:$A$903,0),4),"")</f>
        <v>815233.33333333337</v>
      </c>
      <c r="D148" s="438">
        <f t="shared" si="320"/>
        <v>524747.89272030653</v>
      </c>
      <c r="E148" s="437">
        <f t="shared" si="321"/>
        <v>901149</v>
      </c>
      <c r="F148" s="439">
        <f t="shared" si="334"/>
        <v>425333.25122605357</v>
      </c>
      <c r="G148" s="440">
        <f t="shared" si="335"/>
        <v>592965.11877394631</v>
      </c>
      <c r="H148" s="441">
        <f>IFERROR(INDEX('FEOR kodok'!$A$2:$J$1126,MATCH(Bérköltség!AB148,'FEOR kodok'!$B$2:$B$1126,0),8),"NA")</f>
        <v>1413</v>
      </c>
      <c r="I148" s="436">
        <f ca="1">IFERROR(INDEX('FEOR kodok'!$A$2:$J$1126,MATCH(Bérköltség!AB148,'FEOR kodok'!$B$2:$B$1126,0),10),"NA")</f>
        <v>45</v>
      </c>
      <c r="J148" s="442" t="str">
        <f t="shared" ca="1" si="322"/>
        <v>40–49 éves</v>
      </c>
      <c r="K148" s="436" t="str">
        <f>IFERROR(INDEX(admin_feor[#All],MATCH(Bérköltség!H148,admin_feor[[#All],[Foglalkozás]],0),2),"NA")</f>
        <v>Kutatási és fejlesztési tevékenységet folytató egység vezetője</v>
      </c>
      <c r="L148" s="438">
        <f ca="1">IFERROR(
INDEX('Admin - FEOR'!$A$4:$F$465,MATCH(Bérköltség!H148,'Admin - FEOR'!$A$4:$A$465,0),
IF(J148="30 év alatt",3,
IF(J148="30–39 éves",4,
IF(J148="40–49 éves",5,
IF(J148="50 év és afelett",6
)))))*1,"NA")</f>
        <v>1275992</v>
      </c>
      <c r="M148" s="438">
        <f t="shared" si="323"/>
        <v>1400000</v>
      </c>
      <c r="N148" s="443">
        <f t="shared" ca="1" si="324"/>
        <v>1.0971855622919267</v>
      </c>
      <c r="O148" s="438">
        <f ca="1">IFERROR(
INDEX('Admin - FEOR'!$A$4:$F$465,MATCH(Bérköltség!H148,'Admin - FEOR'!$A$4:$A$465,0),
IF(J148="30 év alatt",3,
IF(J148="30–39 éves",4,
IF(J148="40–49 éves",5,
IF(J148="50 év és afelett",6
)))))*1.5,"NA")</f>
        <v>1913988</v>
      </c>
      <c r="P148" s="438">
        <f t="shared" ca="1" si="325"/>
        <v>1231992.2758620689</v>
      </c>
      <c r="Q148" s="438">
        <f t="shared" si="326"/>
        <v>901149</v>
      </c>
      <c r="R148" s="444">
        <f t="shared" si="327"/>
        <v>0.64367816091954022</v>
      </c>
      <c r="S148" s="438">
        <f t="shared" ca="1" si="328"/>
        <v>0</v>
      </c>
      <c r="T148" s="438">
        <f t="shared" ca="1" si="329"/>
        <v>0</v>
      </c>
      <c r="U148" s="445">
        <f t="shared" ca="1" si="330"/>
        <v>0</v>
      </c>
      <c r="V148" s="446">
        <f t="shared" ca="1" si="331"/>
        <v>1018298</v>
      </c>
      <c r="W148" s="447" t="str">
        <f t="shared" ca="1" si="332"/>
        <v>Indoklás szükséges mivel a FEOR: 109,7%</v>
      </c>
      <c r="X148" s="571">
        <f t="shared" ca="1" si="333"/>
        <v>0</v>
      </c>
      <c r="Y148" s="554">
        <f t="shared" ca="1" si="318"/>
        <v>901149</v>
      </c>
      <c r="Z148" s="554">
        <f t="shared" ca="1" si="319"/>
        <v>117149</v>
      </c>
      <c r="AA148" s="101"/>
      <c r="AB148" s="474">
        <v>8407900273</v>
      </c>
      <c r="AC148" s="449" t="s">
        <v>150</v>
      </c>
      <c r="AD148" s="483" t="s">
        <v>45</v>
      </c>
      <c r="AE148" s="450" t="s">
        <v>49</v>
      </c>
      <c r="AF148" s="247" t="s">
        <v>125</v>
      </c>
      <c r="AG148" s="99" t="s">
        <v>194</v>
      </c>
      <c r="AH148" s="451" t="s">
        <v>131</v>
      </c>
      <c r="AI148" s="154">
        <v>45017</v>
      </c>
      <c r="AJ148" s="100" t="str">
        <f>IF(AI148&gt;0,
(IF(AI148&lt;Hónapok!$A$10,Admin!$A$28,
(IF(AI148&lt;Hónapok!$A$22,Admin!$B$28,
(IF(AI148&lt;Hónapok!$A$34,Admin!$C$28,
(IF(AI148&lt;Hónapok!$A$46,Admin!$D$28,"")))))))),"")</f>
        <v>3. mérföldkő</v>
      </c>
      <c r="AK148" s="469" t="s">
        <v>7</v>
      </c>
      <c r="AL148" s="101" t="s">
        <v>26</v>
      </c>
      <c r="AM148" s="900">
        <v>1400000</v>
      </c>
      <c r="AN148" s="860">
        <f t="shared" si="362"/>
        <v>182000</v>
      </c>
      <c r="AO148" s="101">
        <v>174</v>
      </c>
      <c r="AP148" s="111">
        <v>112</v>
      </c>
      <c r="AQ148" s="454">
        <f t="shared" si="313"/>
        <v>0.64367816091954022</v>
      </c>
      <c r="AR148" s="455">
        <f t="shared" si="314"/>
        <v>901149</v>
      </c>
      <c r="AS148" s="455">
        <f t="shared" si="315"/>
        <v>117149</v>
      </c>
      <c r="AT148" s="102">
        <f t="shared" si="316"/>
        <v>3.0377668303049887E-7</v>
      </c>
      <c r="AU148" s="116">
        <v>0.13</v>
      </c>
      <c r="AV148" s="565" t="str">
        <f>VLOOKUP(LEFT(AB148,10),Törzsszám!$A$1:$B$908,2,0)</f>
        <v>10000344</v>
      </c>
      <c r="AW148" s="615">
        <f t="shared" ca="1" si="311"/>
        <v>0</v>
      </c>
      <c r="AX148" s="471" t="s">
        <v>4581</v>
      </c>
      <c r="AY148" s="486">
        <v>1400000</v>
      </c>
      <c r="AZ148" s="502"/>
      <c r="BA148" s="671"/>
      <c r="BB148" s="649"/>
      <c r="BC148" s="649"/>
      <c r="BD148" s="672"/>
      <c r="BE148" s="450" t="s">
        <v>201</v>
      </c>
    </row>
    <row r="149" spans="1:57" s="457" customFormat="1" ht="31.5" x14ac:dyDescent="0.25">
      <c r="A149" s="694" t="str">
        <f ca="1">Bérköltség!$B149</f>
        <v>FEOR</v>
      </c>
      <c r="B149" s="694" t="str">
        <f ca="1">IFERROR(
IF(AND(Bérköltség!$F149="",H149="NA"),"HIÁNYOS ADATOK",
IF(Bérköltség!$F149&lt;Bérköltség!$U149,Admin!$B$18,Admin!$B$17)),
"")</f>
        <v>FEOR</v>
      </c>
      <c r="C149" s="437">
        <f>IFERROR(INDEX('Historikus berek_2021-2'!$A$1:$F$903,MATCH(AB149,'Historikus berek_2021-2'!$A$1:$A$903,0),4),"")</f>
        <v>815233.33333333337</v>
      </c>
      <c r="D149" s="438">
        <f t="shared" si="320"/>
        <v>524747.89272030653</v>
      </c>
      <c r="E149" s="437">
        <f t="shared" si="321"/>
        <v>901149</v>
      </c>
      <c r="F149" s="439">
        <f t="shared" si="334"/>
        <v>425333.25122605357</v>
      </c>
      <c r="G149" s="440">
        <f t="shared" si="335"/>
        <v>592965.11877394631</v>
      </c>
      <c r="H149" s="441">
        <f>IFERROR(INDEX('FEOR kodok'!$A$2:$J$1126,MATCH(Bérköltség!AB149,'FEOR kodok'!$B$2:$B$1126,0),8),"NA")</f>
        <v>1413</v>
      </c>
      <c r="I149" s="436">
        <f ca="1">IFERROR(INDEX('FEOR kodok'!$A$2:$J$1126,MATCH(Bérköltség!AB149,'FEOR kodok'!$B$2:$B$1126,0),10),"NA")</f>
        <v>45</v>
      </c>
      <c r="J149" s="442" t="str">
        <f t="shared" ca="1" si="322"/>
        <v>40–49 éves</v>
      </c>
      <c r="K149" s="436" t="str">
        <f>IFERROR(INDEX(admin_feor[#All],MATCH(Bérköltség!H149,admin_feor[[#All],[Foglalkozás]],0),2),"NA")</f>
        <v>Kutatási és fejlesztési tevékenységet folytató egység vezetője</v>
      </c>
      <c r="L149" s="438">
        <f ca="1">IFERROR(
INDEX('Admin - FEOR'!$A$4:$F$465,MATCH(Bérköltség!H149,'Admin - FEOR'!$A$4:$A$465,0),
IF(J149="30 év alatt",3,
IF(J149="30–39 éves",4,
IF(J149="40–49 éves",5,
IF(J149="50 év és afelett",6
)))))*1,"NA")</f>
        <v>1275992</v>
      </c>
      <c r="M149" s="438">
        <f t="shared" si="323"/>
        <v>1400000</v>
      </c>
      <c r="N149" s="443">
        <f t="shared" ca="1" si="324"/>
        <v>1.0971855622919267</v>
      </c>
      <c r="O149" s="438">
        <f ca="1">IFERROR(
INDEX('Admin - FEOR'!$A$4:$F$465,MATCH(Bérköltség!H149,'Admin - FEOR'!$A$4:$A$465,0),
IF(J149="30 év alatt",3,
IF(J149="30–39 éves",4,
IF(J149="40–49 éves",5,
IF(J149="50 év és afelett",6
)))))*1.5,"NA")</f>
        <v>1913988</v>
      </c>
      <c r="P149" s="438">
        <f t="shared" ca="1" si="325"/>
        <v>1231992.2758620689</v>
      </c>
      <c r="Q149" s="438">
        <f t="shared" si="326"/>
        <v>901149</v>
      </c>
      <c r="R149" s="444">
        <f t="shared" si="327"/>
        <v>0.64367816091954022</v>
      </c>
      <c r="S149" s="438">
        <f t="shared" ca="1" si="328"/>
        <v>0</v>
      </c>
      <c r="T149" s="438">
        <f t="shared" ca="1" si="329"/>
        <v>0</v>
      </c>
      <c r="U149" s="445">
        <f t="shared" ca="1" si="330"/>
        <v>0</v>
      </c>
      <c r="V149" s="446">
        <f t="shared" ca="1" si="331"/>
        <v>1018298</v>
      </c>
      <c r="W149" s="447" t="str">
        <f t="shared" ca="1" si="332"/>
        <v>Indoklás szükséges mivel a FEOR: 109,7%</v>
      </c>
      <c r="X149" s="571">
        <f t="shared" ca="1" si="333"/>
        <v>0</v>
      </c>
      <c r="Y149" s="554">
        <f t="shared" ca="1" si="318"/>
        <v>901149</v>
      </c>
      <c r="Z149" s="554">
        <f t="shared" ca="1" si="319"/>
        <v>117149</v>
      </c>
      <c r="AA149" s="101"/>
      <c r="AB149" s="474">
        <v>8407900273</v>
      </c>
      <c r="AC149" s="449" t="s">
        <v>150</v>
      </c>
      <c r="AD149" s="483" t="s">
        <v>45</v>
      </c>
      <c r="AE149" s="450" t="s">
        <v>49</v>
      </c>
      <c r="AF149" s="247" t="s">
        <v>125</v>
      </c>
      <c r="AG149" s="99" t="s">
        <v>194</v>
      </c>
      <c r="AH149" s="451" t="s">
        <v>131</v>
      </c>
      <c r="AI149" s="154">
        <v>45047</v>
      </c>
      <c r="AJ149" s="100" t="str">
        <f>IF(AI149&gt;0,
(IF(AI149&lt;Hónapok!$A$10,Admin!$A$28,
(IF(AI149&lt;Hónapok!$A$22,Admin!$B$28,
(IF(AI149&lt;Hónapok!$A$34,Admin!$C$28,
(IF(AI149&lt;Hónapok!$A$46,Admin!$D$28,"")))))))),"")</f>
        <v>3. mérföldkő</v>
      </c>
      <c r="AK149" s="469" t="s">
        <v>7</v>
      </c>
      <c r="AL149" s="101" t="s">
        <v>26</v>
      </c>
      <c r="AM149" s="900">
        <v>1400000</v>
      </c>
      <c r="AN149" s="860">
        <f t="shared" si="362"/>
        <v>182000</v>
      </c>
      <c r="AO149" s="101">
        <v>174</v>
      </c>
      <c r="AP149" s="111">
        <v>112</v>
      </c>
      <c r="AQ149" s="454">
        <f t="shared" si="313"/>
        <v>0.64367816091954022</v>
      </c>
      <c r="AR149" s="455">
        <f t="shared" si="314"/>
        <v>901149</v>
      </c>
      <c r="AS149" s="455">
        <f t="shared" si="315"/>
        <v>117149</v>
      </c>
      <c r="AT149" s="102">
        <f t="shared" si="316"/>
        <v>3.0377668303049887E-7</v>
      </c>
      <c r="AU149" s="116">
        <v>0.13</v>
      </c>
      <c r="AV149" s="565" t="str">
        <f>VLOOKUP(LEFT(AB149,10),Törzsszám!$A$1:$B$908,2,0)</f>
        <v>10000344</v>
      </c>
      <c r="AW149" s="615">
        <f t="shared" ca="1" si="311"/>
        <v>0</v>
      </c>
      <c r="AX149" s="471" t="s">
        <v>4596</v>
      </c>
      <c r="AY149" s="486">
        <v>1400000</v>
      </c>
      <c r="AZ149" s="502"/>
      <c r="BA149" s="671"/>
      <c r="BB149" s="649"/>
      <c r="BC149" s="649"/>
      <c r="BD149" s="672"/>
      <c r="BE149" s="450" t="s">
        <v>201</v>
      </c>
    </row>
    <row r="150" spans="1:57" s="457" customFormat="1" ht="31.5" x14ac:dyDescent="0.25">
      <c r="A150" s="694" t="str">
        <f ca="1">Bérköltség!$B150</f>
        <v>FEOR</v>
      </c>
      <c r="B150" s="694" t="str">
        <f ca="1">IFERROR(
IF(AND(Bérköltség!$F150="",H150="NA"),"HIÁNYOS ADATOK",
IF(Bérköltség!$F150&lt;Bérköltség!$U150,Admin!$B$18,Admin!$B$17)),
"")</f>
        <v>FEOR</v>
      </c>
      <c r="C150" s="437">
        <f>IFERROR(INDEX('Historikus berek_2021-2'!$A$1:$F$903,MATCH(AB150,'Historikus berek_2021-2'!$A$1:$A$903,0),4),"")</f>
        <v>815233.33333333337</v>
      </c>
      <c r="D150" s="438">
        <f t="shared" si="320"/>
        <v>524747.89272030653</v>
      </c>
      <c r="E150" s="437">
        <f t="shared" si="321"/>
        <v>901149</v>
      </c>
      <c r="F150" s="439">
        <f t="shared" si="334"/>
        <v>425333.25122605357</v>
      </c>
      <c r="G150" s="440">
        <f t="shared" si="335"/>
        <v>592965.11877394631</v>
      </c>
      <c r="H150" s="441">
        <f>IFERROR(INDEX('FEOR kodok'!$A$2:$J$1126,MATCH(Bérköltség!AB150,'FEOR kodok'!$B$2:$B$1126,0),8),"NA")</f>
        <v>1413</v>
      </c>
      <c r="I150" s="436">
        <f ca="1">IFERROR(INDEX('FEOR kodok'!$A$2:$J$1126,MATCH(Bérköltség!AB150,'FEOR kodok'!$B$2:$B$1126,0),10),"NA")</f>
        <v>45</v>
      </c>
      <c r="J150" s="442" t="str">
        <f t="shared" ca="1" si="322"/>
        <v>40–49 éves</v>
      </c>
      <c r="K150" s="436" t="str">
        <f>IFERROR(INDEX(admin_feor[#All],MATCH(Bérköltség!H150,admin_feor[[#All],[Foglalkozás]],0),2),"NA")</f>
        <v>Kutatási és fejlesztési tevékenységet folytató egység vezetője</v>
      </c>
      <c r="L150" s="438">
        <f ca="1">IFERROR(
INDEX('Admin - FEOR'!$A$4:$F$465,MATCH(Bérköltség!H150,'Admin - FEOR'!$A$4:$A$465,0),
IF(J150="30 év alatt",3,
IF(J150="30–39 éves",4,
IF(J150="40–49 éves",5,
IF(J150="50 év és afelett",6
)))))*1,"NA")</f>
        <v>1275992</v>
      </c>
      <c r="M150" s="438">
        <f t="shared" si="323"/>
        <v>1400000</v>
      </c>
      <c r="N150" s="443">
        <f t="shared" ca="1" si="324"/>
        <v>1.0971855622919267</v>
      </c>
      <c r="O150" s="438">
        <f ca="1">IFERROR(
INDEX('Admin - FEOR'!$A$4:$F$465,MATCH(Bérköltség!H150,'Admin - FEOR'!$A$4:$A$465,0),
IF(J150="30 év alatt",3,
IF(J150="30–39 éves",4,
IF(J150="40–49 éves",5,
IF(J150="50 év és afelett",6
)))))*1.5,"NA")</f>
        <v>1913988</v>
      </c>
      <c r="P150" s="438">
        <f t="shared" ca="1" si="325"/>
        <v>1231992.2758620689</v>
      </c>
      <c r="Q150" s="438">
        <f t="shared" si="326"/>
        <v>901149</v>
      </c>
      <c r="R150" s="444">
        <f t="shared" si="327"/>
        <v>0.64367816091954022</v>
      </c>
      <c r="S150" s="438">
        <f t="shared" ca="1" si="328"/>
        <v>0</v>
      </c>
      <c r="T150" s="438">
        <f t="shared" ca="1" si="329"/>
        <v>0</v>
      </c>
      <c r="U150" s="445">
        <f t="shared" ca="1" si="330"/>
        <v>0</v>
      </c>
      <c r="V150" s="446">
        <f t="shared" ca="1" si="331"/>
        <v>1018298</v>
      </c>
      <c r="W150" s="447" t="str">
        <f t="shared" ca="1" si="332"/>
        <v>Indoklás szükséges mivel a FEOR: 109,7%</v>
      </c>
      <c r="X150" s="571">
        <f t="shared" ca="1" si="333"/>
        <v>0</v>
      </c>
      <c r="Y150" s="554">
        <f t="shared" ca="1" si="318"/>
        <v>901149</v>
      </c>
      <c r="Z150" s="554">
        <f t="shared" ca="1" si="319"/>
        <v>117149</v>
      </c>
      <c r="AA150" s="101"/>
      <c r="AB150" s="474">
        <v>8407900273</v>
      </c>
      <c r="AC150" s="449" t="s">
        <v>150</v>
      </c>
      <c r="AD150" s="483" t="s">
        <v>45</v>
      </c>
      <c r="AE150" s="450" t="s">
        <v>49</v>
      </c>
      <c r="AF150" s="247" t="s">
        <v>125</v>
      </c>
      <c r="AG150" s="99" t="s">
        <v>194</v>
      </c>
      <c r="AH150" s="451" t="s">
        <v>131</v>
      </c>
      <c r="AI150" s="154">
        <v>45078</v>
      </c>
      <c r="AJ150" s="100" t="str">
        <f>IF(AI150&gt;0,
(IF(AI150&lt;Hónapok!$A$10,Admin!$A$28,
(IF(AI150&lt;Hónapok!$A$22,Admin!$B$28,
(IF(AI150&lt;Hónapok!$A$34,Admin!$C$28,
(IF(AI150&lt;Hónapok!$A$46,Admin!$D$28,"")))))))),"")</f>
        <v>3. mérföldkő</v>
      </c>
      <c r="AK150" s="469" t="s">
        <v>7</v>
      </c>
      <c r="AL150" s="101" t="s">
        <v>26</v>
      </c>
      <c r="AM150" s="900">
        <v>1400000</v>
      </c>
      <c r="AN150" s="860">
        <f t="shared" si="362"/>
        <v>182000</v>
      </c>
      <c r="AO150" s="101">
        <v>174</v>
      </c>
      <c r="AP150" s="111">
        <v>112</v>
      </c>
      <c r="AQ150" s="843">
        <f t="shared" si="313"/>
        <v>0.64367816091954022</v>
      </c>
      <c r="AR150" s="455">
        <f t="shared" si="314"/>
        <v>901149</v>
      </c>
      <c r="AS150" s="455">
        <f t="shared" si="315"/>
        <v>117149</v>
      </c>
      <c r="AT150" s="102">
        <f t="shared" si="316"/>
        <v>3.0377668303049887E-7</v>
      </c>
      <c r="AU150" s="116">
        <v>0.13</v>
      </c>
      <c r="AV150" s="565" t="str">
        <f>VLOOKUP(LEFT(AB150,10),Törzsszám!$A$1:$B$908,2,0)</f>
        <v>10000344</v>
      </c>
      <c r="AW150" s="615">
        <f t="shared" ca="1" si="311"/>
        <v>0</v>
      </c>
      <c r="AX150" s="471" t="s">
        <v>4606</v>
      </c>
      <c r="AY150" s="486">
        <v>1400000</v>
      </c>
      <c r="AZ150" s="502"/>
      <c r="BA150" s="671"/>
      <c r="BB150" s="649"/>
      <c r="BC150" s="649"/>
      <c r="BD150" s="672"/>
      <c r="BE150" s="450" t="s">
        <v>201</v>
      </c>
    </row>
    <row r="151" spans="1:57" s="457" customFormat="1" ht="31.5" x14ac:dyDescent="0.25">
      <c r="A151" s="694" t="str">
        <f ca="1">Bérköltség!$B151</f>
        <v>FEOR</v>
      </c>
      <c r="B151" s="694" t="str">
        <f ca="1">IFERROR(
IF(AND(Bérköltség!$F151="",H151="NA"),"HIÁNYOS ADATOK",
IF(Bérköltség!$F151&lt;Bérköltség!$U151,Admin!$B$18,Admin!$B$17)),
"")</f>
        <v>FEOR</v>
      </c>
      <c r="C151" s="437">
        <f>IFERROR(INDEX('Historikus berek_2021-2'!$A$1:$F$903,MATCH(AB151,'Historikus berek_2021-2'!$A$1:$A$903,0),4),"")</f>
        <v>815233.33333333337</v>
      </c>
      <c r="D151" s="438">
        <f t="shared" si="320"/>
        <v>524747.89272030653</v>
      </c>
      <c r="E151" s="437">
        <f t="shared" si="321"/>
        <v>901149</v>
      </c>
      <c r="F151" s="439">
        <f t="shared" si="334"/>
        <v>425333.25122605357</v>
      </c>
      <c r="G151" s="440">
        <f t="shared" si="335"/>
        <v>592965.11877394631</v>
      </c>
      <c r="H151" s="441">
        <f>IFERROR(INDEX('FEOR kodok'!$A$2:$J$1126,MATCH(Bérköltség!AB151,'FEOR kodok'!$B$2:$B$1126,0),8),"NA")</f>
        <v>1413</v>
      </c>
      <c r="I151" s="436">
        <f ca="1">IFERROR(INDEX('FEOR kodok'!$A$2:$J$1126,MATCH(Bérköltség!AB151,'FEOR kodok'!$B$2:$B$1126,0),10),"NA")</f>
        <v>45</v>
      </c>
      <c r="J151" s="442" t="str">
        <f t="shared" ca="1" si="322"/>
        <v>40–49 éves</v>
      </c>
      <c r="K151" s="436" t="str">
        <f>IFERROR(INDEX(admin_feor[#All],MATCH(Bérköltség!H151,admin_feor[[#All],[Foglalkozás]],0),2),"NA")</f>
        <v>Kutatási és fejlesztési tevékenységet folytató egység vezetője</v>
      </c>
      <c r="L151" s="438">
        <f ca="1">IFERROR(
INDEX('Admin - FEOR'!$A$4:$F$465,MATCH(Bérköltség!H151,'Admin - FEOR'!$A$4:$A$465,0),
IF(J151="30 év alatt",3,
IF(J151="30–39 éves",4,
IF(J151="40–49 éves",5,
IF(J151="50 év és afelett",6
)))))*1,"NA")</f>
        <v>1275992</v>
      </c>
      <c r="M151" s="438">
        <f t="shared" si="323"/>
        <v>1400000</v>
      </c>
      <c r="N151" s="443">
        <f t="shared" ca="1" si="324"/>
        <v>1.0971855622919267</v>
      </c>
      <c r="O151" s="438">
        <f ca="1">IFERROR(
INDEX('Admin - FEOR'!$A$4:$F$465,MATCH(Bérköltség!H151,'Admin - FEOR'!$A$4:$A$465,0),
IF(J151="30 év alatt",3,
IF(J151="30–39 éves",4,
IF(J151="40–49 éves",5,
IF(J151="50 év és afelett",6
)))))*1.5,"NA")</f>
        <v>1913988</v>
      </c>
      <c r="P151" s="438">
        <f t="shared" ca="1" si="325"/>
        <v>1231992.2758620689</v>
      </c>
      <c r="Q151" s="438">
        <f t="shared" si="326"/>
        <v>901149</v>
      </c>
      <c r="R151" s="444">
        <f t="shared" si="327"/>
        <v>0.64367816091954022</v>
      </c>
      <c r="S151" s="438">
        <f t="shared" ca="1" si="328"/>
        <v>0</v>
      </c>
      <c r="T151" s="438">
        <f t="shared" ca="1" si="329"/>
        <v>0</v>
      </c>
      <c r="U151" s="445">
        <f t="shared" ca="1" si="330"/>
        <v>0</v>
      </c>
      <c r="V151" s="446">
        <f t="shared" ca="1" si="331"/>
        <v>1018298</v>
      </c>
      <c r="W151" s="447" t="str">
        <f t="shared" ca="1" si="332"/>
        <v>Indoklás szükséges mivel a FEOR: 109,7%</v>
      </c>
      <c r="X151" s="571">
        <f t="shared" ca="1" si="333"/>
        <v>0</v>
      </c>
      <c r="Y151" s="554">
        <f t="shared" ca="1" si="318"/>
        <v>901149</v>
      </c>
      <c r="Z151" s="554">
        <f t="shared" ca="1" si="319"/>
        <v>117149</v>
      </c>
      <c r="AA151" s="101"/>
      <c r="AB151" s="474">
        <v>8407900273</v>
      </c>
      <c r="AC151" s="449" t="s">
        <v>150</v>
      </c>
      <c r="AD151" s="482" t="s">
        <v>45</v>
      </c>
      <c r="AE151" s="450" t="s">
        <v>49</v>
      </c>
      <c r="AF151" s="247" t="s">
        <v>125</v>
      </c>
      <c r="AG151" s="99" t="s">
        <v>194</v>
      </c>
      <c r="AH151" s="451" t="s">
        <v>131</v>
      </c>
      <c r="AI151" s="154">
        <v>45108</v>
      </c>
      <c r="AJ151" s="100" t="str">
        <f>IF(AI151&gt;0,
(IF(AI151&lt;Hónapok!$A$10,Admin!$A$28,
(IF(AI151&lt;Hónapok!$A$22,Admin!$B$28,
(IF(AI151&lt;Hónapok!$A$34,Admin!$C$28,
(IF(AI151&lt;Hónapok!$A$46,Admin!$D$28,"")))))))),"")</f>
        <v>3. mérföldkő</v>
      </c>
      <c r="AK151" s="469" t="s">
        <v>7</v>
      </c>
      <c r="AL151" s="101" t="s">
        <v>26</v>
      </c>
      <c r="AM151" s="900">
        <v>1400000</v>
      </c>
      <c r="AN151" s="860">
        <f t="shared" si="362"/>
        <v>182000</v>
      </c>
      <c r="AO151" s="101">
        <v>174</v>
      </c>
      <c r="AP151" s="111">
        <v>112</v>
      </c>
      <c r="AQ151" s="682">
        <f t="shared" si="313"/>
        <v>0.64367816091954022</v>
      </c>
      <c r="AR151" s="455">
        <f t="shared" si="314"/>
        <v>901149</v>
      </c>
      <c r="AS151" s="455">
        <f t="shared" si="315"/>
        <v>117149</v>
      </c>
      <c r="AT151" s="102">
        <f t="shared" si="316"/>
        <v>3.0377668303049887E-7</v>
      </c>
      <c r="AU151" s="116">
        <v>0.13</v>
      </c>
      <c r="AV151" s="565" t="str">
        <f>VLOOKUP(LEFT(AB151,10),Törzsszám!$A$1:$B$908,2,0)</f>
        <v>10000344</v>
      </c>
      <c r="AW151" s="615">
        <f t="shared" ca="1" si="311"/>
        <v>0</v>
      </c>
      <c r="AX151" s="471" t="s">
        <v>4610</v>
      </c>
      <c r="AY151" s="486">
        <v>1400000</v>
      </c>
      <c r="AZ151" s="502"/>
      <c r="BA151" s="671"/>
      <c r="BB151" s="649"/>
      <c r="BC151" s="649"/>
      <c r="BD151" s="672"/>
      <c r="BE151" s="450" t="s">
        <v>201</v>
      </c>
    </row>
    <row r="152" spans="1:57" s="457" customFormat="1" ht="31.5" x14ac:dyDescent="0.25">
      <c r="A152" s="694" t="str">
        <f ca="1">Bérköltség!$B152</f>
        <v>FEOR</v>
      </c>
      <c r="B152" s="694" t="str">
        <f ca="1">IFERROR(
IF(AND(Bérköltség!$F152="",H152="NA"),"HIÁNYOS ADATOK",
IF(Bérköltség!$F152&lt;Bérköltség!$U152,Admin!$B$18,Admin!$B$17)),
"")</f>
        <v>FEOR</v>
      </c>
      <c r="C152" s="437">
        <f>IFERROR(INDEX('Historikus berek_2021-2'!$A$1:$F$903,MATCH(AB152,'Historikus berek_2021-2'!$A$1:$A$903,0),4),"")</f>
        <v>815233.33333333337</v>
      </c>
      <c r="D152" s="438">
        <f t="shared" si="320"/>
        <v>524747.89272030653</v>
      </c>
      <c r="E152" s="437">
        <f t="shared" si="321"/>
        <v>901149</v>
      </c>
      <c r="F152" s="439">
        <f t="shared" si="334"/>
        <v>425333.25122605357</v>
      </c>
      <c r="G152" s="440">
        <f t="shared" si="335"/>
        <v>592965.11877394631</v>
      </c>
      <c r="H152" s="441">
        <f>IFERROR(INDEX('FEOR kodok'!$A$2:$J$1126,MATCH(Bérköltség!AB152,'FEOR kodok'!$B$2:$B$1126,0),8),"NA")</f>
        <v>1413</v>
      </c>
      <c r="I152" s="436">
        <f ca="1">IFERROR(INDEX('FEOR kodok'!$A$2:$J$1126,MATCH(Bérköltség!AB152,'FEOR kodok'!$B$2:$B$1126,0),10),"NA")</f>
        <v>45</v>
      </c>
      <c r="J152" s="442" t="str">
        <f t="shared" ca="1" si="322"/>
        <v>40–49 éves</v>
      </c>
      <c r="K152" s="436" t="str">
        <f>IFERROR(INDEX(admin_feor[#All],MATCH(Bérköltség!H152,admin_feor[[#All],[Foglalkozás]],0),2),"NA")</f>
        <v>Kutatási és fejlesztési tevékenységet folytató egység vezetője</v>
      </c>
      <c r="L152" s="438">
        <f ca="1">IFERROR(
INDEX('Admin - FEOR'!$A$4:$F$465,MATCH(Bérköltség!H152,'Admin - FEOR'!$A$4:$A$465,0),
IF(J152="30 év alatt",3,
IF(J152="30–39 éves",4,
IF(J152="40–49 éves",5,
IF(J152="50 év és afelett",6
)))))*1,"NA")</f>
        <v>1275992</v>
      </c>
      <c r="M152" s="438">
        <f t="shared" si="323"/>
        <v>1400000</v>
      </c>
      <c r="N152" s="443">
        <f t="shared" ca="1" si="324"/>
        <v>1.0971855622919267</v>
      </c>
      <c r="O152" s="438">
        <f ca="1">IFERROR(
INDEX('Admin - FEOR'!$A$4:$F$465,MATCH(Bérköltség!H152,'Admin - FEOR'!$A$4:$A$465,0),
IF(J152="30 év alatt",3,
IF(J152="30–39 éves",4,
IF(J152="40–49 éves",5,
IF(J152="50 év és afelett",6
)))))*1.5,"NA")</f>
        <v>1913988</v>
      </c>
      <c r="P152" s="438">
        <f t="shared" ca="1" si="325"/>
        <v>1231992.2758620689</v>
      </c>
      <c r="Q152" s="438">
        <f t="shared" si="326"/>
        <v>901149</v>
      </c>
      <c r="R152" s="444">
        <f t="shared" si="327"/>
        <v>0.64367816091954022</v>
      </c>
      <c r="S152" s="438">
        <f t="shared" ca="1" si="328"/>
        <v>0</v>
      </c>
      <c r="T152" s="438">
        <f t="shared" ca="1" si="329"/>
        <v>0</v>
      </c>
      <c r="U152" s="445">
        <f t="shared" ca="1" si="330"/>
        <v>0</v>
      </c>
      <c r="V152" s="446">
        <f t="shared" ca="1" si="331"/>
        <v>1018298</v>
      </c>
      <c r="W152" s="447" t="str">
        <f t="shared" ca="1" si="332"/>
        <v>Indoklás szükséges mivel a FEOR: 109,7%</v>
      </c>
      <c r="X152" s="571">
        <f t="shared" ca="1" si="333"/>
        <v>0</v>
      </c>
      <c r="Y152" s="554">
        <f t="shared" ca="1" si="318"/>
        <v>901149</v>
      </c>
      <c r="Z152" s="554">
        <f t="shared" ca="1" si="319"/>
        <v>117149</v>
      </c>
      <c r="AA152" s="101"/>
      <c r="AB152" s="474">
        <v>8407900273</v>
      </c>
      <c r="AC152" s="449" t="s">
        <v>150</v>
      </c>
      <c r="AD152" s="483" t="s">
        <v>45</v>
      </c>
      <c r="AE152" s="450" t="s">
        <v>49</v>
      </c>
      <c r="AF152" s="247" t="s">
        <v>125</v>
      </c>
      <c r="AG152" s="99" t="s">
        <v>194</v>
      </c>
      <c r="AH152" s="451" t="s">
        <v>131</v>
      </c>
      <c r="AI152" s="154">
        <v>45139</v>
      </c>
      <c r="AJ152" s="100" t="str">
        <f>IF(AI152&gt;0,
(IF(AI152&lt;Hónapok!$A$10,Admin!$A$28,
(IF(AI152&lt;Hónapok!$A$22,Admin!$B$28,
(IF(AI152&lt;Hónapok!$A$34,Admin!$C$28,
(IF(AI152&lt;Hónapok!$A$46,Admin!$D$28,"")))))))),"")</f>
        <v>3. mérföldkő</v>
      </c>
      <c r="AK152" s="469" t="s">
        <v>7</v>
      </c>
      <c r="AL152" s="101" t="s">
        <v>26</v>
      </c>
      <c r="AM152" s="900">
        <v>1400000</v>
      </c>
      <c r="AN152" s="860">
        <f t="shared" si="362"/>
        <v>182000</v>
      </c>
      <c r="AO152" s="101">
        <v>174</v>
      </c>
      <c r="AP152" s="111">
        <v>112</v>
      </c>
      <c r="AQ152" s="454">
        <f t="shared" si="313"/>
        <v>0.64367816091954022</v>
      </c>
      <c r="AR152" s="455">
        <f t="shared" si="314"/>
        <v>901149</v>
      </c>
      <c r="AS152" s="455">
        <f t="shared" si="315"/>
        <v>117149</v>
      </c>
      <c r="AT152" s="102">
        <f t="shared" si="316"/>
        <v>3.0377668303049887E-7</v>
      </c>
      <c r="AU152" s="116">
        <v>0.13</v>
      </c>
      <c r="AV152" s="565" t="str">
        <f>VLOOKUP(LEFT(AB152,10),Törzsszám!$A$1:$B$908,2,0)</f>
        <v>10000344</v>
      </c>
      <c r="AW152" s="615">
        <f t="shared" ca="1" si="311"/>
        <v>0</v>
      </c>
      <c r="AX152" s="471" t="s">
        <v>4613</v>
      </c>
      <c r="AY152" s="486">
        <v>1400000</v>
      </c>
      <c r="AZ152" s="502"/>
      <c r="BA152" s="671"/>
      <c r="BB152" s="649"/>
      <c r="BC152" s="649"/>
      <c r="BD152" s="672"/>
      <c r="BE152" s="450" t="s">
        <v>201</v>
      </c>
    </row>
    <row r="153" spans="1:57" s="457" customFormat="1" ht="31.5" x14ac:dyDescent="0.25">
      <c r="A153" s="694" t="str">
        <f ca="1">Bérköltség!$B153</f>
        <v>FEOR</v>
      </c>
      <c r="B153" s="694" t="str">
        <f ca="1">IFERROR(
IF(AND(Bérköltség!$F153="",H153="NA"),"HIÁNYOS ADATOK",
IF(Bérköltség!$F153&lt;Bérköltség!$U153,Admin!$B$18,Admin!$B$17)),
"")</f>
        <v>FEOR</v>
      </c>
      <c r="C153" s="437">
        <f>IFERROR(INDEX('Historikus berek_2021-2'!$A$1:$F$903,MATCH(AB153,'Historikus berek_2021-2'!$A$1:$A$903,0),4),"")</f>
        <v>815233.33333333337</v>
      </c>
      <c r="D153" s="438">
        <f t="shared" ref="D153:D158" si="364">IFERROR(C153*AQ153,"NA")</f>
        <v>524747.89272030653</v>
      </c>
      <c r="E153" s="437">
        <f t="shared" ref="E153:E158" si="365">AR153</f>
        <v>901149</v>
      </c>
      <c r="F153" s="439">
        <f t="shared" ref="F153:F158" si="366">IFERROR(IF((E153*(1+AU153)-D153*(1+AU153))&lt;0,0,(E153*(1+AU153)-D153*(1+AU153))),"")</f>
        <v>425333.25122605357</v>
      </c>
      <c r="G153" s="440">
        <f t="shared" ref="G153:G158" si="367">IFERROR((E153*(1+AU153)-F153),"")</f>
        <v>592965.11877394631</v>
      </c>
      <c r="H153" s="441">
        <f>IFERROR(INDEX('FEOR kodok'!$A$2:$J$1126,MATCH(Bérköltség!AB153,'FEOR kodok'!$B$2:$B$1126,0),8),"NA")</f>
        <v>1413</v>
      </c>
      <c r="I153" s="436">
        <f ca="1">IFERROR(INDEX('FEOR kodok'!$A$2:$J$1126,MATCH(Bérköltség!AB153,'FEOR kodok'!$B$2:$B$1126,0),10),"NA")</f>
        <v>45</v>
      </c>
      <c r="J153" s="442" t="str">
        <f t="shared" ref="J153:J158" ca="1" si="368">IF(I153="NA","NA",
IF(I153&lt;30,"30 év alatt",
IF(AND(I153&gt;=30,I153&lt;=39),"30–39 éves",
IF(AND(I153&gt;=40,I153&lt;=49),"40–49 éves",
IF(I153&gt;=50,"50 év és afelett",
"")))))</f>
        <v>40–49 éves</v>
      </c>
      <c r="K153" s="436" t="str">
        <f>IFERROR(INDEX(admin_feor[#All],MATCH(Bérköltség!H153,admin_feor[[#All],[Foglalkozás]],0),2),"NA")</f>
        <v>Kutatási és fejlesztési tevékenységet folytató egység vezetője</v>
      </c>
      <c r="L153" s="438">
        <f ca="1">IFERROR(
INDEX('Admin - FEOR'!$A$4:$F$465,MATCH(Bérköltség!H153,'Admin - FEOR'!$A$4:$A$465,0),
IF(J153="30 év alatt",3,
IF(J153="30–39 éves",4,
IF(J153="40–49 éves",5,
IF(J153="50 év és afelett",6
)))))*1,"NA")</f>
        <v>1275992</v>
      </c>
      <c r="M153" s="438">
        <f t="shared" ref="M153:M158" si="369">AM153</f>
        <v>1400000</v>
      </c>
      <c r="N153" s="443">
        <f t="shared" ref="N153:N158" ca="1" si="370">IFERROR(
M153/L153,"NA")</f>
        <v>1.0971855622919267</v>
      </c>
      <c r="O153" s="438">
        <f ca="1">IFERROR(
INDEX('Admin - FEOR'!$A$4:$F$465,MATCH(Bérköltség!H153,'Admin - FEOR'!$A$4:$A$465,0),
IF(J153="30 év alatt",3,
IF(J153="30–39 éves",4,
IF(J153="40–49 éves",5,
IF(J153="50 év és afelett",6
)))))*1.5,"NA")</f>
        <v>1913988</v>
      </c>
      <c r="P153" s="438">
        <f t="shared" ref="P153:P158" ca="1" si="371">IFERROR(
AQ153*O153,"NA")</f>
        <v>1231992.2758620689</v>
      </c>
      <c r="Q153" s="438">
        <f t="shared" ref="Q153:Q158" si="372">IFERROR(AR153,"")</f>
        <v>901149</v>
      </c>
      <c r="R153" s="444">
        <f t="shared" ref="R153:R158" si="373">IFERROR(AQ153,"")</f>
        <v>0.64367816091954022</v>
      </c>
      <c r="S153" s="438">
        <f t="shared" ref="S153:S158" ca="1" si="374">IFERROR(
IF(AR153-P153&lt;0,0,AR153-P153),"NA")</f>
        <v>0</v>
      </c>
      <c r="T153" s="438">
        <f t="shared" ref="T153:T158" ca="1" si="375">IFERROR(
S153*AU153,"NA")</f>
        <v>0</v>
      </c>
      <c r="U153" s="445">
        <f t="shared" ref="U153:U158" ca="1" si="376">IFERROR(
S153+T153,"NA")</f>
        <v>0</v>
      </c>
      <c r="V153" s="446">
        <f t="shared" ref="V153:V158" ca="1" si="377">IFERROR(
IF(U153&gt;0,AR153+AS153-U153,AR153+AS153),"NA")</f>
        <v>1018298</v>
      </c>
      <c r="W153" s="447" t="str">
        <f t="shared" ref="W153:W158" ca="1" si="378">IF(P153="NA","FEOR hiányzik",
IF(AND(N153&gt;1,A153="FEOR"),CONCATENATE("Indoklás szükséges mivel a FEOR: ",ROUND(N153*100,1),"%"),"Nem szükséges indoklás.")
)</f>
        <v>Indoklás szükséges mivel a FEOR: 109,7%</v>
      </c>
      <c r="X153" s="571">
        <f t="shared" ref="X153:X158" ca="1" si="379">IF(A153="FEOR",U153,IF(A153="HIÁNYOS ADATOK","HIÁNYOS ADATOK",F153))</f>
        <v>0</v>
      </c>
      <c r="Y153" s="554">
        <f t="shared" ref="Y153:Y158" ca="1" si="380">IF(A153="FEOR",ROUND(V153/(1+AU153),0),IF(A153="HIÁNYOS ADATOK","HIÁNYOS ADATOK",ROUND(G153/(1+AU153),0)))</f>
        <v>901149</v>
      </c>
      <c r="Z153" s="554">
        <f t="shared" ref="Z153:Z158" ca="1" si="381">IF(A153="FEOR",ROUND(V153-Y153,0),IF(A153="HIÁNYOS ADATOK","HIÁNYOS ADATOK",ROUND(G153-Y153,0)))</f>
        <v>117149</v>
      </c>
      <c r="AA153" s="101"/>
      <c r="AB153" s="474">
        <v>8407900273</v>
      </c>
      <c r="AC153" s="449" t="s">
        <v>150</v>
      </c>
      <c r="AD153" s="483" t="s">
        <v>45</v>
      </c>
      <c r="AE153" s="450" t="s">
        <v>49</v>
      </c>
      <c r="AF153" s="247" t="s">
        <v>125</v>
      </c>
      <c r="AG153" s="99" t="s">
        <v>194</v>
      </c>
      <c r="AH153" s="451" t="s">
        <v>131</v>
      </c>
      <c r="AI153" s="154">
        <v>45170</v>
      </c>
      <c r="AJ153" s="100" t="str">
        <f>IF(AI153&gt;0,
(IF(AI153&lt;Hónapok!$A$10,Admin!$A$28,
(IF(AI153&lt;Hónapok!$A$22,Admin!$B$28,
(IF(AI153&lt;Hónapok!$A$34,Admin!$C$28,
(IF(AI153&lt;Hónapok!$A$46,Admin!$D$28,"")))))))),"")</f>
        <v>3. mérföldkő</v>
      </c>
      <c r="AK153" s="469" t="s">
        <v>7</v>
      </c>
      <c r="AL153" s="101" t="s">
        <v>26</v>
      </c>
      <c r="AM153" s="908">
        <v>1400000</v>
      </c>
      <c r="AN153" s="860">
        <f t="shared" ref="AN153:AN158" si="382">IFERROR(ROUND(AM153*AU153,0),"")</f>
        <v>182000</v>
      </c>
      <c r="AO153" s="101">
        <v>174</v>
      </c>
      <c r="AP153" s="111">
        <v>112</v>
      </c>
      <c r="AQ153" s="454">
        <f t="shared" ref="AQ153:AQ158" si="383">IFERROR(AP153/AO153,"")</f>
        <v>0.64367816091954022</v>
      </c>
      <c r="AR153" s="455">
        <f t="shared" ref="AR153:AR158" si="384">IFERROR(ROUND(AM153*AP153/AO153,0),"")</f>
        <v>901149</v>
      </c>
      <c r="AS153" s="455">
        <f t="shared" ref="AS153:AS158" si="385">IFERROR(ROUND(AR153*AU153,0),"")</f>
        <v>117149</v>
      </c>
      <c r="AT153" s="102">
        <f t="shared" ref="AT153:AT158" si="386">IFERROR(AP153/AO153-AR153/AM153,"")</f>
        <v>3.0377668303049887E-7</v>
      </c>
      <c r="AU153" s="116">
        <v>0.13</v>
      </c>
      <c r="AV153" s="565" t="str">
        <f>VLOOKUP(LEFT(AB153,10),Törzsszám!$A$1:$B$908,2,0)</f>
        <v>10000344</v>
      </c>
      <c r="AW153" s="615">
        <f t="shared" ref="AW153:AW158" ca="1" si="387">(Y153+Z153)-(AR153+AS153)</f>
        <v>0</v>
      </c>
      <c r="AX153" s="471" t="s">
        <v>4618</v>
      </c>
      <c r="AY153" s="486">
        <v>1400000</v>
      </c>
      <c r="AZ153" s="502"/>
      <c r="BA153" s="671"/>
      <c r="BB153" s="649"/>
      <c r="BC153" s="649"/>
      <c r="BD153" s="672"/>
      <c r="BE153" s="450" t="s">
        <v>201</v>
      </c>
    </row>
    <row r="154" spans="1:57" s="457" customFormat="1" ht="31.5" x14ac:dyDescent="0.25">
      <c r="A154" s="694" t="str">
        <f ca="1">Bérköltség!$B154</f>
        <v>FEOR</v>
      </c>
      <c r="B154" s="694" t="str">
        <f ca="1">IFERROR(
IF(AND(Bérköltség!$F154="",H154="NA"),"HIÁNYOS ADATOK",
IF(Bérköltség!$F154&lt;Bérköltség!$U154,Admin!$B$18,Admin!$B$17)),
"")</f>
        <v>FEOR</v>
      </c>
      <c r="C154" s="437">
        <f>IFERROR(INDEX('Historikus berek_2021-2'!$A$1:$F$903,MATCH(AB154,'Historikus berek_2021-2'!$A$1:$A$903,0),4),"")</f>
        <v>815233.33333333337</v>
      </c>
      <c r="D154" s="438">
        <f t="shared" si="364"/>
        <v>524747.89272030653</v>
      </c>
      <c r="E154" s="437">
        <f t="shared" si="365"/>
        <v>901149</v>
      </c>
      <c r="F154" s="439">
        <f t="shared" si="366"/>
        <v>425333.25122605357</v>
      </c>
      <c r="G154" s="440">
        <f t="shared" si="367"/>
        <v>592965.11877394631</v>
      </c>
      <c r="H154" s="441">
        <f>IFERROR(INDEX('FEOR kodok'!$A$2:$J$1126,MATCH(Bérköltség!AB154,'FEOR kodok'!$B$2:$B$1126,0),8),"NA")</f>
        <v>1413</v>
      </c>
      <c r="I154" s="436">
        <f ca="1">IFERROR(INDEX('FEOR kodok'!$A$2:$J$1126,MATCH(Bérköltség!AB154,'FEOR kodok'!$B$2:$B$1126,0),10),"NA")</f>
        <v>45</v>
      </c>
      <c r="J154" s="442" t="str">
        <f t="shared" ca="1" si="368"/>
        <v>40–49 éves</v>
      </c>
      <c r="K154" s="436" t="str">
        <f>IFERROR(INDEX(admin_feor[#All],MATCH(Bérköltség!H154,admin_feor[[#All],[Foglalkozás]],0),2),"NA")</f>
        <v>Kutatási és fejlesztési tevékenységet folytató egység vezetője</v>
      </c>
      <c r="L154" s="438">
        <f ca="1">IFERROR(
INDEX('Admin - FEOR'!$A$4:$F$465,MATCH(Bérköltség!H154,'Admin - FEOR'!$A$4:$A$465,0),
IF(J154="30 év alatt",3,
IF(J154="30–39 éves",4,
IF(J154="40–49 éves",5,
IF(J154="50 év és afelett",6
)))))*1,"NA")</f>
        <v>1275992</v>
      </c>
      <c r="M154" s="438">
        <f t="shared" si="369"/>
        <v>1400000</v>
      </c>
      <c r="N154" s="443">
        <f t="shared" ca="1" si="370"/>
        <v>1.0971855622919267</v>
      </c>
      <c r="O154" s="438">
        <f ca="1">IFERROR(
INDEX('Admin - FEOR'!$A$4:$F$465,MATCH(Bérköltség!H154,'Admin - FEOR'!$A$4:$A$465,0),
IF(J154="30 év alatt",3,
IF(J154="30–39 éves",4,
IF(J154="40–49 éves",5,
IF(J154="50 év és afelett",6
)))))*1.5,"NA")</f>
        <v>1913988</v>
      </c>
      <c r="P154" s="438">
        <f t="shared" ca="1" si="371"/>
        <v>1231992.2758620689</v>
      </c>
      <c r="Q154" s="438">
        <f t="shared" si="372"/>
        <v>901149</v>
      </c>
      <c r="R154" s="444">
        <f t="shared" si="373"/>
        <v>0.64367816091954022</v>
      </c>
      <c r="S154" s="438">
        <f t="shared" ca="1" si="374"/>
        <v>0</v>
      </c>
      <c r="T154" s="438">
        <f t="shared" ca="1" si="375"/>
        <v>0</v>
      </c>
      <c r="U154" s="445">
        <f t="shared" ca="1" si="376"/>
        <v>0</v>
      </c>
      <c r="V154" s="446">
        <f t="shared" ca="1" si="377"/>
        <v>1018298</v>
      </c>
      <c r="W154" s="447" t="str">
        <f t="shared" ca="1" si="378"/>
        <v>Indoklás szükséges mivel a FEOR: 109,7%</v>
      </c>
      <c r="X154" s="571">
        <f t="shared" ca="1" si="379"/>
        <v>0</v>
      </c>
      <c r="Y154" s="554">
        <f t="shared" ca="1" si="380"/>
        <v>901149</v>
      </c>
      <c r="Z154" s="554">
        <f t="shared" ca="1" si="381"/>
        <v>117149</v>
      </c>
      <c r="AA154" s="101"/>
      <c r="AB154" s="474">
        <v>8407900273</v>
      </c>
      <c r="AC154" s="449" t="s">
        <v>150</v>
      </c>
      <c r="AD154" s="483" t="s">
        <v>45</v>
      </c>
      <c r="AE154" s="450" t="s">
        <v>49</v>
      </c>
      <c r="AF154" s="247" t="s">
        <v>125</v>
      </c>
      <c r="AG154" s="99" t="s">
        <v>194</v>
      </c>
      <c r="AH154" s="451" t="s">
        <v>131</v>
      </c>
      <c r="AI154" s="154">
        <v>45200</v>
      </c>
      <c r="AJ154" s="100" t="str">
        <f>IF(AI154&gt;0,
(IF(AI154&lt;Hónapok!$A$10,Admin!$A$28,
(IF(AI154&lt;Hónapok!$A$22,Admin!$B$28,
(IF(AI154&lt;Hónapok!$A$34,Admin!$C$28,
(IF(AI154&lt;Hónapok!$A$46,Admin!$D$28,"")))))))),"")</f>
        <v>3. mérföldkő</v>
      </c>
      <c r="AK154" s="469" t="s">
        <v>8</v>
      </c>
      <c r="AL154" s="101" t="s">
        <v>26</v>
      </c>
      <c r="AM154" s="908">
        <v>1400000</v>
      </c>
      <c r="AN154" s="860">
        <f t="shared" si="382"/>
        <v>182000</v>
      </c>
      <c r="AO154" s="101">
        <v>174</v>
      </c>
      <c r="AP154" s="111">
        <v>112</v>
      </c>
      <c r="AQ154" s="454">
        <f t="shared" si="383"/>
        <v>0.64367816091954022</v>
      </c>
      <c r="AR154" s="455">
        <f t="shared" si="384"/>
        <v>901149</v>
      </c>
      <c r="AS154" s="455">
        <f t="shared" si="385"/>
        <v>117149</v>
      </c>
      <c r="AT154" s="102">
        <f t="shared" si="386"/>
        <v>3.0377668303049887E-7</v>
      </c>
      <c r="AU154" s="116">
        <v>0.13</v>
      </c>
      <c r="AV154" s="565" t="str">
        <f>VLOOKUP(LEFT(AB154,10),Törzsszám!$A$1:$B$908,2,0)</f>
        <v>10000344</v>
      </c>
      <c r="AW154" s="615">
        <f t="shared" ca="1" si="387"/>
        <v>0</v>
      </c>
      <c r="AX154" s="473"/>
      <c r="AY154" s="486">
        <v>1400000</v>
      </c>
      <c r="AZ154" s="502"/>
      <c r="BA154" s="671"/>
      <c r="BB154" s="649"/>
      <c r="BC154" s="649"/>
      <c r="BD154" s="672"/>
      <c r="BE154" s="450" t="s">
        <v>201</v>
      </c>
    </row>
    <row r="155" spans="1:57" s="457" customFormat="1" ht="31.5" x14ac:dyDescent="0.25">
      <c r="A155" s="694" t="str">
        <f ca="1">Bérköltség!$B155</f>
        <v>FEOR</v>
      </c>
      <c r="B155" s="694" t="str">
        <f ca="1">IFERROR(
IF(AND(Bérköltség!$F155="",H155="NA"),"HIÁNYOS ADATOK",
IF(Bérköltség!$F155&lt;Bérköltség!$U155,Admin!$B$18,Admin!$B$17)),
"")</f>
        <v>FEOR</v>
      </c>
      <c r="C155" s="437">
        <f>IFERROR(INDEX('Historikus berek_2021-2'!$A$1:$F$903,MATCH(AB155,'Historikus berek_2021-2'!$A$1:$A$903,0),4),"")</f>
        <v>815233.33333333337</v>
      </c>
      <c r="D155" s="438">
        <f t="shared" si="364"/>
        <v>524747.89272030653</v>
      </c>
      <c r="E155" s="437">
        <f t="shared" si="365"/>
        <v>901149</v>
      </c>
      <c r="F155" s="439">
        <f t="shared" si="366"/>
        <v>425333.25122605357</v>
      </c>
      <c r="G155" s="440">
        <f t="shared" si="367"/>
        <v>592965.11877394631</v>
      </c>
      <c r="H155" s="441">
        <f>IFERROR(INDEX('FEOR kodok'!$A$2:$J$1126,MATCH(Bérköltség!AB155,'FEOR kodok'!$B$2:$B$1126,0),8),"NA")</f>
        <v>1413</v>
      </c>
      <c r="I155" s="436">
        <f ca="1">IFERROR(INDEX('FEOR kodok'!$A$2:$J$1126,MATCH(Bérköltség!AB155,'FEOR kodok'!$B$2:$B$1126,0),10),"NA")</f>
        <v>45</v>
      </c>
      <c r="J155" s="442" t="str">
        <f t="shared" ca="1" si="368"/>
        <v>40–49 éves</v>
      </c>
      <c r="K155" s="436" t="str">
        <f>IFERROR(INDEX(admin_feor[#All],MATCH(Bérköltség!H155,admin_feor[[#All],[Foglalkozás]],0),2),"NA")</f>
        <v>Kutatási és fejlesztési tevékenységet folytató egység vezetője</v>
      </c>
      <c r="L155" s="438">
        <f ca="1">IFERROR(
INDEX('Admin - FEOR'!$A$4:$F$465,MATCH(Bérköltség!H155,'Admin - FEOR'!$A$4:$A$465,0),
IF(J155="30 év alatt",3,
IF(J155="30–39 éves",4,
IF(J155="40–49 éves",5,
IF(J155="50 év és afelett",6
)))))*1,"NA")</f>
        <v>1275992</v>
      </c>
      <c r="M155" s="438">
        <f t="shared" si="369"/>
        <v>1400000</v>
      </c>
      <c r="N155" s="443">
        <f t="shared" ca="1" si="370"/>
        <v>1.0971855622919267</v>
      </c>
      <c r="O155" s="438">
        <f ca="1">IFERROR(
INDEX('Admin - FEOR'!$A$4:$F$465,MATCH(Bérköltség!H155,'Admin - FEOR'!$A$4:$A$465,0),
IF(J155="30 év alatt",3,
IF(J155="30–39 éves",4,
IF(J155="40–49 éves",5,
IF(J155="50 év és afelett",6
)))))*1.5,"NA")</f>
        <v>1913988</v>
      </c>
      <c r="P155" s="438">
        <f t="shared" ca="1" si="371"/>
        <v>1231992.2758620689</v>
      </c>
      <c r="Q155" s="438">
        <f t="shared" si="372"/>
        <v>901149</v>
      </c>
      <c r="R155" s="444">
        <f t="shared" si="373"/>
        <v>0.64367816091954022</v>
      </c>
      <c r="S155" s="438">
        <f t="shared" ca="1" si="374"/>
        <v>0</v>
      </c>
      <c r="T155" s="438">
        <f t="shared" ca="1" si="375"/>
        <v>0</v>
      </c>
      <c r="U155" s="445">
        <f t="shared" ca="1" si="376"/>
        <v>0</v>
      </c>
      <c r="V155" s="446">
        <f t="shared" ca="1" si="377"/>
        <v>1018298</v>
      </c>
      <c r="W155" s="447" t="str">
        <f t="shared" ca="1" si="378"/>
        <v>Indoklás szükséges mivel a FEOR: 109,7%</v>
      </c>
      <c r="X155" s="571">
        <f t="shared" ca="1" si="379"/>
        <v>0</v>
      </c>
      <c r="Y155" s="554">
        <f t="shared" ca="1" si="380"/>
        <v>901149</v>
      </c>
      <c r="Z155" s="554">
        <f t="shared" ca="1" si="381"/>
        <v>117149</v>
      </c>
      <c r="AA155" s="101"/>
      <c r="AB155" s="474">
        <v>8407900273</v>
      </c>
      <c r="AC155" s="449" t="s">
        <v>150</v>
      </c>
      <c r="AD155" s="483" t="s">
        <v>45</v>
      </c>
      <c r="AE155" s="450" t="s">
        <v>49</v>
      </c>
      <c r="AF155" s="247" t="s">
        <v>125</v>
      </c>
      <c r="AG155" s="99" t="s">
        <v>194</v>
      </c>
      <c r="AH155" s="451" t="s">
        <v>131</v>
      </c>
      <c r="AI155" s="154">
        <v>45231</v>
      </c>
      <c r="AJ155" s="100" t="str">
        <f>IF(AI155&gt;0,
(IF(AI155&lt;Hónapok!$A$10,Admin!$A$28,
(IF(AI155&lt;Hónapok!$A$22,Admin!$B$28,
(IF(AI155&lt;Hónapok!$A$34,Admin!$C$28,
(IF(AI155&lt;Hónapok!$A$46,Admin!$D$28,"")))))))),"")</f>
        <v>3. mérföldkő</v>
      </c>
      <c r="AK155" s="469" t="s">
        <v>8</v>
      </c>
      <c r="AL155" s="101" t="s">
        <v>26</v>
      </c>
      <c r="AM155" s="908">
        <v>1400000</v>
      </c>
      <c r="AN155" s="860">
        <f t="shared" si="382"/>
        <v>182000</v>
      </c>
      <c r="AO155" s="101">
        <v>174</v>
      </c>
      <c r="AP155" s="111">
        <v>112</v>
      </c>
      <c r="AQ155" s="454">
        <f t="shared" si="383"/>
        <v>0.64367816091954022</v>
      </c>
      <c r="AR155" s="455">
        <f t="shared" si="384"/>
        <v>901149</v>
      </c>
      <c r="AS155" s="455">
        <f t="shared" si="385"/>
        <v>117149</v>
      </c>
      <c r="AT155" s="102">
        <f t="shared" si="386"/>
        <v>3.0377668303049887E-7</v>
      </c>
      <c r="AU155" s="116">
        <v>0.13</v>
      </c>
      <c r="AV155" s="565" t="str">
        <f>VLOOKUP(LEFT(AB155,10),Törzsszám!$A$1:$B$908,2,0)</f>
        <v>10000344</v>
      </c>
      <c r="AW155" s="615">
        <f t="shared" ca="1" si="387"/>
        <v>0</v>
      </c>
      <c r="AX155" s="473"/>
      <c r="AY155" s="486">
        <v>1400000</v>
      </c>
      <c r="AZ155" s="502"/>
      <c r="BA155" s="671"/>
      <c r="BB155" s="649"/>
      <c r="BC155" s="649"/>
      <c r="BD155" s="672"/>
      <c r="BE155" s="450" t="s">
        <v>201</v>
      </c>
    </row>
    <row r="156" spans="1:57" s="457" customFormat="1" ht="31.5" x14ac:dyDescent="0.25">
      <c r="A156" s="694" t="str">
        <f ca="1">Bérköltség!$B156</f>
        <v>FEOR</v>
      </c>
      <c r="B156" s="694" t="str">
        <f ca="1">IFERROR(
IF(AND(Bérköltség!$F156="",H156="NA"),"HIÁNYOS ADATOK",
IF(Bérköltség!$F156&lt;Bérköltség!$U156,Admin!$B$18,Admin!$B$17)),
"")</f>
        <v>FEOR</v>
      </c>
      <c r="C156" s="437">
        <f>IFERROR(INDEX('Historikus berek_2021-2'!$A$1:$F$903,MATCH(AB156,'Historikus berek_2021-2'!$A$1:$A$903,0),4),"")</f>
        <v>815233.33333333337</v>
      </c>
      <c r="D156" s="438">
        <f t="shared" si="364"/>
        <v>524747.89272030653</v>
      </c>
      <c r="E156" s="437">
        <f t="shared" si="365"/>
        <v>901149</v>
      </c>
      <c r="F156" s="439">
        <f t="shared" si="366"/>
        <v>425333.25122605357</v>
      </c>
      <c r="G156" s="440">
        <f t="shared" si="367"/>
        <v>592965.11877394631</v>
      </c>
      <c r="H156" s="441">
        <f>IFERROR(INDEX('FEOR kodok'!$A$2:$J$1126,MATCH(Bérköltség!AB156,'FEOR kodok'!$B$2:$B$1126,0),8),"NA")</f>
        <v>1413</v>
      </c>
      <c r="I156" s="436">
        <f ca="1">IFERROR(INDEX('FEOR kodok'!$A$2:$J$1126,MATCH(Bérköltség!AB156,'FEOR kodok'!$B$2:$B$1126,0),10),"NA")</f>
        <v>45</v>
      </c>
      <c r="J156" s="442" t="str">
        <f t="shared" ca="1" si="368"/>
        <v>40–49 éves</v>
      </c>
      <c r="K156" s="436" t="str">
        <f>IFERROR(INDEX(admin_feor[#All],MATCH(Bérköltség!H156,admin_feor[[#All],[Foglalkozás]],0),2),"NA")</f>
        <v>Kutatási és fejlesztési tevékenységet folytató egység vezetője</v>
      </c>
      <c r="L156" s="438">
        <f ca="1">IFERROR(
INDEX('Admin - FEOR'!$A$4:$F$465,MATCH(Bérköltség!H156,'Admin - FEOR'!$A$4:$A$465,0),
IF(J156="30 év alatt",3,
IF(J156="30–39 éves",4,
IF(J156="40–49 éves",5,
IF(J156="50 év és afelett",6
)))))*1,"NA")</f>
        <v>1275992</v>
      </c>
      <c r="M156" s="438">
        <f t="shared" si="369"/>
        <v>1400000</v>
      </c>
      <c r="N156" s="443">
        <f t="shared" ca="1" si="370"/>
        <v>1.0971855622919267</v>
      </c>
      <c r="O156" s="438">
        <f ca="1">IFERROR(
INDEX('Admin - FEOR'!$A$4:$F$465,MATCH(Bérköltség!H156,'Admin - FEOR'!$A$4:$A$465,0),
IF(J156="30 év alatt",3,
IF(J156="30–39 éves",4,
IF(J156="40–49 éves",5,
IF(J156="50 év és afelett",6
)))))*1.5,"NA")</f>
        <v>1913988</v>
      </c>
      <c r="P156" s="438">
        <f t="shared" ca="1" si="371"/>
        <v>1231992.2758620689</v>
      </c>
      <c r="Q156" s="438">
        <f t="shared" si="372"/>
        <v>901149</v>
      </c>
      <c r="R156" s="444">
        <f t="shared" si="373"/>
        <v>0.64367816091954022</v>
      </c>
      <c r="S156" s="438">
        <f t="shared" ca="1" si="374"/>
        <v>0</v>
      </c>
      <c r="T156" s="438">
        <f t="shared" ca="1" si="375"/>
        <v>0</v>
      </c>
      <c r="U156" s="445">
        <f t="shared" ca="1" si="376"/>
        <v>0</v>
      </c>
      <c r="V156" s="446">
        <f t="shared" ca="1" si="377"/>
        <v>1018298</v>
      </c>
      <c r="W156" s="447" t="str">
        <f t="shared" ca="1" si="378"/>
        <v>Indoklás szükséges mivel a FEOR: 109,7%</v>
      </c>
      <c r="X156" s="571">
        <f t="shared" ca="1" si="379"/>
        <v>0</v>
      </c>
      <c r="Y156" s="554">
        <f t="shared" ca="1" si="380"/>
        <v>901149</v>
      </c>
      <c r="Z156" s="554">
        <f t="shared" ca="1" si="381"/>
        <v>117149</v>
      </c>
      <c r="AA156" s="101"/>
      <c r="AB156" s="474">
        <v>8407900273</v>
      </c>
      <c r="AC156" s="449" t="s">
        <v>150</v>
      </c>
      <c r="AD156" s="483" t="s">
        <v>45</v>
      </c>
      <c r="AE156" s="450" t="s">
        <v>49</v>
      </c>
      <c r="AF156" s="247" t="s">
        <v>125</v>
      </c>
      <c r="AG156" s="99" t="s">
        <v>194</v>
      </c>
      <c r="AH156" s="451" t="s">
        <v>131</v>
      </c>
      <c r="AI156" s="154">
        <v>45261</v>
      </c>
      <c r="AJ156" s="100" t="str">
        <f>IF(AI156&gt;0,
(IF(AI156&lt;Hónapok!$A$10,Admin!$A$28,
(IF(AI156&lt;Hónapok!$A$22,Admin!$B$28,
(IF(AI156&lt;Hónapok!$A$34,Admin!$C$28,
(IF(AI156&lt;Hónapok!$A$46,Admin!$D$28,"")))))))),"")</f>
        <v>3. mérföldkő</v>
      </c>
      <c r="AK156" s="469" t="s">
        <v>8</v>
      </c>
      <c r="AL156" s="101" t="s">
        <v>26</v>
      </c>
      <c r="AM156" s="908">
        <v>1400000</v>
      </c>
      <c r="AN156" s="860">
        <f t="shared" si="382"/>
        <v>182000</v>
      </c>
      <c r="AO156" s="101">
        <v>174</v>
      </c>
      <c r="AP156" s="111">
        <v>112</v>
      </c>
      <c r="AQ156" s="454">
        <f t="shared" si="383"/>
        <v>0.64367816091954022</v>
      </c>
      <c r="AR156" s="455">
        <f t="shared" si="384"/>
        <v>901149</v>
      </c>
      <c r="AS156" s="455">
        <f t="shared" si="385"/>
        <v>117149</v>
      </c>
      <c r="AT156" s="102">
        <f t="shared" si="386"/>
        <v>3.0377668303049887E-7</v>
      </c>
      <c r="AU156" s="116">
        <v>0.13</v>
      </c>
      <c r="AV156" s="565" t="str">
        <f>VLOOKUP(LEFT(AB156,10),Törzsszám!$A$1:$B$908,2,0)</f>
        <v>10000344</v>
      </c>
      <c r="AW156" s="615">
        <f t="shared" ca="1" si="387"/>
        <v>0</v>
      </c>
      <c r="AX156" s="473"/>
      <c r="AY156" s="486">
        <v>1400000</v>
      </c>
      <c r="AZ156" s="502"/>
      <c r="BA156" s="671"/>
      <c r="BB156" s="649"/>
      <c r="BC156" s="649"/>
      <c r="BD156" s="672"/>
      <c r="BE156" s="450" t="s">
        <v>201</v>
      </c>
    </row>
    <row r="157" spans="1:57" s="457" customFormat="1" ht="31.5" x14ac:dyDescent="0.25">
      <c r="A157" s="694" t="str">
        <f ca="1">Bérköltség!$B157</f>
        <v>FEOR</v>
      </c>
      <c r="B157" s="694" t="str">
        <f ca="1">IFERROR(
IF(AND(Bérköltség!$F157="",H157="NA"),"HIÁNYOS ADATOK",
IF(Bérköltség!$F157&lt;Bérköltség!$U157,Admin!$B$18,Admin!$B$17)),
"")</f>
        <v>FEOR</v>
      </c>
      <c r="C157" s="437">
        <f>IFERROR(INDEX('Historikus berek_2021-2'!$A$1:$F$903,MATCH(AB157,'Historikus berek_2021-2'!$A$1:$A$903,0),4),"")</f>
        <v>815233.33333333337</v>
      </c>
      <c r="D157" s="438">
        <f t="shared" si="364"/>
        <v>524747.89272030653</v>
      </c>
      <c r="E157" s="437">
        <f t="shared" si="365"/>
        <v>901149</v>
      </c>
      <c r="F157" s="439">
        <f t="shared" si="366"/>
        <v>425333.25122605357</v>
      </c>
      <c r="G157" s="440">
        <f t="shared" si="367"/>
        <v>592965.11877394631</v>
      </c>
      <c r="H157" s="441">
        <f>IFERROR(INDEX('FEOR kodok'!$A$2:$J$1126,MATCH(Bérköltség!AB157,'FEOR kodok'!$B$2:$B$1126,0),8),"NA")</f>
        <v>1413</v>
      </c>
      <c r="I157" s="436">
        <f ca="1">IFERROR(INDEX('FEOR kodok'!$A$2:$J$1126,MATCH(Bérköltség!AB157,'FEOR kodok'!$B$2:$B$1126,0),10),"NA")</f>
        <v>45</v>
      </c>
      <c r="J157" s="442" t="str">
        <f t="shared" ca="1" si="368"/>
        <v>40–49 éves</v>
      </c>
      <c r="K157" s="436" t="str">
        <f>IFERROR(INDEX(admin_feor[#All],MATCH(Bérköltség!H157,admin_feor[[#All],[Foglalkozás]],0),2),"NA")</f>
        <v>Kutatási és fejlesztési tevékenységet folytató egység vezetője</v>
      </c>
      <c r="L157" s="438">
        <f ca="1">IFERROR(
INDEX('Admin - FEOR'!$A$4:$F$465,MATCH(Bérköltség!H157,'Admin - FEOR'!$A$4:$A$465,0),
IF(J157="30 év alatt",3,
IF(J157="30–39 éves",4,
IF(J157="40–49 éves",5,
IF(J157="50 év és afelett",6
)))))*1,"NA")</f>
        <v>1275992</v>
      </c>
      <c r="M157" s="438">
        <f t="shared" si="369"/>
        <v>1400000</v>
      </c>
      <c r="N157" s="443">
        <f t="shared" ca="1" si="370"/>
        <v>1.0971855622919267</v>
      </c>
      <c r="O157" s="438">
        <f ca="1">IFERROR(
INDEX('Admin - FEOR'!$A$4:$F$465,MATCH(Bérköltség!H157,'Admin - FEOR'!$A$4:$A$465,0),
IF(J157="30 év alatt",3,
IF(J157="30–39 éves",4,
IF(J157="40–49 éves",5,
IF(J157="50 év és afelett",6
)))))*1.5,"NA")</f>
        <v>1913988</v>
      </c>
      <c r="P157" s="438">
        <f t="shared" ca="1" si="371"/>
        <v>1231992.2758620689</v>
      </c>
      <c r="Q157" s="438">
        <f t="shared" si="372"/>
        <v>901149</v>
      </c>
      <c r="R157" s="444">
        <f t="shared" si="373"/>
        <v>0.64367816091954022</v>
      </c>
      <c r="S157" s="438">
        <f t="shared" ca="1" si="374"/>
        <v>0</v>
      </c>
      <c r="T157" s="438">
        <f t="shared" ca="1" si="375"/>
        <v>0</v>
      </c>
      <c r="U157" s="445">
        <f t="shared" ca="1" si="376"/>
        <v>0</v>
      </c>
      <c r="V157" s="446">
        <f t="shared" ca="1" si="377"/>
        <v>1018298</v>
      </c>
      <c r="W157" s="447" t="str">
        <f t="shared" ca="1" si="378"/>
        <v>Indoklás szükséges mivel a FEOR: 109,7%</v>
      </c>
      <c r="X157" s="571">
        <f t="shared" ca="1" si="379"/>
        <v>0</v>
      </c>
      <c r="Y157" s="554">
        <f t="shared" ca="1" si="380"/>
        <v>901149</v>
      </c>
      <c r="Z157" s="554">
        <f t="shared" ca="1" si="381"/>
        <v>117149</v>
      </c>
      <c r="AA157" s="101"/>
      <c r="AB157" s="474">
        <v>8407900273</v>
      </c>
      <c r="AC157" s="449" t="s">
        <v>150</v>
      </c>
      <c r="AD157" s="483" t="s">
        <v>45</v>
      </c>
      <c r="AE157" s="450" t="s">
        <v>49</v>
      </c>
      <c r="AF157" s="247" t="s">
        <v>125</v>
      </c>
      <c r="AG157" s="99" t="s">
        <v>194</v>
      </c>
      <c r="AH157" s="451" t="s">
        <v>131</v>
      </c>
      <c r="AI157" s="154">
        <v>45292</v>
      </c>
      <c r="AJ157" s="100" t="str">
        <f>IF(AI157&gt;0,
(IF(AI157&lt;Hónapok!$A$10,Admin!$A$28,
(IF(AI157&lt;Hónapok!$A$22,Admin!$B$28,
(IF(AI157&lt;Hónapok!$A$34,Admin!$C$28,
(IF(AI157&lt;Hónapok!$A$46,Admin!$D$28,"")))))))),"")</f>
        <v>3. mérföldkő</v>
      </c>
      <c r="AK157" s="469" t="s">
        <v>8</v>
      </c>
      <c r="AL157" s="101" t="s">
        <v>26</v>
      </c>
      <c r="AM157" s="908">
        <v>1400000</v>
      </c>
      <c r="AN157" s="860">
        <f t="shared" si="382"/>
        <v>182000</v>
      </c>
      <c r="AO157" s="101">
        <v>174</v>
      </c>
      <c r="AP157" s="111">
        <v>112</v>
      </c>
      <c r="AQ157" s="454">
        <f t="shared" si="383"/>
        <v>0.64367816091954022</v>
      </c>
      <c r="AR157" s="455">
        <f t="shared" si="384"/>
        <v>901149</v>
      </c>
      <c r="AS157" s="455">
        <f t="shared" si="385"/>
        <v>117149</v>
      </c>
      <c r="AT157" s="102">
        <f t="shared" si="386"/>
        <v>3.0377668303049887E-7</v>
      </c>
      <c r="AU157" s="116">
        <v>0.13</v>
      </c>
      <c r="AV157" s="565" t="str">
        <f>VLOOKUP(LEFT(AB157,10),Törzsszám!$A$1:$B$908,2,0)</f>
        <v>10000344</v>
      </c>
      <c r="AW157" s="615">
        <f t="shared" ca="1" si="387"/>
        <v>0</v>
      </c>
      <c r="AX157" s="473"/>
      <c r="AY157" s="486">
        <v>1400000</v>
      </c>
      <c r="AZ157" s="502"/>
      <c r="BA157" s="671"/>
      <c r="BB157" s="649"/>
      <c r="BC157" s="649"/>
      <c r="BD157" s="672"/>
      <c r="BE157" s="450" t="s">
        <v>201</v>
      </c>
    </row>
    <row r="158" spans="1:57" s="457" customFormat="1" ht="31.5" x14ac:dyDescent="0.25">
      <c r="A158" s="694" t="str">
        <f ca="1">Bérköltség!$B158</f>
        <v>FEOR</v>
      </c>
      <c r="B158" s="694" t="str">
        <f ca="1">IFERROR(
IF(AND(Bérköltség!$F158="",H158="NA"),"HIÁNYOS ADATOK",
IF(Bérköltség!$F158&lt;Bérköltség!$U158,Admin!$B$18,Admin!$B$17)),
"")</f>
        <v>FEOR</v>
      </c>
      <c r="C158" s="437">
        <f>IFERROR(INDEX('Historikus berek_2021-2'!$A$1:$F$903,MATCH(AB158,'Historikus berek_2021-2'!$A$1:$A$903,0),4),"")</f>
        <v>815233.33333333337</v>
      </c>
      <c r="D158" s="438">
        <f t="shared" si="364"/>
        <v>524747.89272030653</v>
      </c>
      <c r="E158" s="437">
        <f t="shared" si="365"/>
        <v>901149</v>
      </c>
      <c r="F158" s="439">
        <f t="shared" si="366"/>
        <v>425333.25122605357</v>
      </c>
      <c r="G158" s="440">
        <f t="shared" si="367"/>
        <v>592965.11877394631</v>
      </c>
      <c r="H158" s="441">
        <f>IFERROR(INDEX('FEOR kodok'!$A$2:$J$1126,MATCH(Bérköltség!AB158,'FEOR kodok'!$B$2:$B$1126,0),8),"NA")</f>
        <v>1413</v>
      </c>
      <c r="I158" s="436">
        <f ca="1">IFERROR(INDEX('FEOR kodok'!$A$2:$J$1126,MATCH(Bérköltség!AB158,'FEOR kodok'!$B$2:$B$1126,0),10),"NA")</f>
        <v>45</v>
      </c>
      <c r="J158" s="442" t="str">
        <f t="shared" ca="1" si="368"/>
        <v>40–49 éves</v>
      </c>
      <c r="K158" s="436" t="str">
        <f>IFERROR(INDEX(admin_feor[#All],MATCH(Bérköltség!H158,admin_feor[[#All],[Foglalkozás]],0),2),"NA")</f>
        <v>Kutatási és fejlesztési tevékenységet folytató egység vezetője</v>
      </c>
      <c r="L158" s="438">
        <f ca="1">IFERROR(
INDEX('Admin - FEOR'!$A$4:$F$465,MATCH(Bérköltség!H158,'Admin - FEOR'!$A$4:$A$465,0),
IF(J158="30 év alatt",3,
IF(J158="30–39 éves",4,
IF(J158="40–49 éves",5,
IF(J158="50 év és afelett",6
)))))*1,"NA")</f>
        <v>1275992</v>
      </c>
      <c r="M158" s="438">
        <f t="shared" si="369"/>
        <v>1400000</v>
      </c>
      <c r="N158" s="443">
        <f t="shared" ca="1" si="370"/>
        <v>1.0971855622919267</v>
      </c>
      <c r="O158" s="438">
        <f ca="1">IFERROR(
INDEX('Admin - FEOR'!$A$4:$F$465,MATCH(Bérköltség!H158,'Admin - FEOR'!$A$4:$A$465,0),
IF(J158="30 év alatt",3,
IF(J158="30–39 éves",4,
IF(J158="40–49 éves",5,
IF(J158="50 év és afelett",6
)))))*1.5,"NA")</f>
        <v>1913988</v>
      </c>
      <c r="P158" s="438">
        <f t="shared" ca="1" si="371"/>
        <v>1231992.2758620689</v>
      </c>
      <c r="Q158" s="438">
        <f t="shared" si="372"/>
        <v>901149</v>
      </c>
      <c r="R158" s="444">
        <f t="shared" si="373"/>
        <v>0.64367816091954022</v>
      </c>
      <c r="S158" s="438">
        <f t="shared" ca="1" si="374"/>
        <v>0</v>
      </c>
      <c r="T158" s="438">
        <f t="shared" ca="1" si="375"/>
        <v>0</v>
      </c>
      <c r="U158" s="445">
        <f t="shared" ca="1" si="376"/>
        <v>0</v>
      </c>
      <c r="V158" s="446">
        <f t="shared" ca="1" si="377"/>
        <v>1018298</v>
      </c>
      <c r="W158" s="447" t="str">
        <f t="shared" ca="1" si="378"/>
        <v>Indoklás szükséges mivel a FEOR: 109,7%</v>
      </c>
      <c r="X158" s="571">
        <f t="shared" ca="1" si="379"/>
        <v>0</v>
      </c>
      <c r="Y158" s="554">
        <f t="shared" ca="1" si="380"/>
        <v>901149</v>
      </c>
      <c r="Z158" s="554">
        <f t="shared" ca="1" si="381"/>
        <v>117149</v>
      </c>
      <c r="AA158" s="101"/>
      <c r="AB158" s="474">
        <v>8407900273</v>
      </c>
      <c r="AC158" s="449" t="s">
        <v>150</v>
      </c>
      <c r="AD158" s="483" t="s">
        <v>45</v>
      </c>
      <c r="AE158" s="450" t="s">
        <v>49</v>
      </c>
      <c r="AF158" s="247" t="s">
        <v>125</v>
      </c>
      <c r="AG158" s="99" t="s">
        <v>194</v>
      </c>
      <c r="AH158" s="451" t="s">
        <v>131</v>
      </c>
      <c r="AI158" s="154">
        <v>45323</v>
      </c>
      <c r="AJ158" s="100" t="str">
        <f>IF(AI158&gt;0,
(IF(AI158&lt;Hónapok!$A$10,Admin!$A$28,
(IF(AI158&lt;Hónapok!$A$22,Admin!$B$28,
(IF(AI158&lt;Hónapok!$A$34,Admin!$C$28,
(IF(AI158&lt;Hónapok!$A$46,Admin!$D$28,"")))))))),"")</f>
        <v>3. mérföldkő</v>
      </c>
      <c r="AK158" s="469" t="s">
        <v>8</v>
      </c>
      <c r="AL158" s="101" t="s">
        <v>26</v>
      </c>
      <c r="AM158" s="908">
        <v>1400000</v>
      </c>
      <c r="AN158" s="860">
        <f t="shared" si="382"/>
        <v>182000</v>
      </c>
      <c r="AO158" s="101">
        <v>174</v>
      </c>
      <c r="AP158" s="111">
        <v>112</v>
      </c>
      <c r="AQ158" s="454">
        <f t="shared" si="383"/>
        <v>0.64367816091954022</v>
      </c>
      <c r="AR158" s="455">
        <f t="shared" si="384"/>
        <v>901149</v>
      </c>
      <c r="AS158" s="455">
        <f t="shared" si="385"/>
        <v>117149</v>
      </c>
      <c r="AT158" s="102">
        <f t="shared" si="386"/>
        <v>3.0377668303049887E-7</v>
      </c>
      <c r="AU158" s="116">
        <v>0.13</v>
      </c>
      <c r="AV158" s="565" t="str">
        <f>VLOOKUP(LEFT(AB158,10),Törzsszám!$A$1:$B$908,2,0)</f>
        <v>10000344</v>
      </c>
      <c r="AW158" s="615">
        <f t="shared" ca="1" si="387"/>
        <v>0</v>
      </c>
      <c r="AX158" s="473"/>
      <c r="AY158" s="486">
        <v>1400000</v>
      </c>
      <c r="AZ158" s="502"/>
      <c r="BA158" s="671"/>
      <c r="BB158" s="649"/>
      <c r="BC158" s="649"/>
      <c r="BD158" s="672"/>
      <c r="BE158" s="450" t="s">
        <v>201</v>
      </c>
    </row>
    <row r="159" spans="1:57" s="457" customFormat="1" ht="31.5" x14ac:dyDescent="0.25">
      <c r="A159" s="694" t="str">
        <f ca="1">Bérköltség!$B159</f>
        <v>FEOR</v>
      </c>
      <c r="B159" s="694" t="str">
        <f ca="1">IFERROR(
IF(AND(Bérköltség!$F159="",H159="NA"),"HIÁNYOS ADATOK",
IF(Bérköltség!$F159&lt;Bérköltség!$U159,Admin!$B$18,Admin!$B$17)),
"")</f>
        <v>FEOR</v>
      </c>
      <c r="C159" s="437">
        <f>IFERROR(INDEX('Historikus berek_2021-2'!$A$1:$F$903,MATCH(AB159,'Historikus berek_2021-2'!$A$1:$A$903,0),4),"")</f>
        <v>594833.33333333337</v>
      </c>
      <c r="D159" s="438">
        <f t="shared" ref="D159:D163" si="388">IFERROR(C159*AQ159,"NA")</f>
        <v>444415.70881226053</v>
      </c>
      <c r="E159" s="437">
        <f t="shared" ref="E159:E163" si="389">AR159</f>
        <v>435575</v>
      </c>
      <c r="F159" s="439">
        <f t="shared" ref="F159:F163" si="390">IFERROR(IF((E159*(1+AU159)-D159*(1+AU159))&lt;0,0,(E159*(1+AU159)-D159*(1+AU159))),"")</f>
        <v>0</v>
      </c>
      <c r="G159" s="440">
        <f t="shared" ref="G159:G163" si="391">IFERROR((E159*(1+AU159)-F159),"")</f>
        <v>492199.74999999994</v>
      </c>
      <c r="H159" s="441">
        <f>IFERROR(INDEX('FEOR kodok'!$A$2:$J$1126,MATCH(Bérköltség!AB159,'FEOR kodok'!$B$2:$B$1126,0),8),"NA")</f>
        <v>2117</v>
      </c>
      <c r="I159" s="436">
        <f ca="1">IFERROR(INDEX('FEOR kodok'!$A$2:$J$1126,MATCH(Bérköltség!AB159,'FEOR kodok'!$B$2:$B$1126,0),10),"NA")</f>
        <v>48</v>
      </c>
      <c r="J159" s="442" t="str">
        <f t="shared" ref="J159:J163" ca="1" si="392">IF(I159="NA","NA",
IF(I159&lt;30,"30 év alatt",
IF(AND(I159&gt;=30,I159&lt;=39),"30–39 éves",
IF(AND(I159&gt;=40,I159&lt;=49),"40–49 éves",
IF(I159&gt;=50,"50 év és afelett",
"")))))</f>
        <v>40–49 éves</v>
      </c>
      <c r="K159" s="436" t="str">
        <f>IFERROR(INDEX(admin_feor[#All],MATCH(Bérköltség!H159,admin_feor[[#All],[Foglalkozás]],0),2),"NA")</f>
        <v>Vegyészmérnök</v>
      </c>
      <c r="L159" s="438">
        <f ca="1">IFERROR(
INDEX('Admin - FEOR'!$A$4:$F$465,MATCH(Bérköltség!H159,'Admin - FEOR'!$A$4:$A$465,0),
IF(J159="30 év alatt",3,
IF(J159="30–39 éves",4,
IF(J159="40–49 éves",5,
IF(J159="50 év és afelett",6
)))))*1,"NA")</f>
        <v>824591</v>
      </c>
      <c r="M159" s="438">
        <f t="shared" ref="M159:M163" si="393">AM159</f>
        <v>583000</v>
      </c>
      <c r="N159" s="443">
        <f t="shared" ref="N159:N163" ca="1" si="394">IFERROR(
M159/L159,"NA")</f>
        <v>0.70701717578775414</v>
      </c>
      <c r="O159" s="438">
        <f ca="1">IFERROR(
INDEX('Admin - FEOR'!$A$4:$F$465,MATCH(Bérköltség!H159,'Admin - FEOR'!$A$4:$A$465,0),
IF(J159="30 év alatt",3,
IF(J159="30–39 éves",4,
IF(J159="40–49 éves",5,
IF(J159="50 év és afelett",6
)))))*1.5,"NA")</f>
        <v>1236886.5</v>
      </c>
      <c r="P159" s="438">
        <f t="shared" ref="P159:P163" ca="1" si="395">IFERROR(
AQ159*O159,"NA")</f>
        <v>924110.60344827583</v>
      </c>
      <c r="Q159" s="438">
        <f t="shared" ref="Q159:Q163" si="396">IFERROR(AR159,"")</f>
        <v>435575</v>
      </c>
      <c r="R159" s="444">
        <f t="shared" ref="R159:R163" si="397">IFERROR(AQ159,"")</f>
        <v>0.74712643678160917</v>
      </c>
      <c r="S159" s="438">
        <f t="shared" ref="S159:S163" ca="1" si="398">IFERROR(
IF(AR159-P159&lt;0,0,AR159-P159),"NA")</f>
        <v>0</v>
      </c>
      <c r="T159" s="438">
        <f t="shared" ref="T159:T163" ca="1" si="399">IFERROR(
S159*AU159,"NA")</f>
        <v>0</v>
      </c>
      <c r="U159" s="445">
        <f t="shared" ref="U159:U163" ca="1" si="400">IFERROR(
S159+T159,"NA")</f>
        <v>0</v>
      </c>
      <c r="V159" s="446">
        <f t="shared" ref="V159:V163" ca="1" si="401">IFERROR(
IF(U159&gt;0,AR159+AS159-U159,AR159+AS159),"NA")</f>
        <v>492200</v>
      </c>
      <c r="W159" s="447" t="str">
        <f t="shared" ref="W159:W163" ca="1" si="402">IF(P159="NA","FEOR hiányzik",
IF(AND(N159&gt;1,A159="FEOR"),CONCATENATE("Indoklás szükséges mivel a FEOR: ",ROUND(N159*100,1),"%"),"Nem szükséges indoklás.")
)</f>
        <v>Nem szükséges indoklás.</v>
      </c>
      <c r="X159" s="571">
        <f t="shared" ref="X159:X163" ca="1" si="403">IF(A159="FEOR",U159,IF(A159="HIÁNYOS ADATOK","HIÁNYOS ADATOK",F159))</f>
        <v>0</v>
      </c>
      <c r="Y159" s="554">
        <f t="shared" ref="Y159:Y163" ca="1" si="404">IF(A159="FEOR",ROUND(V159/(1+AU159),0),IF(A159="HIÁNYOS ADATOK","HIÁNYOS ADATOK",ROUND(G159/(1+AU159),0)))</f>
        <v>435575</v>
      </c>
      <c r="Z159" s="554">
        <f t="shared" ref="Z159:Z163" ca="1" si="405">IF(A159="FEOR",ROUND(V159-Y159,0),IF(A159="HIÁNYOS ADATOK","HIÁNYOS ADATOK",ROUND(G159-Y159,0)))</f>
        <v>56625</v>
      </c>
      <c r="AA159" s="101"/>
      <c r="AB159" s="474">
        <v>8396661065</v>
      </c>
      <c r="AC159" s="449" t="s">
        <v>2996</v>
      </c>
      <c r="AD159" s="483" t="s">
        <v>45</v>
      </c>
      <c r="AE159" s="450" t="s">
        <v>22</v>
      </c>
      <c r="AF159" s="247" t="s">
        <v>121</v>
      </c>
      <c r="AG159" s="99" t="s">
        <v>4599</v>
      </c>
      <c r="AH159" s="451" t="s">
        <v>131</v>
      </c>
      <c r="AI159" s="154">
        <v>45108</v>
      </c>
      <c r="AJ159" s="100" t="str">
        <f>IF(AI159&gt;0,
(IF(AI159&lt;Hónapok!$A$10,Admin!$A$28,
(IF(AI159&lt;Hónapok!$A$22,Admin!$B$28,
(IF(AI159&lt;Hónapok!$A$34,Admin!$C$28,
(IF(AI159&lt;Hónapok!$A$46,Admin!$D$28,"")))))))),"")</f>
        <v>3. mérföldkő</v>
      </c>
      <c r="AK159" s="469" t="s">
        <v>7</v>
      </c>
      <c r="AL159" s="101" t="s">
        <v>26</v>
      </c>
      <c r="AM159" s="908">
        <v>583000</v>
      </c>
      <c r="AN159" s="860">
        <f t="shared" si="362"/>
        <v>75790</v>
      </c>
      <c r="AO159" s="101">
        <v>174</v>
      </c>
      <c r="AP159" s="111">
        <v>130</v>
      </c>
      <c r="AQ159" s="682">
        <f t="shared" si="313"/>
        <v>0.74712643678160917</v>
      </c>
      <c r="AR159" s="455">
        <f t="shared" si="314"/>
        <v>435575</v>
      </c>
      <c r="AS159" s="455">
        <f t="shared" si="315"/>
        <v>56625</v>
      </c>
      <c r="AT159" s="102">
        <f t="shared" si="316"/>
        <v>-4.9289249026696069E-7</v>
      </c>
      <c r="AU159" s="116">
        <v>0.13</v>
      </c>
      <c r="AV159" s="565" t="str">
        <f>VLOOKUP(LEFT(AB159,10),Törzsszám!$A$1:$B$908,2,0)</f>
        <v>10000346</v>
      </c>
      <c r="AW159" s="681">
        <f t="shared" ca="1" si="311"/>
        <v>0</v>
      </c>
      <c r="AX159" s="471" t="s">
        <v>4610</v>
      </c>
      <c r="AY159" s="486"/>
      <c r="AZ159" s="502"/>
      <c r="BA159" s="671"/>
      <c r="BB159" s="649"/>
      <c r="BC159" s="649"/>
      <c r="BD159" s="672"/>
      <c r="BE159" s="450"/>
    </row>
    <row r="160" spans="1:57" s="457" customFormat="1" ht="31.5" x14ac:dyDescent="0.25">
      <c r="A160" s="694" t="str">
        <f ca="1">Bérköltség!$B160</f>
        <v>FEOR</v>
      </c>
      <c r="B160" s="694" t="str">
        <f ca="1">IFERROR(
IF(AND(Bérköltség!$F160="",H160="NA"),"HIÁNYOS ADATOK",
IF(Bérköltség!$F160&lt;Bérköltség!$U160,Admin!$B$18,Admin!$B$17)),
"")</f>
        <v>FEOR</v>
      </c>
      <c r="C160" s="437">
        <f>IFERROR(INDEX('Historikus berek_2021-2'!$A$1:$F$903,MATCH(AB160,'Historikus berek_2021-2'!$A$1:$A$903,0),4),"")</f>
        <v>594833.33333333337</v>
      </c>
      <c r="D160" s="438">
        <f t="shared" si="388"/>
        <v>444415.70881226053</v>
      </c>
      <c r="E160" s="437">
        <f t="shared" si="389"/>
        <v>435575</v>
      </c>
      <c r="F160" s="439">
        <f t="shared" si="390"/>
        <v>0</v>
      </c>
      <c r="G160" s="440">
        <f t="shared" si="391"/>
        <v>492199.74999999994</v>
      </c>
      <c r="H160" s="441">
        <f>IFERROR(INDEX('FEOR kodok'!$A$2:$J$1126,MATCH(Bérköltség!AB160,'FEOR kodok'!$B$2:$B$1126,0),8),"NA")</f>
        <v>2117</v>
      </c>
      <c r="I160" s="436">
        <f ca="1">IFERROR(INDEX('FEOR kodok'!$A$2:$J$1126,MATCH(Bérköltség!AB160,'FEOR kodok'!$B$2:$B$1126,0),10),"NA")</f>
        <v>48</v>
      </c>
      <c r="J160" s="442" t="str">
        <f t="shared" ca="1" si="392"/>
        <v>40–49 éves</v>
      </c>
      <c r="K160" s="436" t="str">
        <f>IFERROR(INDEX(admin_feor[#All],MATCH(Bérköltség!H160,admin_feor[[#All],[Foglalkozás]],0),2),"NA")</f>
        <v>Vegyészmérnök</v>
      </c>
      <c r="L160" s="438">
        <f ca="1">IFERROR(
INDEX('Admin - FEOR'!$A$4:$F$465,MATCH(Bérköltség!H160,'Admin - FEOR'!$A$4:$A$465,0),
IF(J160="30 év alatt",3,
IF(J160="30–39 éves",4,
IF(J160="40–49 éves",5,
IF(J160="50 év és afelett",6
)))))*1,"NA")</f>
        <v>824591</v>
      </c>
      <c r="M160" s="438">
        <f t="shared" si="393"/>
        <v>583000</v>
      </c>
      <c r="N160" s="443">
        <f t="shared" ca="1" si="394"/>
        <v>0.70701717578775414</v>
      </c>
      <c r="O160" s="438">
        <f ca="1">IFERROR(
INDEX('Admin - FEOR'!$A$4:$F$465,MATCH(Bérköltség!H160,'Admin - FEOR'!$A$4:$A$465,0),
IF(J160="30 év alatt",3,
IF(J160="30–39 éves",4,
IF(J160="40–49 éves",5,
IF(J160="50 év és afelett",6
)))))*1.5,"NA")</f>
        <v>1236886.5</v>
      </c>
      <c r="P160" s="438">
        <f t="shared" ca="1" si="395"/>
        <v>924110.60344827583</v>
      </c>
      <c r="Q160" s="438">
        <f t="shared" si="396"/>
        <v>435575</v>
      </c>
      <c r="R160" s="444">
        <f t="shared" si="397"/>
        <v>0.74712643678160917</v>
      </c>
      <c r="S160" s="438">
        <f t="shared" ca="1" si="398"/>
        <v>0</v>
      </c>
      <c r="T160" s="438">
        <f t="shared" ca="1" si="399"/>
        <v>0</v>
      </c>
      <c r="U160" s="445">
        <f t="shared" ca="1" si="400"/>
        <v>0</v>
      </c>
      <c r="V160" s="446">
        <f t="shared" ca="1" si="401"/>
        <v>492200</v>
      </c>
      <c r="W160" s="447" t="str">
        <f t="shared" ca="1" si="402"/>
        <v>Nem szükséges indoklás.</v>
      </c>
      <c r="X160" s="571">
        <f t="shared" ca="1" si="403"/>
        <v>0</v>
      </c>
      <c r="Y160" s="554">
        <f t="shared" ca="1" si="404"/>
        <v>435575</v>
      </c>
      <c r="Z160" s="554">
        <f t="shared" ca="1" si="405"/>
        <v>56625</v>
      </c>
      <c r="AA160" s="101"/>
      <c r="AB160" s="474">
        <v>8396661065</v>
      </c>
      <c r="AC160" s="449" t="s">
        <v>2996</v>
      </c>
      <c r="AD160" s="483" t="s">
        <v>45</v>
      </c>
      <c r="AE160" s="450" t="s">
        <v>22</v>
      </c>
      <c r="AF160" s="247" t="s">
        <v>121</v>
      </c>
      <c r="AG160" s="99" t="s">
        <v>4599</v>
      </c>
      <c r="AH160" s="451" t="s">
        <v>131</v>
      </c>
      <c r="AI160" s="154">
        <v>45139</v>
      </c>
      <c r="AJ160" s="100" t="str">
        <f>IF(AI160&gt;0,
(IF(AI160&lt;Hónapok!$A$10,Admin!$A$28,
(IF(AI160&lt;Hónapok!$A$22,Admin!$B$28,
(IF(AI160&lt;Hónapok!$A$34,Admin!$C$28,
(IF(AI160&lt;Hónapok!$A$46,Admin!$D$28,"")))))))),"")</f>
        <v>3. mérföldkő</v>
      </c>
      <c r="AK160" s="469" t="s">
        <v>7</v>
      </c>
      <c r="AL160" s="101" t="s">
        <v>26</v>
      </c>
      <c r="AM160" s="908">
        <v>583000</v>
      </c>
      <c r="AN160" s="860">
        <f t="shared" si="362"/>
        <v>75790</v>
      </c>
      <c r="AO160" s="101">
        <v>174</v>
      </c>
      <c r="AP160" s="111">
        <v>130</v>
      </c>
      <c r="AQ160" s="454">
        <f t="shared" ref="AQ160:AQ163" si="406">IFERROR(AP160/AO160,"")</f>
        <v>0.74712643678160917</v>
      </c>
      <c r="AR160" s="455">
        <f t="shared" ref="AR160:AR163" si="407">IFERROR(ROUND(AM160*AP160/AO160,0),"")</f>
        <v>435575</v>
      </c>
      <c r="AS160" s="455">
        <f t="shared" si="315"/>
        <v>56625</v>
      </c>
      <c r="AT160" s="102">
        <f t="shared" si="316"/>
        <v>-4.9289249026696069E-7</v>
      </c>
      <c r="AU160" s="116">
        <v>0.13</v>
      </c>
      <c r="AV160" s="565" t="str">
        <f>VLOOKUP(LEFT(AB160,10),Törzsszám!$A$1:$B$908,2,0)</f>
        <v>10000346</v>
      </c>
      <c r="AW160" s="681">
        <f t="shared" ca="1" si="311"/>
        <v>0</v>
      </c>
      <c r="AX160" s="471" t="s">
        <v>4613</v>
      </c>
      <c r="AY160" s="486"/>
      <c r="AZ160" s="502"/>
      <c r="BA160" s="671"/>
      <c r="BB160" s="649"/>
      <c r="BC160" s="649"/>
      <c r="BD160" s="672"/>
      <c r="BE160" s="450"/>
    </row>
    <row r="161" spans="1:58" s="457" customFormat="1" ht="31.5" x14ac:dyDescent="0.25">
      <c r="A161" s="694" t="str">
        <f ca="1">Bérköltség!$B161</f>
        <v>FEOR</v>
      </c>
      <c r="B161" s="694" t="str">
        <f ca="1">IFERROR(
IF(AND(Bérköltség!$F161="",H161="NA"),"HIÁNYOS ADATOK",
IF(Bérköltség!$F161&lt;Bérköltség!$U161,Admin!$B$18,Admin!$B$17)),
"")</f>
        <v>FEOR</v>
      </c>
      <c r="C161" s="437">
        <f>IFERROR(INDEX('Historikus berek_2021-2'!$A$1:$F$903,MATCH(AB161,'Historikus berek_2021-2'!$A$1:$A$903,0),4),"")</f>
        <v>594833.33333333337</v>
      </c>
      <c r="D161" s="438">
        <f t="shared" si="388"/>
        <v>444415.70881226053</v>
      </c>
      <c r="E161" s="437">
        <f t="shared" si="389"/>
        <v>435575</v>
      </c>
      <c r="F161" s="439">
        <f t="shared" si="390"/>
        <v>0</v>
      </c>
      <c r="G161" s="440">
        <f t="shared" si="391"/>
        <v>492199.74999999994</v>
      </c>
      <c r="H161" s="441">
        <f>IFERROR(INDEX('FEOR kodok'!$A$2:$J$1126,MATCH(Bérköltség!AB161,'FEOR kodok'!$B$2:$B$1126,0),8),"NA")</f>
        <v>2117</v>
      </c>
      <c r="I161" s="436">
        <f ca="1">IFERROR(INDEX('FEOR kodok'!$A$2:$J$1126,MATCH(Bérköltség!AB161,'FEOR kodok'!$B$2:$B$1126,0),10),"NA")</f>
        <v>48</v>
      </c>
      <c r="J161" s="442" t="str">
        <f t="shared" ca="1" si="392"/>
        <v>40–49 éves</v>
      </c>
      <c r="K161" s="436" t="str">
        <f>IFERROR(INDEX(admin_feor[#All],MATCH(Bérköltség!H161,admin_feor[[#All],[Foglalkozás]],0),2),"NA")</f>
        <v>Vegyészmérnök</v>
      </c>
      <c r="L161" s="438">
        <f ca="1">IFERROR(
INDEX('Admin - FEOR'!$A$4:$F$465,MATCH(Bérköltség!H161,'Admin - FEOR'!$A$4:$A$465,0),
IF(J161="30 év alatt",3,
IF(J161="30–39 éves",4,
IF(J161="40–49 éves",5,
IF(J161="50 év és afelett",6
)))))*1,"NA")</f>
        <v>824591</v>
      </c>
      <c r="M161" s="438">
        <f t="shared" si="393"/>
        <v>583000</v>
      </c>
      <c r="N161" s="443">
        <f t="shared" ca="1" si="394"/>
        <v>0.70701717578775414</v>
      </c>
      <c r="O161" s="438">
        <f ca="1">IFERROR(
INDEX('Admin - FEOR'!$A$4:$F$465,MATCH(Bérköltség!H161,'Admin - FEOR'!$A$4:$A$465,0),
IF(J161="30 év alatt",3,
IF(J161="30–39 éves",4,
IF(J161="40–49 éves",5,
IF(J161="50 év és afelett",6
)))))*1.5,"NA")</f>
        <v>1236886.5</v>
      </c>
      <c r="P161" s="438">
        <f t="shared" ca="1" si="395"/>
        <v>924110.60344827583</v>
      </c>
      <c r="Q161" s="438">
        <f t="shared" si="396"/>
        <v>435575</v>
      </c>
      <c r="R161" s="444">
        <f t="shared" si="397"/>
        <v>0.74712643678160917</v>
      </c>
      <c r="S161" s="438">
        <f t="shared" ca="1" si="398"/>
        <v>0</v>
      </c>
      <c r="T161" s="438">
        <f t="shared" ca="1" si="399"/>
        <v>0</v>
      </c>
      <c r="U161" s="445">
        <f t="shared" ca="1" si="400"/>
        <v>0</v>
      </c>
      <c r="V161" s="446">
        <f t="shared" ca="1" si="401"/>
        <v>492200</v>
      </c>
      <c r="W161" s="447" t="str">
        <f t="shared" ca="1" si="402"/>
        <v>Nem szükséges indoklás.</v>
      </c>
      <c r="X161" s="571">
        <f t="shared" ca="1" si="403"/>
        <v>0</v>
      </c>
      <c r="Y161" s="554">
        <f t="shared" ca="1" si="404"/>
        <v>435575</v>
      </c>
      <c r="Z161" s="554">
        <f t="shared" ca="1" si="405"/>
        <v>56625</v>
      </c>
      <c r="AA161" s="101"/>
      <c r="AB161" s="474">
        <v>8396661065</v>
      </c>
      <c r="AC161" s="449" t="s">
        <v>2996</v>
      </c>
      <c r="AD161" s="483" t="s">
        <v>45</v>
      </c>
      <c r="AE161" s="450" t="s">
        <v>22</v>
      </c>
      <c r="AF161" s="247" t="s">
        <v>121</v>
      </c>
      <c r="AG161" s="99" t="s">
        <v>4599</v>
      </c>
      <c r="AH161" s="451" t="s">
        <v>131</v>
      </c>
      <c r="AI161" s="154">
        <v>45170</v>
      </c>
      <c r="AJ161" s="100" t="str">
        <f>IF(AI161&gt;0,
(IF(AI161&lt;Hónapok!$A$10,Admin!$A$28,
(IF(AI161&lt;Hónapok!$A$22,Admin!$B$28,
(IF(AI161&lt;Hónapok!$A$34,Admin!$C$28,
(IF(AI161&lt;Hónapok!$A$46,Admin!$D$28,"")))))))),"")</f>
        <v>3. mérföldkő</v>
      </c>
      <c r="AK161" s="469" t="s">
        <v>7</v>
      </c>
      <c r="AL161" s="101" t="s">
        <v>26</v>
      </c>
      <c r="AM161" s="908">
        <v>583000</v>
      </c>
      <c r="AN161" s="860">
        <f t="shared" si="362"/>
        <v>75790</v>
      </c>
      <c r="AO161" s="101">
        <v>174</v>
      </c>
      <c r="AP161" s="111">
        <v>130</v>
      </c>
      <c r="AQ161" s="454">
        <f t="shared" si="406"/>
        <v>0.74712643678160917</v>
      </c>
      <c r="AR161" s="455">
        <f t="shared" si="407"/>
        <v>435575</v>
      </c>
      <c r="AS161" s="455">
        <f t="shared" si="315"/>
        <v>56625</v>
      </c>
      <c r="AT161" s="102">
        <f t="shared" si="316"/>
        <v>-4.9289249026696069E-7</v>
      </c>
      <c r="AU161" s="116">
        <v>0.13</v>
      </c>
      <c r="AV161" s="565" t="str">
        <f>VLOOKUP(LEFT(AB161,10),Törzsszám!$A$1:$B$908,2,0)</f>
        <v>10000346</v>
      </c>
      <c r="AW161" s="681">
        <f t="shared" ca="1" si="311"/>
        <v>0</v>
      </c>
      <c r="AX161" s="471" t="s">
        <v>4618</v>
      </c>
      <c r="AY161" s="486"/>
      <c r="AZ161" s="502"/>
      <c r="BA161" s="671"/>
      <c r="BB161" s="649"/>
      <c r="BC161" s="649"/>
      <c r="BD161" s="672"/>
      <c r="BE161" s="450"/>
    </row>
    <row r="162" spans="1:58" s="457" customFormat="1" ht="31.5" x14ac:dyDescent="0.25">
      <c r="A162" s="694" t="str">
        <f ca="1">Bérköltség!$B162</f>
        <v>FEOR</v>
      </c>
      <c r="B162" s="694" t="str">
        <f ca="1">IFERROR(
IF(AND(Bérköltség!$F162="",H162="NA"),"HIÁNYOS ADATOK",
IF(Bérköltség!$F162&lt;Bérköltség!$U162,Admin!$B$18,Admin!$B$17)),
"")</f>
        <v>FEOR</v>
      </c>
      <c r="C162" s="437">
        <f>IFERROR(INDEX('Historikus berek_2021-2'!$A$1:$F$903,MATCH(AB162,'Historikus berek_2021-2'!$A$1:$A$903,0),4),"")</f>
        <v>594833.33333333337</v>
      </c>
      <c r="D162" s="438">
        <f t="shared" si="388"/>
        <v>444415.70881226053</v>
      </c>
      <c r="E162" s="437">
        <f t="shared" si="389"/>
        <v>435575</v>
      </c>
      <c r="F162" s="439">
        <f t="shared" si="390"/>
        <v>0</v>
      </c>
      <c r="G162" s="440">
        <f t="shared" si="391"/>
        <v>492199.74999999994</v>
      </c>
      <c r="H162" s="441">
        <f>IFERROR(INDEX('FEOR kodok'!$A$2:$J$1126,MATCH(Bérköltség!AB162,'FEOR kodok'!$B$2:$B$1126,0),8),"NA")</f>
        <v>2117</v>
      </c>
      <c r="I162" s="436">
        <f ca="1">IFERROR(INDEX('FEOR kodok'!$A$2:$J$1126,MATCH(Bérköltség!AB162,'FEOR kodok'!$B$2:$B$1126,0),10),"NA")</f>
        <v>48</v>
      </c>
      <c r="J162" s="442" t="str">
        <f t="shared" ca="1" si="392"/>
        <v>40–49 éves</v>
      </c>
      <c r="K162" s="436" t="str">
        <f>IFERROR(INDEX(admin_feor[#All],MATCH(Bérköltség!H162,admin_feor[[#All],[Foglalkozás]],0),2),"NA")</f>
        <v>Vegyészmérnök</v>
      </c>
      <c r="L162" s="438">
        <f ca="1">IFERROR(
INDEX('Admin - FEOR'!$A$4:$F$465,MATCH(Bérköltség!H162,'Admin - FEOR'!$A$4:$A$465,0),
IF(J162="30 év alatt",3,
IF(J162="30–39 éves",4,
IF(J162="40–49 éves",5,
IF(J162="50 év és afelett",6
)))))*1,"NA")</f>
        <v>824591</v>
      </c>
      <c r="M162" s="438">
        <f t="shared" si="393"/>
        <v>583000</v>
      </c>
      <c r="N162" s="443">
        <f t="shared" ca="1" si="394"/>
        <v>0.70701717578775414</v>
      </c>
      <c r="O162" s="438">
        <f ca="1">IFERROR(
INDEX('Admin - FEOR'!$A$4:$F$465,MATCH(Bérköltség!H162,'Admin - FEOR'!$A$4:$A$465,0),
IF(J162="30 év alatt",3,
IF(J162="30–39 éves",4,
IF(J162="40–49 éves",5,
IF(J162="50 év és afelett",6
)))))*1.5,"NA")</f>
        <v>1236886.5</v>
      </c>
      <c r="P162" s="438">
        <f t="shared" ca="1" si="395"/>
        <v>924110.60344827583</v>
      </c>
      <c r="Q162" s="438">
        <f t="shared" si="396"/>
        <v>435575</v>
      </c>
      <c r="R162" s="444">
        <f t="shared" si="397"/>
        <v>0.74712643678160917</v>
      </c>
      <c r="S162" s="438">
        <f t="shared" ca="1" si="398"/>
        <v>0</v>
      </c>
      <c r="T162" s="438">
        <f t="shared" ca="1" si="399"/>
        <v>0</v>
      </c>
      <c r="U162" s="445">
        <f t="shared" ca="1" si="400"/>
        <v>0</v>
      </c>
      <c r="V162" s="446">
        <f t="shared" ca="1" si="401"/>
        <v>492200</v>
      </c>
      <c r="W162" s="447" t="str">
        <f t="shared" ca="1" si="402"/>
        <v>Nem szükséges indoklás.</v>
      </c>
      <c r="X162" s="571">
        <f t="shared" ca="1" si="403"/>
        <v>0</v>
      </c>
      <c r="Y162" s="554">
        <f t="shared" ca="1" si="404"/>
        <v>435575</v>
      </c>
      <c r="Z162" s="554">
        <f t="shared" ca="1" si="405"/>
        <v>56625</v>
      </c>
      <c r="AA162" s="101"/>
      <c r="AB162" s="474">
        <v>8396661065</v>
      </c>
      <c r="AC162" s="449" t="s">
        <v>2996</v>
      </c>
      <c r="AD162" s="483" t="s">
        <v>45</v>
      </c>
      <c r="AE162" s="450" t="s">
        <v>22</v>
      </c>
      <c r="AF162" s="247" t="s">
        <v>121</v>
      </c>
      <c r="AG162" s="99" t="s">
        <v>4599</v>
      </c>
      <c r="AH162" s="451" t="s">
        <v>131</v>
      </c>
      <c r="AI162" s="154">
        <v>45200</v>
      </c>
      <c r="AJ162" s="100" t="str">
        <f>IF(AI162&gt;0,
(IF(AI162&lt;Hónapok!$A$10,Admin!$A$28,
(IF(AI162&lt;Hónapok!$A$22,Admin!$B$28,
(IF(AI162&lt;Hónapok!$A$34,Admin!$C$28,
(IF(AI162&lt;Hónapok!$A$46,Admin!$D$28,"")))))))),"")</f>
        <v>3. mérföldkő</v>
      </c>
      <c r="AK162" s="469" t="s">
        <v>8</v>
      </c>
      <c r="AL162" s="101" t="s">
        <v>26</v>
      </c>
      <c r="AM162" s="908">
        <v>583000</v>
      </c>
      <c r="AN162" s="860">
        <f t="shared" si="362"/>
        <v>75790</v>
      </c>
      <c r="AO162" s="101">
        <v>174</v>
      </c>
      <c r="AP162" s="111">
        <v>130</v>
      </c>
      <c r="AQ162" s="454">
        <f t="shared" si="406"/>
        <v>0.74712643678160917</v>
      </c>
      <c r="AR162" s="455">
        <f t="shared" si="407"/>
        <v>435575</v>
      </c>
      <c r="AS162" s="455">
        <f t="shared" si="315"/>
        <v>56625</v>
      </c>
      <c r="AT162" s="102">
        <f t="shared" si="316"/>
        <v>-4.9289249026696069E-7</v>
      </c>
      <c r="AU162" s="116">
        <v>0.13</v>
      </c>
      <c r="AV162" s="565" t="str">
        <f>VLOOKUP(LEFT(AB162,10),Törzsszám!$A$1:$B$908,2,0)</f>
        <v>10000346</v>
      </c>
      <c r="AW162" s="681">
        <f t="shared" ca="1" si="311"/>
        <v>0</v>
      </c>
      <c r="AX162" s="456"/>
      <c r="AY162" s="486"/>
      <c r="AZ162" s="502"/>
      <c r="BA162" s="671"/>
      <c r="BB162" s="649"/>
      <c r="BC162" s="649"/>
      <c r="BD162" s="672"/>
      <c r="BE162" s="450"/>
    </row>
    <row r="163" spans="1:58" s="457" customFormat="1" ht="31.5" x14ac:dyDescent="0.25">
      <c r="A163" s="694" t="str">
        <f ca="1">Bérköltség!$B163</f>
        <v>FEOR</v>
      </c>
      <c r="B163" s="694" t="str">
        <f ca="1">IFERROR(
IF(AND(Bérköltség!$F163="",H163="NA"),"HIÁNYOS ADATOK",
IF(Bérköltség!$F163&lt;Bérköltség!$U163,Admin!$B$18,Admin!$B$17)),
"")</f>
        <v>FEOR</v>
      </c>
      <c r="C163" s="437">
        <f>IFERROR(INDEX('Historikus berek_2021-2'!$A$1:$F$903,MATCH(AB163,'Historikus berek_2021-2'!$A$1:$A$903,0),4),"")</f>
        <v>594833.33333333337</v>
      </c>
      <c r="D163" s="438">
        <f t="shared" si="388"/>
        <v>444415.70881226053</v>
      </c>
      <c r="E163" s="437">
        <f t="shared" si="389"/>
        <v>435575</v>
      </c>
      <c r="F163" s="439">
        <f t="shared" si="390"/>
        <v>0</v>
      </c>
      <c r="G163" s="440">
        <f t="shared" si="391"/>
        <v>492199.74999999994</v>
      </c>
      <c r="H163" s="441">
        <f>IFERROR(INDEX('FEOR kodok'!$A$2:$J$1126,MATCH(Bérköltség!AB163,'FEOR kodok'!$B$2:$B$1126,0),8),"NA")</f>
        <v>2117</v>
      </c>
      <c r="I163" s="436">
        <f ca="1">IFERROR(INDEX('FEOR kodok'!$A$2:$J$1126,MATCH(Bérköltség!AB163,'FEOR kodok'!$B$2:$B$1126,0),10),"NA")</f>
        <v>48</v>
      </c>
      <c r="J163" s="442" t="str">
        <f t="shared" ca="1" si="392"/>
        <v>40–49 éves</v>
      </c>
      <c r="K163" s="436" t="str">
        <f>IFERROR(INDEX(admin_feor[#All],MATCH(Bérköltség!H163,admin_feor[[#All],[Foglalkozás]],0),2),"NA")</f>
        <v>Vegyészmérnök</v>
      </c>
      <c r="L163" s="438">
        <f ca="1">IFERROR(
INDEX('Admin - FEOR'!$A$4:$F$465,MATCH(Bérköltség!H163,'Admin - FEOR'!$A$4:$A$465,0),
IF(J163="30 év alatt",3,
IF(J163="30–39 éves",4,
IF(J163="40–49 éves",5,
IF(J163="50 év és afelett",6
)))))*1,"NA")</f>
        <v>824591</v>
      </c>
      <c r="M163" s="438">
        <f t="shared" si="393"/>
        <v>583000</v>
      </c>
      <c r="N163" s="443">
        <f t="shared" ca="1" si="394"/>
        <v>0.70701717578775414</v>
      </c>
      <c r="O163" s="438">
        <f ca="1">IFERROR(
INDEX('Admin - FEOR'!$A$4:$F$465,MATCH(Bérköltség!H163,'Admin - FEOR'!$A$4:$A$465,0),
IF(J163="30 év alatt",3,
IF(J163="30–39 éves",4,
IF(J163="40–49 éves",5,
IF(J163="50 év és afelett",6
)))))*1.5,"NA")</f>
        <v>1236886.5</v>
      </c>
      <c r="P163" s="438">
        <f t="shared" ca="1" si="395"/>
        <v>924110.60344827583</v>
      </c>
      <c r="Q163" s="438">
        <f t="shared" si="396"/>
        <v>435575</v>
      </c>
      <c r="R163" s="444">
        <f t="shared" si="397"/>
        <v>0.74712643678160917</v>
      </c>
      <c r="S163" s="438">
        <f t="shared" ca="1" si="398"/>
        <v>0</v>
      </c>
      <c r="T163" s="438">
        <f t="shared" ca="1" si="399"/>
        <v>0</v>
      </c>
      <c r="U163" s="445">
        <f t="shared" ca="1" si="400"/>
        <v>0</v>
      </c>
      <c r="V163" s="446">
        <f t="shared" ca="1" si="401"/>
        <v>492200</v>
      </c>
      <c r="W163" s="447" t="str">
        <f t="shared" ca="1" si="402"/>
        <v>Nem szükséges indoklás.</v>
      </c>
      <c r="X163" s="571">
        <f t="shared" ca="1" si="403"/>
        <v>0</v>
      </c>
      <c r="Y163" s="554">
        <f t="shared" ca="1" si="404"/>
        <v>435575</v>
      </c>
      <c r="Z163" s="554">
        <f t="shared" ca="1" si="405"/>
        <v>56625</v>
      </c>
      <c r="AA163" s="101"/>
      <c r="AB163" s="474">
        <v>8396661065</v>
      </c>
      <c r="AC163" s="449" t="s">
        <v>2996</v>
      </c>
      <c r="AD163" s="483" t="s">
        <v>45</v>
      </c>
      <c r="AE163" s="450" t="s">
        <v>22</v>
      </c>
      <c r="AF163" s="247" t="s">
        <v>121</v>
      </c>
      <c r="AG163" s="99" t="s">
        <v>4599</v>
      </c>
      <c r="AH163" s="451" t="s">
        <v>131</v>
      </c>
      <c r="AI163" s="154">
        <v>45231</v>
      </c>
      <c r="AJ163" s="100" t="str">
        <f>IF(AI163&gt;0,
(IF(AI163&lt;Hónapok!$A$10,Admin!$A$28,
(IF(AI163&lt;Hónapok!$A$22,Admin!$B$28,
(IF(AI163&lt;Hónapok!$A$34,Admin!$C$28,
(IF(AI163&lt;Hónapok!$A$46,Admin!$D$28,"")))))))),"")</f>
        <v>3. mérföldkő</v>
      </c>
      <c r="AK163" s="469" t="s">
        <v>8</v>
      </c>
      <c r="AL163" s="101" t="s">
        <v>26</v>
      </c>
      <c r="AM163" s="908">
        <v>583000</v>
      </c>
      <c r="AN163" s="860">
        <f t="shared" si="362"/>
        <v>75790</v>
      </c>
      <c r="AO163" s="101">
        <v>174</v>
      </c>
      <c r="AP163" s="111">
        <v>130</v>
      </c>
      <c r="AQ163" s="454">
        <f t="shared" si="406"/>
        <v>0.74712643678160917</v>
      </c>
      <c r="AR163" s="455">
        <f t="shared" si="407"/>
        <v>435575</v>
      </c>
      <c r="AS163" s="455">
        <f t="shared" si="315"/>
        <v>56625</v>
      </c>
      <c r="AT163" s="102">
        <f t="shared" si="316"/>
        <v>-4.9289249026696069E-7</v>
      </c>
      <c r="AU163" s="116">
        <v>0.13</v>
      </c>
      <c r="AV163" s="565" t="str">
        <f>VLOOKUP(LEFT(AB163,10),Törzsszám!$A$1:$B$908,2,0)</f>
        <v>10000346</v>
      </c>
      <c r="AW163" s="681">
        <f t="shared" ca="1" si="311"/>
        <v>0</v>
      </c>
      <c r="AX163" s="456"/>
      <c r="AY163" s="486"/>
      <c r="AZ163" s="502"/>
      <c r="BA163" s="671"/>
      <c r="BB163" s="649"/>
      <c r="BC163" s="649"/>
      <c r="BD163" s="672"/>
      <c r="BE163" s="450"/>
    </row>
    <row r="164" spans="1:58" s="457" customFormat="1" ht="31.5" x14ac:dyDescent="0.25">
      <c r="A164" s="694" t="str">
        <f ca="1">Bérköltség!$B164</f>
        <v>FEOR</v>
      </c>
      <c r="B164" s="694" t="str">
        <f ca="1">IFERROR(
IF(AND(Bérköltség!$F164="",H164="NA"),"HIÁNYOS ADATOK",
IF(Bérköltség!$F164&lt;Bérköltség!$U164,Admin!$B$18,Admin!$B$17)),
"")</f>
        <v>FEOR</v>
      </c>
      <c r="C164" s="437">
        <f>IFERROR(INDEX('Historikus berek_2021-2'!$A$1:$F$903,MATCH(AB164,'Historikus berek_2021-2'!$A$1:$A$903,0),4),"")</f>
        <v>240933.33333333334</v>
      </c>
      <c r="D164" s="438">
        <f t="shared" si="320"/>
        <v>227086.59003831417</v>
      </c>
      <c r="E164" s="437">
        <f t="shared" si="321"/>
        <v>282759</v>
      </c>
      <c r="F164" s="439">
        <f t="shared" si="334"/>
        <v>62909.823256704985</v>
      </c>
      <c r="G164" s="440">
        <f t="shared" si="335"/>
        <v>256607.846743295</v>
      </c>
      <c r="H164" s="441">
        <f>IFERROR(INDEX('FEOR kodok'!$A$2:$J$1126,MATCH(Bérköltség!AB164,'FEOR kodok'!$B$2:$B$1126,0),8),"NA")</f>
        <v>2139</v>
      </c>
      <c r="I164" s="436">
        <f ca="1">IFERROR(INDEX('FEOR kodok'!$A$2:$J$1126,MATCH(Bérköltség!AB164,'FEOR kodok'!$B$2:$B$1126,0),10),"NA")</f>
        <v>34</v>
      </c>
      <c r="J164" s="442" t="str">
        <f t="shared" ca="1" si="322"/>
        <v>30–39 éves</v>
      </c>
      <c r="K164" s="436" t="str">
        <f>IFERROR(INDEX(admin_feor[#All],MATCH(Bérköltség!H164,admin_feor[[#All],[Foglalkozás]],0),2),"NA")</f>
        <v>Egyéb, máshova nem sorolható mérnök</v>
      </c>
      <c r="L164" s="438">
        <f ca="1">IFERROR(
INDEX('Admin - FEOR'!$A$4:$F$465,MATCH(Bérköltség!H164,'Admin - FEOR'!$A$4:$A$465,0),
IF(J164="30 év alatt",3,
IF(J164="30–39 éves",4,
IF(J164="40–49 éves",5,
IF(J164="50 év és afelett",6
)))))*1,"NA")</f>
        <v>845378</v>
      </c>
      <c r="M164" s="438">
        <f t="shared" si="323"/>
        <v>300000</v>
      </c>
      <c r="N164" s="443">
        <f t="shared" ca="1" si="324"/>
        <v>0.35487083884368886</v>
      </c>
      <c r="O164" s="438">
        <f ca="1">IFERROR(
INDEX('Admin - FEOR'!$A$4:$F$465,MATCH(Bérköltség!H164,'Admin - FEOR'!$A$4:$A$465,0),
IF(J164="30 év alatt",3,
IF(J164="30–39 éves",4,
IF(J164="40–49 éves",5,
IF(J164="50 év és afelett",6
)))))*1.5,"NA")</f>
        <v>1268067</v>
      </c>
      <c r="P164" s="438">
        <f t="shared" ca="1" si="325"/>
        <v>1195189.5862068965</v>
      </c>
      <c r="Q164" s="438">
        <f t="shared" si="326"/>
        <v>282759</v>
      </c>
      <c r="R164" s="444">
        <f t="shared" si="327"/>
        <v>0.94252873563218387</v>
      </c>
      <c r="S164" s="438">
        <f t="shared" ca="1" si="328"/>
        <v>0</v>
      </c>
      <c r="T164" s="438">
        <f t="shared" ca="1" si="329"/>
        <v>0</v>
      </c>
      <c r="U164" s="445">
        <f t="shared" ca="1" si="330"/>
        <v>0</v>
      </c>
      <c r="V164" s="446">
        <f t="shared" ca="1" si="331"/>
        <v>319518</v>
      </c>
      <c r="W164" s="447" t="str">
        <f t="shared" ca="1" si="332"/>
        <v>Nem szükséges indoklás.</v>
      </c>
      <c r="X164" s="571">
        <f t="shared" ca="1" si="333"/>
        <v>0</v>
      </c>
      <c r="Y164" s="554">
        <f t="shared" ca="1" si="318"/>
        <v>282759</v>
      </c>
      <c r="Z164" s="554">
        <f t="shared" ca="1" si="319"/>
        <v>36759</v>
      </c>
      <c r="AA164" s="573">
        <v>2</v>
      </c>
      <c r="AB164" s="474">
        <v>8446483645</v>
      </c>
      <c r="AC164" s="449" t="s">
        <v>222</v>
      </c>
      <c r="AD164" s="483" t="s">
        <v>45</v>
      </c>
      <c r="AE164" s="450" t="s">
        <v>22</v>
      </c>
      <c r="AF164" s="688" t="s">
        <v>119</v>
      </c>
      <c r="AG164" s="99" t="s">
        <v>224</v>
      </c>
      <c r="AH164" s="451" t="s">
        <v>131</v>
      </c>
      <c r="AI164" s="154">
        <v>44835</v>
      </c>
      <c r="AJ164" s="100" t="str">
        <f>IF(AI164&gt;0,
(IF(AI164&lt;Hónapok!$A$10,Admin!$A$28,
(IF(AI164&lt;Hónapok!$A$22,Admin!$B$28,
(IF(AI164&lt;Hónapok!$A$34,Admin!$C$28,
(IF(AI164&lt;Hónapok!$A$46,Admin!$D$28,"")))))))),"")</f>
        <v>2. mérföldkő</v>
      </c>
      <c r="AK164" s="467" t="s">
        <v>7</v>
      </c>
      <c r="AL164" s="101" t="s">
        <v>26</v>
      </c>
      <c r="AM164" s="908">
        <v>300000</v>
      </c>
      <c r="AN164" s="860">
        <f t="shared" si="362"/>
        <v>39000</v>
      </c>
      <c r="AO164" s="101">
        <v>174</v>
      </c>
      <c r="AP164" s="453">
        <v>164</v>
      </c>
      <c r="AQ164" s="454">
        <f t="shared" si="313"/>
        <v>0.94252873563218387</v>
      </c>
      <c r="AR164" s="455">
        <f t="shared" si="314"/>
        <v>282759</v>
      </c>
      <c r="AS164" s="455">
        <f t="shared" si="315"/>
        <v>36759</v>
      </c>
      <c r="AT164" s="102">
        <f t="shared" si="316"/>
        <v>-1.2643678161117222E-6</v>
      </c>
      <c r="AU164" s="116">
        <v>0.13</v>
      </c>
      <c r="AV164" s="565" t="str">
        <f>VLOOKUP(LEFT(AB164,10),Törzsszám!$A$1:$B$908,2,0)</f>
        <v>10001050</v>
      </c>
      <c r="AW164" s="615">
        <f t="shared" ca="1" si="311"/>
        <v>0</v>
      </c>
      <c r="AX164" s="456" t="s">
        <v>251</v>
      </c>
      <c r="AY164" s="486"/>
      <c r="AZ164" s="502"/>
      <c r="BA164" s="671">
        <v>282759</v>
      </c>
      <c r="BB164" s="649">
        <v>36759</v>
      </c>
      <c r="BC164" s="649">
        <f t="shared" ref="BC164:BC172" ca="1" si="408">Y164-BA164</f>
        <v>0</v>
      </c>
      <c r="BD164" s="672">
        <f t="shared" ref="BD164:BD172" ca="1" si="409">Z164-BB164</f>
        <v>0</v>
      </c>
      <c r="BE164" s="450" t="s">
        <v>225</v>
      </c>
      <c r="BF164" s="689" t="s">
        <v>4558</v>
      </c>
    </row>
    <row r="165" spans="1:58" s="457" customFormat="1" ht="31.5" x14ac:dyDescent="0.25">
      <c r="A165" s="694" t="str">
        <f ca="1">Bérköltség!$B165</f>
        <v>FEOR</v>
      </c>
      <c r="B165" s="694" t="str">
        <f ca="1">IFERROR(
IF(AND(Bérköltség!$F165="",H165="NA"),"HIÁNYOS ADATOK",
IF(Bérköltség!$F165&lt;Bérköltség!$U165,Admin!$B$18,Admin!$B$17)),
"")</f>
        <v>FEOR</v>
      </c>
      <c r="C165" s="437">
        <f>IFERROR(INDEX('Historikus berek_2021-2'!$A$1:$F$903,MATCH(AB165,'Historikus berek_2021-2'!$A$1:$A$903,0),4),"")</f>
        <v>240933.33333333334</v>
      </c>
      <c r="D165" s="438">
        <f t="shared" si="320"/>
        <v>227086.59003831417</v>
      </c>
      <c r="E165" s="437">
        <f t="shared" si="321"/>
        <v>282759</v>
      </c>
      <c r="F165" s="439">
        <f t="shared" si="334"/>
        <v>62909.823256704985</v>
      </c>
      <c r="G165" s="440">
        <f t="shared" si="335"/>
        <v>256607.846743295</v>
      </c>
      <c r="H165" s="441">
        <f>IFERROR(INDEX('FEOR kodok'!$A$2:$J$1126,MATCH(Bérköltség!AB165,'FEOR kodok'!$B$2:$B$1126,0),8),"NA")</f>
        <v>2139</v>
      </c>
      <c r="I165" s="436">
        <f ca="1">IFERROR(INDEX('FEOR kodok'!$A$2:$J$1126,MATCH(Bérköltség!AB165,'FEOR kodok'!$B$2:$B$1126,0),10),"NA")</f>
        <v>34</v>
      </c>
      <c r="J165" s="442" t="str">
        <f t="shared" ca="1" si="322"/>
        <v>30–39 éves</v>
      </c>
      <c r="K165" s="436" t="str">
        <f>IFERROR(INDEX(admin_feor[#All],MATCH(Bérköltség!H165,admin_feor[[#All],[Foglalkozás]],0),2),"NA")</f>
        <v>Egyéb, máshova nem sorolható mérnök</v>
      </c>
      <c r="L165" s="438">
        <f ca="1">IFERROR(
INDEX('Admin - FEOR'!$A$4:$F$465,MATCH(Bérköltség!H165,'Admin - FEOR'!$A$4:$A$465,0),
IF(J165="30 év alatt",3,
IF(J165="30–39 éves",4,
IF(J165="40–49 éves",5,
IF(J165="50 év és afelett",6
)))))*1,"NA")</f>
        <v>845378</v>
      </c>
      <c r="M165" s="438">
        <f t="shared" si="323"/>
        <v>300000</v>
      </c>
      <c r="N165" s="443">
        <f t="shared" ca="1" si="324"/>
        <v>0.35487083884368886</v>
      </c>
      <c r="O165" s="438">
        <f ca="1">IFERROR(
INDEX('Admin - FEOR'!$A$4:$F$465,MATCH(Bérköltség!H165,'Admin - FEOR'!$A$4:$A$465,0),
IF(J165="30 év alatt",3,
IF(J165="30–39 éves",4,
IF(J165="40–49 éves",5,
IF(J165="50 év és afelett",6
)))))*1.5,"NA")</f>
        <v>1268067</v>
      </c>
      <c r="P165" s="438">
        <f t="shared" ca="1" si="325"/>
        <v>1195189.5862068965</v>
      </c>
      <c r="Q165" s="438">
        <f t="shared" si="326"/>
        <v>282759</v>
      </c>
      <c r="R165" s="444">
        <f t="shared" si="327"/>
        <v>0.94252873563218387</v>
      </c>
      <c r="S165" s="438">
        <f t="shared" ca="1" si="328"/>
        <v>0</v>
      </c>
      <c r="T165" s="438">
        <f t="shared" ca="1" si="329"/>
        <v>0</v>
      </c>
      <c r="U165" s="445">
        <f t="shared" ca="1" si="330"/>
        <v>0</v>
      </c>
      <c r="V165" s="446">
        <f t="shared" ca="1" si="331"/>
        <v>319518</v>
      </c>
      <c r="W165" s="447" t="str">
        <f t="shared" ca="1" si="332"/>
        <v>Nem szükséges indoklás.</v>
      </c>
      <c r="X165" s="571">
        <f t="shared" ca="1" si="333"/>
        <v>0</v>
      </c>
      <c r="Y165" s="554">
        <f t="shared" ca="1" si="318"/>
        <v>282759</v>
      </c>
      <c r="Z165" s="554">
        <f t="shared" ca="1" si="319"/>
        <v>36759</v>
      </c>
      <c r="AA165" s="573">
        <v>2</v>
      </c>
      <c r="AB165" s="474">
        <v>8446483645</v>
      </c>
      <c r="AC165" s="449" t="s">
        <v>222</v>
      </c>
      <c r="AD165" s="483" t="s">
        <v>45</v>
      </c>
      <c r="AE165" s="450" t="s">
        <v>22</v>
      </c>
      <c r="AF165" s="247" t="s">
        <v>119</v>
      </c>
      <c r="AG165" s="99" t="s">
        <v>224</v>
      </c>
      <c r="AH165" s="451" t="s">
        <v>131</v>
      </c>
      <c r="AI165" s="154">
        <v>44866</v>
      </c>
      <c r="AJ165" s="100" t="str">
        <f>IF(AI165&gt;0,
(IF(AI165&lt;Hónapok!$A$10,Admin!$A$28,
(IF(AI165&lt;Hónapok!$A$22,Admin!$B$28,
(IF(AI165&lt;Hónapok!$A$34,Admin!$C$28,
(IF(AI165&lt;Hónapok!$A$46,Admin!$D$28,"")))))))),"")</f>
        <v>2. mérföldkő</v>
      </c>
      <c r="AK165" s="467" t="s">
        <v>7</v>
      </c>
      <c r="AL165" s="101" t="s">
        <v>26</v>
      </c>
      <c r="AM165" s="908">
        <v>300000</v>
      </c>
      <c r="AN165" s="860">
        <f t="shared" si="362"/>
        <v>39000</v>
      </c>
      <c r="AO165" s="101">
        <v>174</v>
      </c>
      <c r="AP165" s="111">
        <v>164</v>
      </c>
      <c r="AQ165" s="454">
        <f t="shared" si="313"/>
        <v>0.94252873563218387</v>
      </c>
      <c r="AR165" s="455">
        <f t="shared" si="314"/>
        <v>282759</v>
      </c>
      <c r="AS165" s="455">
        <f t="shared" si="315"/>
        <v>36759</v>
      </c>
      <c r="AT165" s="102">
        <f t="shared" si="316"/>
        <v>-1.2643678161117222E-6</v>
      </c>
      <c r="AU165" s="116">
        <v>0.13</v>
      </c>
      <c r="AV165" s="565" t="str">
        <f>VLOOKUP(LEFT(AB165,10),Törzsszám!$A$1:$B$908,2,0)</f>
        <v>10001050</v>
      </c>
      <c r="AW165" s="615">
        <f t="shared" ca="1" si="311"/>
        <v>0</v>
      </c>
      <c r="AX165" s="471" t="s">
        <v>260</v>
      </c>
      <c r="AY165" s="486"/>
      <c r="AZ165" s="502"/>
      <c r="BA165" s="671">
        <v>282759</v>
      </c>
      <c r="BB165" s="649">
        <v>36759</v>
      </c>
      <c r="BC165" s="649">
        <f t="shared" ca="1" si="408"/>
        <v>0</v>
      </c>
      <c r="BD165" s="672">
        <f t="shared" ca="1" si="409"/>
        <v>0</v>
      </c>
      <c r="BE165" s="450" t="s">
        <v>225</v>
      </c>
    </row>
    <row r="166" spans="1:58" s="457" customFormat="1" ht="31.5" x14ac:dyDescent="0.25">
      <c r="A166" s="694" t="str">
        <f ca="1">Bérköltség!$B166</f>
        <v>FEOR</v>
      </c>
      <c r="B166" s="694" t="str">
        <f ca="1">IFERROR(
IF(AND(Bérköltség!$F166="",H166="NA"),"HIÁNYOS ADATOK",
IF(Bérköltség!$F166&lt;Bérköltség!$U166,Admin!$B$18,Admin!$B$17)),
"")</f>
        <v>FEOR</v>
      </c>
      <c r="C166" s="437">
        <f>IFERROR(INDEX('Historikus berek_2021-2'!$A$1:$F$903,MATCH(AB166,'Historikus berek_2021-2'!$A$1:$A$903,0),4),"")</f>
        <v>304933.33333333331</v>
      </c>
      <c r="D166" s="438">
        <f t="shared" si="320"/>
        <v>262873.56321839074</v>
      </c>
      <c r="E166" s="437">
        <f t="shared" si="321"/>
        <v>413793</v>
      </c>
      <c r="F166" s="439">
        <f t="shared" si="334"/>
        <v>170538.96356321848</v>
      </c>
      <c r="G166" s="440">
        <f t="shared" si="335"/>
        <v>297047.12643678149</v>
      </c>
      <c r="H166" s="441">
        <f>IFERROR(INDEX('FEOR kodok'!$A$2:$J$1126,MATCH(Bérköltség!AB166,'FEOR kodok'!$B$2:$B$1126,0),8),"NA")</f>
        <v>2410</v>
      </c>
      <c r="I166" s="436">
        <f ca="1">IFERROR(INDEX('FEOR kodok'!$A$2:$J$1126,MATCH(Bérköltség!AB166,'FEOR kodok'!$B$2:$B$1126,0),10),"NA")</f>
        <v>38</v>
      </c>
      <c r="J166" s="442" t="str">
        <f t="shared" ca="1" si="322"/>
        <v>30–39 éves</v>
      </c>
      <c r="K166" s="436" t="str">
        <f>IFERROR(INDEX(admin_feor[#All],MATCH(Bérköltség!H166,admin_feor[[#All],[Foglalkozás]],0),2),"NA")</f>
        <v>Egyetemi, főiskolai oktató, tanár</v>
      </c>
      <c r="L166" s="438">
        <f ca="1">IFERROR(
INDEX('Admin - FEOR'!$A$4:$F$465,MATCH(Bérköltség!H166,'Admin - FEOR'!$A$4:$A$465,0),
IF(J166="30 év alatt",3,
IF(J166="30–39 éves",4,
IF(J166="40–49 éves",5,
IF(J166="50 év és afelett",6
)))))*1,"NA")</f>
        <v>571548</v>
      </c>
      <c r="M166" s="438">
        <f t="shared" si="323"/>
        <v>480000</v>
      </c>
      <c r="N166" s="443">
        <f t="shared" ca="1" si="324"/>
        <v>0.83982447668437299</v>
      </c>
      <c r="O166" s="438">
        <f ca="1">IFERROR(
INDEX('Admin - FEOR'!$A$4:$F$465,MATCH(Bérköltség!H166,'Admin - FEOR'!$A$4:$A$465,0),
IF(J166="30 év alatt",3,
IF(J166="30–39 éves",4,
IF(J166="40–49 éves",5,
IF(J166="50 év és afelett",6
)))))*1.5,"NA")</f>
        <v>857322</v>
      </c>
      <c r="P166" s="438">
        <f t="shared" ca="1" si="325"/>
        <v>739070.68965517241</v>
      </c>
      <c r="Q166" s="438">
        <f t="shared" si="326"/>
        <v>413793</v>
      </c>
      <c r="R166" s="444">
        <f t="shared" si="327"/>
        <v>0.86206896551724133</v>
      </c>
      <c r="S166" s="438">
        <f t="shared" ca="1" si="328"/>
        <v>0</v>
      </c>
      <c r="T166" s="438">
        <f t="shared" ca="1" si="329"/>
        <v>0</v>
      </c>
      <c r="U166" s="445">
        <f t="shared" ca="1" si="330"/>
        <v>0</v>
      </c>
      <c r="V166" s="446">
        <f t="shared" ca="1" si="331"/>
        <v>467586</v>
      </c>
      <c r="W166" s="447" t="str">
        <f t="shared" ca="1" si="332"/>
        <v>Nem szükséges indoklás.</v>
      </c>
      <c r="X166" s="571">
        <f t="shared" ca="1" si="333"/>
        <v>0</v>
      </c>
      <c r="Y166" s="554">
        <f t="shared" ca="1" si="318"/>
        <v>413793</v>
      </c>
      <c r="Z166" s="554">
        <f t="shared" ca="1" si="319"/>
        <v>53793</v>
      </c>
      <c r="AA166" s="573">
        <v>2</v>
      </c>
      <c r="AB166" s="474">
        <v>8432360317</v>
      </c>
      <c r="AC166" s="449" t="s">
        <v>127</v>
      </c>
      <c r="AD166" s="483" t="s">
        <v>45</v>
      </c>
      <c r="AE166" s="450" t="s">
        <v>22</v>
      </c>
      <c r="AF166" s="247" t="s">
        <v>121</v>
      </c>
      <c r="AG166" s="99" t="s">
        <v>128</v>
      </c>
      <c r="AH166" s="451" t="s">
        <v>131</v>
      </c>
      <c r="AI166" s="154">
        <v>44743</v>
      </c>
      <c r="AJ166" s="100" t="str">
        <f>IF(AI166&gt;0,
(IF(AI166&lt;Hónapok!$A$10,Admin!$A$28,
(IF(AI166&lt;Hónapok!$A$22,Admin!$B$28,
(IF(AI166&lt;Hónapok!$A$34,Admin!$C$28,
(IF(AI166&lt;Hónapok!$A$46,Admin!$D$28,"")))))))),"")</f>
        <v>2. mérföldkő</v>
      </c>
      <c r="AK166" s="467" t="s">
        <v>7</v>
      </c>
      <c r="AL166" s="101" t="s">
        <v>26</v>
      </c>
      <c r="AM166" s="908">
        <v>480000</v>
      </c>
      <c r="AN166" s="860">
        <f t="shared" si="362"/>
        <v>62400</v>
      </c>
      <c r="AO166" s="101">
        <v>174</v>
      </c>
      <c r="AP166" s="111">
        <v>150</v>
      </c>
      <c r="AQ166" s="454">
        <f t="shared" si="313"/>
        <v>0.86206896551724133</v>
      </c>
      <c r="AR166" s="455">
        <f t="shared" si="314"/>
        <v>413793</v>
      </c>
      <c r="AS166" s="455">
        <f t="shared" si="315"/>
        <v>53793</v>
      </c>
      <c r="AT166" s="102">
        <f t="shared" si="316"/>
        <v>2.1551724127544247E-7</v>
      </c>
      <c r="AU166" s="116">
        <v>0.13</v>
      </c>
      <c r="AV166" s="565" t="str">
        <f>VLOOKUP(LEFT(AB166,10),Törzsszám!$A$1:$B$908,2,0)</f>
        <v>10000130</v>
      </c>
      <c r="AW166" s="615">
        <f t="shared" ca="1" si="311"/>
        <v>0</v>
      </c>
      <c r="AX166" s="468" t="s">
        <v>209</v>
      </c>
      <c r="AY166" s="486"/>
      <c r="AZ166" s="502"/>
      <c r="BA166" s="671">
        <v>413793</v>
      </c>
      <c r="BB166" s="649">
        <v>53793</v>
      </c>
      <c r="BC166" s="649">
        <f t="shared" ca="1" si="408"/>
        <v>0</v>
      </c>
      <c r="BD166" s="672">
        <f t="shared" ca="1" si="409"/>
        <v>0</v>
      </c>
      <c r="BE166" s="450" t="s">
        <v>144</v>
      </c>
    </row>
    <row r="167" spans="1:58" s="457" customFormat="1" ht="31.5" x14ac:dyDescent="0.25">
      <c r="A167" s="694" t="str">
        <f ca="1">Bérköltség!$B167</f>
        <v>FEOR</v>
      </c>
      <c r="B167" s="694" t="str">
        <f ca="1">IFERROR(
IF(AND(Bérköltség!$F167="",H167="NA"),"HIÁNYOS ADATOK",
IF(Bérköltség!$F167&lt;Bérköltség!$U167,Admin!$B$18,Admin!$B$17)),
"")</f>
        <v>FEOR</v>
      </c>
      <c r="C167" s="437">
        <f>IFERROR(INDEX('Historikus berek_2021-2'!$A$1:$F$903,MATCH(AB167,'Historikus berek_2021-2'!$A$1:$A$903,0),4),"")</f>
        <v>304933.33333333331</v>
      </c>
      <c r="D167" s="438">
        <f t="shared" si="320"/>
        <v>262873.56321839074</v>
      </c>
      <c r="E167" s="437">
        <f t="shared" si="321"/>
        <v>413793</v>
      </c>
      <c r="F167" s="439">
        <f t="shared" si="334"/>
        <v>170538.96356321848</v>
      </c>
      <c r="G167" s="440">
        <f t="shared" si="335"/>
        <v>297047.12643678149</v>
      </c>
      <c r="H167" s="441">
        <f>IFERROR(INDEX('FEOR kodok'!$A$2:$J$1126,MATCH(Bérköltség!AB167,'FEOR kodok'!$B$2:$B$1126,0),8),"NA")</f>
        <v>2410</v>
      </c>
      <c r="I167" s="436">
        <f ca="1">IFERROR(INDEX('FEOR kodok'!$A$2:$J$1126,MATCH(Bérköltség!AB167,'FEOR kodok'!$B$2:$B$1126,0),10),"NA")</f>
        <v>38</v>
      </c>
      <c r="J167" s="442" t="str">
        <f t="shared" ca="1" si="322"/>
        <v>30–39 éves</v>
      </c>
      <c r="K167" s="436" t="str">
        <f>IFERROR(INDEX(admin_feor[#All],MATCH(Bérköltség!H167,admin_feor[[#All],[Foglalkozás]],0),2),"NA")</f>
        <v>Egyetemi, főiskolai oktató, tanár</v>
      </c>
      <c r="L167" s="438">
        <f ca="1">IFERROR(
INDEX('Admin - FEOR'!$A$4:$F$465,MATCH(Bérköltség!H167,'Admin - FEOR'!$A$4:$A$465,0),
IF(J167="30 év alatt",3,
IF(J167="30–39 éves",4,
IF(J167="40–49 éves",5,
IF(J167="50 év és afelett",6
)))))*1,"NA")</f>
        <v>571548</v>
      </c>
      <c r="M167" s="438">
        <f t="shared" si="323"/>
        <v>480000</v>
      </c>
      <c r="N167" s="443">
        <f t="shared" ca="1" si="324"/>
        <v>0.83982447668437299</v>
      </c>
      <c r="O167" s="438">
        <f ca="1">IFERROR(
INDEX('Admin - FEOR'!$A$4:$F$465,MATCH(Bérköltség!H167,'Admin - FEOR'!$A$4:$A$465,0),
IF(J167="30 év alatt",3,
IF(J167="30–39 éves",4,
IF(J167="40–49 éves",5,
IF(J167="50 év és afelett",6
)))))*1.5,"NA")</f>
        <v>857322</v>
      </c>
      <c r="P167" s="438">
        <f t="shared" ca="1" si="325"/>
        <v>739070.68965517241</v>
      </c>
      <c r="Q167" s="438">
        <f t="shared" si="326"/>
        <v>413793</v>
      </c>
      <c r="R167" s="444">
        <f t="shared" si="327"/>
        <v>0.86206896551724133</v>
      </c>
      <c r="S167" s="438">
        <f t="shared" ca="1" si="328"/>
        <v>0</v>
      </c>
      <c r="T167" s="438">
        <f t="shared" ca="1" si="329"/>
        <v>0</v>
      </c>
      <c r="U167" s="445">
        <f t="shared" ca="1" si="330"/>
        <v>0</v>
      </c>
      <c r="V167" s="446">
        <f t="shared" ca="1" si="331"/>
        <v>467586</v>
      </c>
      <c r="W167" s="447" t="str">
        <f t="shared" ca="1" si="332"/>
        <v>Nem szükséges indoklás.</v>
      </c>
      <c r="X167" s="571">
        <f t="shared" ca="1" si="333"/>
        <v>0</v>
      </c>
      <c r="Y167" s="554">
        <f t="shared" ca="1" si="318"/>
        <v>413793</v>
      </c>
      <c r="Z167" s="554">
        <f t="shared" ca="1" si="319"/>
        <v>53793</v>
      </c>
      <c r="AA167" s="573">
        <v>2</v>
      </c>
      <c r="AB167" s="474">
        <v>8432360317</v>
      </c>
      <c r="AC167" s="449" t="s">
        <v>127</v>
      </c>
      <c r="AD167" s="483" t="s">
        <v>45</v>
      </c>
      <c r="AE167" s="450" t="s">
        <v>22</v>
      </c>
      <c r="AF167" s="247" t="s">
        <v>121</v>
      </c>
      <c r="AG167" s="99" t="s">
        <v>128</v>
      </c>
      <c r="AH167" s="451" t="s">
        <v>131</v>
      </c>
      <c r="AI167" s="154">
        <v>44774</v>
      </c>
      <c r="AJ167" s="100" t="str">
        <f>IF(AI167&gt;0,
(IF(AI167&lt;Hónapok!$A$10,Admin!$A$28,
(IF(AI167&lt;Hónapok!$A$22,Admin!$B$28,
(IF(AI167&lt;Hónapok!$A$34,Admin!$C$28,
(IF(AI167&lt;Hónapok!$A$46,Admin!$D$28,"")))))))),"")</f>
        <v>2. mérföldkő</v>
      </c>
      <c r="AK167" s="469" t="s">
        <v>7</v>
      </c>
      <c r="AL167" s="101" t="s">
        <v>26</v>
      </c>
      <c r="AM167" s="908">
        <v>480000</v>
      </c>
      <c r="AN167" s="860">
        <f t="shared" si="362"/>
        <v>62400</v>
      </c>
      <c r="AO167" s="101">
        <v>174</v>
      </c>
      <c r="AP167" s="111">
        <v>150</v>
      </c>
      <c r="AQ167" s="454">
        <f t="shared" si="313"/>
        <v>0.86206896551724133</v>
      </c>
      <c r="AR167" s="455">
        <f t="shared" si="314"/>
        <v>413793</v>
      </c>
      <c r="AS167" s="455">
        <f t="shared" si="315"/>
        <v>53793</v>
      </c>
      <c r="AT167" s="102">
        <f t="shared" si="316"/>
        <v>2.1551724127544247E-7</v>
      </c>
      <c r="AU167" s="116">
        <v>0.13</v>
      </c>
      <c r="AV167" s="565" t="str">
        <f>VLOOKUP(LEFT(AB167,10),Törzsszám!$A$1:$B$908,2,0)</f>
        <v>10000130</v>
      </c>
      <c r="AW167" s="615">
        <f t="shared" ca="1" si="311"/>
        <v>0</v>
      </c>
      <c r="AX167" s="468" t="s">
        <v>218</v>
      </c>
      <c r="AY167" s="486"/>
      <c r="AZ167" s="502"/>
      <c r="BA167" s="671">
        <v>413793</v>
      </c>
      <c r="BB167" s="649">
        <v>53793</v>
      </c>
      <c r="BC167" s="649">
        <f t="shared" ca="1" si="408"/>
        <v>0</v>
      </c>
      <c r="BD167" s="672">
        <f t="shared" ca="1" si="409"/>
        <v>0</v>
      </c>
      <c r="BE167" s="450" t="s">
        <v>144</v>
      </c>
    </row>
    <row r="168" spans="1:58" s="457" customFormat="1" ht="31.5" x14ac:dyDescent="0.25">
      <c r="A168" s="694" t="str">
        <f ca="1">Bérköltség!$B168</f>
        <v>FEOR</v>
      </c>
      <c r="B168" s="694" t="str">
        <f ca="1">IFERROR(
IF(AND(Bérköltség!$F168="",H168="NA"),"HIÁNYOS ADATOK",
IF(Bérköltség!$F168&lt;Bérköltség!$U168,Admin!$B$18,Admin!$B$17)),
"")</f>
        <v>FEOR</v>
      </c>
      <c r="C168" s="437">
        <f>IFERROR(INDEX('Historikus berek_2021-2'!$A$1:$F$903,MATCH(AB168,'Historikus berek_2021-2'!$A$1:$A$903,0),4),"")</f>
        <v>304933.33333333331</v>
      </c>
      <c r="D168" s="438">
        <f t="shared" si="320"/>
        <v>262873.56321839074</v>
      </c>
      <c r="E168" s="437">
        <f t="shared" si="321"/>
        <v>413793</v>
      </c>
      <c r="F168" s="439">
        <f t="shared" si="334"/>
        <v>170538.96356321848</v>
      </c>
      <c r="G168" s="440">
        <f t="shared" si="335"/>
        <v>297047.12643678149</v>
      </c>
      <c r="H168" s="441">
        <f>IFERROR(INDEX('FEOR kodok'!$A$2:$J$1126,MATCH(Bérköltség!AB168,'FEOR kodok'!$B$2:$B$1126,0),8),"NA")</f>
        <v>2410</v>
      </c>
      <c r="I168" s="436">
        <f ca="1">IFERROR(INDEX('FEOR kodok'!$A$2:$J$1126,MATCH(Bérköltség!AB168,'FEOR kodok'!$B$2:$B$1126,0),10),"NA")</f>
        <v>38</v>
      </c>
      <c r="J168" s="442" t="str">
        <f t="shared" ca="1" si="322"/>
        <v>30–39 éves</v>
      </c>
      <c r="K168" s="436" t="str">
        <f>IFERROR(INDEX(admin_feor[#All],MATCH(Bérköltség!H168,admin_feor[[#All],[Foglalkozás]],0),2),"NA")</f>
        <v>Egyetemi, főiskolai oktató, tanár</v>
      </c>
      <c r="L168" s="438">
        <f ca="1">IFERROR(
INDEX('Admin - FEOR'!$A$4:$F$465,MATCH(Bérköltség!H168,'Admin - FEOR'!$A$4:$A$465,0),
IF(J168="30 év alatt",3,
IF(J168="30–39 éves",4,
IF(J168="40–49 éves",5,
IF(J168="50 év és afelett",6
)))))*1,"NA")</f>
        <v>571548</v>
      </c>
      <c r="M168" s="438">
        <f t="shared" si="323"/>
        <v>480000</v>
      </c>
      <c r="N168" s="443">
        <f t="shared" ca="1" si="324"/>
        <v>0.83982447668437299</v>
      </c>
      <c r="O168" s="438">
        <f ca="1">IFERROR(
INDEX('Admin - FEOR'!$A$4:$F$465,MATCH(Bérköltség!H168,'Admin - FEOR'!$A$4:$A$465,0),
IF(J168="30 év alatt",3,
IF(J168="30–39 éves",4,
IF(J168="40–49 éves",5,
IF(J168="50 év és afelett",6
)))))*1.5,"NA")</f>
        <v>857322</v>
      </c>
      <c r="P168" s="438">
        <f t="shared" ca="1" si="325"/>
        <v>739070.68965517241</v>
      </c>
      <c r="Q168" s="438">
        <f t="shared" si="326"/>
        <v>413793</v>
      </c>
      <c r="R168" s="444">
        <f t="shared" si="327"/>
        <v>0.86206896551724133</v>
      </c>
      <c r="S168" s="438">
        <f t="shared" ca="1" si="328"/>
        <v>0</v>
      </c>
      <c r="T168" s="438">
        <f t="shared" ca="1" si="329"/>
        <v>0</v>
      </c>
      <c r="U168" s="445">
        <f t="shared" ca="1" si="330"/>
        <v>0</v>
      </c>
      <c r="V168" s="446">
        <f t="shared" ca="1" si="331"/>
        <v>467586</v>
      </c>
      <c r="W168" s="447" t="str">
        <f t="shared" ca="1" si="332"/>
        <v>Nem szükséges indoklás.</v>
      </c>
      <c r="X168" s="571">
        <f t="shared" ca="1" si="333"/>
        <v>0</v>
      </c>
      <c r="Y168" s="554">
        <f t="shared" ca="1" si="318"/>
        <v>413793</v>
      </c>
      <c r="Z168" s="554">
        <f t="shared" ca="1" si="319"/>
        <v>53793</v>
      </c>
      <c r="AA168" s="573">
        <v>2</v>
      </c>
      <c r="AB168" s="474">
        <v>8432360317</v>
      </c>
      <c r="AC168" s="449" t="s">
        <v>127</v>
      </c>
      <c r="AD168" s="483" t="s">
        <v>45</v>
      </c>
      <c r="AE168" s="450" t="s">
        <v>22</v>
      </c>
      <c r="AF168" s="247" t="s">
        <v>121</v>
      </c>
      <c r="AG168" s="99" t="s">
        <v>128</v>
      </c>
      <c r="AH168" s="451" t="s">
        <v>131</v>
      </c>
      <c r="AI168" s="154">
        <v>44805</v>
      </c>
      <c r="AJ168" s="100" t="str">
        <f>IF(AI168&gt;0,
(IF(AI168&lt;Hónapok!$A$10,Admin!$A$28,
(IF(AI168&lt;Hónapok!$A$22,Admin!$B$28,
(IF(AI168&lt;Hónapok!$A$34,Admin!$C$28,
(IF(AI168&lt;Hónapok!$A$46,Admin!$D$28,"")))))))),"")</f>
        <v>2. mérföldkő</v>
      </c>
      <c r="AK168" s="469" t="s">
        <v>7</v>
      </c>
      <c r="AL168" s="101" t="s">
        <v>26</v>
      </c>
      <c r="AM168" s="908">
        <v>480000</v>
      </c>
      <c r="AN168" s="860">
        <f t="shared" si="362"/>
        <v>62400</v>
      </c>
      <c r="AO168" s="101">
        <v>174</v>
      </c>
      <c r="AP168" s="111">
        <v>150</v>
      </c>
      <c r="AQ168" s="454">
        <f t="shared" si="313"/>
        <v>0.86206896551724133</v>
      </c>
      <c r="AR168" s="455">
        <f t="shared" si="314"/>
        <v>413793</v>
      </c>
      <c r="AS168" s="455">
        <f t="shared" si="315"/>
        <v>53793</v>
      </c>
      <c r="AT168" s="102">
        <f t="shared" si="316"/>
        <v>2.1551724127544247E-7</v>
      </c>
      <c r="AU168" s="116">
        <v>0.13</v>
      </c>
      <c r="AV168" s="565" t="str">
        <f>VLOOKUP(LEFT(AB168,10),Törzsszám!$A$1:$B$908,2,0)</f>
        <v>10000130</v>
      </c>
      <c r="AW168" s="681">
        <f t="shared" ca="1" si="311"/>
        <v>0</v>
      </c>
      <c r="AX168" s="468" t="s">
        <v>228</v>
      </c>
      <c r="AY168" s="486"/>
      <c r="AZ168" s="502"/>
      <c r="BA168" s="671">
        <v>413793</v>
      </c>
      <c r="BB168" s="649">
        <v>53793</v>
      </c>
      <c r="BC168" s="649">
        <f t="shared" ca="1" si="408"/>
        <v>0</v>
      </c>
      <c r="BD168" s="672">
        <f t="shared" ca="1" si="409"/>
        <v>0</v>
      </c>
      <c r="BE168" s="450" t="s">
        <v>144</v>
      </c>
    </row>
    <row r="169" spans="1:58" s="457" customFormat="1" ht="31.5" x14ac:dyDescent="0.25">
      <c r="A169" s="694" t="str">
        <f ca="1">Bérköltség!$B169</f>
        <v>FEOR</v>
      </c>
      <c r="B169" s="694" t="str">
        <f ca="1">IFERROR(
IF(AND(Bérköltség!$F169="",H169="NA"),"HIÁNYOS ADATOK",
IF(Bérköltség!$F169&lt;Bérköltség!$U169,Admin!$B$18,Admin!$B$17)),
"")</f>
        <v>FEOR</v>
      </c>
      <c r="C169" s="437">
        <f>IFERROR(INDEX('Historikus berek_2021-2'!$A$1:$F$903,MATCH(AB169,'Historikus berek_2021-2'!$A$1:$A$903,0),4),"")</f>
        <v>304933.33333333331</v>
      </c>
      <c r="D169" s="438">
        <f t="shared" si="320"/>
        <v>262873.56321839074</v>
      </c>
      <c r="E169" s="437">
        <f t="shared" si="321"/>
        <v>413793</v>
      </c>
      <c r="F169" s="439">
        <f t="shared" si="334"/>
        <v>170538.96356321848</v>
      </c>
      <c r="G169" s="440">
        <f t="shared" si="335"/>
        <v>297047.12643678149</v>
      </c>
      <c r="H169" s="441">
        <f>IFERROR(INDEX('FEOR kodok'!$A$2:$J$1126,MATCH(Bérköltség!AB169,'FEOR kodok'!$B$2:$B$1126,0),8),"NA")</f>
        <v>2410</v>
      </c>
      <c r="I169" s="436">
        <f ca="1">IFERROR(INDEX('FEOR kodok'!$A$2:$J$1126,MATCH(Bérköltség!AB169,'FEOR kodok'!$B$2:$B$1126,0),10),"NA")</f>
        <v>38</v>
      </c>
      <c r="J169" s="442" t="str">
        <f t="shared" ca="1" si="322"/>
        <v>30–39 éves</v>
      </c>
      <c r="K169" s="436" t="str">
        <f>IFERROR(INDEX(admin_feor[#All],MATCH(Bérköltség!H169,admin_feor[[#All],[Foglalkozás]],0),2),"NA")</f>
        <v>Egyetemi, főiskolai oktató, tanár</v>
      </c>
      <c r="L169" s="438">
        <f ca="1">IFERROR(
INDEX('Admin - FEOR'!$A$4:$F$465,MATCH(Bérköltség!H169,'Admin - FEOR'!$A$4:$A$465,0),
IF(J169="30 év alatt",3,
IF(J169="30–39 éves",4,
IF(J169="40–49 éves",5,
IF(J169="50 év és afelett",6
)))))*1,"NA")</f>
        <v>571548</v>
      </c>
      <c r="M169" s="438">
        <f t="shared" si="323"/>
        <v>480000</v>
      </c>
      <c r="N169" s="443">
        <f t="shared" ca="1" si="324"/>
        <v>0.83982447668437299</v>
      </c>
      <c r="O169" s="438">
        <f ca="1">IFERROR(
INDEX('Admin - FEOR'!$A$4:$F$465,MATCH(Bérköltség!H169,'Admin - FEOR'!$A$4:$A$465,0),
IF(J169="30 év alatt",3,
IF(J169="30–39 éves",4,
IF(J169="40–49 éves",5,
IF(J169="50 év és afelett",6
)))))*1.5,"NA")</f>
        <v>857322</v>
      </c>
      <c r="P169" s="438">
        <f t="shared" ca="1" si="325"/>
        <v>739070.68965517241</v>
      </c>
      <c r="Q169" s="438">
        <f t="shared" si="326"/>
        <v>413793</v>
      </c>
      <c r="R169" s="444">
        <f t="shared" si="327"/>
        <v>0.86206896551724133</v>
      </c>
      <c r="S169" s="438">
        <f t="shared" ca="1" si="328"/>
        <v>0</v>
      </c>
      <c r="T169" s="438">
        <f t="shared" ca="1" si="329"/>
        <v>0</v>
      </c>
      <c r="U169" s="445">
        <f t="shared" ca="1" si="330"/>
        <v>0</v>
      </c>
      <c r="V169" s="446">
        <f t="shared" ca="1" si="331"/>
        <v>467586</v>
      </c>
      <c r="W169" s="447" t="str">
        <f t="shared" ca="1" si="332"/>
        <v>Nem szükséges indoklás.</v>
      </c>
      <c r="X169" s="571">
        <f t="shared" ca="1" si="333"/>
        <v>0</v>
      </c>
      <c r="Y169" s="554">
        <f t="shared" ca="1" si="318"/>
        <v>413793</v>
      </c>
      <c r="Z169" s="554">
        <f t="shared" ca="1" si="319"/>
        <v>53793</v>
      </c>
      <c r="AA169" s="573">
        <v>2</v>
      </c>
      <c r="AB169" s="474">
        <v>8432360317</v>
      </c>
      <c r="AC169" s="449" t="s">
        <v>127</v>
      </c>
      <c r="AD169" s="483" t="s">
        <v>45</v>
      </c>
      <c r="AE169" s="450" t="s">
        <v>22</v>
      </c>
      <c r="AF169" s="247" t="s">
        <v>121</v>
      </c>
      <c r="AG169" s="99" t="s">
        <v>128</v>
      </c>
      <c r="AH169" s="451" t="s">
        <v>131</v>
      </c>
      <c r="AI169" s="154">
        <v>44835</v>
      </c>
      <c r="AJ169" s="100" t="str">
        <f>IF(AI169&gt;0,
(IF(AI169&lt;Hónapok!$A$10,Admin!$A$28,
(IF(AI169&lt;Hónapok!$A$22,Admin!$B$28,
(IF(AI169&lt;Hónapok!$A$34,Admin!$C$28,
(IF(AI169&lt;Hónapok!$A$46,Admin!$D$28,"")))))))),"")</f>
        <v>2. mérföldkő</v>
      </c>
      <c r="AK169" s="469" t="s">
        <v>7</v>
      </c>
      <c r="AL169" s="101" t="s">
        <v>26</v>
      </c>
      <c r="AM169" s="908">
        <v>480000</v>
      </c>
      <c r="AN169" s="860">
        <f t="shared" si="362"/>
        <v>62400</v>
      </c>
      <c r="AO169" s="101">
        <v>174</v>
      </c>
      <c r="AP169" s="111">
        <v>150</v>
      </c>
      <c r="AQ169" s="454">
        <f t="shared" si="313"/>
        <v>0.86206896551724133</v>
      </c>
      <c r="AR169" s="455">
        <f t="shared" si="314"/>
        <v>413793</v>
      </c>
      <c r="AS169" s="455">
        <f t="shared" si="315"/>
        <v>53793</v>
      </c>
      <c r="AT169" s="102">
        <f t="shared" si="316"/>
        <v>2.1551724127544247E-7</v>
      </c>
      <c r="AU169" s="116">
        <v>0.13</v>
      </c>
      <c r="AV169" s="565" t="str">
        <f>VLOOKUP(LEFT(AB169,10),Törzsszám!$A$1:$B$908,2,0)</f>
        <v>10000130</v>
      </c>
      <c r="AW169" s="681">
        <f t="shared" ca="1" si="311"/>
        <v>0</v>
      </c>
      <c r="AX169" s="468" t="s">
        <v>251</v>
      </c>
      <c r="AY169" s="486"/>
      <c r="AZ169" s="502"/>
      <c r="BA169" s="671">
        <v>413793</v>
      </c>
      <c r="BB169" s="649">
        <v>53793</v>
      </c>
      <c r="BC169" s="649">
        <f t="shared" ca="1" si="408"/>
        <v>0</v>
      </c>
      <c r="BD169" s="672">
        <f t="shared" ca="1" si="409"/>
        <v>0</v>
      </c>
      <c r="BE169" s="450" t="s">
        <v>144</v>
      </c>
    </row>
    <row r="170" spans="1:58" s="457" customFormat="1" ht="31.5" x14ac:dyDescent="0.25">
      <c r="A170" s="694" t="str">
        <f ca="1">Bérköltség!$B170</f>
        <v>FEOR</v>
      </c>
      <c r="B170" s="694" t="str">
        <f ca="1">IFERROR(
IF(AND(Bérköltség!$F170="",H170="NA"),"HIÁNYOS ADATOK",
IF(Bérköltség!$F170&lt;Bérköltség!$U170,Admin!$B$18,Admin!$B$17)),
"")</f>
        <v>FEOR</v>
      </c>
      <c r="C170" s="437">
        <f>IFERROR(INDEX('Historikus berek_2021-2'!$A$1:$F$903,MATCH(AB170,'Historikus berek_2021-2'!$A$1:$A$903,0),4),"")</f>
        <v>304933.33333333331</v>
      </c>
      <c r="D170" s="438">
        <f t="shared" si="320"/>
        <v>262873.56321839074</v>
      </c>
      <c r="E170" s="437">
        <f t="shared" si="321"/>
        <v>413793</v>
      </c>
      <c r="F170" s="439">
        <f t="shared" si="334"/>
        <v>170538.96356321848</v>
      </c>
      <c r="G170" s="440">
        <f t="shared" si="335"/>
        <v>297047.12643678149</v>
      </c>
      <c r="H170" s="441">
        <f>IFERROR(INDEX('FEOR kodok'!$A$2:$J$1126,MATCH(Bérköltség!AB170,'FEOR kodok'!$B$2:$B$1126,0),8),"NA")</f>
        <v>2410</v>
      </c>
      <c r="I170" s="436">
        <f ca="1">IFERROR(INDEX('FEOR kodok'!$A$2:$J$1126,MATCH(Bérköltség!AB170,'FEOR kodok'!$B$2:$B$1126,0),10),"NA")</f>
        <v>38</v>
      </c>
      <c r="J170" s="442" t="str">
        <f t="shared" ca="1" si="322"/>
        <v>30–39 éves</v>
      </c>
      <c r="K170" s="436" t="str">
        <f>IFERROR(INDEX(admin_feor[#All],MATCH(Bérköltség!H170,admin_feor[[#All],[Foglalkozás]],0),2),"NA")</f>
        <v>Egyetemi, főiskolai oktató, tanár</v>
      </c>
      <c r="L170" s="438">
        <f ca="1">IFERROR(
INDEX('Admin - FEOR'!$A$4:$F$465,MATCH(Bérköltség!H170,'Admin - FEOR'!$A$4:$A$465,0),
IF(J170="30 év alatt",3,
IF(J170="30–39 éves",4,
IF(J170="40–49 éves",5,
IF(J170="50 év és afelett",6
)))))*1,"NA")</f>
        <v>571548</v>
      </c>
      <c r="M170" s="438">
        <f t="shared" si="323"/>
        <v>480000</v>
      </c>
      <c r="N170" s="443">
        <f t="shared" ca="1" si="324"/>
        <v>0.83982447668437299</v>
      </c>
      <c r="O170" s="438">
        <f ca="1">IFERROR(
INDEX('Admin - FEOR'!$A$4:$F$465,MATCH(Bérköltség!H170,'Admin - FEOR'!$A$4:$A$465,0),
IF(J170="30 év alatt",3,
IF(J170="30–39 éves",4,
IF(J170="40–49 éves",5,
IF(J170="50 év és afelett",6
)))))*1.5,"NA")</f>
        <v>857322</v>
      </c>
      <c r="P170" s="438">
        <f t="shared" ca="1" si="325"/>
        <v>739070.68965517241</v>
      </c>
      <c r="Q170" s="438">
        <f t="shared" si="326"/>
        <v>413793</v>
      </c>
      <c r="R170" s="444">
        <f t="shared" si="327"/>
        <v>0.86206896551724133</v>
      </c>
      <c r="S170" s="438">
        <f t="shared" ca="1" si="328"/>
        <v>0</v>
      </c>
      <c r="T170" s="438">
        <f t="shared" ca="1" si="329"/>
        <v>0</v>
      </c>
      <c r="U170" s="445">
        <f t="shared" ca="1" si="330"/>
        <v>0</v>
      </c>
      <c r="V170" s="446">
        <f t="shared" ca="1" si="331"/>
        <v>467586</v>
      </c>
      <c r="W170" s="447" t="str">
        <f t="shared" ca="1" si="332"/>
        <v>Nem szükséges indoklás.</v>
      </c>
      <c r="X170" s="571">
        <f t="shared" ca="1" si="333"/>
        <v>0</v>
      </c>
      <c r="Y170" s="554">
        <f t="shared" ca="1" si="318"/>
        <v>413793</v>
      </c>
      <c r="Z170" s="554">
        <f t="shared" ca="1" si="319"/>
        <v>53793</v>
      </c>
      <c r="AA170" s="573">
        <v>2</v>
      </c>
      <c r="AB170" s="474">
        <v>8432360317</v>
      </c>
      <c r="AC170" s="449" t="s">
        <v>127</v>
      </c>
      <c r="AD170" s="483" t="s">
        <v>45</v>
      </c>
      <c r="AE170" s="450" t="s">
        <v>22</v>
      </c>
      <c r="AF170" s="247" t="s">
        <v>121</v>
      </c>
      <c r="AG170" s="99" t="s">
        <v>128</v>
      </c>
      <c r="AH170" s="451" t="s">
        <v>131</v>
      </c>
      <c r="AI170" s="154">
        <v>44866</v>
      </c>
      <c r="AJ170" s="100" t="str">
        <f>IF(AI170&gt;0,
(IF(AI170&lt;Hónapok!$A$10,Admin!$A$28,
(IF(AI170&lt;Hónapok!$A$22,Admin!$B$28,
(IF(AI170&lt;Hónapok!$A$34,Admin!$C$28,
(IF(AI170&lt;Hónapok!$A$46,Admin!$D$28,"")))))))),"")</f>
        <v>2. mérföldkő</v>
      </c>
      <c r="AK170" s="469" t="s">
        <v>7</v>
      </c>
      <c r="AL170" s="101" t="s">
        <v>26</v>
      </c>
      <c r="AM170" s="908">
        <v>480000</v>
      </c>
      <c r="AN170" s="860">
        <f t="shared" si="362"/>
        <v>62400</v>
      </c>
      <c r="AO170" s="101">
        <v>174</v>
      </c>
      <c r="AP170" s="111">
        <v>150</v>
      </c>
      <c r="AQ170" s="454">
        <f t="shared" si="313"/>
        <v>0.86206896551724133</v>
      </c>
      <c r="AR170" s="455">
        <f t="shared" si="314"/>
        <v>413793</v>
      </c>
      <c r="AS170" s="455">
        <f t="shared" si="315"/>
        <v>53793</v>
      </c>
      <c r="AT170" s="102">
        <f t="shared" si="316"/>
        <v>2.1551724127544247E-7</v>
      </c>
      <c r="AU170" s="116">
        <v>0.13</v>
      </c>
      <c r="AV170" s="565" t="str">
        <f>VLOOKUP(LEFT(AB170,10),Törzsszám!$A$1:$B$908,2,0)</f>
        <v>10000130</v>
      </c>
      <c r="AW170" s="681">
        <f t="shared" ca="1" si="311"/>
        <v>0</v>
      </c>
      <c r="AX170" s="473" t="s">
        <v>260</v>
      </c>
      <c r="AY170" s="486"/>
      <c r="AZ170" s="502"/>
      <c r="BA170" s="671">
        <v>413793</v>
      </c>
      <c r="BB170" s="649">
        <v>53793</v>
      </c>
      <c r="BC170" s="649">
        <f t="shared" ca="1" si="408"/>
        <v>0</v>
      </c>
      <c r="BD170" s="672">
        <f t="shared" ca="1" si="409"/>
        <v>0</v>
      </c>
      <c r="BE170" s="450" t="s">
        <v>144</v>
      </c>
    </row>
    <row r="171" spans="1:58" s="457" customFormat="1" ht="31.5" x14ac:dyDescent="0.25">
      <c r="A171" s="694" t="str">
        <f ca="1">Bérköltség!$B171</f>
        <v>FEOR</v>
      </c>
      <c r="B171" s="694" t="str">
        <f ca="1">IFERROR(
IF(AND(Bérköltség!$F171="",H171="NA"),"HIÁNYOS ADATOK",
IF(Bérköltség!$F171&lt;Bérköltség!$U171,Admin!$B$18,Admin!$B$17)),
"")</f>
        <v>FEOR</v>
      </c>
      <c r="C171" s="437">
        <f>IFERROR(INDEX('Historikus berek_2021-2'!$A$1:$F$903,MATCH(AB171,'Historikus berek_2021-2'!$A$1:$A$903,0),4),"")</f>
        <v>304933.33333333331</v>
      </c>
      <c r="D171" s="438">
        <f t="shared" si="320"/>
        <v>262873.56321839074</v>
      </c>
      <c r="E171" s="437">
        <f t="shared" si="321"/>
        <v>413793</v>
      </c>
      <c r="F171" s="439">
        <f t="shared" si="334"/>
        <v>170538.96356321848</v>
      </c>
      <c r="G171" s="440">
        <f t="shared" si="335"/>
        <v>297047.12643678149</v>
      </c>
      <c r="H171" s="441">
        <f>IFERROR(INDEX('FEOR kodok'!$A$2:$J$1126,MATCH(Bérköltség!AB171,'FEOR kodok'!$B$2:$B$1126,0),8),"NA")</f>
        <v>2410</v>
      </c>
      <c r="I171" s="436">
        <f ca="1">IFERROR(INDEX('FEOR kodok'!$A$2:$J$1126,MATCH(Bérköltség!AB171,'FEOR kodok'!$B$2:$B$1126,0),10),"NA")</f>
        <v>38</v>
      </c>
      <c r="J171" s="442" t="str">
        <f t="shared" ca="1" si="322"/>
        <v>30–39 éves</v>
      </c>
      <c r="K171" s="436" t="str">
        <f>IFERROR(INDEX(admin_feor[#All],MATCH(Bérköltség!H171,admin_feor[[#All],[Foglalkozás]],0),2),"NA")</f>
        <v>Egyetemi, főiskolai oktató, tanár</v>
      </c>
      <c r="L171" s="438">
        <f ca="1">IFERROR(
INDEX('Admin - FEOR'!$A$4:$F$465,MATCH(Bérköltség!H171,'Admin - FEOR'!$A$4:$A$465,0),
IF(J171="30 év alatt",3,
IF(J171="30–39 éves",4,
IF(J171="40–49 éves",5,
IF(J171="50 év és afelett",6
)))))*1,"NA")</f>
        <v>571548</v>
      </c>
      <c r="M171" s="438">
        <f t="shared" si="323"/>
        <v>480000</v>
      </c>
      <c r="N171" s="443">
        <f t="shared" ca="1" si="324"/>
        <v>0.83982447668437299</v>
      </c>
      <c r="O171" s="438">
        <f ca="1">IFERROR(
INDEX('Admin - FEOR'!$A$4:$F$465,MATCH(Bérköltség!H171,'Admin - FEOR'!$A$4:$A$465,0),
IF(J171="30 év alatt",3,
IF(J171="30–39 éves",4,
IF(J171="40–49 éves",5,
IF(J171="50 év és afelett",6
)))))*1.5,"NA")</f>
        <v>857322</v>
      </c>
      <c r="P171" s="438">
        <f t="shared" ca="1" si="325"/>
        <v>739070.68965517241</v>
      </c>
      <c r="Q171" s="438">
        <f t="shared" si="326"/>
        <v>413793</v>
      </c>
      <c r="R171" s="444">
        <f t="shared" si="327"/>
        <v>0.86206896551724133</v>
      </c>
      <c r="S171" s="438">
        <f t="shared" ca="1" si="328"/>
        <v>0</v>
      </c>
      <c r="T171" s="438">
        <f t="shared" ca="1" si="329"/>
        <v>0</v>
      </c>
      <c r="U171" s="445">
        <f t="shared" ca="1" si="330"/>
        <v>0</v>
      </c>
      <c r="V171" s="446">
        <f t="shared" ca="1" si="331"/>
        <v>467586</v>
      </c>
      <c r="W171" s="447" t="str">
        <f t="shared" ca="1" si="332"/>
        <v>Nem szükséges indoklás.</v>
      </c>
      <c r="X171" s="571">
        <f t="shared" ca="1" si="333"/>
        <v>0</v>
      </c>
      <c r="Y171" s="554">
        <f t="shared" ca="1" si="318"/>
        <v>413793</v>
      </c>
      <c r="Z171" s="554">
        <f t="shared" ca="1" si="319"/>
        <v>53793</v>
      </c>
      <c r="AA171" s="573">
        <v>2</v>
      </c>
      <c r="AB171" s="474">
        <v>8432360317</v>
      </c>
      <c r="AC171" s="449" t="s">
        <v>127</v>
      </c>
      <c r="AD171" s="482" t="s">
        <v>45</v>
      </c>
      <c r="AE171" s="450" t="s">
        <v>22</v>
      </c>
      <c r="AF171" s="247" t="s">
        <v>121</v>
      </c>
      <c r="AG171" s="99" t="s">
        <v>128</v>
      </c>
      <c r="AH171" s="451" t="s">
        <v>131</v>
      </c>
      <c r="AI171" s="154">
        <v>44896</v>
      </c>
      <c r="AJ171" s="100" t="str">
        <f>IF(AI171&gt;0,
(IF(AI171&lt;Hónapok!$A$10,Admin!$A$28,
(IF(AI171&lt;Hónapok!$A$22,Admin!$B$28,
(IF(AI171&lt;Hónapok!$A$34,Admin!$C$28,
(IF(AI171&lt;Hónapok!$A$46,Admin!$D$28,"")))))))),"")</f>
        <v>2. mérföldkő</v>
      </c>
      <c r="AK171" s="469" t="s">
        <v>7</v>
      </c>
      <c r="AL171" s="101" t="s">
        <v>26</v>
      </c>
      <c r="AM171" s="908">
        <v>480000</v>
      </c>
      <c r="AN171" s="860">
        <f t="shared" si="362"/>
        <v>62400</v>
      </c>
      <c r="AO171" s="101">
        <v>174</v>
      </c>
      <c r="AP171" s="111">
        <v>150</v>
      </c>
      <c r="AQ171" s="454">
        <f t="shared" si="313"/>
        <v>0.86206896551724133</v>
      </c>
      <c r="AR171" s="455">
        <f t="shared" si="314"/>
        <v>413793</v>
      </c>
      <c r="AS171" s="455">
        <f t="shared" si="315"/>
        <v>53793</v>
      </c>
      <c r="AT171" s="102">
        <f t="shared" si="316"/>
        <v>2.1551724127544247E-7</v>
      </c>
      <c r="AU171" s="116">
        <v>0.13</v>
      </c>
      <c r="AV171" s="565" t="str">
        <f>VLOOKUP(LEFT(AB171,10),Törzsszám!$A$1:$B$908,2,0)</f>
        <v>10000130</v>
      </c>
      <c r="AW171" s="681">
        <f t="shared" ca="1" si="311"/>
        <v>0</v>
      </c>
      <c r="AX171" s="456" t="s">
        <v>262</v>
      </c>
      <c r="AY171" s="486"/>
      <c r="AZ171" s="502"/>
      <c r="BA171" s="671">
        <v>413793</v>
      </c>
      <c r="BB171" s="649">
        <v>53793</v>
      </c>
      <c r="BC171" s="649">
        <f t="shared" ca="1" si="408"/>
        <v>0</v>
      </c>
      <c r="BD171" s="672">
        <f t="shared" ca="1" si="409"/>
        <v>0</v>
      </c>
      <c r="BE171" s="450" t="s">
        <v>144</v>
      </c>
    </row>
    <row r="172" spans="1:58" s="457" customFormat="1" ht="31.5" x14ac:dyDescent="0.25">
      <c r="A172" s="694" t="str">
        <f ca="1">Bérköltség!$B172</f>
        <v>FEOR</v>
      </c>
      <c r="B172" s="694" t="str">
        <f ca="1">IFERROR(
IF(AND(Bérköltség!$F172="",H172="NA"),"HIÁNYOS ADATOK",
IF(Bérköltség!$F172&lt;Bérköltség!$U172,Admin!$B$18,Admin!$B$17)),
"")</f>
        <v>FEOR</v>
      </c>
      <c r="C172" s="437">
        <f>IFERROR(INDEX('Historikus berek_2021-2'!$A$1:$F$903,MATCH(AB172,'Historikus berek_2021-2'!$A$1:$A$903,0),4),"")</f>
        <v>304933.33333333331</v>
      </c>
      <c r="D172" s="438">
        <f t="shared" si="320"/>
        <v>262873.56321839074</v>
      </c>
      <c r="E172" s="437">
        <f t="shared" si="321"/>
        <v>455172</v>
      </c>
      <c r="F172" s="439">
        <f t="shared" si="334"/>
        <v>217297.23356321844</v>
      </c>
      <c r="G172" s="440">
        <f t="shared" si="335"/>
        <v>297047.12643678149</v>
      </c>
      <c r="H172" s="441">
        <f>IFERROR(INDEX('FEOR kodok'!$A$2:$J$1126,MATCH(Bérköltség!AB172,'FEOR kodok'!$B$2:$B$1126,0),8),"NA")</f>
        <v>2410</v>
      </c>
      <c r="I172" s="436">
        <f ca="1">IFERROR(INDEX('FEOR kodok'!$A$2:$J$1126,MATCH(Bérköltség!AB172,'FEOR kodok'!$B$2:$B$1126,0),10),"NA")</f>
        <v>38</v>
      </c>
      <c r="J172" s="442" t="str">
        <f t="shared" ca="1" si="322"/>
        <v>30–39 éves</v>
      </c>
      <c r="K172" s="436" t="str">
        <f>IFERROR(INDEX(admin_feor[#All],MATCH(Bérköltség!H172,admin_feor[[#All],[Foglalkozás]],0),2),"NA")</f>
        <v>Egyetemi, főiskolai oktató, tanár</v>
      </c>
      <c r="L172" s="438">
        <f ca="1">IFERROR(
INDEX('Admin - FEOR'!$A$4:$F$465,MATCH(Bérköltség!H172,'Admin - FEOR'!$A$4:$A$465,0),
IF(J172="30 év alatt",3,
IF(J172="30–39 éves",4,
IF(J172="40–49 éves",5,
IF(J172="50 év és afelett",6
)))))*1,"NA")</f>
        <v>571548</v>
      </c>
      <c r="M172" s="438">
        <f t="shared" si="323"/>
        <v>528000</v>
      </c>
      <c r="N172" s="443">
        <f t="shared" ca="1" si="324"/>
        <v>0.92380692435281031</v>
      </c>
      <c r="O172" s="438">
        <f ca="1">IFERROR(
INDEX('Admin - FEOR'!$A$4:$F$465,MATCH(Bérköltség!H172,'Admin - FEOR'!$A$4:$A$465,0),
IF(J172="30 év alatt",3,
IF(J172="30–39 éves",4,
IF(J172="40–49 éves",5,
IF(J172="50 év és afelett",6
)))))*1.5,"NA")</f>
        <v>857322</v>
      </c>
      <c r="P172" s="438">
        <f t="shared" ca="1" si="325"/>
        <v>739070.68965517241</v>
      </c>
      <c r="Q172" s="438">
        <f t="shared" si="326"/>
        <v>455172</v>
      </c>
      <c r="R172" s="444">
        <f t="shared" si="327"/>
        <v>0.86206896551724133</v>
      </c>
      <c r="S172" s="438">
        <f t="shared" ca="1" si="328"/>
        <v>0</v>
      </c>
      <c r="T172" s="438">
        <f t="shared" ca="1" si="329"/>
        <v>0</v>
      </c>
      <c r="U172" s="445">
        <f t="shared" ca="1" si="330"/>
        <v>0</v>
      </c>
      <c r="V172" s="446">
        <f t="shared" ca="1" si="331"/>
        <v>514344</v>
      </c>
      <c r="W172" s="447" t="str">
        <f t="shared" ca="1" si="332"/>
        <v>Nem szükséges indoklás.</v>
      </c>
      <c r="X172" s="571">
        <f t="shared" ca="1" si="333"/>
        <v>0</v>
      </c>
      <c r="Y172" s="554">
        <f t="shared" ca="1" si="318"/>
        <v>455172</v>
      </c>
      <c r="Z172" s="554">
        <f t="shared" ca="1" si="319"/>
        <v>59172</v>
      </c>
      <c r="AA172" s="573">
        <v>2</v>
      </c>
      <c r="AB172" s="474">
        <v>8432360317</v>
      </c>
      <c r="AC172" s="449" t="s">
        <v>127</v>
      </c>
      <c r="AD172" s="483" t="s">
        <v>45</v>
      </c>
      <c r="AE172" s="450" t="s">
        <v>22</v>
      </c>
      <c r="AF172" s="247" t="s">
        <v>121</v>
      </c>
      <c r="AG172" s="99" t="s">
        <v>128</v>
      </c>
      <c r="AH172" s="451" t="s">
        <v>131</v>
      </c>
      <c r="AI172" s="154">
        <v>44927</v>
      </c>
      <c r="AJ172" s="100" t="str">
        <f>IF(AI172&gt;0,
(IF(AI172&lt;Hónapok!$A$10,Admin!$A$28,
(IF(AI172&lt;Hónapok!$A$22,Admin!$B$28,
(IF(AI172&lt;Hónapok!$A$34,Admin!$C$28,
(IF(AI172&lt;Hónapok!$A$46,Admin!$D$28,"")))))))),"")</f>
        <v>2. mérföldkő</v>
      </c>
      <c r="AK172" s="469" t="s">
        <v>7</v>
      </c>
      <c r="AL172" s="101" t="s">
        <v>26</v>
      </c>
      <c r="AM172" s="900">
        <v>528000</v>
      </c>
      <c r="AN172" s="860">
        <f t="shared" si="362"/>
        <v>68640</v>
      </c>
      <c r="AO172" s="101">
        <v>174</v>
      </c>
      <c r="AP172" s="111">
        <v>150</v>
      </c>
      <c r="AQ172" s="454">
        <f t="shared" si="313"/>
        <v>0.86206896551724133</v>
      </c>
      <c r="AR172" s="455">
        <f t="shared" si="314"/>
        <v>455172</v>
      </c>
      <c r="AS172" s="455">
        <f t="shared" si="315"/>
        <v>59172</v>
      </c>
      <c r="AT172" s="102">
        <f t="shared" si="316"/>
        <v>7.8369905953667995E-7</v>
      </c>
      <c r="AU172" s="116">
        <v>0.13</v>
      </c>
      <c r="AV172" s="565" t="str">
        <f>VLOOKUP(LEFT(AB172,10),Törzsszám!$A$1:$B$908,2,0)</f>
        <v>10000130</v>
      </c>
      <c r="AW172" s="615">
        <f t="shared" ca="1" si="311"/>
        <v>0</v>
      </c>
      <c r="AX172" s="473" t="s">
        <v>2518</v>
      </c>
      <c r="AY172" s="486"/>
      <c r="AZ172" s="848" t="s">
        <v>4607</v>
      </c>
      <c r="BA172" s="671">
        <v>455172</v>
      </c>
      <c r="BB172" s="649">
        <v>59172</v>
      </c>
      <c r="BC172" s="649">
        <f t="shared" ca="1" si="408"/>
        <v>0</v>
      </c>
      <c r="BD172" s="672">
        <f t="shared" ca="1" si="409"/>
        <v>0</v>
      </c>
      <c r="BE172" s="450" t="s">
        <v>144</v>
      </c>
    </row>
    <row r="173" spans="1:58" s="457" customFormat="1" ht="31.5" x14ac:dyDescent="0.25">
      <c r="A173" s="694" t="str">
        <f ca="1">Bérköltség!$B173</f>
        <v>FEOR</v>
      </c>
      <c r="B173" s="694" t="str">
        <f ca="1">IFERROR(
IF(AND(Bérköltség!$F173="",H173="NA"),"HIÁNYOS ADATOK",
IF(Bérköltség!$F173&lt;Bérköltség!$U173,Admin!$B$18,Admin!$B$17)),
"")</f>
        <v>FEOR</v>
      </c>
      <c r="C173" s="437">
        <f>IFERROR(INDEX('Historikus berek_2021-2'!$A$1:$F$903,MATCH(AB173,'Historikus berek_2021-2'!$A$1:$A$903,0),4),"")</f>
        <v>304933.33333333331</v>
      </c>
      <c r="D173" s="438">
        <f t="shared" si="320"/>
        <v>262873.56321839074</v>
      </c>
      <c r="E173" s="437">
        <f t="shared" si="321"/>
        <v>455172</v>
      </c>
      <c r="F173" s="439">
        <f t="shared" si="334"/>
        <v>217297.23356321844</v>
      </c>
      <c r="G173" s="440">
        <f t="shared" si="335"/>
        <v>297047.12643678149</v>
      </c>
      <c r="H173" s="441">
        <f>IFERROR(INDEX('FEOR kodok'!$A$2:$J$1126,MATCH(Bérköltség!AB173,'FEOR kodok'!$B$2:$B$1126,0),8),"NA")</f>
        <v>2410</v>
      </c>
      <c r="I173" s="436">
        <f ca="1">IFERROR(INDEX('FEOR kodok'!$A$2:$J$1126,MATCH(Bérköltség!AB173,'FEOR kodok'!$B$2:$B$1126,0),10),"NA")</f>
        <v>38</v>
      </c>
      <c r="J173" s="442" t="str">
        <f t="shared" ca="1" si="322"/>
        <v>30–39 éves</v>
      </c>
      <c r="K173" s="436" t="str">
        <f>IFERROR(INDEX(admin_feor[#All],MATCH(Bérköltség!H173,admin_feor[[#All],[Foglalkozás]],0),2),"NA")</f>
        <v>Egyetemi, főiskolai oktató, tanár</v>
      </c>
      <c r="L173" s="438">
        <f ca="1">IFERROR(
INDEX('Admin - FEOR'!$A$4:$F$465,MATCH(Bérköltség!H173,'Admin - FEOR'!$A$4:$A$465,0),
IF(J173="30 év alatt",3,
IF(J173="30–39 éves",4,
IF(J173="40–49 éves",5,
IF(J173="50 év és afelett",6
)))))*1,"NA")</f>
        <v>571548</v>
      </c>
      <c r="M173" s="438">
        <f t="shared" si="323"/>
        <v>528000</v>
      </c>
      <c r="N173" s="443">
        <f t="shared" ca="1" si="324"/>
        <v>0.92380692435281031</v>
      </c>
      <c r="O173" s="438">
        <f ca="1">IFERROR(
INDEX('Admin - FEOR'!$A$4:$F$465,MATCH(Bérköltség!H173,'Admin - FEOR'!$A$4:$A$465,0),
IF(J173="30 év alatt",3,
IF(J173="30–39 éves",4,
IF(J173="40–49 éves",5,
IF(J173="50 év és afelett",6
)))))*1.5,"NA")</f>
        <v>857322</v>
      </c>
      <c r="P173" s="438">
        <f t="shared" ca="1" si="325"/>
        <v>739070.68965517241</v>
      </c>
      <c r="Q173" s="438">
        <f t="shared" si="326"/>
        <v>455172</v>
      </c>
      <c r="R173" s="444">
        <f t="shared" si="327"/>
        <v>0.86206896551724133</v>
      </c>
      <c r="S173" s="438">
        <f t="shared" ca="1" si="328"/>
        <v>0</v>
      </c>
      <c r="T173" s="438">
        <f t="shared" ca="1" si="329"/>
        <v>0</v>
      </c>
      <c r="U173" s="445">
        <f t="shared" ca="1" si="330"/>
        <v>0</v>
      </c>
      <c r="V173" s="446">
        <f t="shared" ca="1" si="331"/>
        <v>514344</v>
      </c>
      <c r="W173" s="447" t="str">
        <f t="shared" ca="1" si="332"/>
        <v>Nem szükséges indoklás.</v>
      </c>
      <c r="X173" s="571">
        <f t="shared" ca="1" si="333"/>
        <v>0</v>
      </c>
      <c r="Y173" s="554">
        <f t="shared" ca="1" si="318"/>
        <v>455172</v>
      </c>
      <c r="Z173" s="554">
        <f t="shared" ca="1" si="319"/>
        <v>59172</v>
      </c>
      <c r="AA173" s="101"/>
      <c r="AB173" s="474">
        <v>8432360317</v>
      </c>
      <c r="AC173" s="449" t="s">
        <v>127</v>
      </c>
      <c r="AD173" s="482" t="s">
        <v>45</v>
      </c>
      <c r="AE173" s="450" t="s">
        <v>22</v>
      </c>
      <c r="AF173" s="247" t="s">
        <v>121</v>
      </c>
      <c r="AG173" s="99" t="s">
        <v>128</v>
      </c>
      <c r="AH173" s="451" t="s">
        <v>131</v>
      </c>
      <c r="AI173" s="154">
        <v>44958</v>
      </c>
      <c r="AJ173" s="100" t="str">
        <f>IF(AI173&gt;0,
(IF(AI173&lt;Hónapok!$A$10,Admin!$A$28,
(IF(AI173&lt;Hónapok!$A$22,Admin!$B$28,
(IF(AI173&lt;Hónapok!$A$34,Admin!$C$28,
(IF(AI173&lt;Hónapok!$A$46,Admin!$D$28,"")))))))),"")</f>
        <v>2. mérföldkő</v>
      </c>
      <c r="AK173" s="469" t="s">
        <v>7</v>
      </c>
      <c r="AL173" s="101" t="s">
        <v>26</v>
      </c>
      <c r="AM173" s="900">
        <v>528000</v>
      </c>
      <c r="AN173" s="860">
        <f t="shared" si="362"/>
        <v>68640</v>
      </c>
      <c r="AO173" s="101">
        <v>174</v>
      </c>
      <c r="AP173" s="111">
        <v>150</v>
      </c>
      <c r="AQ173" s="454">
        <f t="shared" si="313"/>
        <v>0.86206896551724133</v>
      </c>
      <c r="AR173" s="455">
        <f t="shared" si="314"/>
        <v>455172</v>
      </c>
      <c r="AS173" s="455">
        <f t="shared" si="315"/>
        <v>59172</v>
      </c>
      <c r="AT173" s="102">
        <f t="shared" si="316"/>
        <v>7.8369905953667995E-7</v>
      </c>
      <c r="AU173" s="116">
        <v>0.13</v>
      </c>
      <c r="AV173" s="565" t="str">
        <f>VLOOKUP(LEFT(AB173,10),Törzsszám!$A$1:$B$908,2,0)</f>
        <v>10000130</v>
      </c>
      <c r="AW173" s="615">
        <f t="shared" ca="1" si="311"/>
        <v>0</v>
      </c>
      <c r="AX173" s="537" t="s">
        <v>4557</v>
      </c>
      <c r="AY173" s="502"/>
      <c r="AZ173" s="502"/>
      <c r="BA173" s="671"/>
      <c r="BB173" s="649"/>
      <c r="BC173" s="649"/>
      <c r="BD173" s="672"/>
      <c r="BE173" s="450" t="s">
        <v>144</v>
      </c>
    </row>
    <row r="174" spans="1:58" s="457" customFormat="1" ht="31.5" x14ac:dyDescent="0.25">
      <c r="A174" s="694" t="str">
        <f ca="1">Bérköltség!$B174</f>
        <v>FEOR</v>
      </c>
      <c r="B174" s="694" t="str">
        <f ca="1">IFERROR(
IF(AND(Bérköltség!$F174="",H174="NA"),"HIÁNYOS ADATOK",
IF(Bérköltség!$F174&lt;Bérköltség!$U174,Admin!$B$18,Admin!$B$17)),
"")</f>
        <v>FEOR</v>
      </c>
      <c r="C174" s="437">
        <f>IFERROR(INDEX('Historikus berek_2021-2'!$A$1:$F$903,MATCH(AB174,'Historikus berek_2021-2'!$A$1:$A$903,0),4),"")</f>
        <v>304933.33333333331</v>
      </c>
      <c r="D174" s="438">
        <f t="shared" si="320"/>
        <v>262873.56321839074</v>
      </c>
      <c r="E174" s="437">
        <f t="shared" si="321"/>
        <v>455172</v>
      </c>
      <c r="F174" s="439">
        <f t="shared" si="334"/>
        <v>217297.23356321844</v>
      </c>
      <c r="G174" s="440">
        <f t="shared" si="335"/>
        <v>297047.12643678149</v>
      </c>
      <c r="H174" s="441">
        <f>IFERROR(INDEX('FEOR kodok'!$A$2:$J$1126,MATCH(Bérköltség!AB174,'FEOR kodok'!$B$2:$B$1126,0),8),"NA")</f>
        <v>2410</v>
      </c>
      <c r="I174" s="436">
        <f ca="1">IFERROR(INDEX('FEOR kodok'!$A$2:$J$1126,MATCH(Bérköltség!AB174,'FEOR kodok'!$B$2:$B$1126,0),10),"NA")</f>
        <v>38</v>
      </c>
      <c r="J174" s="442" t="str">
        <f t="shared" ca="1" si="322"/>
        <v>30–39 éves</v>
      </c>
      <c r="K174" s="436" t="str">
        <f>IFERROR(INDEX(admin_feor[#All],MATCH(Bérköltség!H174,admin_feor[[#All],[Foglalkozás]],0),2),"NA")</f>
        <v>Egyetemi, főiskolai oktató, tanár</v>
      </c>
      <c r="L174" s="438">
        <f ca="1">IFERROR(
INDEX('Admin - FEOR'!$A$4:$F$465,MATCH(Bérköltség!H174,'Admin - FEOR'!$A$4:$A$465,0),
IF(J174="30 év alatt",3,
IF(J174="30–39 éves",4,
IF(J174="40–49 éves",5,
IF(J174="50 év és afelett",6
)))))*1,"NA")</f>
        <v>571548</v>
      </c>
      <c r="M174" s="438">
        <f t="shared" si="323"/>
        <v>528000</v>
      </c>
      <c r="N174" s="443">
        <f t="shared" ca="1" si="324"/>
        <v>0.92380692435281031</v>
      </c>
      <c r="O174" s="438">
        <f ca="1">IFERROR(
INDEX('Admin - FEOR'!$A$4:$F$465,MATCH(Bérköltség!H174,'Admin - FEOR'!$A$4:$A$465,0),
IF(J174="30 év alatt",3,
IF(J174="30–39 éves",4,
IF(J174="40–49 éves",5,
IF(J174="50 év és afelett",6
)))))*1.5,"NA")</f>
        <v>857322</v>
      </c>
      <c r="P174" s="438">
        <f t="shared" ca="1" si="325"/>
        <v>739070.68965517241</v>
      </c>
      <c r="Q174" s="438">
        <f t="shared" si="326"/>
        <v>455172</v>
      </c>
      <c r="R174" s="444">
        <f t="shared" si="327"/>
        <v>0.86206896551724133</v>
      </c>
      <c r="S174" s="438">
        <f t="shared" ca="1" si="328"/>
        <v>0</v>
      </c>
      <c r="T174" s="438">
        <f t="shared" ca="1" si="329"/>
        <v>0</v>
      </c>
      <c r="U174" s="445">
        <f t="shared" ca="1" si="330"/>
        <v>0</v>
      </c>
      <c r="V174" s="446">
        <f t="shared" ca="1" si="331"/>
        <v>514344</v>
      </c>
      <c r="W174" s="447" t="str">
        <f t="shared" ca="1" si="332"/>
        <v>Nem szükséges indoklás.</v>
      </c>
      <c r="X174" s="571">
        <f t="shared" ca="1" si="333"/>
        <v>0</v>
      </c>
      <c r="Y174" s="554">
        <f t="shared" ca="1" si="318"/>
        <v>455172</v>
      </c>
      <c r="Z174" s="554">
        <f t="shared" ca="1" si="319"/>
        <v>59172</v>
      </c>
      <c r="AA174" s="101"/>
      <c r="AB174" s="474">
        <v>8432360317</v>
      </c>
      <c r="AC174" s="449" t="s">
        <v>127</v>
      </c>
      <c r="AD174" s="483" t="s">
        <v>45</v>
      </c>
      <c r="AE174" s="450" t="s">
        <v>22</v>
      </c>
      <c r="AF174" s="247" t="s">
        <v>121</v>
      </c>
      <c r="AG174" s="99" t="s">
        <v>128</v>
      </c>
      <c r="AH174" s="451" t="s">
        <v>131</v>
      </c>
      <c r="AI174" s="154">
        <v>44986</v>
      </c>
      <c r="AJ174" s="100" t="str">
        <f>IF(AI174&gt;0,
(IF(AI174&lt;Hónapok!$A$10,Admin!$A$28,
(IF(AI174&lt;Hónapok!$A$22,Admin!$B$28,
(IF(AI174&lt;Hónapok!$A$34,Admin!$C$28,
(IF(AI174&lt;Hónapok!$A$46,Admin!$D$28,"")))))))),"")</f>
        <v>3. mérföldkő</v>
      </c>
      <c r="AK174" s="470" t="s">
        <v>7</v>
      </c>
      <c r="AL174" s="101" t="s">
        <v>26</v>
      </c>
      <c r="AM174" s="900">
        <v>528000</v>
      </c>
      <c r="AN174" s="860">
        <f t="shared" ref="AN174:AN231" si="410">IFERROR(ROUND(AM174*AU174,0),"")</f>
        <v>68640</v>
      </c>
      <c r="AO174" s="101">
        <v>174</v>
      </c>
      <c r="AP174" s="111">
        <v>150</v>
      </c>
      <c r="AQ174" s="454">
        <f t="shared" si="313"/>
        <v>0.86206896551724133</v>
      </c>
      <c r="AR174" s="455">
        <f t="shared" si="314"/>
        <v>455172</v>
      </c>
      <c r="AS174" s="455">
        <f t="shared" si="315"/>
        <v>59172</v>
      </c>
      <c r="AT174" s="102">
        <f t="shared" si="316"/>
        <v>7.8369905953667995E-7</v>
      </c>
      <c r="AU174" s="116">
        <v>0.13</v>
      </c>
      <c r="AV174" s="565" t="str">
        <f>VLOOKUP(LEFT(AB174,10),Törzsszám!$A$1:$B$908,2,0)</f>
        <v>10000130</v>
      </c>
      <c r="AW174" s="615">
        <f t="shared" ca="1" si="311"/>
        <v>0</v>
      </c>
      <c r="AX174" s="468" t="s">
        <v>4561</v>
      </c>
      <c r="AY174" s="502"/>
      <c r="AZ174" s="502"/>
      <c r="BA174" s="671"/>
      <c r="BB174" s="649"/>
      <c r="BC174" s="649"/>
      <c r="BD174" s="672"/>
      <c r="BE174" s="450" t="s">
        <v>144</v>
      </c>
    </row>
    <row r="175" spans="1:58" s="457" customFormat="1" ht="31.5" x14ac:dyDescent="0.25">
      <c r="A175" s="694" t="str">
        <f ca="1">Bérköltség!$B175</f>
        <v>FEOR</v>
      </c>
      <c r="B175" s="694" t="str">
        <f ca="1">IFERROR(
IF(AND(Bérköltség!$F175="",H175="NA"),"HIÁNYOS ADATOK",
IF(Bérköltség!$F175&lt;Bérköltség!$U175,Admin!$B$18,Admin!$B$17)),
"")</f>
        <v>FEOR</v>
      </c>
      <c r="C175" s="437">
        <f>IFERROR(INDEX('Historikus berek_2021-2'!$A$1:$F$903,MATCH(AB175,'Historikus berek_2021-2'!$A$1:$A$903,0),4),"")</f>
        <v>304933.33333333331</v>
      </c>
      <c r="D175" s="438">
        <f t="shared" si="320"/>
        <v>262873.56321839074</v>
      </c>
      <c r="E175" s="437">
        <f t="shared" si="321"/>
        <v>455172</v>
      </c>
      <c r="F175" s="439">
        <f t="shared" si="334"/>
        <v>217297.23356321844</v>
      </c>
      <c r="G175" s="440">
        <f t="shared" si="335"/>
        <v>297047.12643678149</v>
      </c>
      <c r="H175" s="441">
        <f>IFERROR(INDEX('FEOR kodok'!$A$2:$J$1126,MATCH(Bérköltség!AB175,'FEOR kodok'!$B$2:$B$1126,0),8),"NA")</f>
        <v>2410</v>
      </c>
      <c r="I175" s="436">
        <f ca="1">IFERROR(INDEX('FEOR kodok'!$A$2:$J$1126,MATCH(Bérköltség!AB175,'FEOR kodok'!$B$2:$B$1126,0),10),"NA")</f>
        <v>38</v>
      </c>
      <c r="J175" s="442" t="str">
        <f t="shared" ca="1" si="322"/>
        <v>30–39 éves</v>
      </c>
      <c r="K175" s="436" t="str">
        <f>IFERROR(INDEX(admin_feor[#All],MATCH(Bérköltség!H175,admin_feor[[#All],[Foglalkozás]],0),2),"NA")</f>
        <v>Egyetemi, főiskolai oktató, tanár</v>
      </c>
      <c r="L175" s="438">
        <f ca="1">IFERROR(
INDEX('Admin - FEOR'!$A$4:$F$465,MATCH(Bérköltség!H175,'Admin - FEOR'!$A$4:$A$465,0),
IF(J175="30 év alatt",3,
IF(J175="30–39 éves",4,
IF(J175="40–49 éves",5,
IF(J175="50 év és afelett",6
)))))*1,"NA")</f>
        <v>571548</v>
      </c>
      <c r="M175" s="438">
        <f t="shared" si="323"/>
        <v>528000</v>
      </c>
      <c r="N175" s="443">
        <f t="shared" ca="1" si="324"/>
        <v>0.92380692435281031</v>
      </c>
      <c r="O175" s="438">
        <f ca="1">IFERROR(
INDEX('Admin - FEOR'!$A$4:$F$465,MATCH(Bérköltség!H175,'Admin - FEOR'!$A$4:$A$465,0),
IF(J175="30 év alatt",3,
IF(J175="30–39 éves",4,
IF(J175="40–49 éves",5,
IF(J175="50 év és afelett",6
)))))*1.5,"NA")</f>
        <v>857322</v>
      </c>
      <c r="P175" s="438">
        <f t="shared" ca="1" si="325"/>
        <v>739070.68965517241</v>
      </c>
      <c r="Q175" s="438">
        <f t="shared" si="326"/>
        <v>455172</v>
      </c>
      <c r="R175" s="444">
        <f t="shared" si="327"/>
        <v>0.86206896551724133</v>
      </c>
      <c r="S175" s="438">
        <f t="shared" ca="1" si="328"/>
        <v>0</v>
      </c>
      <c r="T175" s="438">
        <f t="shared" ca="1" si="329"/>
        <v>0</v>
      </c>
      <c r="U175" s="445">
        <f t="shared" ca="1" si="330"/>
        <v>0</v>
      </c>
      <c r="V175" s="446">
        <f t="shared" ca="1" si="331"/>
        <v>514344</v>
      </c>
      <c r="W175" s="447" t="str">
        <f t="shared" ca="1" si="332"/>
        <v>Nem szükséges indoklás.</v>
      </c>
      <c r="X175" s="571">
        <f t="shared" ca="1" si="333"/>
        <v>0</v>
      </c>
      <c r="Y175" s="554">
        <f t="shared" ca="1" si="318"/>
        <v>455172</v>
      </c>
      <c r="Z175" s="554">
        <f t="shared" ca="1" si="319"/>
        <v>59172</v>
      </c>
      <c r="AA175" s="488"/>
      <c r="AB175" s="474">
        <v>8432360317</v>
      </c>
      <c r="AC175" s="449" t="s">
        <v>127</v>
      </c>
      <c r="AD175" s="483" t="s">
        <v>45</v>
      </c>
      <c r="AE175" s="450" t="s">
        <v>22</v>
      </c>
      <c r="AF175" s="247" t="s">
        <v>121</v>
      </c>
      <c r="AG175" s="99" t="s">
        <v>128</v>
      </c>
      <c r="AH175" s="451" t="s">
        <v>131</v>
      </c>
      <c r="AI175" s="154">
        <v>45017</v>
      </c>
      <c r="AJ175" s="100" t="str">
        <f>IF(AI175&gt;0,
(IF(AI175&lt;Hónapok!$A$10,Admin!$A$28,
(IF(AI175&lt;Hónapok!$A$22,Admin!$B$28,
(IF(AI175&lt;Hónapok!$A$34,Admin!$C$28,
(IF(AI175&lt;Hónapok!$A$46,Admin!$D$28,"")))))))),"")</f>
        <v>3. mérföldkő</v>
      </c>
      <c r="AK175" s="467" t="s">
        <v>7</v>
      </c>
      <c r="AL175" s="101" t="s">
        <v>26</v>
      </c>
      <c r="AM175" s="903">
        <v>528000</v>
      </c>
      <c r="AN175" s="860">
        <f t="shared" si="410"/>
        <v>68640</v>
      </c>
      <c r="AO175" s="101">
        <v>174</v>
      </c>
      <c r="AP175" s="111">
        <v>150</v>
      </c>
      <c r="AQ175" s="454">
        <f t="shared" si="313"/>
        <v>0.86206896551724133</v>
      </c>
      <c r="AR175" s="455">
        <f t="shared" si="314"/>
        <v>455172</v>
      </c>
      <c r="AS175" s="455">
        <f t="shared" si="315"/>
        <v>59172</v>
      </c>
      <c r="AT175" s="102">
        <f t="shared" si="316"/>
        <v>7.8369905953667995E-7</v>
      </c>
      <c r="AU175" s="116">
        <v>0.13</v>
      </c>
      <c r="AV175" s="565" t="str">
        <f>VLOOKUP(LEFT(AB175,10),Törzsszám!$A$1:$B$908,2,0)</f>
        <v>10000130</v>
      </c>
      <c r="AW175" s="615">
        <f t="shared" ca="1" si="311"/>
        <v>0</v>
      </c>
      <c r="AX175" s="471" t="s">
        <v>4581</v>
      </c>
      <c r="AY175" s="486"/>
      <c r="AZ175" s="502"/>
      <c r="BA175" s="671"/>
      <c r="BB175" s="649"/>
      <c r="BC175" s="649"/>
      <c r="BD175" s="672"/>
      <c r="BE175" s="450" t="s">
        <v>144</v>
      </c>
    </row>
    <row r="176" spans="1:58" s="457" customFormat="1" ht="31.5" x14ac:dyDescent="0.25">
      <c r="A176" s="694" t="str">
        <f ca="1">Bérköltség!$B176</f>
        <v>FEOR</v>
      </c>
      <c r="B176" s="694" t="str">
        <f ca="1">IFERROR(
IF(AND(Bérköltség!$F176="",H176="NA"),"HIÁNYOS ADATOK",
IF(Bérköltség!$F176&lt;Bérköltség!$U176,Admin!$B$18,Admin!$B$17)),
"")</f>
        <v>FEOR</v>
      </c>
      <c r="C176" s="437">
        <f>IFERROR(INDEX('Historikus berek_2021-2'!$A$1:$F$903,MATCH(AB176,'Historikus berek_2021-2'!$A$1:$A$903,0),4),"")</f>
        <v>304933.33333333331</v>
      </c>
      <c r="D176" s="438">
        <f t="shared" si="320"/>
        <v>262873.56321839074</v>
      </c>
      <c r="E176" s="437">
        <f t="shared" si="321"/>
        <v>455172</v>
      </c>
      <c r="F176" s="439">
        <f t="shared" si="334"/>
        <v>217297.23356321844</v>
      </c>
      <c r="G176" s="440">
        <f t="shared" si="335"/>
        <v>297047.12643678149</v>
      </c>
      <c r="H176" s="441">
        <f>IFERROR(INDEX('FEOR kodok'!$A$2:$J$1126,MATCH(Bérköltség!AB176,'FEOR kodok'!$B$2:$B$1126,0),8),"NA")</f>
        <v>2410</v>
      </c>
      <c r="I176" s="436">
        <f ca="1">IFERROR(INDEX('FEOR kodok'!$A$2:$J$1126,MATCH(Bérköltség!AB176,'FEOR kodok'!$B$2:$B$1126,0),10),"NA")</f>
        <v>38</v>
      </c>
      <c r="J176" s="442" t="str">
        <f t="shared" ca="1" si="322"/>
        <v>30–39 éves</v>
      </c>
      <c r="K176" s="436" t="str">
        <f>IFERROR(INDEX(admin_feor[#All],MATCH(Bérköltség!H176,admin_feor[[#All],[Foglalkozás]],0),2),"NA")</f>
        <v>Egyetemi, főiskolai oktató, tanár</v>
      </c>
      <c r="L176" s="438">
        <f ca="1">IFERROR(
INDEX('Admin - FEOR'!$A$4:$F$465,MATCH(Bérköltség!H176,'Admin - FEOR'!$A$4:$A$465,0),
IF(J176="30 év alatt",3,
IF(J176="30–39 éves",4,
IF(J176="40–49 éves",5,
IF(J176="50 év és afelett",6
)))))*1,"NA")</f>
        <v>571548</v>
      </c>
      <c r="M176" s="438">
        <f t="shared" si="323"/>
        <v>528000</v>
      </c>
      <c r="N176" s="443">
        <f t="shared" ca="1" si="324"/>
        <v>0.92380692435281031</v>
      </c>
      <c r="O176" s="438">
        <f ca="1">IFERROR(
INDEX('Admin - FEOR'!$A$4:$F$465,MATCH(Bérköltség!H176,'Admin - FEOR'!$A$4:$A$465,0),
IF(J176="30 év alatt",3,
IF(J176="30–39 éves",4,
IF(J176="40–49 éves",5,
IF(J176="50 év és afelett",6
)))))*1.5,"NA")</f>
        <v>857322</v>
      </c>
      <c r="P176" s="438">
        <f t="shared" ca="1" si="325"/>
        <v>739070.68965517241</v>
      </c>
      <c r="Q176" s="438">
        <f t="shared" si="326"/>
        <v>455172</v>
      </c>
      <c r="R176" s="444">
        <f t="shared" si="327"/>
        <v>0.86206896551724133</v>
      </c>
      <c r="S176" s="438">
        <f t="shared" ca="1" si="328"/>
        <v>0</v>
      </c>
      <c r="T176" s="438">
        <f t="shared" ca="1" si="329"/>
        <v>0</v>
      </c>
      <c r="U176" s="445">
        <f t="shared" ca="1" si="330"/>
        <v>0</v>
      </c>
      <c r="V176" s="446">
        <f t="shared" ca="1" si="331"/>
        <v>514344</v>
      </c>
      <c r="W176" s="447" t="str">
        <f t="shared" ca="1" si="332"/>
        <v>Nem szükséges indoklás.</v>
      </c>
      <c r="X176" s="571">
        <f t="shared" ca="1" si="333"/>
        <v>0</v>
      </c>
      <c r="Y176" s="554">
        <f t="shared" ca="1" si="318"/>
        <v>455172</v>
      </c>
      <c r="Z176" s="554">
        <f t="shared" ca="1" si="319"/>
        <v>59172</v>
      </c>
      <c r="AA176" s="101"/>
      <c r="AB176" s="474">
        <v>8432360317</v>
      </c>
      <c r="AC176" s="449" t="s">
        <v>127</v>
      </c>
      <c r="AD176" s="483" t="s">
        <v>45</v>
      </c>
      <c r="AE176" s="450" t="s">
        <v>22</v>
      </c>
      <c r="AF176" s="247" t="s">
        <v>121</v>
      </c>
      <c r="AG176" s="99" t="s">
        <v>128</v>
      </c>
      <c r="AH176" s="451" t="s">
        <v>131</v>
      </c>
      <c r="AI176" s="154">
        <v>45047</v>
      </c>
      <c r="AJ176" s="100" t="str">
        <f>IF(AI176&gt;0,
(IF(AI176&lt;Hónapok!$A$10,Admin!$A$28,
(IF(AI176&lt;Hónapok!$A$22,Admin!$B$28,
(IF(AI176&lt;Hónapok!$A$34,Admin!$C$28,
(IF(AI176&lt;Hónapok!$A$46,Admin!$D$28,"")))))))),"")</f>
        <v>3. mérföldkő</v>
      </c>
      <c r="AK176" s="467" t="s">
        <v>7</v>
      </c>
      <c r="AL176" s="101" t="s">
        <v>26</v>
      </c>
      <c r="AM176" s="903">
        <v>528000</v>
      </c>
      <c r="AN176" s="860">
        <f t="shared" si="410"/>
        <v>68640</v>
      </c>
      <c r="AO176" s="101">
        <v>174</v>
      </c>
      <c r="AP176" s="453">
        <v>150</v>
      </c>
      <c r="AQ176" s="454">
        <f t="shared" si="313"/>
        <v>0.86206896551724133</v>
      </c>
      <c r="AR176" s="455">
        <f t="shared" si="314"/>
        <v>455172</v>
      </c>
      <c r="AS176" s="455">
        <f t="shared" si="315"/>
        <v>59172</v>
      </c>
      <c r="AT176" s="102">
        <f t="shared" si="316"/>
        <v>7.8369905953667995E-7</v>
      </c>
      <c r="AU176" s="116">
        <v>0.13</v>
      </c>
      <c r="AV176" s="565" t="str">
        <f>VLOOKUP(LEFT(AB176,10),Törzsszám!$A$1:$B$908,2,0)</f>
        <v>10000130</v>
      </c>
      <c r="AW176" s="615">
        <f t="shared" ca="1" si="311"/>
        <v>0</v>
      </c>
      <c r="AX176" s="471" t="s">
        <v>4596</v>
      </c>
      <c r="AY176" s="486"/>
      <c r="AZ176" s="502"/>
      <c r="BA176" s="671"/>
      <c r="BB176" s="649"/>
      <c r="BC176" s="649"/>
      <c r="BD176" s="672"/>
      <c r="BE176" s="450" t="s">
        <v>144</v>
      </c>
    </row>
    <row r="177" spans="1:58" s="457" customFormat="1" ht="31.5" x14ac:dyDescent="0.25">
      <c r="A177" s="694" t="str">
        <f ca="1">Bérköltség!$B177</f>
        <v>FEOR</v>
      </c>
      <c r="B177" s="694" t="str">
        <f ca="1">IFERROR(
IF(AND(Bérköltség!$F177="",H177="NA"),"HIÁNYOS ADATOK",
IF(Bérköltség!$F177&lt;Bérköltség!$U177,Admin!$B$18,Admin!$B$17)),
"")</f>
        <v>FEOR</v>
      </c>
      <c r="C177" s="437">
        <f>IFERROR(INDEX('Historikus berek_2021-2'!$A$1:$F$903,MATCH(AB177,'Historikus berek_2021-2'!$A$1:$A$903,0),4),"")</f>
        <v>304933.33333333331</v>
      </c>
      <c r="D177" s="438">
        <f t="shared" ref="D177:D182" si="411">IFERROR(C177*AQ177,"NA")</f>
        <v>262873.56321839074</v>
      </c>
      <c r="E177" s="437">
        <f t="shared" ref="E177:E182" si="412">AR177</f>
        <v>579310</v>
      </c>
      <c r="F177" s="439">
        <f t="shared" ref="F177:F182" si="413">IFERROR(IF((E177*(1+AU177)-D177*(1+AU177))&lt;0,0,(E177*(1+AU177)-D177*(1+AU177))),"")</f>
        <v>357573.17356321844</v>
      </c>
      <c r="G177" s="440">
        <f t="shared" ref="G177:G182" si="414">IFERROR((E177*(1+AU177)-F177),"")</f>
        <v>297047.12643678149</v>
      </c>
      <c r="H177" s="441">
        <f>IFERROR(INDEX('FEOR kodok'!$A$2:$J$1126,MATCH(Bérköltség!AB177,'FEOR kodok'!$B$2:$B$1126,0),8),"NA")</f>
        <v>2410</v>
      </c>
      <c r="I177" s="436">
        <f ca="1">IFERROR(INDEX('FEOR kodok'!$A$2:$J$1126,MATCH(Bérköltség!AB177,'FEOR kodok'!$B$2:$B$1126,0),10),"NA")</f>
        <v>38</v>
      </c>
      <c r="J177" s="442" t="str">
        <f t="shared" ref="J177:J182" ca="1" si="415">IF(I177="NA","NA",
IF(I177&lt;30,"30 év alatt",
IF(AND(I177&gt;=30,I177&lt;=39),"30–39 éves",
IF(AND(I177&gt;=40,I177&lt;=49),"40–49 éves",
IF(I177&gt;=50,"50 év és afelett",
"")))))</f>
        <v>30–39 éves</v>
      </c>
      <c r="K177" s="436" t="str">
        <f>IFERROR(INDEX(admin_feor[#All],MATCH(Bérköltség!H177,admin_feor[[#All],[Foglalkozás]],0),2),"NA")</f>
        <v>Egyetemi, főiskolai oktató, tanár</v>
      </c>
      <c r="L177" s="438">
        <f ca="1">IFERROR(
INDEX('Admin - FEOR'!$A$4:$F$465,MATCH(Bérköltség!H177,'Admin - FEOR'!$A$4:$A$465,0),
IF(J177="30 év alatt",3,
IF(J177="30–39 éves",4,
IF(J177="40–49 éves",5,
IF(J177="50 év és afelett",6
)))))*1,"NA")</f>
        <v>571548</v>
      </c>
      <c r="M177" s="438">
        <f t="shared" ref="M177:M182" si="416">AM177</f>
        <v>672000</v>
      </c>
      <c r="N177" s="443">
        <f t="shared" ref="N177:N182" ca="1" si="417">IFERROR(
M177/L177,"NA")</f>
        <v>1.1757542673581221</v>
      </c>
      <c r="O177" s="438">
        <f ca="1">IFERROR(
INDEX('Admin - FEOR'!$A$4:$F$465,MATCH(Bérköltség!H177,'Admin - FEOR'!$A$4:$A$465,0),
IF(J177="30 év alatt",3,
IF(J177="30–39 éves",4,
IF(J177="40–49 éves",5,
IF(J177="50 év és afelett",6
)))))*1.5,"NA")</f>
        <v>857322</v>
      </c>
      <c r="P177" s="438">
        <f t="shared" ref="P177:P182" ca="1" si="418">IFERROR(
AQ177*O177,"NA")</f>
        <v>739070.68965517241</v>
      </c>
      <c r="Q177" s="438">
        <f t="shared" ref="Q177:Q182" si="419">IFERROR(AR177,"")</f>
        <v>579310</v>
      </c>
      <c r="R177" s="444">
        <f t="shared" ref="R177:R182" si="420">IFERROR(AQ177,"")</f>
        <v>0.86206896551724133</v>
      </c>
      <c r="S177" s="438">
        <f t="shared" ref="S177:S182" ca="1" si="421">IFERROR(
IF(AR177-P177&lt;0,0,AR177-P177),"NA")</f>
        <v>0</v>
      </c>
      <c r="T177" s="438">
        <f t="shared" ref="T177:T182" ca="1" si="422">IFERROR(
S177*AU177,"NA")</f>
        <v>0</v>
      </c>
      <c r="U177" s="445">
        <f t="shared" ref="U177:U182" ca="1" si="423">IFERROR(
S177+T177,"NA")</f>
        <v>0</v>
      </c>
      <c r="V177" s="446">
        <f t="shared" ref="V177:V182" ca="1" si="424">IFERROR(
IF(U177&gt;0,AR177+AS177-U177,AR177+AS177),"NA")</f>
        <v>654620</v>
      </c>
      <c r="W177" s="447" t="str">
        <f t="shared" ref="W177:W182" ca="1" si="425">IF(P177="NA","FEOR hiányzik",
IF(AND(N177&gt;1,A177="FEOR"),CONCATENATE("Indoklás szükséges mivel a FEOR: ",ROUND(N177*100,1),"%"),"Nem szükséges indoklás.")
)</f>
        <v>Indoklás szükséges mivel a FEOR: 117,6%</v>
      </c>
      <c r="X177" s="571">
        <f t="shared" ref="X177:X182" ca="1" si="426">IF(A177="FEOR",U177,IF(A177="HIÁNYOS ADATOK","HIÁNYOS ADATOK",F177))</f>
        <v>0</v>
      </c>
      <c r="Y177" s="554">
        <f t="shared" ref="Y177:Y182" ca="1" si="427">IF(A177="FEOR",ROUND(V177/(1+AU177),0),IF(A177="HIÁNYOS ADATOK","HIÁNYOS ADATOK",ROUND(G177/(1+AU177),0)))</f>
        <v>579310</v>
      </c>
      <c r="Z177" s="554">
        <f t="shared" ref="Z177:Z182" ca="1" si="428">IF(A177="FEOR",ROUND(V177-Y177,0),IF(A177="HIÁNYOS ADATOK","HIÁNYOS ADATOK",ROUND(G177-Y177,0)))</f>
        <v>75310</v>
      </c>
      <c r="AA177" s="101"/>
      <c r="AB177" s="474">
        <v>8432360317</v>
      </c>
      <c r="AC177" s="449" t="s">
        <v>127</v>
      </c>
      <c r="AD177" s="483" t="s">
        <v>45</v>
      </c>
      <c r="AE177" s="450" t="s">
        <v>22</v>
      </c>
      <c r="AF177" s="247" t="s">
        <v>121</v>
      </c>
      <c r="AG177" s="99" t="s">
        <v>128</v>
      </c>
      <c r="AH177" s="451" t="s">
        <v>131</v>
      </c>
      <c r="AI177" s="154">
        <v>45078</v>
      </c>
      <c r="AJ177" s="100" t="str">
        <f>IF(AI177&gt;0,
(IF(AI177&lt;Hónapok!$A$10,Admin!$A$28,
(IF(AI177&lt;Hónapok!$A$22,Admin!$B$28,
(IF(AI177&lt;Hónapok!$A$34,Admin!$C$28,
(IF(AI177&lt;Hónapok!$A$46,Admin!$D$28,"")))))))),"")</f>
        <v>3. mérföldkő</v>
      </c>
      <c r="AK177" s="467" t="s">
        <v>7</v>
      </c>
      <c r="AL177" s="101" t="s">
        <v>26</v>
      </c>
      <c r="AM177" s="903">
        <v>672000</v>
      </c>
      <c r="AN177" s="860">
        <f t="shared" ref="AN177:AN183" si="429">IFERROR(ROUND(AM177*AU177,0),"")</f>
        <v>87360</v>
      </c>
      <c r="AO177" s="101">
        <v>174</v>
      </c>
      <c r="AP177" s="453">
        <v>150</v>
      </c>
      <c r="AQ177" s="102">
        <f t="shared" ref="AQ177:AQ185" si="430">IFERROR(AP177/AO177,"")</f>
        <v>0.86206896551724133</v>
      </c>
      <c r="AR177" s="455">
        <f t="shared" ref="AR177:AR185" si="431">IFERROR(ROUND(AM177*AP177/AO177,0),"")</f>
        <v>579310</v>
      </c>
      <c r="AS177" s="455">
        <f t="shared" ref="AS177:AS183" si="432">IFERROR(ROUND(AR177*AU177,0),"")</f>
        <v>75310</v>
      </c>
      <c r="AT177" s="102">
        <f t="shared" ref="AT177:AT185" si="433">IFERROR(AP177/AO177-AR177/AM177,"")</f>
        <v>5.1313628890437002E-7</v>
      </c>
      <c r="AU177" s="116">
        <v>0.13</v>
      </c>
      <c r="AV177" s="565" t="str">
        <f>VLOOKUP(LEFT(AB177,10),Törzsszám!$A$1:$B$908,2,0)</f>
        <v>10000130</v>
      </c>
      <c r="AW177" s="681">
        <f t="shared" ref="AW177:AW182" ca="1" si="434">(Y177+Z177)-(AR177+AS177)</f>
        <v>0</v>
      </c>
      <c r="AX177" s="471" t="s">
        <v>4606</v>
      </c>
      <c r="AY177" s="486"/>
      <c r="AZ177" s="502"/>
      <c r="BA177" s="671"/>
      <c r="BB177" s="649"/>
      <c r="BC177" s="649"/>
      <c r="BD177" s="672"/>
      <c r="BE177" s="450" t="s">
        <v>144</v>
      </c>
    </row>
    <row r="178" spans="1:58" s="457" customFormat="1" ht="31.5" x14ac:dyDescent="0.25">
      <c r="A178" s="694" t="str">
        <f ca="1">Bérköltség!$B178</f>
        <v>FEOR</v>
      </c>
      <c r="B178" s="694" t="str">
        <f ca="1">IFERROR(
IF(AND(Bérköltség!$F178="",H178="NA"),"HIÁNYOS ADATOK",
IF(Bérköltség!$F178&lt;Bérköltség!$U178,Admin!$B$18,Admin!$B$17)),
"")</f>
        <v>FEOR</v>
      </c>
      <c r="C178" s="437">
        <f>IFERROR(INDEX('Historikus berek_2021-2'!$A$1:$F$903,MATCH(AB178,'Historikus berek_2021-2'!$A$1:$A$903,0),4),"")</f>
        <v>304933.33333333331</v>
      </c>
      <c r="D178" s="438">
        <f t="shared" si="411"/>
        <v>262873.56321839074</v>
      </c>
      <c r="E178" s="437">
        <f t="shared" si="412"/>
        <v>579310</v>
      </c>
      <c r="F178" s="439">
        <f t="shared" si="413"/>
        <v>357573.17356321844</v>
      </c>
      <c r="G178" s="440">
        <f t="shared" si="414"/>
        <v>297047.12643678149</v>
      </c>
      <c r="H178" s="441">
        <f>IFERROR(INDEX('FEOR kodok'!$A$2:$J$1126,MATCH(Bérköltség!AB178,'FEOR kodok'!$B$2:$B$1126,0),8),"NA")</f>
        <v>2410</v>
      </c>
      <c r="I178" s="436">
        <f ca="1">IFERROR(INDEX('FEOR kodok'!$A$2:$J$1126,MATCH(Bérköltség!AB178,'FEOR kodok'!$B$2:$B$1126,0),10),"NA")</f>
        <v>38</v>
      </c>
      <c r="J178" s="442" t="str">
        <f t="shared" ca="1" si="415"/>
        <v>30–39 éves</v>
      </c>
      <c r="K178" s="436" t="str">
        <f>IFERROR(INDEX(admin_feor[#All],MATCH(Bérköltség!H178,admin_feor[[#All],[Foglalkozás]],0),2),"NA")</f>
        <v>Egyetemi, főiskolai oktató, tanár</v>
      </c>
      <c r="L178" s="438">
        <f ca="1">IFERROR(
INDEX('Admin - FEOR'!$A$4:$F$465,MATCH(Bérköltség!H178,'Admin - FEOR'!$A$4:$A$465,0),
IF(J178="30 év alatt",3,
IF(J178="30–39 éves",4,
IF(J178="40–49 éves",5,
IF(J178="50 év és afelett",6
)))))*1,"NA")</f>
        <v>571548</v>
      </c>
      <c r="M178" s="438">
        <f t="shared" si="416"/>
        <v>672000</v>
      </c>
      <c r="N178" s="443">
        <f t="shared" ca="1" si="417"/>
        <v>1.1757542673581221</v>
      </c>
      <c r="O178" s="438">
        <f ca="1">IFERROR(
INDEX('Admin - FEOR'!$A$4:$F$465,MATCH(Bérköltség!H178,'Admin - FEOR'!$A$4:$A$465,0),
IF(J178="30 év alatt",3,
IF(J178="30–39 éves",4,
IF(J178="40–49 éves",5,
IF(J178="50 év és afelett",6
)))))*1.5,"NA")</f>
        <v>857322</v>
      </c>
      <c r="P178" s="438">
        <f t="shared" ca="1" si="418"/>
        <v>739070.68965517241</v>
      </c>
      <c r="Q178" s="438">
        <f t="shared" si="419"/>
        <v>579310</v>
      </c>
      <c r="R178" s="444">
        <f t="shared" si="420"/>
        <v>0.86206896551724133</v>
      </c>
      <c r="S178" s="438">
        <f t="shared" ca="1" si="421"/>
        <v>0</v>
      </c>
      <c r="T178" s="438">
        <f t="shared" ca="1" si="422"/>
        <v>0</v>
      </c>
      <c r="U178" s="445">
        <f t="shared" ca="1" si="423"/>
        <v>0</v>
      </c>
      <c r="V178" s="446">
        <f t="shared" ca="1" si="424"/>
        <v>654620</v>
      </c>
      <c r="W178" s="447" t="str">
        <f t="shared" ca="1" si="425"/>
        <v>Indoklás szükséges mivel a FEOR: 117,6%</v>
      </c>
      <c r="X178" s="571">
        <f t="shared" ca="1" si="426"/>
        <v>0</v>
      </c>
      <c r="Y178" s="554">
        <f t="shared" ca="1" si="427"/>
        <v>579310</v>
      </c>
      <c r="Z178" s="554">
        <f t="shared" ca="1" si="428"/>
        <v>75310</v>
      </c>
      <c r="AA178" s="101"/>
      <c r="AB178" s="474">
        <v>8432360317</v>
      </c>
      <c r="AC178" s="449" t="s">
        <v>127</v>
      </c>
      <c r="AD178" s="483" t="s">
        <v>45</v>
      </c>
      <c r="AE178" s="450" t="s">
        <v>22</v>
      </c>
      <c r="AF178" s="247" t="s">
        <v>121</v>
      </c>
      <c r="AG178" s="99" t="s">
        <v>128</v>
      </c>
      <c r="AH178" s="451" t="s">
        <v>131</v>
      </c>
      <c r="AI178" s="154">
        <v>45108</v>
      </c>
      <c r="AJ178" s="100" t="str">
        <f>IF(AI178&gt;0,
(IF(AI178&lt;Hónapok!$A$10,Admin!$A$28,
(IF(AI178&lt;Hónapok!$A$22,Admin!$B$28,
(IF(AI178&lt;Hónapok!$A$34,Admin!$C$28,
(IF(AI178&lt;Hónapok!$A$46,Admin!$D$28,"")))))))),"")</f>
        <v>3. mérföldkő</v>
      </c>
      <c r="AK178" s="467" t="s">
        <v>7</v>
      </c>
      <c r="AL178" s="101" t="s">
        <v>26</v>
      </c>
      <c r="AM178" s="903">
        <v>672000</v>
      </c>
      <c r="AN178" s="860">
        <f t="shared" si="429"/>
        <v>87360</v>
      </c>
      <c r="AO178" s="101">
        <v>174</v>
      </c>
      <c r="AP178" s="453">
        <v>150</v>
      </c>
      <c r="AQ178" s="682">
        <f t="shared" si="430"/>
        <v>0.86206896551724133</v>
      </c>
      <c r="AR178" s="455">
        <f t="shared" si="431"/>
        <v>579310</v>
      </c>
      <c r="AS178" s="455">
        <f t="shared" si="432"/>
        <v>75310</v>
      </c>
      <c r="AT178" s="102">
        <f t="shared" si="433"/>
        <v>5.1313628890437002E-7</v>
      </c>
      <c r="AU178" s="116">
        <v>0.13</v>
      </c>
      <c r="AV178" s="565" t="str">
        <f>VLOOKUP(LEFT(AB178,10),Törzsszám!$A$1:$B$908,2,0)</f>
        <v>10000130</v>
      </c>
      <c r="AW178" s="681">
        <f t="shared" ca="1" si="434"/>
        <v>0</v>
      </c>
      <c r="AX178" s="471" t="s">
        <v>4610</v>
      </c>
      <c r="AY178" s="486"/>
      <c r="AZ178" s="502"/>
      <c r="BA178" s="671"/>
      <c r="BB178" s="649"/>
      <c r="BC178" s="649"/>
      <c r="BD178" s="672"/>
      <c r="BE178" s="450" t="s">
        <v>144</v>
      </c>
    </row>
    <row r="179" spans="1:58" s="457" customFormat="1" ht="31.5" x14ac:dyDescent="0.25">
      <c r="A179" s="694" t="str">
        <f ca="1">Bérköltség!$B179</f>
        <v>FEOR</v>
      </c>
      <c r="B179" s="694" t="str">
        <f ca="1">IFERROR(
IF(AND(Bérköltség!$F179="",H179="NA"),"HIÁNYOS ADATOK",
IF(Bérköltség!$F179&lt;Bérköltség!$U179,Admin!$B$18,Admin!$B$17)),
"")</f>
        <v>FEOR</v>
      </c>
      <c r="C179" s="437">
        <f>IFERROR(INDEX('Historikus berek_2021-2'!$A$1:$F$903,MATCH(AB179,'Historikus berek_2021-2'!$A$1:$A$903,0),4),"")</f>
        <v>304933.33333333331</v>
      </c>
      <c r="D179" s="438">
        <f t="shared" si="411"/>
        <v>262873.56321839074</v>
      </c>
      <c r="E179" s="437">
        <f t="shared" si="412"/>
        <v>579309</v>
      </c>
      <c r="F179" s="439">
        <f t="shared" si="413"/>
        <v>357572.04356321844</v>
      </c>
      <c r="G179" s="440">
        <f t="shared" si="414"/>
        <v>297047.12643678149</v>
      </c>
      <c r="H179" s="441">
        <f>IFERROR(INDEX('FEOR kodok'!$A$2:$J$1126,MATCH(Bérköltség!AB179,'FEOR kodok'!$B$2:$B$1126,0),8),"NA")</f>
        <v>2410</v>
      </c>
      <c r="I179" s="436">
        <f ca="1">IFERROR(INDEX('FEOR kodok'!$A$2:$J$1126,MATCH(Bérköltség!AB179,'FEOR kodok'!$B$2:$B$1126,0),10),"NA")</f>
        <v>38</v>
      </c>
      <c r="J179" s="442" t="str">
        <f t="shared" ca="1" si="415"/>
        <v>30–39 éves</v>
      </c>
      <c r="K179" s="436" t="str">
        <f>IFERROR(INDEX(admin_feor[#All],MATCH(Bérköltség!H179,admin_feor[[#All],[Foglalkozás]],0),2),"NA")</f>
        <v>Egyetemi, főiskolai oktató, tanár</v>
      </c>
      <c r="L179" s="438">
        <f ca="1">IFERROR(
INDEX('Admin - FEOR'!$A$4:$F$465,MATCH(Bérköltség!H179,'Admin - FEOR'!$A$4:$A$465,0),
IF(J179="30 év alatt",3,
IF(J179="30–39 éves",4,
IF(J179="40–49 éves",5,
IF(J179="50 év és afelett",6
)))))*1,"NA")</f>
        <v>571548</v>
      </c>
      <c r="M179" s="438">
        <f t="shared" si="416"/>
        <v>671999</v>
      </c>
      <c r="N179" s="443">
        <f t="shared" ca="1" si="417"/>
        <v>1.1757525177237957</v>
      </c>
      <c r="O179" s="438">
        <f ca="1">IFERROR(
INDEX('Admin - FEOR'!$A$4:$F$465,MATCH(Bérköltség!H179,'Admin - FEOR'!$A$4:$A$465,0),
IF(J179="30 év alatt",3,
IF(J179="30–39 éves",4,
IF(J179="40–49 éves",5,
IF(J179="50 év és afelett",6
)))))*1.5,"NA")</f>
        <v>857322</v>
      </c>
      <c r="P179" s="438">
        <f t="shared" ca="1" si="418"/>
        <v>739070.68965517241</v>
      </c>
      <c r="Q179" s="438">
        <f t="shared" si="419"/>
        <v>579309</v>
      </c>
      <c r="R179" s="444">
        <f t="shared" si="420"/>
        <v>0.86206896551724133</v>
      </c>
      <c r="S179" s="438">
        <f t="shared" ca="1" si="421"/>
        <v>0</v>
      </c>
      <c r="T179" s="438">
        <f t="shared" ca="1" si="422"/>
        <v>0</v>
      </c>
      <c r="U179" s="445">
        <f t="shared" ca="1" si="423"/>
        <v>0</v>
      </c>
      <c r="V179" s="446">
        <f t="shared" ca="1" si="424"/>
        <v>654619</v>
      </c>
      <c r="W179" s="447" t="str">
        <f t="shared" ca="1" si="425"/>
        <v>Indoklás szükséges mivel a FEOR: 117,6%</v>
      </c>
      <c r="X179" s="571">
        <f t="shared" ca="1" si="426"/>
        <v>0</v>
      </c>
      <c r="Y179" s="554">
        <f t="shared" ca="1" si="427"/>
        <v>579309</v>
      </c>
      <c r="Z179" s="554">
        <f t="shared" ca="1" si="428"/>
        <v>75310</v>
      </c>
      <c r="AA179" s="101"/>
      <c r="AB179" s="474">
        <v>8432360317</v>
      </c>
      <c r="AC179" s="449" t="s">
        <v>127</v>
      </c>
      <c r="AD179" s="483" t="s">
        <v>45</v>
      </c>
      <c r="AE179" s="450" t="s">
        <v>22</v>
      </c>
      <c r="AF179" s="247" t="s">
        <v>121</v>
      </c>
      <c r="AG179" s="99" t="s">
        <v>128</v>
      </c>
      <c r="AH179" s="451" t="s">
        <v>131</v>
      </c>
      <c r="AI179" s="154">
        <v>45139</v>
      </c>
      <c r="AJ179" s="100" t="str">
        <f>IF(AI179&gt;0,
(IF(AI179&lt;Hónapok!$A$10,Admin!$A$28,
(IF(AI179&lt;Hónapok!$A$22,Admin!$B$28,
(IF(AI179&lt;Hónapok!$A$34,Admin!$C$28,
(IF(AI179&lt;Hónapok!$A$46,Admin!$D$28,"")))))))),"")</f>
        <v>3. mérföldkő</v>
      </c>
      <c r="AK179" s="467" t="s">
        <v>7</v>
      </c>
      <c r="AL179" s="101" t="s">
        <v>26</v>
      </c>
      <c r="AM179" s="903">
        <f>672000-1</f>
        <v>671999</v>
      </c>
      <c r="AN179" s="860">
        <f t="shared" si="429"/>
        <v>87360</v>
      </c>
      <c r="AO179" s="101">
        <v>174</v>
      </c>
      <c r="AP179" s="453">
        <v>150</v>
      </c>
      <c r="AQ179" s="454">
        <f t="shared" si="430"/>
        <v>0.86206896551724133</v>
      </c>
      <c r="AR179" s="455">
        <f t="shared" si="431"/>
        <v>579309</v>
      </c>
      <c r="AS179" s="455">
        <f t="shared" si="432"/>
        <v>75310</v>
      </c>
      <c r="AT179" s="102">
        <f t="shared" si="433"/>
        <v>7.1839187354427736E-7</v>
      </c>
      <c r="AU179" s="116">
        <v>0.13</v>
      </c>
      <c r="AV179" s="565" t="str">
        <f>VLOOKUP(LEFT(AB179,10),Törzsszám!$A$1:$B$908,2,0)</f>
        <v>10000130</v>
      </c>
      <c r="AW179" s="681">
        <f t="shared" ca="1" si="434"/>
        <v>0</v>
      </c>
      <c r="AX179" s="471" t="s">
        <v>4613</v>
      </c>
      <c r="AY179" s="486"/>
      <c r="AZ179" s="502"/>
      <c r="BA179" s="671"/>
      <c r="BB179" s="649"/>
      <c r="BC179" s="649"/>
      <c r="BD179" s="672"/>
      <c r="BE179" s="450" t="s">
        <v>144</v>
      </c>
    </row>
    <row r="180" spans="1:58" s="457" customFormat="1" ht="31.5" x14ac:dyDescent="0.25">
      <c r="A180" s="694" t="str">
        <f ca="1">Bérköltség!$B180</f>
        <v>FEOR</v>
      </c>
      <c r="B180" s="694" t="str">
        <f ca="1">IFERROR(
IF(AND(Bérköltség!$F180="",H180="NA"),"HIÁNYOS ADATOK",
IF(Bérköltség!$F180&lt;Bérköltség!$U180,Admin!$B$18,Admin!$B$17)),
"")</f>
        <v>FEOR</v>
      </c>
      <c r="C180" s="437">
        <f>IFERROR(INDEX('Historikus berek_2021-2'!$A$1:$F$903,MATCH(AB180,'Historikus berek_2021-2'!$A$1:$A$903,0),4),"")</f>
        <v>304933.33333333331</v>
      </c>
      <c r="D180" s="438">
        <f t="shared" si="411"/>
        <v>262873.56321839074</v>
      </c>
      <c r="E180" s="437">
        <f t="shared" si="412"/>
        <v>579310</v>
      </c>
      <c r="F180" s="439">
        <f t="shared" si="413"/>
        <v>357573.17356321844</v>
      </c>
      <c r="G180" s="440">
        <f t="shared" si="414"/>
        <v>297047.12643678149</v>
      </c>
      <c r="H180" s="441">
        <f>IFERROR(INDEX('FEOR kodok'!$A$2:$J$1126,MATCH(Bérköltség!AB180,'FEOR kodok'!$B$2:$B$1126,0),8),"NA")</f>
        <v>2410</v>
      </c>
      <c r="I180" s="436">
        <f ca="1">IFERROR(INDEX('FEOR kodok'!$A$2:$J$1126,MATCH(Bérköltség!AB180,'FEOR kodok'!$B$2:$B$1126,0),10),"NA")</f>
        <v>38</v>
      </c>
      <c r="J180" s="442" t="str">
        <f t="shared" ca="1" si="415"/>
        <v>30–39 éves</v>
      </c>
      <c r="K180" s="436" t="str">
        <f>IFERROR(INDEX(admin_feor[#All],MATCH(Bérköltség!H180,admin_feor[[#All],[Foglalkozás]],0),2),"NA")</f>
        <v>Egyetemi, főiskolai oktató, tanár</v>
      </c>
      <c r="L180" s="438">
        <f ca="1">IFERROR(
INDEX('Admin - FEOR'!$A$4:$F$465,MATCH(Bérköltség!H180,'Admin - FEOR'!$A$4:$A$465,0),
IF(J180="30 év alatt",3,
IF(J180="30–39 éves",4,
IF(J180="40–49 éves",5,
IF(J180="50 év és afelett",6
)))))*1,"NA")</f>
        <v>571548</v>
      </c>
      <c r="M180" s="438">
        <f t="shared" si="416"/>
        <v>672000</v>
      </c>
      <c r="N180" s="443">
        <f t="shared" ca="1" si="417"/>
        <v>1.1757542673581221</v>
      </c>
      <c r="O180" s="438">
        <f ca="1">IFERROR(
INDEX('Admin - FEOR'!$A$4:$F$465,MATCH(Bérköltség!H180,'Admin - FEOR'!$A$4:$A$465,0),
IF(J180="30 év alatt",3,
IF(J180="30–39 éves",4,
IF(J180="40–49 éves",5,
IF(J180="50 év és afelett",6
)))))*1.5,"NA")</f>
        <v>857322</v>
      </c>
      <c r="P180" s="438">
        <f t="shared" ca="1" si="418"/>
        <v>739070.68965517241</v>
      </c>
      <c r="Q180" s="438">
        <f t="shared" si="419"/>
        <v>579310</v>
      </c>
      <c r="R180" s="444">
        <f t="shared" si="420"/>
        <v>0.86206896551724133</v>
      </c>
      <c r="S180" s="438">
        <f t="shared" ca="1" si="421"/>
        <v>0</v>
      </c>
      <c r="T180" s="438">
        <f t="shared" ca="1" si="422"/>
        <v>0</v>
      </c>
      <c r="U180" s="445">
        <f t="shared" ca="1" si="423"/>
        <v>0</v>
      </c>
      <c r="V180" s="446">
        <f t="shared" ca="1" si="424"/>
        <v>654620</v>
      </c>
      <c r="W180" s="447" t="str">
        <f t="shared" ca="1" si="425"/>
        <v>Indoklás szükséges mivel a FEOR: 117,6%</v>
      </c>
      <c r="X180" s="571">
        <f t="shared" ca="1" si="426"/>
        <v>0</v>
      </c>
      <c r="Y180" s="554">
        <f t="shared" ca="1" si="427"/>
        <v>579310</v>
      </c>
      <c r="Z180" s="554">
        <f t="shared" ca="1" si="428"/>
        <v>75310</v>
      </c>
      <c r="AA180" s="101"/>
      <c r="AB180" s="474">
        <v>8432360317</v>
      </c>
      <c r="AC180" s="449" t="s">
        <v>127</v>
      </c>
      <c r="AD180" s="483" t="s">
        <v>45</v>
      </c>
      <c r="AE180" s="450" t="s">
        <v>22</v>
      </c>
      <c r="AF180" s="247" t="s">
        <v>121</v>
      </c>
      <c r="AG180" s="99" t="s">
        <v>128</v>
      </c>
      <c r="AH180" s="451" t="s">
        <v>131</v>
      </c>
      <c r="AI180" s="154">
        <v>45170</v>
      </c>
      <c r="AJ180" s="100" t="str">
        <f>IF(AI180&gt;0,
(IF(AI180&lt;Hónapok!$A$10,Admin!$A$28,
(IF(AI180&lt;Hónapok!$A$22,Admin!$B$28,
(IF(AI180&lt;Hónapok!$A$34,Admin!$C$28,
(IF(AI180&lt;Hónapok!$A$46,Admin!$D$28,"")))))))),"")</f>
        <v>3. mérföldkő</v>
      </c>
      <c r="AK180" s="467" t="s">
        <v>7</v>
      </c>
      <c r="AL180" s="101" t="s">
        <v>26</v>
      </c>
      <c r="AM180" s="903">
        <v>672000</v>
      </c>
      <c r="AN180" s="860">
        <f t="shared" si="429"/>
        <v>87360</v>
      </c>
      <c r="AO180" s="101">
        <v>174</v>
      </c>
      <c r="AP180" s="453">
        <v>150</v>
      </c>
      <c r="AQ180" s="454">
        <f t="shared" si="430"/>
        <v>0.86206896551724133</v>
      </c>
      <c r="AR180" s="455">
        <f t="shared" si="431"/>
        <v>579310</v>
      </c>
      <c r="AS180" s="455">
        <f t="shared" si="432"/>
        <v>75310</v>
      </c>
      <c r="AT180" s="102">
        <f t="shared" si="433"/>
        <v>5.1313628890437002E-7</v>
      </c>
      <c r="AU180" s="116">
        <v>0.13</v>
      </c>
      <c r="AV180" s="565" t="str">
        <f>VLOOKUP(LEFT(AB180,10),Törzsszám!$A$1:$B$908,2,0)</f>
        <v>10000130</v>
      </c>
      <c r="AW180" s="681">
        <f t="shared" ca="1" si="434"/>
        <v>0</v>
      </c>
      <c r="AX180" s="471" t="s">
        <v>4618</v>
      </c>
      <c r="AY180" s="486"/>
      <c r="AZ180" s="502"/>
      <c r="BA180" s="671"/>
      <c r="BB180" s="649"/>
      <c r="BC180" s="649"/>
      <c r="BD180" s="672"/>
      <c r="BE180" s="450" t="s">
        <v>144</v>
      </c>
    </row>
    <row r="181" spans="1:58" s="457" customFormat="1" ht="31.5" x14ac:dyDescent="0.25">
      <c r="A181" s="694" t="str">
        <f ca="1">Bérköltség!$B181</f>
        <v>FEOR</v>
      </c>
      <c r="B181" s="694" t="str">
        <f ca="1">IFERROR(
IF(AND(Bérköltség!$F181="",H181="NA"),"HIÁNYOS ADATOK",
IF(Bérköltség!$F181&lt;Bérköltség!$U181,Admin!$B$18,Admin!$B$17)),
"")</f>
        <v>FEOR</v>
      </c>
      <c r="C181" s="437">
        <f>IFERROR(INDEX('Historikus berek_2021-2'!$A$1:$F$903,MATCH(AB181,'Historikus berek_2021-2'!$A$1:$A$903,0),4),"")</f>
        <v>304933.33333333331</v>
      </c>
      <c r="D181" s="438">
        <f t="shared" si="411"/>
        <v>262873.56321839074</v>
      </c>
      <c r="E181" s="437">
        <f t="shared" si="412"/>
        <v>579310</v>
      </c>
      <c r="F181" s="439">
        <f t="shared" si="413"/>
        <v>357573.17356321844</v>
      </c>
      <c r="G181" s="440">
        <f t="shared" si="414"/>
        <v>297047.12643678149</v>
      </c>
      <c r="H181" s="441">
        <f>IFERROR(INDEX('FEOR kodok'!$A$2:$J$1126,MATCH(Bérköltség!AB181,'FEOR kodok'!$B$2:$B$1126,0),8),"NA")</f>
        <v>2410</v>
      </c>
      <c r="I181" s="436">
        <f ca="1">IFERROR(INDEX('FEOR kodok'!$A$2:$J$1126,MATCH(Bérköltség!AB181,'FEOR kodok'!$B$2:$B$1126,0),10),"NA")</f>
        <v>38</v>
      </c>
      <c r="J181" s="442" t="str">
        <f t="shared" ca="1" si="415"/>
        <v>30–39 éves</v>
      </c>
      <c r="K181" s="436" t="str">
        <f>IFERROR(INDEX(admin_feor[#All],MATCH(Bérköltség!H181,admin_feor[[#All],[Foglalkozás]],0),2),"NA")</f>
        <v>Egyetemi, főiskolai oktató, tanár</v>
      </c>
      <c r="L181" s="438">
        <f ca="1">IFERROR(
INDEX('Admin - FEOR'!$A$4:$F$465,MATCH(Bérköltség!H181,'Admin - FEOR'!$A$4:$A$465,0),
IF(J181="30 év alatt",3,
IF(J181="30–39 éves",4,
IF(J181="40–49 éves",5,
IF(J181="50 év és afelett",6
)))))*1,"NA")</f>
        <v>571548</v>
      </c>
      <c r="M181" s="438">
        <f t="shared" si="416"/>
        <v>672000</v>
      </c>
      <c r="N181" s="443">
        <f t="shared" ca="1" si="417"/>
        <v>1.1757542673581221</v>
      </c>
      <c r="O181" s="438">
        <f ca="1">IFERROR(
INDEX('Admin - FEOR'!$A$4:$F$465,MATCH(Bérköltség!H181,'Admin - FEOR'!$A$4:$A$465,0),
IF(J181="30 év alatt",3,
IF(J181="30–39 éves",4,
IF(J181="40–49 éves",5,
IF(J181="50 év és afelett",6
)))))*1.5,"NA")</f>
        <v>857322</v>
      </c>
      <c r="P181" s="438">
        <f t="shared" ca="1" si="418"/>
        <v>739070.68965517241</v>
      </c>
      <c r="Q181" s="438">
        <f t="shared" si="419"/>
        <v>579310</v>
      </c>
      <c r="R181" s="444">
        <f t="shared" si="420"/>
        <v>0.86206896551724133</v>
      </c>
      <c r="S181" s="438">
        <f t="shared" ca="1" si="421"/>
        <v>0</v>
      </c>
      <c r="T181" s="438">
        <f t="shared" ca="1" si="422"/>
        <v>0</v>
      </c>
      <c r="U181" s="445">
        <f t="shared" ca="1" si="423"/>
        <v>0</v>
      </c>
      <c r="V181" s="446">
        <f t="shared" ca="1" si="424"/>
        <v>654620</v>
      </c>
      <c r="W181" s="447" t="str">
        <f t="shared" ca="1" si="425"/>
        <v>Indoklás szükséges mivel a FEOR: 117,6%</v>
      </c>
      <c r="X181" s="571">
        <f t="shared" ca="1" si="426"/>
        <v>0</v>
      </c>
      <c r="Y181" s="554">
        <f t="shared" ca="1" si="427"/>
        <v>579310</v>
      </c>
      <c r="Z181" s="554">
        <f t="shared" ca="1" si="428"/>
        <v>75310</v>
      </c>
      <c r="AA181" s="101"/>
      <c r="AB181" s="474">
        <v>8432360317</v>
      </c>
      <c r="AC181" s="449" t="s">
        <v>127</v>
      </c>
      <c r="AD181" s="483" t="s">
        <v>45</v>
      </c>
      <c r="AE181" s="450" t="s">
        <v>22</v>
      </c>
      <c r="AF181" s="247" t="s">
        <v>121</v>
      </c>
      <c r="AG181" s="99" t="s">
        <v>128</v>
      </c>
      <c r="AH181" s="451" t="s">
        <v>131</v>
      </c>
      <c r="AI181" s="154">
        <v>45200</v>
      </c>
      <c r="AJ181" s="100" t="str">
        <f>IF(AI181&gt;0,
(IF(AI181&lt;Hónapok!$A$10,Admin!$A$28,
(IF(AI181&lt;Hónapok!$A$22,Admin!$B$28,
(IF(AI181&lt;Hónapok!$A$34,Admin!$C$28,
(IF(AI181&lt;Hónapok!$A$46,Admin!$D$28,"")))))))),"")</f>
        <v>3. mérföldkő</v>
      </c>
      <c r="AK181" s="467" t="s">
        <v>8</v>
      </c>
      <c r="AL181" s="101" t="s">
        <v>26</v>
      </c>
      <c r="AM181" s="903">
        <v>672000</v>
      </c>
      <c r="AN181" s="860">
        <f t="shared" si="429"/>
        <v>87360</v>
      </c>
      <c r="AO181" s="101">
        <v>174</v>
      </c>
      <c r="AP181" s="453">
        <v>150</v>
      </c>
      <c r="AQ181" s="454">
        <f t="shared" si="430"/>
        <v>0.86206896551724133</v>
      </c>
      <c r="AR181" s="455">
        <f t="shared" si="431"/>
        <v>579310</v>
      </c>
      <c r="AS181" s="455">
        <f t="shared" si="432"/>
        <v>75310</v>
      </c>
      <c r="AT181" s="102">
        <f t="shared" si="433"/>
        <v>5.1313628890437002E-7</v>
      </c>
      <c r="AU181" s="116">
        <v>0.13</v>
      </c>
      <c r="AV181" s="565" t="str">
        <f>VLOOKUP(LEFT(AB181,10),Törzsszám!$A$1:$B$908,2,0)</f>
        <v>10000130</v>
      </c>
      <c r="AW181" s="681">
        <f t="shared" ca="1" si="434"/>
        <v>0</v>
      </c>
      <c r="AX181" s="473"/>
      <c r="AY181" s="486"/>
      <c r="AZ181" s="502"/>
      <c r="BA181" s="671"/>
      <c r="BB181" s="649"/>
      <c r="BC181" s="649"/>
      <c r="BD181" s="672"/>
      <c r="BE181" s="450" t="s">
        <v>144</v>
      </c>
    </row>
    <row r="182" spans="1:58" s="457" customFormat="1" ht="31.5" x14ac:dyDescent="0.25">
      <c r="A182" s="694" t="str">
        <f ca="1">Bérköltség!$B182</f>
        <v>FEOR</v>
      </c>
      <c r="B182" s="694" t="str">
        <f ca="1">IFERROR(
IF(AND(Bérköltség!$F182="",H182="NA"),"HIÁNYOS ADATOK",
IF(Bérköltség!$F182&lt;Bérköltség!$U182,Admin!$B$18,Admin!$B$17)),
"")</f>
        <v>FEOR</v>
      </c>
      <c r="C182" s="437">
        <f>IFERROR(INDEX('Historikus berek_2021-2'!$A$1:$F$903,MATCH(AB182,'Historikus berek_2021-2'!$A$1:$A$903,0),4),"")</f>
        <v>304933.33333333331</v>
      </c>
      <c r="D182" s="438">
        <f t="shared" si="411"/>
        <v>262873.56321839074</v>
      </c>
      <c r="E182" s="437">
        <f t="shared" si="412"/>
        <v>579310</v>
      </c>
      <c r="F182" s="439">
        <f t="shared" si="413"/>
        <v>357573.17356321844</v>
      </c>
      <c r="G182" s="440">
        <f t="shared" si="414"/>
        <v>297047.12643678149</v>
      </c>
      <c r="H182" s="441">
        <f>IFERROR(INDEX('FEOR kodok'!$A$2:$J$1126,MATCH(Bérköltség!AB182,'FEOR kodok'!$B$2:$B$1126,0),8),"NA")</f>
        <v>2410</v>
      </c>
      <c r="I182" s="436">
        <f ca="1">IFERROR(INDEX('FEOR kodok'!$A$2:$J$1126,MATCH(Bérköltség!AB182,'FEOR kodok'!$B$2:$B$1126,0),10),"NA")</f>
        <v>38</v>
      </c>
      <c r="J182" s="442" t="str">
        <f t="shared" ca="1" si="415"/>
        <v>30–39 éves</v>
      </c>
      <c r="K182" s="436" t="str">
        <f>IFERROR(INDEX(admin_feor[#All],MATCH(Bérköltség!H182,admin_feor[[#All],[Foglalkozás]],0),2),"NA")</f>
        <v>Egyetemi, főiskolai oktató, tanár</v>
      </c>
      <c r="L182" s="438">
        <f ca="1">IFERROR(
INDEX('Admin - FEOR'!$A$4:$F$465,MATCH(Bérköltség!H182,'Admin - FEOR'!$A$4:$A$465,0),
IF(J182="30 év alatt",3,
IF(J182="30–39 éves",4,
IF(J182="40–49 éves",5,
IF(J182="50 év és afelett",6
)))))*1,"NA")</f>
        <v>571548</v>
      </c>
      <c r="M182" s="438">
        <f t="shared" si="416"/>
        <v>672000</v>
      </c>
      <c r="N182" s="443">
        <f t="shared" ca="1" si="417"/>
        <v>1.1757542673581221</v>
      </c>
      <c r="O182" s="438">
        <f ca="1">IFERROR(
INDEX('Admin - FEOR'!$A$4:$F$465,MATCH(Bérköltség!H182,'Admin - FEOR'!$A$4:$A$465,0),
IF(J182="30 év alatt",3,
IF(J182="30–39 éves",4,
IF(J182="40–49 éves",5,
IF(J182="50 év és afelett",6
)))))*1.5,"NA")</f>
        <v>857322</v>
      </c>
      <c r="P182" s="438">
        <f t="shared" ca="1" si="418"/>
        <v>739070.68965517241</v>
      </c>
      <c r="Q182" s="438">
        <f t="shared" si="419"/>
        <v>579310</v>
      </c>
      <c r="R182" s="444">
        <f t="shared" si="420"/>
        <v>0.86206896551724133</v>
      </c>
      <c r="S182" s="438">
        <f t="shared" ca="1" si="421"/>
        <v>0</v>
      </c>
      <c r="T182" s="438">
        <f t="shared" ca="1" si="422"/>
        <v>0</v>
      </c>
      <c r="U182" s="445">
        <f t="shared" ca="1" si="423"/>
        <v>0</v>
      </c>
      <c r="V182" s="446">
        <f t="shared" ca="1" si="424"/>
        <v>654620</v>
      </c>
      <c r="W182" s="447" t="str">
        <f t="shared" ca="1" si="425"/>
        <v>Indoklás szükséges mivel a FEOR: 117,6%</v>
      </c>
      <c r="X182" s="571">
        <f t="shared" ca="1" si="426"/>
        <v>0</v>
      </c>
      <c r="Y182" s="554">
        <f t="shared" ca="1" si="427"/>
        <v>579310</v>
      </c>
      <c r="Z182" s="554">
        <f t="shared" ca="1" si="428"/>
        <v>75310</v>
      </c>
      <c r="AA182" s="101"/>
      <c r="AB182" s="474">
        <v>8432360317</v>
      </c>
      <c r="AC182" s="449" t="s">
        <v>127</v>
      </c>
      <c r="AD182" s="483" t="s">
        <v>45</v>
      </c>
      <c r="AE182" s="450" t="s">
        <v>22</v>
      </c>
      <c r="AF182" s="247" t="s">
        <v>121</v>
      </c>
      <c r="AG182" s="99" t="s">
        <v>128</v>
      </c>
      <c r="AH182" s="451" t="s">
        <v>131</v>
      </c>
      <c r="AI182" s="154">
        <v>45231</v>
      </c>
      <c r="AJ182" s="100" t="str">
        <f>IF(AI182&gt;0,
(IF(AI182&lt;Hónapok!$A$10,Admin!$A$28,
(IF(AI182&lt;Hónapok!$A$22,Admin!$B$28,
(IF(AI182&lt;Hónapok!$A$34,Admin!$C$28,
(IF(AI182&lt;Hónapok!$A$46,Admin!$D$28,"")))))))),"")</f>
        <v>3. mérföldkő</v>
      </c>
      <c r="AK182" s="467" t="s">
        <v>8</v>
      </c>
      <c r="AL182" s="101" t="s">
        <v>26</v>
      </c>
      <c r="AM182" s="903">
        <v>672000</v>
      </c>
      <c r="AN182" s="860">
        <f t="shared" si="429"/>
        <v>87360</v>
      </c>
      <c r="AO182" s="101">
        <v>174</v>
      </c>
      <c r="AP182" s="453">
        <v>150</v>
      </c>
      <c r="AQ182" s="454">
        <f t="shared" si="430"/>
        <v>0.86206896551724133</v>
      </c>
      <c r="AR182" s="455">
        <f t="shared" si="431"/>
        <v>579310</v>
      </c>
      <c r="AS182" s="455">
        <f t="shared" si="432"/>
        <v>75310</v>
      </c>
      <c r="AT182" s="102">
        <f t="shared" si="433"/>
        <v>5.1313628890437002E-7</v>
      </c>
      <c r="AU182" s="116">
        <v>0.13</v>
      </c>
      <c r="AV182" s="565" t="str">
        <f>VLOOKUP(LEFT(AB182,10),Törzsszám!$A$1:$B$908,2,0)</f>
        <v>10000130</v>
      </c>
      <c r="AW182" s="681">
        <f t="shared" ca="1" si="434"/>
        <v>0</v>
      </c>
      <c r="AX182" s="473"/>
      <c r="AY182" s="486"/>
      <c r="AZ182" s="502"/>
      <c r="BA182" s="671"/>
      <c r="BB182" s="649"/>
      <c r="BC182" s="649"/>
      <c r="BD182" s="672"/>
      <c r="BE182" s="450" t="s">
        <v>144</v>
      </c>
    </row>
    <row r="183" spans="1:58" s="457" customFormat="1" ht="31.5" x14ac:dyDescent="0.25">
      <c r="A183" s="694" t="str">
        <f>Bérköltség!$B183</f>
        <v>FEOR</v>
      </c>
      <c r="B183" s="694" t="str">
        <f>IFERROR(
IF(AND(Bérköltség!$F183="",H183="NA"),"HIÁNYOS ADATOK",
IF(Bérköltség!$F183&lt;Bérköltség!$U183,Admin!$B$18,Admin!$B$17)),
"")</f>
        <v>FEOR</v>
      </c>
      <c r="C183" s="437" t="str">
        <f>IFERROR(INDEX('Historikus berek_2021-2'!$A$1:$F$903,MATCH(AB183,'Historikus berek_2021-2'!$A$1:$A$903,0),4),"")</f>
        <v/>
      </c>
      <c r="D183" s="438" t="str">
        <f t="shared" ref="D183:D185" si="435">IFERROR(C183*AQ183,"NA")</f>
        <v>NA</v>
      </c>
      <c r="E183" s="437">
        <f t="shared" ref="E183:E185" si="436">AR183</f>
        <v>184000</v>
      </c>
      <c r="F183" s="439" t="str">
        <f t="shared" ref="F183:F185" si="437">IFERROR(IF((E183*(1+AU183)-D183*(1+AU183))&lt;0,0,(E183*(1+AU183)-D183*(1+AU183))),"")</f>
        <v/>
      </c>
      <c r="G183" s="440" t="str">
        <f t="shared" ref="G183:G185" si="438">IFERROR((E183*(1+AU183)-F183),"")</f>
        <v/>
      </c>
      <c r="H183" s="441">
        <f>IFERROR(INDEX('FEOR kodok'!$A$2:$J$1126,MATCH(Bérköltség!AB183,'FEOR kodok'!$B$2:$B$1126,0),8),"NA")</f>
        <v>3910</v>
      </c>
      <c r="I183" s="436">
        <f>IFERROR(INDEX('FEOR kodok'!$A$2:$J$1126,MATCH(Bérköltség!AB183,'FEOR kodok'!$B$2:$B$1126,0),10),"NA")</f>
        <v>0</v>
      </c>
      <c r="J183" s="442" t="str">
        <f t="shared" ref="J183:J185" si="439">IF(I183="NA","NA",
IF(I183&lt;30,"30 év alatt",
IF(AND(I183&gt;=30,I183&lt;=39),"30–39 éves",
IF(AND(I183&gt;=40,I183&lt;=49),"40–49 éves",
IF(I183&gt;=50,"50 év és afelett",
"")))))</f>
        <v>30 év alatt</v>
      </c>
      <c r="K183" s="436" t="str">
        <f>IFERROR(INDEX(admin_feor[#All],MATCH(Bérköltség!H183,admin_feor[[#All],[Foglalkozás]],0),2),"NA")</f>
        <v>Egyéb ügyintéző</v>
      </c>
      <c r="L183" s="438">
        <f>IFERROR(
INDEX('Admin - FEOR'!$A$4:$F$465,MATCH(Bérköltség!H183,'Admin - FEOR'!$A$4:$A$465,0),
IF(J183="30 év alatt",3,
IF(J183="30–39 éves",4,
IF(J183="40–49 éves",5,
IF(J183="50 év és afelett",6
)))))*1,"NA")</f>
        <v>359927</v>
      </c>
      <c r="M183" s="438">
        <f t="shared" ref="M183:M185" si="440">AM183</f>
        <v>184000</v>
      </c>
      <c r="N183" s="443">
        <f t="shared" ref="N183:N185" si="441">IFERROR(
M183/L183,"NA")</f>
        <v>0.51121477410697169</v>
      </c>
      <c r="O183" s="438">
        <f>IFERROR(
INDEX('Admin - FEOR'!$A$4:$F$465,MATCH(Bérköltség!H183,'Admin - FEOR'!$A$4:$A$465,0),
IF(J183="30 év alatt",3,
IF(J183="30–39 éves",4,
IF(J183="40–49 éves",5,
IF(J183="50 év és afelett",6
)))))*1.5,"NA")</f>
        <v>539890.5</v>
      </c>
      <c r="P183" s="438">
        <f t="shared" ref="P183:P185" si="442">IFERROR(
AQ183*O183,"NA")</f>
        <v>539890.5</v>
      </c>
      <c r="Q183" s="438">
        <f t="shared" ref="Q183:Q185" si="443">IFERROR(AR183,"")</f>
        <v>184000</v>
      </c>
      <c r="R183" s="444">
        <f t="shared" ref="R183:R185" si="444">IFERROR(AQ183,"")</f>
        <v>1</v>
      </c>
      <c r="S183" s="438">
        <f t="shared" ref="S183:S185" si="445">IFERROR(
IF(AR183-P183&lt;0,0,AR183-P183),"NA")</f>
        <v>0</v>
      </c>
      <c r="T183" s="438">
        <f t="shared" ref="T183:T185" si="446">IFERROR(
S183*AU183,"NA")</f>
        <v>0</v>
      </c>
      <c r="U183" s="445">
        <f t="shared" ref="U183:U185" si="447">IFERROR(
S183+T183,"NA")</f>
        <v>0</v>
      </c>
      <c r="V183" s="446">
        <f t="shared" ref="V183:V185" si="448">IFERROR(
IF(U183&gt;0,AR183+AS183-U183,AR183+AS183),"NA")</f>
        <v>207920</v>
      </c>
      <c r="W183" s="447" t="str">
        <f t="shared" ref="W183:W185" si="449">IF(P183="NA","FEOR hiányzik",
IF(AND(N183&gt;1,A183="FEOR"),CONCATENATE("Indoklás szükséges mivel a FEOR: ",ROUND(N183*100,1),"%"),"Nem szükséges indoklás.")
)</f>
        <v>Nem szükséges indoklás.</v>
      </c>
      <c r="X183" s="571">
        <f t="shared" ref="X183:X185" si="450">IF(A183="FEOR",U183,IF(A183="HIÁNYOS ADATOK","HIÁNYOS ADATOK",F183))</f>
        <v>0</v>
      </c>
      <c r="Y183" s="554">
        <f t="shared" ref="Y183:Y185" si="451">IF(A183="FEOR",ROUND(V183/(1+AU183),0),IF(A183="HIÁNYOS ADATOK","HIÁNYOS ADATOK",ROUND(G183/(1+AU183),0)))</f>
        <v>184000</v>
      </c>
      <c r="Z183" s="554">
        <f t="shared" ref="Z183:Z185" si="452">IF(A183="FEOR",ROUND(V183-Y183,0),IF(A183="HIÁNYOS ADATOK","HIÁNYOS ADATOK",ROUND(G183-Y183,0)))</f>
        <v>23920</v>
      </c>
      <c r="AA183" s="101"/>
      <c r="AB183" s="474">
        <v>8500560541</v>
      </c>
      <c r="AC183" s="449" t="s">
        <v>4590</v>
      </c>
      <c r="AD183" s="483" t="s">
        <v>45</v>
      </c>
      <c r="AE183" s="450" t="s">
        <v>24</v>
      </c>
      <c r="AF183" s="247" t="s">
        <v>119</v>
      </c>
      <c r="AG183" s="99" t="s">
        <v>224</v>
      </c>
      <c r="AH183" s="451" t="s">
        <v>131</v>
      </c>
      <c r="AI183" s="154">
        <v>45108</v>
      </c>
      <c r="AJ183" s="100" t="str">
        <f>IF(AI183&gt;0,
(IF(AI183&lt;Hónapok!$A$10,Admin!$A$28,
(IF(AI183&lt;Hónapok!$A$22,Admin!$B$28,
(IF(AI183&lt;Hónapok!$A$34,Admin!$C$28,
(IF(AI183&lt;Hónapok!$A$46,Admin!$D$28,"")))))))),"")</f>
        <v>3. mérföldkő</v>
      </c>
      <c r="AK183" s="467" t="s">
        <v>7</v>
      </c>
      <c r="AL183" s="101" t="s">
        <v>26</v>
      </c>
      <c r="AM183" s="903">
        <v>184000</v>
      </c>
      <c r="AN183" s="860">
        <f t="shared" si="429"/>
        <v>23920</v>
      </c>
      <c r="AO183" s="101">
        <v>87</v>
      </c>
      <c r="AP183" s="453">
        <v>87</v>
      </c>
      <c r="AQ183" s="682">
        <f t="shared" si="430"/>
        <v>1</v>
      </c>
      <c r="AR183" s="455">
        <f t="shared" si="431"/>
        <v>184000</v>
      </c>
      <c r="AS183" s="455">
        <f t="shared" si="432"/>
        <v>23920</v>
      </c>
      <c r="AT183" s="102">
        <f t="shared" si="433"/>
        <v>0</v>
      </c>
      <c r="AU183" s="116">
        <v>0.13</v>
      </c>
      <c r="AV183" s="565" t="str" cm="1">
        <f t="array" ref="AV183">VLOOKUP(LEFT(AB183,10),LEFT(Törzsszám!$A$1:$B$908,10),2,0)</f>
        <v>40002049</v>
      </c>
      <c r="AW183" s="681"/>
      <c r="AX183" s="471" t="s">
        <v>4610</v>
      </c>
      <c r="AY183" s="486"/>
      <c r="AZ183" s="502"/>
      <c r="BA183" s="671"/>
      <c r="BB183" s="649"/>
      <c r="BC183" s="649"/>
      <c r="BD183" s="672"/>
      <c r="BE183" s="450" t="s">
        <v>4591</v>
      </c>
      <c r="BF183" s="457" t="s">
        <v>4592</v>
      </c>
    </row>
    <row r="184" spans="1:58" s="457" customFormat="1" ht="31.5" x14ac:dyDescent="0.25">
      <c r="A184" s="694" t="str">
        <f>Bérköltség!$B184</f>
        <v>FEOR</v>
      </c>
      <c r="B184" s="694" t="str">
        <f>IFERROR(
IF(AND(Bérköltség!$F184="",H184="NA"),"HIÁNYOS ADATOK",
IF(Bérköltség!$F184&lt;Bérköltség!$U184,Admin!$B$18,Admin!$B$17)),
"")</f>
        <v>FEOR</v>
      </c>
      <c r="C184" s="437" t="str">
        <f>IFERROR(INDEX('Historikus berek_2021-2'!$A$1:$F$903,MATCH(AB184,'Historikus berek_2021-2'!$A$1:$A$903,0),4),"")</f>
        <v/>
      </c>
      <c r="D184" s="438" t="str">
        <f t="shared" si="435"/>
        <v>NA</v>
      </c>
      <c r="E184" s="437">
        <f t="shared" si="436"/>
        <v>184000</v>
      </c>
      <c r="F184" s="439" t="str">
        <f t="shared" si="437"/>
        <v/>
      </c>
      <c r="G184" s="440" t="str">
        <f t="shared" si="438"/>
        <v/>
      </c>
      <c r="H184" s="441">
        <f>IFERROR(INDEX('FEOR kodok'!$A$2:$J$1126,MATCH(Bérköltség!AB184,'FEOR kodok'!$B$2:$B$1126,0),8),"NA")</f>
        <v>3910</v>
      </c>
      <c r="I184" s="436">
        <f>IFERROR(INDEX('FEOR kodok'!$A$2:$J$1126,MATCH(Bérköltség!AB184,'FEOR kodok'!$B$2:$B$1126,0),10),"NA")</f>
        <v>0</v>
      </c>
      <c r="J184" s="442" t="str">
        <f t="shared" si="439"/>
        <v>30 év alatt</v>
      </c>
      <c r="K184" s="436" t="str">
        <f>IFERROR(INDEX(admin_feor[#All],MATCH(Bérköltség!H184,admin_feor[[#All],[Foglalkozás]],0),2),"NA")</f>
        <v>Egyéb ügyintéző</v>
      </c>
      <c r="L184" s="438">
        <f>IFERROR(
INDEX('Admin - FEOR'!$A$4:$F$465,MATCH(Bérköltség!H184,'Admin - FEOR'!$A$4:$A$465,0),
IF(J184="30 év alatt",3,
IF(J184="30–39 éves",4,
IF(J184="40–49 éves",5,
IF(J184="50 év és afelett",6
)))))*1,"NA")</f>
        <v>359927</v>
      </c>
      <c r="M184" s="438">
        <f t="shared" si="440"/>
        <v>184000</v>
      </c>
      <c r="N184" s="443">
        <f t="shared" si="441"/>
        <v>0.51121477410697169</v>
      </c>
      <c r="O184" s="438">
        <f>IFERROR(
INDEX('Admin - FEOR'!$A$4:$F$465,MATCH(Bérköltség!H184,'Admin - FEOR'!$A$4:$A$465,0),
IF(J184="30 év alatt",3,
IF(J184="30–39 éves",4,
IF(J184="40–49 éves",5,
IF(J184="50 év és afelett",6
)))))*1.5,"NA")</f>
        <v>539890.5</v>
      </c>
      <c r="P184" s="438">
        <f t="shared" si="442"/>
        <v>539890.5</v>
      </c>
      <c r="Q184" s="438">
        <f t="shared" si="443"/>
        <v>184000</v>
      </c>
      <c r="R184" s="444">
        <f t="shared" si="444"/>
        <v>1</v>
      </c>
      <c r="S184" s="438">
        <f t="shared" si="445"/>
        <v>0</v>
      </c>
      <c r="T184" s="438">
        <f t="shared" si="446"/>
        <v>0</v>
      </c>
      <c r="U184" s="445">
        <f t="shared" si="447"/>
        <v>0</v>
      </c>
      <c r="V184" s="446">
        <f t="shared" si="448"/>
        <v>184000</v>
      </c>
      <c r="W184" s="447" t="str">
        <f t="shared" si="449"/>
        <v>Nem szükséges indoklás.</v>
      </c>
      <c r="X184" s="571">
        <f t="shared" si="450"/>
        <v>0</v>
      </c>
      <c r="Y184" s="554">
        <f t="shared" si="451"/>
        <v>184000</v>
      </c>
      <c r="Z184" s="556">
        <f t="shared" si="452"/>
        <v>0</v>
      </c>
      <c r="AA184" s="101"/>
      <c r="AB184" s="474">
        <v>8500560541</v>
      </c>
      <c r="AC184" s="449" t="s">
        <v>4590</v>
      </c>
      <c r="AD184" s="483" t="s">
        <v>45</v>
      </c>
      <c r="AE184" s="450" t="s">
        <v>24</v>
      </c>
      <c r="AF184" s="247" t="s">
        <v>119</v>
      </c>
      <c r="AG184" s="99" t="s">
        <v>224</v>
      </c>
      <c r="AH184" s="451" t="s">
        <v>131</v>
      </c>
      <c r="AI184" s="154">
        <v>45139</v>
      </c>
      <c r="AJ184" s="100" t="str">
        <f>IF(AI184&gt;0,
(IF(AI184&lt;Hónapok!$A$10,Admin!$A$28,
(IF(AI184&lt;Hónapok!$A$22,Admin!$B$28,
(IF(AI184&lt;Hónapok!$A$34,Admin!$C$28,
(IF(AI184&lt;Hónapok!$A$46,Admin!$D$28,"")))))))),"")</f>
        <v>3. mérföldkő</v>
      </c>
      <c r="AK184" s="467" t="s">
        <v>7</v>
      </c>
      <c r="AL184" s="101" t="s">
        <v>26</v>
      </c>
      <c r="AM184" s="903">
        <v>184000</v>
      </c>
      <c r="AN184" s="863">
        <v>0</v>
      </c>
      <c r="AO184" s="101">
        <v>87</v>
      </c>
      <c r="AP184" s="453">
        <v>87</v>
      </c>
      <c r="AQ184" s="454">
        <f t="shared" si="430"/>
        <v>1</v>
      </c>
      <c r="AR184" s="455">
        <f t="shared" si="431"/>
        <v>184000</v>
      </c>
      <c r="AS184" s="455">
        <v>0</v>
      </c>
      <c r="AT184" s="102">
        <f t="shared" si="433"/>
        <v>0</v>
      </c>
      <c r="AU184" s="913">
        <f t="shared" ref="AU184:AU185" si="453">AN184/AM184</f>
        <v>0</v>
      </c>
      <c r="AV184" s="565" t="str" cm="1">
        <f t="array" ref="AV184">VLOOKUP(LEFT(AB184,10),LEFT(Törzsszám!$A$1:$B$908,10),2,0)</f>
        <v>40002049</v>
      </c>
      <c r="AW184" s="681"/>
      <c r="AX184" s="471" t="s">
        <v>4613</v>
      </c>
      <c r="AY184" s="486"/>
      <c r="AZ184" s="502"/>
      <c r="BA184" s="671"/>
      <c r="BB184" s="649"/>
      <c r="BC184" s="649"/>
      <c r="BD184" s="672"/>
      <c r="BE184" s="450" t="s">
        <v>4591</v>
      </c>
      <c r="BF184" s="457" t="s">
        <v>4592</v>
      </c>
    </row>
    <row r="185" spans="1:58" s="457" customFormat="1" ht="17.45" customHeight="1" x14ac:dyDescent="0.25">
      <c r="A185" s="694" t="str">
        <f>Bérköltség!$B185</f>
        <v>FEOR</v>
      </c>
      <c r="B185" s="694" t="str">
        <f>IFERROR(
IF(AND(Bérköltség!$F185="",H185="NA"),"HIÁNYOS ADATOK",
IF(Bérköltség!$F185&lt;Bérköltség!$U185,Admin!$B$18,Admin!$B$17)),
"")</f>
        <v>FEOR</v>
      </c>
      <c r="C185" s="437" t="str">
        <f>IFERROR(INDEX('Historikus berek_2021-2'!$A$1:$F$903,MATCH(AB185,'Historikus berek_2021-2'!$A$1:$A$903,0),4),"")</f>
        <v/>
      </c>
      <c r="D185" s="438" t="str">
        <f t="shared" si="435"/>
        <v>NA</v>
      </c>
      <c r="E185" s="437">
        <f t="shared" si="436"/>
        <v>184000</v>
      </c>
      <c r="F185" s="439" t="str">
        <f t="shared" si="437"/>
        <v/>
      </c>
      <c r="G185" s="440" t="str">
        <f t="shared" si="438"/>
        <v/>
      </c>
      <c r="H185" s="441">
        <f>IFERROR(INDEX('FEOR kodok'!$A$2:$J$1126,MATCH(Bérköltség!AB185,'FEOR kodok'!$B$2:$B$1126,0),8),"NA")</f>
        <v>3910</v>
      </c>
      <c r="I185" s="436">
        <f>IFERROR(INDEX('FEOR kodok'!$A$2:$J$1126,MATCH(Bérköltség!AB185,'FEOR kodok'!$B$2:$B$1126,0),10),"NA")</f>
        <v>0</v>
      </c>
      <c r="J185" s="442" t="str">
        <f t="shared" si="439"/>
        <v>30 év alatt</v>
      </c>
      <c r="K185" s="436" t="str">
        <f>IFERROR(INDEX(admin_feor[#All],MATCH(Bérköltség!H185,admin_feor[[#All],[Foglalkozás]],0),2),"NA")</f>
        <v>Egyéb ügyintéző</v>
      </c>
      <c r="L185" s="438">
        <f>IFERROR(
INDEX('Admin - FEOR'!$A$4:$F$465,MATCH(Bérköltség!H185,'Admin - FEOR'!$A$4:$A$465,0),
IF(J185="30 év alatt",3,
IF(J185="30–39 éves",4,
IF(J185="40–49 éves",5,
IF(J185="50 év és afelett",6
)))))*1,"NA")</f>
        <v>359927</v>
      </c>
      <c r="M185" s="438">
        <f t="shared" si="440"/>
        <v>184000</v>
      </c>
      <c r="N185" s="443">
        <f t="shared" si="441"/>
        <v>0.51121477410697169</v>
      </c>
      <c r="O185" s="438">
        <f>IFERROR(
INDEX('Admin - FEOR'!$A$4:$F$465,MATCH(Bérköltség!H185,'Admin - FEOR'!$A$4:$A$465,0),
IF(J185="30 év alatt",3,
IF(J185="30–39 éves",4,
IF(J185="40–49 éves",5,
IF(J185="50 év és afelett",6
)))))*1.5,"NA")</f>
        <v>539890.5</v>
      </c>
      <c r="P185" s="438">
        <f t="shared" si="442"/>
        <v>539890.5</v>
      </c>
      <c r="Q185" s="438">
        <f t="shared" si="443"/>
        <v>184000</v>
      </c>
      <c r="R185" s="444">
        <f t="shared" si="444"/>
        <v>1</v>
      </c>
      <c r="S185" s="438">
        <f t="shared" si="445"/>
        <v>0</v>
      </c>
      <c r="T185" s="438">
        <f t="shared" si="446"/>
        <v>0</v>
      </c>
      <c r="U185" s="445">
        <f t="shared" si="447"/>
        <v>0</v>
      </c>
      <c r="V185" s="446">
        <f t="shared" si="448"/>
        <v>184000</v>
      </c>
      <c r="W185" s="447" t="str">
        <f t="shared" si="449"/>
        <v>Nem szükséges indoklás.</v>
      </c>
      <c r="X185" s="571">
        <f t="shared" si="450"/>
        <v>0</v>
      </c>
      <c r="Y185" s="554">
        <f t="shared" si="451"/>
        <v>184000</v>
      </c>
      <c r="Z185" s="556">
        <f t="shared" si="452"/>
        <v>0</v>
      </c>
      <c r="AA185" s="101"/>
      <c r="AB185" s="474">
        <v>8500560541</v>
      </c>
      <c r="AC185" s="449" t="s">
        <v>4590</v>
      </c>
      <c r="AD185" s="483" t="s">
        <v>45</v>
      </c>
      <c r="AE185" s="450" t="s">
        <v>24</v>
      </c>
      <c r="AF185" s="247" t="s">
        <v>119</v>
      </c>
      <c r="AG185" s="99" t="s">
        <v>224</v>
      </c>
      <c r="AH185" s="451" t="s">
        <v>131</v>
      </c>
      <c r="AI185" s="154">
        <v>45170</v>
      </c>
      <c r="AJ185" s="100" t="str">
        <f>IF(AI185&gt;0,
(IF(AI185&lt;Hónapok!$A$10,Admin!$A$28,
(IF(AI185&lt;Hónapok!$A$22,Admin!$B$28,
(IF(AI185&lt;Hónapok!$A$34,Admin!$C$28,
(IF(AI185&lt;Hónapok!$A$46,Admin!$D$28,"")))))))),"")</f>
        <v>3. mérföldkő</v>
      </c>
      <c r="AK185" s="467" t="s">
        <v>7</v>
      </c>
      <c r="AL185" s="101" t="s">
        <v>26</v>
      </c>
      <c r="AM185" s="903">
        <v>184000</v>
      </c>
      <c r="AN185" s="863">
        <v>0</v>
      </c>
      <c r="AO185" s="101">
        <v>87</v>
      </c>
      <c r="AP185" s="453">
        <v>87</v>
      </c>
      <c r="AQ185" s="454">
        <f t="shared" si="430"/>
        <v>1</v>
      </c>
      <c r="AR185" s="455">
        <f t="shared" si="431"/>
        <v>184000</v>
      </c>
      <c r="AS185" s="528">
        <v>0</v>
      </c>
      <c r="AT185" s="102">
        <f t="shared" si="433"/>
        <v>0</v>
      </c>
      <c r="AU185" s="913">
        <f t="shared" si="453"/>
        <v>0</v>
      </c>
      <c r="AV185" s="565" t="str" cm="1">
        <f t="array" ref="AV185">VLOOKUP(LEFT(AB185,10),LEFT(Törzsszám!$A$1:$B$908,10),2,0)</f>
        <v>40002049</v>
      </c>
      <c r="AW185" s="681"/>
      <c r="AX185" s="471" t="s">
        <v>4618</v>
      </c>
      <c r="AY185" s="486"/>
      <c r="AZ185" s="502"/>
      <c r="BA185" s="671"/>
      <c r="BB185" s="649"/>
      <c r="BC185" s="649"/>
      <c r="BD185" s="672"/>
      <c r="BE185" s="450" t="s">
        <v>4591</v>
      </c>
      <c r="BF185" s="457" t="s">
        <v>4592</v>
      </c>
    </row>
    <row r="186" spans="1:58" s="457" customFormat="1" ht="31.5" x14ac:dyDescent="0.25">
      <c r="A186" s="694" t="str">
        <f ca="1">Bérköltség!$B186</f>
        <v>FEOR</v>
      </c>
      <c r="B186" s="694" t="str">
        <f ca="1">IFERROR(
IF(AND(Bérköltség!$F186="",H186="NA"),"HIÁNYOS ADATOK",
IF(Bérköltség!$F186&lt;Bérköltség!$U186,Admin!$B$18,Admin!$B$17)),
"")</f>
        <v>FEOR</v>
      </c>
      <c r="C186" s="437">
        <f>IFERROR(INDEX('Historikus berek_2021-2'!$A$1:$F$903,MATCH(AB186,'Historikus berek_2021-2'!$A$1:$A$903,0),4),"")</f>
        <v>773433.33333333337</v>
      </c>
      <c r="D186" s="438">
        <f t="shared" si="320"/>
        <v>342266.47509578546</v>
      </c>
      <c r="E186" s="437">
        <f t="shared" si="321"/>
        <v>420402</v>
      </c>
      <c r="F186" s="439">
        <f t="shared" si="334"/>
        <v>88293.143141762412</v>
      </c>
      <c r="G186" s="440">
        <f t="shared" si="335"/>
        <v>386761.11685823754</v>
      </c>
      <c r="H186" s="441">
        <f>IFERROR(INDEX('FEOR kodok'!$A$2:$J$1126,MATCH(Bérköltség!AB186,'FEOR kodok'!$B$2:$B$1126,0),8),"NA")</f>
        <v>2410</v>
      </c>
      <c r="I186" s="436">
        <f ca="1">IFERROR(INDEX('FEOR kodok'!$A$2:$J$1126,MATCH(Bérköltség!AB186,'FEOR kodok'!$B$2:$B$1126,0),10),"NA")</f>
        <v>46</v>
      </c>
      <c r="J186" s="442" t="str">
        <f t="shared" ca="1" si="322"/>
        <v>40–49 éves</v>
      </c>
      <c r="K186" s="436" t="str">
        <f>IFERROR(INDEX(admin_feor[#All],MATCH(Bérköltség!H186,admin_feor[[#All],[Foglalkozás]],0),2),"NA")</f>
        <v>Egyetemi, főiskolai oktató, tanár</v>
      </c>
      <c r="L186" s="438">
        <f ca="1">IFERROR(
INDEX('Admin - FEOR'!$A$4:$F$465,MATCH(Bérköltség!H186,'Admin - FEOR'!$A$4:$A$465,0),
IF(J186="30 év alatt",3,
IF(J186="30–39 éves",4,
IF(J186="40–49 éves",5,
IF(J186="50 év és afelett",6
)))))*1,"NA")</f>
        <v>629398</v>
      </c>
      <c r="M186" s="438">
        <f t="shared" si="323"/>
        <v>950000</v>
      </c>
      <c r="N186" s="443">
        <f t="shared" ca="1" si="324"/>
        <v>1.5093788032373792</v>
      </c>
      <c r="O186" s="438">
        <f ca="1">IFERROR(
INDEX('Admin - FEOR'!$A$4:$F$465,MATCH(Bérköltség!H186,'Admin - FEOR'!$A$4:$A$465,0),
IF(J186="30 év alatt",3,
IF(J186="30–39 éves",4,
IF(J186="40–49 éves",5,
IF(J186="50 év és afelett",6
)))))*1.5,"NA")</f>
        <v>944097</v>
      </c>
      <c r="P186" s="438">
        <f t="shared" ca="1" si="325"/>
        <v>417790.05172413797</v>
      </c>
      <c r="Q186" s="438">
        <f t="shared" si="326"/>
        <v>420402</v>
      </c>
      <c r="R186" s="444">
        <f t="shared" si="327"/>
        <v>0.44252873563218392</v>
      </c>
      <c r="S186" s="438">
        <f t="shared" ca="1" si="328"/>
        <v>2611.9482758620288</v>
      </c>
      <c r="T186" s="438">
        <f t="shared" ca="1" si="329"/>
        <v>339.55327586206374</v>
      </c>
      <c r="U186" s="445">
        <f t="shared" ca="1" si="330"/>
        <v>2951.5015517240927</v>
      </c>
      <c r="V186" s="446">
        <f t="shared" ca="1" si="331"/>
        <v>472102.4984482759</v>
      </c>
      <c r="W186" s="447" t="str">
        <f t="shared" ca="1" si="332"/>
        <v>Indoklás szükséges mivel a FEOR: 150,9%</v>
      </c>
      <c r="X186" s="571">
        <f t="shared" ca="1" si="333"/>
        <v>2951.5015517240927</v>
      </c>
      <c r="Y186" s="554">
        <f t="shared" ca="1" si="318"/>
        <v>417790</v>
      </c>
      <c r="Z186" s="554">
        <f t="shared" ca="1" si="319"/>
        <v>54312</v>
      </c>
      <c r="AA186" s="573">
        <v>2</v>
      </c>
      <c r="AB186" s="474">
        <v>8403195265</v>
      </c>
      <c r="AC186" s="449" t="s">
        <v>258</v>
      </c>
      <c r="AD186" s="483" t="s">
        <v>45</v>
      </c>
      <c r="AE186" s="450" t="s">
        <v>22</v>
      </c>
      <c r="AF186" s="247" t="s">
        <v>119</v>
      </c>
      <c r="AG186" s="99" t="s">
        <v>157</v>
      </c>
      <c r="AH186" s="451" t="s">
        <v>131</v>
      </c>
      <c r="AI186" s="154">
        <v>44927</v>
      </c>
      <c r="AJ186" s="100" t="str">
        <f>IF(AI186&gt;0,
(IF(AI186&lt;Hónapok!$A$10,Admin!$A$28,
(IF(AI186&lt;Hónapok!$A$22,Admin!$B$28,
(IF(AI186&lt;Hónapok!$A$34,Admin!$C$28,
(IF(AI186&lt;Hónapok!$A$46,Admin!$D$28,"")))))))),"")</f>
        <v>2. mérföldkő</v>
      </c>
      <c r="AK186" s="467" t="s">
        <v>7</v>
      </c>
      <c r="AL186" s="101" t="s">
        <v>26</v>
      </c>
      <c r="AM186" s="903">
        <v>950000</v>
      </c>
      <c r="AN186" s="860">
        <f t="shared" si="410"/>
        <v>123500</v>
      </c>
      <c r="AO186" s="101">
        <v>174</v>
      </c>
      <c r="AP186" s="111">
        <v>77</v>
      </c>
      <c r="AQ186" s="454">
        <f t="shared" si="313"/>
        <v>0.44252873563218392</v>
      </c>
      <c r="AR186" s="455">
        <f t="shared" si="314"/>
        <v>420402</v>
      </c>
      <c r="AS186" s="455">
        <f t="shared" si="315"/>
        <v>54652</v>
      </c>
      <c r="AT186" s="102">
        <f t="shared" si="316"/>
        <v>3.1457955235181245E-7</v>
      </c>
      <c r="AU186" s="116">
        <v>0.13</v>
      </c>
      <c r="AV186" s="565" t="str">
        <f>VLOOKUP(LEFT(AB186,10),Törzsszám!$A$1:$B$908,2,0)</f>
        <v>10000136</v>
      </c>
      <c r="AW186" s="615">
        <f t="shared" ca="1" si="311"/>
        <v>-2952</v>
      </c>
      <c r="AX186" s="471" t="s">
        <v>2518</v>
      </c>
      <c r="AY186" s="486">
        <v>950000</v>
      </c>
      <c r="AZ186" s="502"/>
      <c r="BA186" s="671">
        <v>313295</v>
      </c>
      <c r="BB186" s="649">
        <v>40728</v>
      </c>
      <c r="BC186" s="649">
        <f ca="1">Y186-BA186</f>
        <v>104495</v>
      </c>
      <c r="BD186" s="672">
        <f ca="1">Z186-BB186</f>
        <v>13584</v>
      </c>
      <c r="BE186" s="450" t="s">
        <v>259</v>
      </c>
    </row>
    <row r="187" spans="1:58" s="457" customFormat="1" ht="31.5" x14ac:dyDescent="0.25">
      <c r="A187" s="694" t="str">
        <f ca="1">Bérköltség!$B187</f>
        <v>FEOR</v>
      </c>
      <c r="B187" s="694" t="str">
        <f ca="1">IFERROR(
IF(AND(Bérköltség!$F187="",H187="NA"),"HIÁNYOS ADATOK",
IF(Bérköltség!$F187&lt;Bérköltség!$U187,Admin!$B$18,Admin!$B$17)),
"")</f>
        <v>FEOR</v>
      </c>
      <c r="C187" s="437">
        <f>IFERROR(INDEX('Historikus berek_2021-2'!$A$1:$F$903,MATCH(AB187,'Historikus berek_2021-2'!$A$1:$A$903,0),4),"")</f>
        <v>773433.33333333337</v>
      </c>
      <c r="D187" s="438">
        <f t="shared" si="320"/>
        <v>342266.47509578546</v>
      </c>
      <c r="E187" s="437">
        <f t="shared" si="321"/>
        <v>420402</v>
      </c>
      <c r="F187" s="439">
        <f t="shared" si="334"/>
        <v>88293.143141762412</v>
      </c>
      <c r="G187" s="440">
        <f t="shared" si="335"/>
        <v>386761.11685823754</v>
      </c>
      <c r="H187" s="441">
        <f>IFERROR(INDEX('FEOR kodok'!$A$2:$J$1126,MATCH(Bérköltség!AB187,'FEOR kodok'!$B$2:$B$1126,0),8),"NA")</f>
        <v>2410</v>
      </c>
      <c r="I187" s="436">
        <f ca="1">IFERROR(INDEX('FEOR kodok'!$A$2:$J$1126,MATCH(Bérköltség!AB187,'FEOR kodok'!$B$2:$B$1126,0),10),"NA")</f>
        <v>46</v>
      </c>
      <c r="J187" s="442" t="str">
        <f t="shared" ca="1" si="322"/>
        <v>40–49 éves</v>
      </c>
      <c r="K187" s="436" t="str">
        <f>IFERROR(INDEX(admin_feor[#All],MATCH(Bérköltség!H187,admin_feor[[#All],[Foglalkozás]],0),2),"NA")</f>
        <v>Egyetemi, főiskolai oktató, tanár</v>
      </c>
      <c r="L187" s="438">
        <f ca="1">IFERROR(
INDEX('Admin - FEOR'!$A$4:$F$465,MATCH(Bérköltség!H187,'Admin - FEOR'!$A$4:$A$465,0),
IF(J187="30 év alatt",3,
IF(J187="30–39 éves",4,
IF(J187="40–49 éves",5,
IF(J187="50 év és afelett",6
)))))*1,"NA")</f>
        <v>629398</v>
      </c>
      <c r="M187" s="438">
        <f t="shared" si="323"/>
        <v>950000</v>
      </c>
      <c r="N187" s="443">
        <f t="shared" ca="1" si="324"/>
        <v>1.5093788032373792</v>
      </c>
      <c r="O187" s="438">
        <f ca="1">IFERROR(
INDEX('Admin - FEOR'!$A$4:$F$465,MATCH(Bérköltség!H187,'Admin - FEOR'!$A$4:$A$465,0),
IF(J187="30 év alatt",3,
IF(J187="30–39 éves",4,
IF(J187="40–49 éves",5,
IF(J187="50 év és afelett",6
)))))*1.5,"NA")</f>
        <v>944097</v>
      </c>
      <c r="P187" s="438">
        <f t="shared" ca="1" si="325"/>
        <v>417790.05172413797</v>
      </c>
      <c r="Q187" s="438">
        <f t="shared" si="326"/>
        <v>420402</v>
      </c>
      <c r="R187" s="444">
        <f t="shared" si="327"/>
        <v>0.44252873563218392</v>
      </c>
      <c r="S187" s="438">
        <f t="shared" ca="1" si="328"/>
        <v>2611.9482758620288</v>
      </c>
      <c r="T187" s="438">
        <f t="shared" ca="1" si="329"/>
        <v>339.55327586206374</v>
      </c>
      <c r="U187" s="445">
        <f t="shared" ca="1" si="330"/>
        <v>2951.5015517240927</v>
      </c>
      <c r="V187" s="446">
        <f t="shared" ca="1" si="331"/>
        <v>472102.4984482759</v>
      </c>
      <c r="W187" s="447" t="str">
        <f t="shared" ca="1" si="332"/>
        <v>Indoklás szükséges mivel a FEOR: 150,9%</v>
      </c>
      <c r="X187" s="571">
        <f t="shared" ca="1" si="333"/>
        <v>2951.5015517240927</v>
      </c>
      <c r="Y187" s="554">
        <f t="shared" ca="1" si="318"/>
        <v>417790</v>
      </c>
      <c r="Z187" s="554">
        <f t="shared" ca="1" si="319"/>
        <v>54312</v>
      </c>
      <c r="AA187" s="101"/>
      <c r="AB187" s="474">
        <v>8403195265</v>
      </c>
      <c r="AC187" s="449" t="s">
        <v>258</v>
      </c>
      <c r="AD187" s="482" t="s">
        <v>45</v>
      </c>
      <c r="AE187" s="450" t="s">
        <v>22</v>
      </c>
      <c r="AF187" s="247" t="s">
        <v>119</v>
      </c>
      <c r="AG187" s="99" t="s">
        <v>157</v>
      </c>
      <c r="AH187" s="451" t="s">
        <v>131</v>
      </c>
      <c r="AI187" s="154">
        <v>44958</v>
      </c>
      <c r="AJ187" s="100" t="str">
        <f>IF(AI187&gt;0,
(IF(AI187&lt;Hónapok!$A$10,Admin!$A$28,
(IF(AI187&lt;Hónapok!$A$22,Admin!$B$28,
(IF(AI187&lt;Hónapok!$A$34,Admin!$C$28,
(IF(AI187&lt;Hónapok!$A$46,Admin!$D$28,"")))))))),"")</f>
        <v>2. mérföldkő</v>
      </c>
      <c r="AK187" s="467" t="s">
        <v>7</v>
      </c>
      <c r="AL187" s="101" t="s">
        <v>26</v>
      </c>
      <c r="AM187" s="903">
        <v>950000</v>
      </c>
      <c r="AN187" s="860">
        <f t="shared" si="410"/>
        <v>123500</v>
      </c>
      <c r="AO187" s="101">
        <v>174</v>
      </c>
      <c r="AP187" s="111">
        <v>77</v>
      </c>
      <c r="AQ187" s="454">
        <f t="shared" si="313"/>
        <v>0.44252873563218392</v>
      </c>
      <c r="AR187" s="455">
        <f t="shared" si="314"/>
        <v>420402</v>
      </c>
      <c r="AS187" s="455">
        <f t="shared" si="315"/>
        <v>54652</v>
      </c>
      <c r="AT187" s="102">
        <f t="shared" si="316"/>
        <v>3.1457955235181245E-7</v>
      </c>
      <c r="AU187" s="116">
        <v>0.13</v>
      </c>
      <c r="AV187" s="565" t="str">
        <f>VLOOKUP(LEFT(AB187,10),Törzsszám!$A$1:$B$908,2,0)</f>
        <v>10000136</v>
      </c>
      <c r="AW187" s="615">
        <f t="shared" ca="1" si="311"/>
        <v>-2952</v>
      </c>
      <c r="AX187" s="537" t="s">
        <v>4557</v>
      </c>
      <c r="AY187" s="486">
        <v>950000</v>
      </c>
      <c r="AZ187" s="502"/>
      <c r="BA187" s="671"/>
      <c r="BB187" s="649"/>
      <c r="BC187" s="649"/>
      <c r="BD187" s="672"/>
      <c r="BE187" s="450" t="s">
        <v>259</v>
      </c>
    </row>
    <row r="188" spans="1:58" s="457" customFormat="1" ht="31.5" x14ac:dyDescent="0.25">
      <c r="A188" s="694" t="str">
        <f ca="1">Bérköltség!$B188</f>
        <v>FEOR</v>
      </c>
      <c r="B188" s="694" t="str">
        <f ca="1">IFERROR(
IF(AND(Bérköltség!$F188="",H188="NA"),"HIÁNYOS ADATOK",
IF(Bérköltség!$F188&lt;Bérköltség!$U188,Admin!$B$18,Admin!$B$17)),
"")</f>
        <v>FEOR</v>
      </c>
      <c r="C188" s="437">
        <f>IFERROR(INDEX('Historikus berek_2021-2'!$A$1:$F$903,MATCH(AB188,'Historikus berek_2021-2'!$A$1:$A$903,0),4),"")</f>
        <v>773433.33333333337</v>
      </c>
      <c r="D188" s="438">
        <f t="shared" si="320"/>
        <v>342266.47509578546</v>
      </c>
      <c r="E188" s="437">
        <f t="shared" si="321"/>
        <v>420402</v>
      </c>
      <c r="F188" s="439">
        <f t="shared" si="334"/>
        <v>88293.143141762412</v>
      </c>
      <c r="G188" s="440">
        <f t="shared" si="335"/>
        <v>386761.11685823754</v>
      </c>
      <c r="H188" s="441">
        <f>IFERROR(INDEX('FEOR kodok'!$A$2:$J$1126,MATCH(Bérköltség!AB188,'FEOR kodok'!$B$2:$B$1126,0),8),"NA")</f>
        <v>2410</v>
      </c>
      <c r="I188" s="436">
        <f ca="1">IFERROR(INDEX('FEOR kodok'!$A$2:$J$1126,MATCH(Bérköltség!AB188,'FEOR kodok'!$B$2:$B$1126,0),10),"NA")</f>
        <v>46</v>
      </c>
      <c r="J188" s="442" t="str">
        <f t="shared" ca="1" si="322"/>
        <v>40–49 éves</v>
      </c>
      <c r="K188" s="436" t="str">
        <f>IFERROR(INDEX(admin_feor[#All],MATCH(Bérköltség!H188,admin_feor[[#All],[Foglalkozás]],0),2),"NA")</f>
        <v>Egyetemi, főiskolai oktató, tanár</v>
      </c>
      <c r="L188" s="438">
        <f ca="1">IFERROR(
INDEX('Admin - FEOR'!$A$4:$F$465,MATCH(Bérköltség!H188,'Admin - FEOR'!$A$4:$A$465,0),
IF(J188="30 év alatt",3,
IF(J188="30–39 éves",4,
IF(J188="40–49 éves",5,
IF(J188="50 év és afelett",6
)))))*1,"NA")</f>
        <v>629398</v>
      </c>
      <c r="M188" s="438">
        <f t="shared" si="323"/>
        <v>950000</v>
      </c>
      <c r="N188" s="443">
        <f t="shared" ca="1" si="324"/>
        <v>1.5093788032373792</v>
      </c>
      <c r="O188" s="438">
        <f ca="1">IFERROR(
INDEX('Admin - FEOR'!$A$4:$F$465,MATCH(Bérköltség!H188,'Admin - FEOR'!$A$4:$A$465,0),
IF(J188="30 év alatt",3,
IF(J188="30–39 éves",4,
IF(J188="40–49 éves",5,
IF(J188="50 év és afelett",6
)))))*1.5,"NA")</f>
        <v>944097</v>
      </c>
      <c r="P188" s="438">
        <f t="shared" ca="1" si="325"/>
        <v>417790.05172413797</v>
      </c>
      <c r="Q188" s="438">
        <f t="shared" si="326"/>
        <v>420402</v>
      </c>
      <c r="R188" s="444">
        <f t="shared" si="327"/>
        <v>0.44252873563218392</v>
      </c>
      <c r="S188" s="438">
        <f t="shared" ca="1" si="328"/>
        <v>2611.9482758620288</v>
      </c>
      <c r="T188" s="438">
        <f t="shared" ca="1" si="329"/>
        <v>339.55327586206374</v>
      </c>
      <c r="U188" s="445">
        <f t="shared" ca="1" si="330"/>
        <v>2951.5015517240927</v>
      </c>
      <c r="V188" s="446">
        <f t="shared" ca="1" si="331"/>
        <v>472102.4984482759</v>
      </c>
      <c r="W188" s="447" t="str">
        <f t="shared" ca="1" si="332"/>
        <v>Indoklás szükséges mivel a FEOR: 150,9%</v>
      </c>
      <c r="X188" s="571">
        <f t="shared" ca="1" si="333"/>
        <v>2951.5015517240927</v>
      </c>
      <c r="Y188" s="554">
        <f t="shared" ca="1" si="318"/>
        <v>417790</v>
      </c>
      <c r="Z188" s="554">
        <f t="shared" ca="1" si="319"/>
        <v>54312</v>
      </c>
      <c r="AA188" s="101"/>
      <c r="AB188" s="474">
        <v>8403195265</v>
      </c>
      <c r="AC188" s="449" t="s">
        <v>258</v>
      </c>
      <c r="AD188" s="483" t="s">
        <v>45</v>
      </c>
      <c r="AE188" s="450" t="s">
        <v>22</v>
      </c>
      <c r="AF188" s="247" t="s">
        <v>119</v>
      </c>
      <c r="AG188" s="99" t="s">
        <v>157</v>
      </c>
      <c r="AH188" s="451" t="s">
        <v>131</v>
      </c>
      <c r="AI188" s="154">
        <v>44986</v>
      </c>
      <c r="AJ188" s="100" t="str">
        <f>IF(AI188&gt;0,
(IF(AI188&lt;Hónapok!$A$10,Admin!$A$28,
(IF(AI188&lt;Hónapok!$A$22,Admin!$B$28,
(IF(AI188&lt;Hónapok!$A$34,Admin!$C$28,
(IF(AI188&lt;Hónapok!$A$46,Admin!$D$28,"")))))))),"")</f>
        <v>3. mérföldkő</v>
      </c>
      <c r="AK188" s="470" t="s">
        <v>7</v>
      </c>
      <c r="AL188" s="101" t="s">
        <v>26</v>
      </c>
      <c r="AM188" s="903">
        <v>950000</v>
      </c>
      <c r="AN188" s="860">
        <f t="shared" si="410"/>
        <v>123500</v>
      </c>
      <c r="AO188" s="101">
        <v>174</v>
      </c>
      <c r="AP188" s="111">
        <v>77</v>
      </c>
      <c r="AQ188" s="454">
        <f t="shared" si="313"/>
        <v>0.44252873563218392</v>
      </c>
      <c r="AR188" s="455">
        <f t="shared" si="314"/>
        <v>420402</v>
      </c>
      <c r="AS188" s="455">
        <f t="shared" si="315"/>
        <v>54652</v>
      </c>
      <c r="AT188" s="102">
        <f t="shared" si="316"/>
        <v>3.1457955235181245E-7</v>
      </c>
      <c r="AU188" s="116">
        <v>0.13</v>
      </c>
      <c r="AV188" s="565" t="str">
        <f>VLOOKUP(LEFT(AB188,10),Törzsszám!$A$1:$B$908,2,0)</f>
        <v>10000136</v>
      </c>
      <c r="AW188" s="615">
        <f t="shared" ca="1" si="311"/>
        <v>-2952</v>
      </c>
      <c r="AX188" s="468" t="s">
        <v>4561</v>
      </c>
      <c r="AY188" s="502">
        <v>950000</v>
      </c>
      <c r="AZ188" s="502"/>
      <c r="BA188" s="671"/>
      <c r="BB188" s="649"/>
      <c r="BC188" s="649"/>
      <c r="BD188" s="672"/>
      <c r="BE188" s="450" t="s">
        <v>259</v>
      </c>
    </row>
    <row r="189" spans="1:58" s="457" customFormat="1" ht="31.5" x14ac:dyDescent="0.25">
      <c r="A189" s="694" t="str">
        <f ca="1">Bérköltség!$B189</f>
        <v>FEOR</v>
      </c>
      <c r="B189" s="694" t="str">
        <f ca="1">IFERROR(
IF(AND(Bérköltség!$F189="",H189="NA"),"HIÁNYOS ADATOK",
IF(Bérköltség!$F189&lt;Bérköltség!$U189,Admin!$B$18,Admin!$B$17)),
"")</f>
        <v>FEOR</v>
      </c>
      <c r="C189" s="437">
        <f>IFERROR(INDEX('Historikus berek_2021-2'!$A$1:$F$903,MATCH(AB189,'Historikus berek_2021-2'!$A$1:$A$903,0),4),"")</f>
        <v>773433.33333333337</v>
      </c>
      <c r="D189" s="438">
        <f t="shared" ref="D189:D193" si="454">IFERROR(C189*AQ189,"NA")</f>
        <v>342266.47509578546</v>
      </c>
      <c r="E189" s="437">
        <f t="shared" ref="E189:E193" si="455">AR189</f>
        <v>420402</v>
      </c>
      <c r="F189" s="439">
        <f t="shared" ref="F189:F193" si="456">IFERROR(IF((E189*(1+AU189)-D189*(1+AU189))&lt;0,0,(E189*(1+AU189)-D189*(1+AU189))),"")</f>
        <v>88293.143141762412</v>
      </c>
      <c r="G189" s="440">
        <f t="shared" ref="G189:G193" si="457">IFERROR((E189*(1+AU189)-F189),"")</f>
        <v>386761.11685823754</v>
      </c>
      <c r="H189" s="441">
        <f>IFERROR(INDEX('FEOR kodok'!$A$2:$J$1126,MATCH(Bérköltség!AB189,'FEOR kodok'!$B$2:$B$1126,0),8),"NA")</f>
        <v>2410</v>
      </c>
      <c r="I189" s="436">
        <f ca="1">IFERROR(INDEX('FEOR kodok'!$A$2:$J$1126,MATCH(Bérköltség!AB189,'FEOR kodok'!$B$2:$B$1126,0),10),"NA")</f>
        <v>46</v>
      </c>
      <c r="J189" s="442" t="str">
        <f t="shared" ref="J189:J193" ca="1" si="458">IF(I189="NA","NA",
IF(I189&lt;30,"30 év alatt",
IF(AND(I189&gt;=30,I189&lt;=39),"30–39 éves",
IF(AND(I189&gt;=40,I189&lt;=49),"40–49 éves",
IF(I189&gt;=50,"50 év és afelett",
"")))))</f>
        <v>40–49 éves</v>
      </c>
      <c r="K189" s="436" t="str">
        <f>IFERROR(INDEX(admin_feor[#All],MATCH(Bérköltség!H189,admin_feor[[#All],[Foglalkozás]],0),2),"NA")</f>
        <v>Egyetemi, főiskolai oktató, tanár</v>
      </c>
      <c r="L189" s="438">
        <f ca="1">IFERROR(
INDEX('Admin - FEOR'!$A$4:$F$465,MATCH(Bérköltség!H189,'Admin - FEOR'!$A$4:$A$465,0),
IF(J189="30 év alatt",3,
IF(J189="30–39 éves",4,
IF(J189="40–49 éves",5,
IF(J189="50 év és afelett",6
)))))*1,"NA")</f>
        <v>629398</v>
      </c>
      <c r="M189" s="438">
        <f t="shared" ref="M189:M193" si="459">AM189</f>
        <v>950000</v>
      </c>
      <c r="N189" s="443">
        <f t="shared" ref="N189:N193" ca="1" si="460">IFERROR(
M189/L189,"NA")</f>
        <v>1.5093788032373792</v>
      </c>
      <c r="O189" s="438">
        <f ca="1">IFERROR(
INDEX('Admin - FEOR'!$A$4:$F$465,MATCH(Bérköltség!H189,'Admin - FEOR'!$A$4:$A$465,0),
IF(J189="30 év alatt",3,
IF(J189="30–39 éves",4,
IF(J189="40–49 éves",5,
IF(J189="50 év és afelett",6
)))))*1.5,"NA")</f>
        <v>944097</v>
      </c>
      <c r="P189" s="438">
        <f t="shared" ref="P189:P193" ca="1" si="461">IFERROR(
AQ189*O189,"NA")</f>
        <v>417790.05172413797</v>
      </c>
      <c r="Q189" s="438">
        <f t="shared" ref="Q189:Q193" si="462">IFERROR(AR189,"")</f>
        <v>420402</v>
      </c>
      <c r="R189" s="444">
        <f t="shared" ref="R189:R193" si="463">IFERROR(AQ189,"")</f>
        <v>0.44252873563218392</v>
      </c>
      <c r="S189" s="438">
        <f t="shared" ref="S189:S193" ca="1" si="464">IFERROR(
IF(AR189-P189&lt;0,0,AR189-P189),"NA")</f>
        <v>2611.9482758620288</v>
      </c>
      <c r="T189" s="438">
        <f t="shared" ref="T189:T193" ca="1" si="465">IFERROR(
S189*AU189,"NA")</f>
        <v>339.55327586206374</v>
      </c>
      <c r="U189" s="445">
        <f t="shared" ref="U189:U193" ca="1" si="466">IFERROR(
S189+T189,"NA")</f>
        <v>2951.5015517240927</v>
      </c>
      <c r="V189" s="446">
        <f t="shared" ref="V189:V193" ca="1" si="467">IFERROR(
IF(U189&gt;0,AR189+AS189-U189,AR189+AS189),"NA")</f>
        <v>472102.4984482759</v>
      </c>
      <c r="W189" s="447" t="str">
        <f t="shared" ref="W189:W193" ca="1" si="468">IF(P189="NA","FEOR hiányzik",
IF(AND(N189&gt;1,A189="FEOR"),CONCATENATE("Indoklás szükséges mivel a FEOR: ",ROUND(N189*100,1),"%"),"Nem szükséges indoklás.")
)</f>
        <v>Indoklás szükséges mivel a FEOR: 150,9%</v>
      </c>
      <c r="X189" s="571">
        <f t="shared" ref="X189:X193" ca="1" si="469">IF(A189="FEOR",U189,IF(A189="HIÁNYOS ADATOK","HIÁNYOS ADATOK",F189))</f>
        <v>2951.5015517240927</v>
      </c>
      <c r="Y189" s="554">
        <f t="shared" ref="Y189:Y193" ca="1" si="470">IF(A189="FEOR",ROUND(V189/(1+AU189),0),IF(A189="HIÁNYOS ADATOK","HIÁNYOS ADATOK",ROUND(G189/(1+AU189),0)))</f>
        <v>417790</v>
      </c>
      <c r="Z189" s="554">
        <f t="shared" ref="Z189:Z193" ca="1" si="471">IF(A189="FEOR",ROUND(V189-Y189,0),IF(A189="HIÁNYOS ADATOK","HIÁNYOS ADATOK",ROUND(G189-Y189,0)))</f>
        <v>54312</v>
      </c>
      <c r="AA189" s="101"/>
      <c r="AB189" s="474">
        <v>8403195265</v>
      </c>
      <c r="AC189" s="449" t="s">
        <v>258</v>
      </c>
      <c r="AD189" s="483" t="s">
        <v>45</v>
      </c>
      <c r="AE189" s="450" t="s">
        <v>22</v>
      </c>
      <c r="AF189" s="247" t="s">
        <v>119</v>
      </c>
      <c r="AG189" s="99" t="s">
        <v>157</v>
      </c>
      <c r="AH189" s="451" t="s">
        <v>131</v>
      </c>
      <c r="AI189" s="154">
        <v>45017</v>
      </c>
      <c r="AJ189" s="100" t="str">
        <f>IF(AI189&gt;0,
(IF(AI189&lt;Hónapok!$A$10,Admin!$A$28,
(IF(AI189&lt;Hónapok!$A$22,Admin!$B$28,
(IF(AI189&lt;Hónapok!$A$34,Admin!$C$28,
(IF(AI189&lt;Hónapok!$A$46,Admin!$D$28,"")))))))),"")</f>
        <v>3. mérföldkő</v>
      </c>
      <c r="AK189" s="469" t="s">
        <v>7</v>
      </c>
      <c r="AL189" s="101" t="s">
        <v>26</v>
      </c>
      <c r="AM189" s="903">
        <v>950000</v>
      </c>
      <c r="AN189" s="860">
        <f t="shared" ref="AN189:AN192" si="472">IFERROR(ROUND(AM189*AU189,0),"")</f>
        <v>123500</v>
      </c>
      <c r="AO189" s="101">
        <v>174</v>
      </c>
      <c r="AP189" s="111">
        <v>77</v>
      </c>
      <c r="AQ189" s="454">
        <f t="shared" ref="AQ189:AQ192" si="473">IFERROR(AP189/AO189,"")</f>
        <v>0.44252873563218392</v>
      </c>
      <c r="AR189" s="455">
        <f t="shared" ref="AR189:AR192" si="474">IFERROR(ROUND(AM189*AP189/AO189,0),"")</f>
        <v>420402</v>
      </c>
      <c r="AS189" s="455">
        <f t="shared" ref="AS189:AS192" si="475">IFERROR(ROUND(AR189*AU189,0),"")</f>
        <v>54652</v>
      </c>
      <c r="AT189" s="102">
        <f t="shared" ref="AT189:AT192" si="476">IFERROR(AP189/AO189-AR189/AM189,"")</f>
        <v>3.1457955235181245E-7</v>
      </c>
      <c r="AU189" s="116">
        <v>0.13</v>
      </c>
      <c r="AV189" s="565" t="str">
        <f>VLOOKUP(LEFT(AB189,10),Törzsszám!$A$1:$B$908,2,0)</f>
        <v>10000136</v>
      </c>
      <c r="AW189" s="681"/>
      <c r="AX189" s="471" t="s">
        <v>4581</v>
      </c>
      <c r="AY189" s="486"/>
      <c r="AZ189" s="502"/>
      <c r="BA189" s="671"/>
      <c r="BB189" s="649"/>
      <c r="BC189" s="649"/>
      <c r="BD189" s="672"/>
      <c r="BE189" s="450" t="s">
        <v>259</v>
      </c>
    </row>
    <row r="190" spans="1:58" s="457" customFormat="1" ht="31.5" x14ac:dyDescent="0.25">
      <c r="A190" s="694" t="str">
        <f ca="1">Bérköltség!$B190</f>
        <v>FEOR</v>
      </c>
      <c r="B190" s="694" t="str">
        <f ca="1">IFERROR(
IF(AND(Bérköltség!$F190="",H190="NA"),"HIÁNYOS ADATOK",
IF(Bérköltség!$F190&lt;Bérköltség!$U190,Admin!$B$18,Admin!$B$17)),
"")</f>
        <v>FEOR</v>
      </c>
      <c r="C190" s="437">
        <f>IFERROR(INDEX('Historikus berek_2021-2'!$A$1:$F$903,MATCH(AB190,'Historikus berek_2021-2'!$A$1:$A$903,0),4),"")</f>
        <v>773433.33333333337</v>
      </c>
      <c r="D190" s="438">
        <f t="shared" si="454"/>
        <v>342266.47509578546</v>
      </c>
      <c r="E190" s="437">
        <f t="shared" si="455"/>
        <v>420402</v>
      </c>
      <c r="F190" s="439">
        <f t="shared" si="456"/>
        <v>88293.143141762412</v>
      </c>
      <c r="G190" s="440">
        <f t="shared" si="457"/>
        <v>386761.11685823754</v>
      </c>
      <c r="H190" s="441">
        <f>IFERROR(INDEX('FEOR kodok'!$A$2:$J$1126,MATCH(Bérköltség!AB190,'FEOR kodok'!$B$2:$B$1126,0),8),"NA")</f>
        <v>2410</v>
      </c>
      <c r="I190" s="436">
        <f ca="1">IFERROR(INDEX('FEOR kodok'!$A$2:$J$1126,MATCH(Bérköltség!AB190,'FEOR kodok'!$B$2:$B$1126,0),10),"NA")</f>
        <v>46</v>
      </c>
      <c r="J190" s="442" t="str">
        <f t="shared" ca="1" si="458"/>
        <v>40–49 éves</v>
      </c>
      <c r="K190" s="436" t="str">
        <f>IFERROR(INDEX(admin_feor[#All],MATCH(Bérköltség!H190,admin_feor[[#All],[Foglalkozás]],0),2),"NA")</f>
        <v>Egyetemi, főiskolai oktató, tanár</v>
      </c>
      <c r="L190" s="438">
        <f ca="1">IFERROR(
INDEX('Admin - FEOR'!$A$4:$F$465,MATCH(Bérköltség!H190,'Admin - FEOR'!$A$4:$A$465,0),
IF(J190="30 év alatt",3,
IF(J190="30–39 éves",4,
IF(J190="40–49 éves",5,
IF(J190="50 év és afelett",6
)))))*1,"NA")</f>
        <v>629398</v>
      </c>
      <c r="M190" s="438">
        <f t="shared" si="459"/>
        <v>950000</v>
      </c>
      <c r="N190" s="443">
        <f t="shared" ca="1" si="460"/>
        <v>1.5093788032373792</v>
      </c>
      <c r="O190" s="438">
        <f ca="1">IFERROR(
INDEX('Admin - FEOR'!$A$4:$F$465,MATCH(Bérköltség!H190,'Admin - FEOR'!$A$4:$A$465,0),
IF(J190="30 év alatt",3,
IF(J190="30–39 éves",4,
IF(J190="40–49 éves",5,
IF(J190="50 év és afelett",6
)))))*1.5,"NA")</f>
        <v>944097</v>
      </c>
      <c r="P190" s="438">
        <f t="shared" ca="1" si="461"/>
        <v>417790.05172413797</v>
      </c>
      <c r="Q190" s="438">
        <f t="shared" si="462"/>
        <v>420402</v>
      </c>
      <c r="R190" s="444">
        <f t="shared" si="463"/>
        <v>0.44252873563218392</v>
      </c>
      <c r="S190" s="438">
        <f t="shared" ca="1" si="464"/>
        <v>2611.9482758620288</v>
      </c>
      <c r="T190" s="438">
        <f t="shared" ca="1" si="465"/>
        <v>339.55327586206374</v>
      </c>
      <c r="U190" s="445">
        <f t="shared" ca="1" si="466"/>
        <v>2951.5015517240927</v>
      </c>
      <c r="V190" s="446">
        <f t="shared" ca="1" si="467"/>
        <v>472102.4984482759</v>
      </c>
      <c r="W190" s="447" t="str">
        <f t="shared" ca="1" si="468"/>
        <v>Indoklás szükséges mivel a FEOR: 150,9%</v>
      </c>
      <c r="X190" s="571">
        <f t="shared" ca="1" si="469"/>
        <v>2951.5015517240927</v>
      </c>
      <c r="Y190" s="554">
        <f t="shared" ca="1" si="470"/>
        <v>417790</v>
      </c>
      <c r="Z190" s="554">
        <f t="shared" ca="1" si="471"/>
        <v>54312</v>
      </c>
      <c r="AA190" s="101"/>
      <c r="AB190" s="474">
        <v>8403195265</v>
      </c>
      <c r="AC190" s="449" t="s">
        <v>258</v>
      </c>
      <c r="AD190" s="483" t="s">
        <v>45</v>
      </c>
      <c r="AE190" s="450" t="s">
        <v>22</v>
      </c>
      <c r="AF190" s="247" t="s">
        <v>119</v>
      </c>
      <c r="AG190" s="99" t="s">
        <v>157</v>
      </c>
      <c r="AH190" s="451" t="s">
        <v>131</v>
      </c>
      <c r="AI190" s="154">
        <v>45047</v>
      </c>
      <c r="AJ190" s="100" t="str">
        <f>IF(AI190&gt;0,
(IF(AI190&lt;Hónapok!$A$10,Admin!$A$28,
(IF(AI190&lt;Hónapok!$A$22,Admin!$B$28,
(IF(AI190&lt;Hónapok!$A$34,Admin!$C$28,
(IF(AI190&lt;Hónapok!$A$46,Admin!$D$28,"")))))))),"")</f>
        <v>3. mérföldkő</v>
      </c>
      <c r="AK190" s="469" t="s">
        <v>7</v>
      </c>
      <c r="AL190" s="101" t="s">
        <v>26</v>
      </c>
      <c r="AM190" s="903">
        <v>950000</v>
      </c>
      <c r="AN190" s="860">
        <f t="shared" si="472"/>
        <v>123500</v>
      </c>
      <c r="AO190" s="101">
        <v>174</v>
      </c>
      <c r="AP190" s="111">
        <v>77</v>
      </c>
      <c r="AQ190" s="454">
        <f t="shared" si="473"/>
        <v>0.44252873563218392</v>
      </c>
      <c r="AR190" s="455">
        <f t="shared" si="474"/>
        <v>420402</v>
      </c>
      <c r="AS190" s="455">
        <f t="shared" si="475"/>
        <v>54652</v>
      </c>
      <c r="AT190" s="102">
        <f t="shared" si="476"/>
        <v>3.1457955235181245E-7</v>
      </c>
      <c r="AU190" s="116">
        <v>0.13</v>
      </c>
      <c r="AV190" s="565" t="str">
        <f>VLOOKUP(LEFT(AB190,10),Törzsszám!$A$1:$B$908,2,0)</f>
        <v>10000136</v>
      </c>
      <c r="AW190" s="681"/>
      <c r="AX190" s="471" t="s">
        <v>4596</v>
      </c>
      <c r="AY190" s="486"/>
      <c r="AZ190" s="502"/>
      <c r="BA190" s="671"/>
      <c r="BB190" s="649"/>
      <c r="BC190" s="649"/>
      <c r="BD190" s="672"/>
      <c r="BE190" s="450" t="s">
        <v>259</v>
      </c>
    </row>
    <row r="191" spans="1:58" s="457" customFormat="1" ht="31.5" x14ac:dyDescent="0.25">
      <c r="A191" s="694" t="str">
        <f ca="1">Bérköltség!$B191</f>
        <v>FEOR</v>
      </c>
      <c r="B191" s="694" t="str">
        <f ca="1">IFERROR(
IF(AND(Bérköltség!$F191="",H191="NA"),"HIÁNYOS ADATOK",
IF(Bérköltség!$F191&lt;Bérköltség!$U191,Admin!$B$18,Admin!$B$17)),
"")</f>
        <v>FEOR</v>
      </c>
      <c r="C191" s="437">
        <f>IFERROR(INDEX('Historikus berek_2021-2'!$A$1:$F$903,MATCH(AB191,'Historikus berek_2021-2'!$A$1:$A$903,0),4),"")</f>
        <v>773433.33333333337</v>
      </c>
      <c r="D191" s="438">
        <f t="shared" si="454"/>
        <v>342266.47509578546</v>
      </c>
      <c r="E191" s="437">
        <f t="shared" si="455"/>
        <v>420402</v>
      </c>
      <c r="F191" s="439">
        <f t="shared" si="456"/>
        <v>88293.143141762412</v>
      </c>
      <c r="G191" s="440">
        <f t="shared" si="457"/>
        <v>386761.11685823754</v>
      </c>
      <c r="H191" s="441">
        <f>IFERROR(INDEX('FEOR kodok'!$A$2:$J$1126,MATCH(Bérköltség!AB191,'FEOR kodok'!$B$2:$B$1126,0),8),"NA")</f>
        <v>2410</v>
      </c>
      <c r="I191" s="436">
        <f ca="1">IFERROR(INDEX('FEOR kodok'!$A$2:$J$1126,MATCH(Bérköltség!AB191,'FEOR kodok'!$B$2:$B$1126,0),10),"NA")</f>
        <v>46</v>
      </c>
      <c r="J191" s="442" t="str">
        <f t="shared" ca="1" si="458"/>
        <v>40–49 éves</v>
      </c>
      <c r="K191" s="436" t="str">
        <f>IFERROR(INDEX(admin_feor[#All],MATCH(Bérköltség!H191,admin_feor[[#All],[Foglalkozás]],0),2),"NA")</f>
        <v>Egyetemi, főiskolai oktató, tanár</v>
      </c>
      <c r="L191" s="438">
        <f ca="1">IFERROR(
INDEX('Admin - FEOR'!$A$4:$F$465,MATCH(Bérköltség!H191,'Admin - FEOR'!$A$4:$A$465,0),
IF(J191="30 év alatt",3,
IF(J191="30–39 éves",4,
IF(J191="40–49 éves",5,
IF(J191="50 év és afelett",6
)))))*1,"NA")</f>
        <v>629398</v>
      </c>
      <c r="M191" s="438">
        <f t="shared" si="459"/>
        <v>950000</v>
      </c>
      <c r="N191" s="443">
        <f t="shared" ca="1" si="460"/>
        <v>1.5093788032373792</v>
      </c>
      <c r="O191" s="438">
        <f ca="1">IFERROR(
INDEX('Admin - FEOR'!$A$4:$F$465,MATCH(Bérköltség!H191,'Admin - FEOR'!$A$4:$A$465,0),
IF(J191="30 év alatt",3,
IF(J191="30–39 éves",4,
IF(J191="40–49 éves",5,
IF(J191="50 év és afelett",6
)))))*1.5,"NA")</f>
        <v>944097</v>
      </c>
      <c r="P191" s="438">
        <f t="shared" ca="1" si="461"/>
        <v>417790.05172413797</v>
      </c>
      <c r="Q191" s="438">
        <f t="shared" si="462"/>
        <v>420402</v>
      </c>
      <c r="R191" s="444">
        <f t="shared" si="463"/>
        <v>0.44252873563218392</v>
      </c>
      <c r="S191" s="438">
        <f t="shared" ca="1" si="464"/>
        <v>2611.9482758620288</v>
      </c>
      <c r="T191" s="438">
        <f t="shared" ca="1" si="465"/>
        <v>339.55327586206374</v>
      </c>
      <c r="U191" s="445">
        <f t="shared" ca="1" si="466"/>
        <v>2951.5015517240927</v>
      </c>
      <c r="V191" s="446">
        <f t="shared" ca="1" si="467"/>
        <v>472102.4984482759</v>
      </c>
      <c r="W191" s="447" t="str">
        <f t="shared" ca="1" si="468"/>
        <v>Indoklás szükséges mivel a FEOR: 150,9%</v>
      </c>
      <c r="X191" s="571">
        <f t="shared" ca="1" si="469"/>
        <v>2951.5015517240927</v>
      </c>
      <c r="Y191" s="554">
        <f t="shared" ca="1" si="470"/>
        <v>417790</v>
      </c>
      <c r="Z191" s="554">
        <f t="shared" ca="1" si="471"/>
        <v>54312</v>
      </c>
      <c r="AA191" s="101"/>
      <c r="AB191" s="474">
        <v>8403195265</v>
      </c>
      <c r="AC191" s="449" t="s">
        <v>258</v>
      </c>
      <c r="AD191" s="483" t="s">
        <v>45</v>
      </c>
      <c r="AE191" s="450" t="s">
        <v>22</v>
      </c>
      <c r="AF191" s="247" t="s">
        <v>119</v>
      </c>
      <c r="AG191" s="99" t="s">
        <v>157</v>
      </c>
      <c r="AH191" s="451" t="s">
        <v>131</v>
      </c>
      <c r="AI191" s="154">
        <v>45078</v>
      </c>
      <c r="AJ191" s="100" t="str">
        <f>IF(AI191&gt;0,
(IF(AI191&lt;Hónapok!$A$10,Admin!$A$28,
(IF(AI191&lt;Hónapok!$A$22,Admin!$B$28,
(IF(AI191&lt;Hónapok!$A$34,Admin!$C$28,
(IF(AI191&lt;Hónapok!$A$46,Admin!$D$28,"")))))))),"")</f>
        <v>3. mérföldkő</v>
      </c>
      <c r="AK191" s="469" t="s">
        <v>7</v>
      </c>
      <c r="AL191" s="101" t="s">
        <v>26</v>
      </c>
      <c r="AM191" s="903">
        <v>950000</v>
      </c>
      <c r="AN191" s="860">
        <f t="shared" si="472"/>
        <v>123500</v>
      </c>
      <c r="AO191" s="101">
        <v>174</v>
      </c>
      <c r="AP191" s="111">
        <v>77</v>
      </c>
      <c r="AQ191" s="843">
        <f t="shared" si="473"/>
        <v>0.44252873563218392</v>
      </c>
      <c r="AR191" s="455">
        <f t="shared" si="474"/>
        <v>420402</v>
      </c>
      <c r="AS191" s="455">
        <f t="shared" si="475"/>
        <v>54652</v>
      </c>
      <c r="AT191" s="102">
        <f t="shared" si="476"/>
        <v>3.1457955235181245E-7</v>
      </c>
      <c r="AU191" s="116">
        <v>0.13</v>
      </c>
      <c r="AV191" s="565" t="str">
        <f>VLOOKUP(LEFT(AB191,10),Törzsszám!$A$1:$B$908,2,0)</f>
        <v>10000136</v>
      </c>
      <c r="AW191" s="681"/>
      <c r="AX191" s="471" t="s">
        <v>4606</v>
      </c>
      <c r="AY191" s="486"/>
      <c r="AZ191" s="502"/>
      <c r="BA191" s="671"/>
      <c r="BB191" s="649"/>
      <c r="BC191" s="649"/>
      <c r="BD191" s="672"/>
      <c r="BE191" s="450" t="s">
        <v>259</v>
      </c>
    </row>
    <row r="192" spans="1:58" s="457" customFormat="1" ht="31.5" x14ac:dyDescent="0.25">
      <c r="A192" s="694" t="str">
        <f ca="1">Bérköltség!$B192</f>
        <v>FEOR</v>
      </c>
      <c r="B192" s="694" t="str">
        <f ca="1">IFERROR(
IF(AND(Bérköltség!$F192="",H192="NA"),"HIÁNYOS ADATOK",
IF(Bérköltség!$F192&lt;Bérköltség!$U192,Admin!$B$18,Admin!$B$17)),
"")</f>
        <v>FEOR</v>
      </c>
      <c r="C192" s="437">
        <f>IFERROR(INDEX('Historikus berek_2021-2'!$A$1:$F$903,MATCH(AB192,'Historikus berek_2021-2'!$A$1:$A$903,0),4),"")</f>
        <v>773433.33333333337</v>
      </c>
      <c r="D192" s="438">
        <f t="shared" si="454"/>
        <v>342266.47509578546</v>
      </c>
      <c r="E192" s="437">
        <f t="shared" si="455"/>
        <v>420402</v>
      </c>
      <c r="F192" s="439">
        <f t="shared" si="456"/>
        <v>88293.143141762412</v>
      </c>
      <c r="G192" s="440">
        <f t="shared" si="457"/>
        <v>386761.11685823754</v>
      </c>
      <c r="H192" s="441">
        <f>IFERROR(INDEX('FEOR kodok'!$A$2:$J$1126,MATCH(Bérköltség!AB192,'FEOR kodok'!$B$2:$B$1126,0),8),"NA")</f>
        <v>2410</v>
      </c>
      <c r="I192" s="436">
        <f ca="1">IFERROR(INDEX('FEOR kodok'!$A$2:$J$1126,MATCH(Bérköltség!AB192,'FEOR kodok'!$B$2:$B$1126,0),10),"NA")</f>
        <v>46</v>
      </c>
      <c r="J192" s="442" t="str">
        <f t="shared" ca="1" si="458"/>
        <v>40–49 éves</v>
      </c>
      <c r="K192" s="436" t="str">
        <f>IFERROR(INDEX(admin_feor[#All],MATCH(Bérköltség!H192,admin_feor[[#All],[Foglalkozás]],0),2),"NA")</f>
        <v>Egyetemi, főiskolai oktató, tanár</v>
      </c>
      <c r="L192" s="438">
        <f ca="1">IFERROR(
INDEX('Admin - FEOR'!$A$4:$F$465,MATCH(Bérköltség!H192,'Admin - FEOR'!$A$4:$A$465,0),
IF(J192="30 év alatt",3,
IF(J192="30–39 éves",4,
IF(J192="40–49 éves",5,
IF(J192="50 év és afelett",6
)))))*1,"NA")</f>
        <v>629398</v>
      </c>
      <c r="M192" s="438">
        <f t="shared" si="459"/>
        <v>950000</v>
      </c>
      <c r="N192" s="443">
        <f t="shared" ca="1" si="460"/>
        <v>1.5093788032373792</v>
      </c>
      <c r="O192" s="438">
        <f ca="1">IFERROR(
INDEX('Admin - FEOR'!$A$4:$F$465,MATCH(Bérköltség!H192,'Admin - FEOR'!$A$4:$A$465,0),
IF(J192="30 év alatt",3,
IF(J192="30–39 éves",4,
IF(J192="40–49 éves",5,
IF(J192="50 év és afelett",6
)))))*1.5,"NA")</f>
        <v>944097</v>
      </c>
      <c r="P192" s="438">
        <f t="shared" ca="1" si="461"/>
        <v>417790.05172413797</v>
      </c>
      <c r="Q192" s="438">
        <f t="shared" si="462"/>
        <v>420402</v>
      </c>
      <c r="R192" s="444">
        <f t="shared" si="463"/>
        <v>0.44252873563218392</v>
      </c>
      <c r="S192" s="438">
        <f t="shared" ca="1" si="464"/>
        <v>2611.9482758620288</v>
      </c>
      <c r="T192" s="438">
        <f t="shared" ca="1" si="465"/>
        <v>339.55327586206374</v>
      </c>
      <c r="U192" s="445">
        <f t="shared" ca="1" si="466"/>
        <v>2951.5015517240927</v>
      </c>
      <c r="V192" s="446">
        <f t="shared" ca="1" si="467"/>
        <v>472102.4984482759</v>
      </c>
      <c r="W192" s="447" t="str">
        <f t="shared" ca="1" si="468"/>
        <v>Indoklás szükséges mivel a FEOR: 150,9%</v>
      </c>
      <c r="X192" s="571">
        <f t="shared" ca="1" si="469"/>
        <v>2951.5015517240927</v>
      </c>
      <c r="Y192" s="554">
        <f t="shared" ca="1" si="470"/>
        <v>417790</v>
      </c>
      <c r="Z192" s="554">
        <f t="shared" ca="1" si="471"/>
        <v>54312</v>
      </c>
      <c r="AA192" s="101"/>
      <c r="AB192" s="474">
        <v>8403195265</v>
      </c>
      <c r="AC192" s="449" t="s">
        <v>258</v>
      </c>
      <c r="AD192" s="483" t="s">
        <v>45</v>
      </c>
      <c r="AE192" s="450" t="s">
        <v>22</v>
      </c>
      <c r="AF192" s="247" t="s">
        <v>119</v>
      </c>
      <c r="AG192" s="99" t="s">
        <v>157</v>
      </c>
      <c r="AH192" s="451" t="s">
        <v>131</v>
      </c>
      <c r="AI192" s="154">
        <v>45108</v>
      </c>
      <c r="AJ192" s="100" t="str">
        <f>IF(AI192&gt;0,
(IF(AI192&lt;Hónapok!$A$10,Admin!$A$28,
(IF(AI192&lt;Hónapok!$A$22,Admin!$B$28,
(IF(AI192&lt;Hónapok!$A$34,Admin!$C$28,
(IF(AI192&lt;Hónapok!$A$46,Admin!$D$28,"")))))))),"")</f>
        <v>3. mérföldkő</v>
      </c>
      <c r="AK192" s="469" t="s">
        <v>7</v>
      </c>
      <c r="AL192" s="101" t="s">
        <v>26</v>
      </c>
      <c r="AM192" s="903">
        <v>950000</v>
      </c>
      <c r="AN192" s="860">
        <f t="shared" si="472"/>
        <v>123500</v>
      </c>
      <c r="AO192" s="101">
        <v>174</v>
      </c>
      <c r="AP192" s="111">
        <v>77</v>
      </c>
      <c r="AQ192" s="682">
        <f t="shared" si="473"/>
        <v>0.44252873563218392</v>
      </c>
      <c r="AR192" s="455">
        <f t="shared" si="474"/>
        <v>420402</v>
      </c>
      <c r="AS192" s="455">
        <f t="shared" si="475"/>
        <v>54652</v>
      </c>
      <c r="AT192" s="102">
        <f t="shared" si="476"/>
        <v>3.1457955235181245E-7</v>
      </c>
      <c r="AU192" s="116">
        <v>0.13</v>
      </c>
      <c r="AV192" s="565" t="str">
        <f>VLOOKUP(LEFT(AB192,10),Törzsszám!$A$1:$B$908,2,0)</f>
        <v>10000136</v>
      </c>
      <c r="AW192" s="681"/>
      <c r="AX192" s="471" t="s">
        <v>4610</v>
      </c>
      <c r="AY192" s="486"/>
      <c r="AZ192" s="502"/>
      <c r="BA192" s="671"/>
      <c r="BB192" s="649"/>
      <c r="BC192" s="649"/>
      <c r="BD192" s="672"/>
      <c r="BE192" s="450" t="s">
        <v>259</v>
      </c>
    </row>
    <row r="193" spans="1:57" s="457" customFormat="1" ht="31.5" x14ac:dyDescent="0.25">
      <c r="A193" s="694" t="str">
        <f ca="1">Bérköltség!$B193</f>
        <v>FEOR</v>
      </c>
      <c r="B193" s="694" t="str">
        <f ca="1">IFERROR(
IF(AND(Bérköltség!$F193="",H193="NA"),"HIÁNYOS ADATOK",
IF(Bérköltség!$F193&lt;Bérköltség!$U193,Admin!$B$18,Admin!$B$17)),
"")</f>
        <v>FEOR</v>
      </c>
      <c r="C193" s="437">
        <f>IFERROR(INDEX('Historikus berek_2021-2'!$A$1:$F$903,MATCH(AB193,'Historikus berek_2021-2'!$A$1:$A$903,0),4),"")</f>
        <v>773433.33333333337</v>
      </c>
      <c r="D193" s="438">
        <f t="shared" si="454"/>
        <v>342266.47509578546</v>
      </c>
      <c r="E193" s="437">
        <f t="shared" si="455"/>
        <v>420402</v>
      </c>
      <c r="F193" s="439">
        <f t="shared" si="456"/>
        <v>88293.143141762412</v>
      </c>
      <c r="G193" s="440">
        <f t="shared" si="457"/>
        <v>386761.11685823754</v>
      </c>
      <c r="H193" s="441">
        <f>IFERROR(INDEX('FEOR kodok'!$A$2:$J$1126,MATCH(Bérköltség!AB193,'FEOR kodok'!$B$2:$B$1126,0),8),"NA")</f>
        <v>2410</v>
      </c>
      <c r="I193" s="436">
        <f ca="1">IFERROR(INDEX('FEOR kodok'!$A$2:$J$1126,MATCH(Bérköltség!AB193,'FEOR kodok'!$B$2:$B$1126,0),10),"NA")</f>
        <v>46</v>
      </c>
      <c r="J193" s="442" t="str">
        <f t="shared" ca="1" si="458"/>
        <v>40–49 éves</v>
      </c>
      <c r="K193" s="436" t="str">
        <f>IFERROR(INDEX(admin_feor[#All],MATCH(Bérköltség!H193,admin_feor[[#All],[Foglalkozás]],0),2),"NA")</f>
        <v>Egyetemi, főiskolai oktató, tanár</v>
      </c>
      <c r="L193" s="438">
        <f ca="1">IFERROR(
INDEX('Admin - FEOR'!$A$4:$F$465,MATCH(Bérköltség!H193,'Admin - FEOR'!$A$4:$A$465,0),
IF(J193="30 év alatt",3,
IF(J193="30–39 éves",4,
IF(J193="40–49 éves",5,
IF(J193="50 év és afelett",6
)))))*1,"NA")</f>
        <v>629398</v>
      </c>
      <c r="M193" s="438">
        <f t="shared" si="459"/>
        <v>949999</v>
      </c>
      <c r="N193" s="443">
        <f t="shared" ca="1" si="460"/>
        <v>1.5093772144175863</v>
      </c>
      <c r="O193" s="438">
        <f ca="1">IFERROR(
INDEX('Admin - FEOR'!$A$4:$F$465,MATCH(Bérköltség!H193,'Admin - FEOR'!$A$4:$A$465,0),
IF(J193="30 év alatt",3,
IF(J193="30–39 éves",4,
IF(J193="40–49 éves",5,
IF(J193="50 év és afelett",6
)))))*1.5,"NA")</f>
        <v>944097</v>
      </c>
      <c r="P193" s="438">
        <f t="shared" ca="1" si="461"/>
        <v>417790.05172413797</v>
      </c>
      <c r="Q193" s="438">
        <f t="shared" si="462"/>
        <v>420402</v>
      </c>
      <c r="R193" s="444">
        <f t="shared" si="463"/>
        <v>0.44252873563218392</v>
      </c>
      <c r="S193" s="438">
        <f t="shared" ca="1" si="464"/>
        <v>2611.9482758620288</v>
      </c>
      <c r="T193" s="438">
        <f t="shared" ca="1" si="465"/>
        <v>339.55327586206374</v>
      </c>
      <c r="U193" s="445">
        <f t="shared" ca="1" si="466"/>
        <v>2951.5015517240927</v>
      </c>
      <c r="V193" s="446">
        <f t="shared" ca="1" si="467"/>
        <v>472102.4984482759</v>
      </c>
      <c r="W193" s="447" t="str">
        <f t="shared" ca="1" si="468"/>
        <v>Indoklás szükséges mivel a FEOR: 150,9%</v>
      </c>
      <c r="X193" s="571">
        <f t="shared" ca="1" si="469"/>
        <v>2951.5015517240927</v>
      </c>
      <c r="Y193" s="554">
        <f t="shared" ca="1" si="470"/>
        <v>417790</v>
      </c>
      <c r="Z193" s="554">
        <f t="shared" ca="1" si="471"/>
        <v>54312</v>
      </c>
      <c r="AA193" s="101"/>
      <c r="AB193" s="474">
        <v>8403195265</v>
      </c>
      <c r="AC193" s="449" t="s">
        <v>258</v>
      </c>
      <c r="AD193" s="483" t="s">
        <v>45</v>
      </c>
      <c r="AE193" s="450" t="s">
        <v>22</v>
      </c>
      <c r="AF193" s="247" t="s">
        <v>119</v>
      </c>
      <c r="AG193" s="99" t="s">
        <v>157</v>
      </c>
      <c r="AH193" s="451" t="s">
        <v>131</v>
      </c>
      <c r="AI193" s="154">
        <v>45139</v>
      </c>
      <c r="AJ193" s="100" t="str">
        <f>IF(AI193&gt;0,
(IF(AI193&lt;Hónapok!$A$10,Admin!$A$28,
(IF(AI193&lt;Hónapok!$A$22,Admin!$B$28,
(IF(AI193&lt;Hónapok!$A$34,Admin!$C$28,
(IF(AI193&lt;Hónapok!$A$46,Admin!$D$28,"")))))))),"")</f>
        <v>3. mérföldkő</v>
      </c>
      <c r="AK193" s="469" t="s">
        <v>7</v>
      </c>
      <c r="AL193" s="101" t="s">
        <v>26</v>
      </c>
      <c r="AM193" s="903">
        <f>950000-1</f>
        <v>949999</v>
      </c>
      <c r="AN193" s="860">
        <f t="shared" ref="AN193" si="477">IFERROR(ROUND(AM193*AU193,0),"")</f>
        <v>123500</v>
      </c>
      <c r="AO193" s="101">
        <v>174</v>
      </c>
      <c r="AP193" s="111">
        <v>77</v>
      </c>
      <c r="AQ193" s="454">
        <f t="shared" ref="AQ193" si="478">IFERROR(AP193/AO193,"")</f>
        <v>0.44252873563218392</v>
      </c>
      <c r="AR193" s="455">
        <f t="shared" ref="AR193" si="479">IFERROR(ROUND(AM193*AP193/AO193,0),"")</f>
        <v>420402</v>
      </c>
      <c r="AS193" s="455">
        <f t="shared" ref="AS193" si="480">IFERROR(ROUND(AR193*AU193,0),"")</f>
        <v>54652</v>
      </c>
      <c r="AT193" s="102">
        <f t="shared" ref="AT193" si="481">IFERROR(AP193/AO193-AR193/AM193,"")</f>
        <v>-1.5124032859414882E-7</v>
      </c>
      <c r="AU193" s="116">
        <v>0.13</v>
      </c>
      <c r="AV193" s="565" t="str">
        <f>VLOOKUP(LEFT(AB193,10),Törzsszám!$A$1:$B$908,2,0)</f>
        <v>10000136</v>
      </c>
      <c r="AW193" s="681"/>
      <c r="AX193" s="471" t="s">
        <v>4613</v>
      </c>
      <c r="AY193" s="486"/>
      <c r="AZ193" s="502"/>
      <c r="BA193" s="671"/>
      <c r="BB193" s="649"/>
      <c r="BC193" s="649"/>
      <c r="BD193" s="672"/>
      <c r="BE193" s="450" t="s">
        <v>259</v>
      </c>
    </row>
    <row r="194" spans="1:57" s="457" customFormat="1" ht="31.5" x14ac:dyDescent="0.25">
      <c r="A194" s="694" t="str">
        <f ca="1">Bérköltség!$B194</f>
        <v>FEOR</v>
      </c>
      <c r="B194" s="694" t="str">
        <f ca="1">IFERROR(
IF(AND(Bérköltség!$F194="",H194="NA"),"HIÁNYOS ADATOK",
IF(Bérköltség!$F194&lt;Bérköltség!$U194,Admin!$B$18,Admin!$B$17)),
"")</f>
        <v>FEOR</v>
      </c>
      <c r="C194" s="437">
        <f>IFERROR(INDEX('Historikus berek_2021-2'!$A$1:$F$903,MATCH(AB194,'Historikus berek_2021-2'!$A$1:$A$903,0),4),"")</f>
        <v>773433.33333333337</v>
      </c>
      <c r="D194" s="438">
        <f t="shared" ref="D194:D196" si="482">IFERROR(C194*AQ194,"NA")</f>
        <v>342266.47509578546</v>
      </c>
      <c r="E194" s="437">
        <f t="shared" ref="E194:E196" si="483">AR194</f>
        <v>420402</v>
      </c>
      <c r="F194" s="439">
        <f t="shared" ref="F194:F196" si="484">IFERROR(IF((E194*(1+AU194)-D194*(1+AU194))&lt;0,0,(E194*(1+AU194)-D194*(1+AU194))),"")</f>
        <v>88293.143141762412</v>
      </c>
      <c r="G194" s="440">
        <f t="shared" ref="G194:G196" si="485">IFERROR((E194*(1+AU194)-F194),"")</f>
        <v>386761.11685823754</v>
      </c>
      <c r="H194" s="441">
        <f>IFERROR(INDEX('FEOR kodok'!$A$2:$J$1126,MATCH(Bérköltség!AB194,'FEOR kodok'!$B$2:$B$1126,0),8),"NA")</f>
        <v>2410</v>
      </c>
      <c r="I194" s="436">
        <f ca="1">IFERROR(INDEX('FEOR kodok'!$A$2:$J$1126,MATCH(Bérköltség!AB194,'FEOR kodok'!$B$2:$B$1126,0),10),"NA")</f>
        <v>46</v>
      </c>
      <c r="J194" s="442" t="str">
        <f t="shared" ref="J194:J196" ca="1" si="486">IF(I194="NA","NA",
IF(I194&lt;30,"30 év alatt",
IF(AND(I194&gt;=30,I194&lt;=39),"30–39 éves",
IF(AND(I194&gt;=40,I194&lt;=49),"40–49 éves",
IF(I194&gt;=50,"50 év és afelett",
"")))))</f>
        <v>40–49 éves</v>
      </c>
      <c r="K194" s="436" t="str">
        <f>IFERROR(INDEX(admin_feor[#All],MATCH(Bérköltség!H194,admin_feor[[#All],[Foglalkozás]],0),2),"NA")</f>
        <v>Egyetemi, főiskolai oktató, tanár</v>
      </c>
      <c r="L194" s="438">
        <f ca="1">IFERROR(
INDEX('Admin - FEOR'!$A$4:$F$465,MATCH(Bérköltség!H194,'Admin - FEOR'!$A$4:$A$465,0),
IF(J194="30 év alatt",3,
IF(J194="30–39 éves",4,
IF(J194="40–49 éves",5,
IF(J194="50 év és afelett",6
)))))*1,"NA")</f>
        <v>629398</v>
      </c>
      <c r="M194" s="438">
        <f t="shared" ref="M194:M196" si="487">AM194</f>
        <v>950000</v>
      </c>
      <c r="N194" s="443">
        <f t="shared" ref="N194:N196" ca="1" si="488">IFERROR(
M194/L194,"NA")</f>
        <v>1.5093788032373792</v>
      </c>
      <c r="O194" s="438">
        <f ca="1">IFERROR(
INDEX('Admin - FEOR'!$A$4:$F$465,MATCH(Bérköltség!H194,'Admin - FEOR'!$A$4:$A$465,0),
IF(J194="30 év alatt",3,
IF(J194="30–39 éves",4,
IF(J194="40–49 éves",5,
IF(J194="50 év és afelett",6
)))))*1.5,"NA")</f>
        <v>944097</v>
      </c>
      <c r="P194" s="438">
        <f t="shared" ref="P194:P196" ca="1" si="489">IFERROR(
AQ194*O194,"NA")</f>
        <v>417790.05172413797</v>
      </c>
      <c r="Q194" s="438">
        <f t="shared" ref="Q194:Q196" si="490">IFERROR(AR194,"")</f>
        <v>420402</v>
      </c>
      <c r="R194" s="444">
        <f t="shared" ref="R194:R196" si="491">IFERROR(AQ194,"")</f>
        <v>0.44252873563218392</v>
      </c>
      <c r="S194" s="438">
        <f t="shared" ref="S194:S196" ca="1" si="492">IFERROR(
IF(AR194-P194&lt;0,0,AR194-P194),"NA")</f>
        <v>2611.9482758620288</v>
      </c>
      <c r="T194" s="438">
        <f t="shared" ref="T194:T196" ca="1" si="493">IFERROR(
S194*AU194,"NA")</f>
        <v>339.55327586206374</v>
      </c>
      <c r="U194" s="445">
        <f t="shared" ref="U194:U196" ca="1" si="494">IFERROR(
S194+T194,"NA")</f>
        <v>2951.5015517240927</v>
      </c>
      <c r="V194" s="446">
        <f t="shared" ref="V194:V196" ca="1" si="495">IFERROR(
IF(U194&gt;0,AR194+AS194-U194,AR194+AS194),"NA")</f>
        <v>472102.4984482759</v>
      </c>
      <c r="W194" s="447" t="str">
        <f t="shared" ref="W194:W196" ca="1" si="496">IF(P194="NA","FEOR hiányzik",
IF(AND(N194&gt;1,A194="FEOR"),CONCATENATE("Indoklás szükséges mivel a FEOR: ",ROUND(N194*100,1),"%"),"Nem szükséges indoklás.")
)</f>
        <v>Indoklás szükséges mivel a FEOR: 150,9%</v>
      </c>
      <c r="X194" s="571">
        <f t="shared" ref="X194:X196" ca="1" si="497">IF(A194="FEOR",U194,IF(A194="HIÁNYOS ADATOK","HIÁNYOS ADATOK",F194))</f>
        <v>2951.5015517240927</v>
      </c>
      <c r="Y194" s="554">
        <f t="shared" ref="Y194:Y196" ca="1" si="498">IF(A194="FEOR",ROUND(V194/(1+AU194),0),IF(A194="HIÁNYOS ADATOK","HIÁNYOS ADATOK",ROUND(G194/(1+AU194),0)))</f>
        <v>417790</v>
      </c>
      <c r="Z194" s="554">
        <f t="shared" ref="Z194:Z196" ca="1" si="499">IF(A194="FEOR",ROUND(V194-Y194,0),IF(A194="HIÁNYOS ADATOK","HIÁNYOS ADATOK",ROUND(G194-Y194,0)))</f>
        <v>54312</v>
      </c>
      <c r="AA194" s="101"/>
      <c r="AB194" s="474">
        <v>8403195265</v>
      </c>
      <c r="AC194" s="449" t="s">
        <v>258</v>
      </c>
      <c r="AD194" s="483" t="s">
        <v>45</v>
      </c>
      <c r="AE194" s="450" t="s">
        <v>22</v>
      </c>
      <c r="AF194" s="247" t="s">
        <v>119</v>
      </c>
      <c r="AG194" s="99" t="s">
        <v>157</v>
      </c>
      <c r="AH194" s="451" t="s">
        <v>131</v>
      </c>
      <c r="AI194" s="154">
        <v>45170</v>
      </c>
      <c r="AJ194" s="100" t="str">
        <f>IF(AI194&gt;0,
(IF(AI194&lt;Hónapok!$A$10,Admin!$A$28,
(IF(AI194&lt;Hónapok!$A$22,Admin!$B$28,
(IF(AI194&lt;Hónapok!$A$34,Admin!$C$28,
(IF(AI194&lt;Hónapok!$A$46,Admin!$D$28,"")))))))),"")</f>
        <v>3. mérföldkő</v>
      </c>
      <c r="AK194" s="469" t="s">
        <v>7</v>
      </c>
      <c r="AL194" s="101" t="s">
        <v>26</v>
      </c>
      <c r="AM194" s="903">
        <v>950000</v>
      </c>
      <c r="AN194" s="860">
        <f t="shared" ref="AN194:AN196" si="500">IFERROR(ROUND(AM194*AU194,0),"")</f>
        <v>123500</v>
      </c>
      <c r="AO194" s="101">
        <v>174</v>
      </c>
      <c r="AP194" s="111">
        <v>77</v>
      </c>
      <c r="AQ194" s="454">
        <f t="shared" ref="AQ194:AQ196" si="501">IFERROR(AP194/AO194,"")</f>
        <v>0.44252873563218392</v>
      </c>
      <c r="AR194" s="455">
        <f t="shared" ref="AR194:AR196" si="502">IFERROR(ROUND(AM194*AP194/AO194,0),"")</f>
        <v>420402</v>
      </c>
      <c r="AS194" s="455">
        <f t="shared" ref="AS194:AS196" si="503">IFERROR(ROUND(AR194*AU194,0),"")</f>
        <v>54652</v>
      </c>
      <c r="AT194" s="102">
        <f t="shared" ref="AT194:AT196" si="504">IFERROR(AP194/AO194-AR194/AM194,"")</f>
        <v>3.1457955235181245E-7</v>
      </c>
      <c r="AU194" s="116">
        <v>0.13</v>
      </c>
      <c r="AV194" s="565" t="str">
        <f>VLOOKUP(LEFT(AB194,10),Törzsszám!$A$1:$B$908,2,0)</f>
        <v>10000136</v>
      </c>
      <c r="AW194" s="681"/>
      <c r="AX194" s="471" t="s">
        <v>4618</v>
      </c>
      <c r="AY194" s="486"/>
      <c r="AZ194" s="502"/>
      <c r="BA194" s="671"/>
      <c r="BB194" s="649"/>
      <c r="BC194" s="649"/>
      <c r="BD194" s="672"/>
      <c r="BE194" s="450" t="s">
        <v>259</v>
      </c>
    </row>
    <row r="195" spans="1:57" s="457" customFormat="1" ht="31.5" x14ac:dyDescent="0.25">
      <c r="A195" s="694" t="str">
        <f ca="1">Bérköltség!$B195</f>
        <v>FEOR</v>
      </c>
      <c r="B195" s="694" t="str">
        <f ca="1">IFERROR(
IF(AND(Bérköltség!$F195="",H195="NA"),"HIÁNYOS ADATOK",
IF(Bérköltség!$F195&lt;Bérköltség!$U195,Admin!$B$18,Admin!$B$17)),
"")</f>
        <v>FEOR</v>
      </c>
      <c r="C195" s="437">
        <f>IFERROR(INDEX('Historikus berek_2021-2'!$A$1:$F$903,MATCH(AB195,'Historikus berek_2021-2'!$A$1:$A$903,0),4),"")</f>
        <v>773433.33333333337</v>
      </c>
      <c r="D195" s="438">
        <f t="shared" si="482"/>
        <v>342266.47509578546</v>
      </c>
      <c r="E195" s="437">
        <f t="shared" si="483"/>
        <v>420402</v>
      </c>
      <c r="F195" s="439">
        <f t="shared" si="484"/>
        <v>88293.143141762412</v>
      </c>
      <c r="G195" s="440">
        <f t="shared" si="485"/>
        <v>386761.11685823754</v>
      </c>
      <c r="H195" s="441">
        <f>IFERROR(INDEX('FEOR kodok'!$A$2:$J$1126,MATCH(Bérköltség!AB195,'FEOR kodok'!$B$2:$B$1126,0),8),"NA")</f>
        <v>2410</v>
      </c>
      <c r="I195" s="436">
        <f ca="1">IFERROR(INDEX('FEOR kodok'!$A$2:$J$1126,MATCH(Bérköltség!AB195,'FEOR kodok'!$B$2:$B$1126,0),10),"NA")</f>
        <v>46</v>
      </c>
      <c r="J195" s="442" t="str">
        <f t="shared" ca="1" si="486"/>
        <v>40–49 éves</v>
      </c>
      <c r="K195" s="436" t="str">
        <f>IFERROR(INDEX(admin_feor[#All],MATCH(Bérköltség!H195,admin_feor[[#All],[Foglalkozás]],0),2),"NA")</f>
        <v>Egyetemi, főiskolai oktató, tanár</v>
      </c>
      <c r="L195" s="438">
        <f ca="1">IFERROR(
INDEX('Admin - FEOR'!$A$4:$F$465,MATCH(Bérköltség!H195,'Admin - FEOR'!$A$4:$A$465,0),
IF(J195="30 év alatt",3,
IF(J195="30–39 éves",4,
IF(J195="40–49 éves",5,
IF(J195="50 év és afelett",6
)))))*1,"NA")</f>
        <v>629398</v>
      </c>
      <c r="M195" s="438">
        <f t="shared" si="487"/>
        <v>950000</v>
      </c>
      <c r="N195" s="443">
        <f t="shared" ca="1" si="488"/>
        <v>1.5093788032373792</v>
      </c>
      <c r="O195" s="438">
        <f ca="1">IFERROR(
INDEX('Admin - FEOR'!$A$4:$F$465,MATCH(Bérköltség!H195,'Admin - FEOR'!$A$4:$A$465,0),
IF(J195="30 év alatt",3,
IF(J195="30–39 éves",4,
IF(J195="40–49 éves",5,
IF(J195="50 év és afelett",6
)))))*1.5,"NA")</f>
        <v>944097</v>
      </c>
      <c r="P195" s="438">
        <f t="shared" ca="1" si="489"/>
        <v>417790.05172413797</v>
      </c>
      <c r="Q195" s="438">
        <f t="shared" si="490"/>
        <v>420402</v>
      </c>
      <c r="R195" s="444">
        <f t="shared" si="491"/>
        <v>0.44252873563218392</v>
      </c>
      <c r="S195" s="438">
        <f t="shared" ca="1" si="492"/>
        <v>2611.9482758620288</v>
      </c>
      <c r="T195" s="438">
        <f t="shared" ca="1" si="493"/>
        <v>339.55327586206374</v>
      </c>
      <c r="U195" s="445">
        <f t="shared" ca="1" si="494"/>
        <v>2951.5015517240927</v>
      </c>
      <c r="V195" s="446">
        <f t="shared" ca="1" si="495"/>
        <v>472102.4984482759</v>
      </c>
      <c r="W195" s="447" t="str">
        <f t="shared" ca="1" si="496"/>
        <v>Indoklás szükséges mivel a FEOR: 150,9%</v>
      </c>
      <c r="X195" s="571">
        <f t="shared" ca="1" si="497"/>
        <v>2951.5015517240927</v>
      </c>
      <c r="Y195" s="554">
        <f t="shared" ca="1" si="498"/>
        <v>417790</v>
      </c>
      <c r="Z195" s="554">
        <f t="shared" ca="1" si="499"/>
        <v>54312</v>
      </c>
      <c r="AA195" s="101"/>
      <c r="AB195" s="474">
        <v>8403195265</v>
      </c>
      <c r="AC195" s="449" t="s">
        <v>258</v>
      </c>
      <c r="AD195" s="483" t="s">
        <v>45</v>
      </c>
      <c r="AE195" s="450" t="s">
        <v>22</v>
      </c>
      <c r="AF195" s="247" t="s">
        <v>119</v>
      </c>
      <c r="AG195" s="99" t="s">
        <v>157</v>
      </c>
      <c r="AH195" s="451" t="s">
        <v>131</v>
      </c>
      <c r="AI195" s="154">
        <v>45200</v>
      </c>
      <c r="AJ195" s="100" t="str">
        <f>IF(AI195&gt;0,
(IF(AI195&lt;Hónapok!$A$10,Admin!$A$28,
(IF(AI195&lt;Hónapok!$A$22,Admin!$B$28,
(IF(AI195&lt;Hónapok!$A$34,Admin!$C$28,
(IF(AI195&lt;Hónapok!$A$46,Admin!$D$28,"")))))))),"")</f>
        <v>3. mérföldkő</v>
      </c>
      <c r="AK195" s="469" t="s">
        <v>8</v>
      </c>
      <c r="AL195" s="101" t="s">
        <v>26</v>
      </c>
      <c r="AM195" s="903">
        <v>950000</v>
      </c>
      <c r="AN195" s="860">
        <f t="shared" si="500"/>
        <v>123500</v>
      </c>
      <c r="AO195" s="101">
        <v>174</v>
      </c>
      <c r="AP195" s="111">
        <v>77</v>
      </c>
      <c r="AQ195" s="454">
        <f t="shared" si="501"/>
        <v>0.44252873563218392</v>
      </c>
      <c r="AR195" s="455">
        <f t="shared" si="502"/>
        <v>420402</v>
      </c>
      <c r="AS195" s="455">
        <f t="shared" si="503"/>
        <v>54652</v>
      </c>
      <c r="AT195" s="102">
        <f t="shared" si="504"/>
        <v>3.1457955235181245E-7</v>
      </c>
      <c r="AU195" s="116">
        <v>0.13</v>
      </c>
      <c r="AV195" s="565" t="str">
        <f>VLOOKUP(LEFT(AB195,10),Törzsszám!$A$1:$B$908,2,0)</f>
        <v>10000136</v>
      </c>
      <c r="AW195" s="681"/>
      <c r="AX195" s="537"/>
      <c r="AY195" s="486"/>
      <c r="AZ195" s="502"/>
      <c r="BA195" s="671"/>
      <c r="BB195" s="649"/>
      <c r="BC195" s="649"/>
      <c r="BD195" s="672"/>
      <c r="BE195" s="450" t="s">
        <v>259</v>
      </c>
    </row>
    <row r="196" spans="1:57" s="457" customFormat="1" ht="31.5" x14ac:dyDescent="0.25">
      <c r="A196" s="694" t="str">
        <f ca="1">Bérköltség!$B196</f>
        <v>FEOR</v>
      </c>
      <c r="B196" s="694" t="str">
        <f ca="1">IFERROR(
IF(AND(Bérköltség!$F196="",H196="NA"),"HIÁNYOS ADATOK",
IF(Bérköltség!$F196&lt;Bérköltség!$U196,Admin!$B$18,Admin!$B$17)),
"")</f>
        <v>FEOR</v>
      </c>
      <c r="C196" s="437">
        <f>IFERROR(INDEX('Historikus berek_2021-2'!$A$1:$F$903,MATCH(AB196,'Historikus berek_2021-2'!$A$1:$A$903,0),4),"")</f>
        <v>773433.33333333337</v>
      </c>
      <c r="D196" s="438">
        <f t="shared" si="482"/>
        <v>342266.47509578546</v>
      </c>
      <c r="E196" s="437">
        <f t="shared" si="483"/>
        <v>420402</v>
      </c>
      <c r="F196" s="439">
        <f t="shared" si="484"/>
        <v>88293.143141762412</v>
      </c>
      <c r="G196" s="440">
        <f t="shared" si="485"/>
        <v>386761.11685823754</v>
      </c>
      <c r="H196" s="441">
        <f>IFERROR(INDEX('FEOR kodok'!$A$2:$J$1126,MATCH(Bérköltség!AB196,'FEOR kodok'!$B$2:$B$1126,0),8),"NA")</f>
        <v>2410</v>
      </c>
      <c r="I196" s="436">
        <f ca="1">IFERROR(INDEX('FEOR kodok'!$A$2:$J$1126,MATCH(Bérköltség!AB196,'FEOR kodok'!$B$2:$B$1126,0),10),"NA")</f>
        <v>46</v>
      </c>
      <c r="J196" s="442" t="str">
        <f t="shared" ca="1" si="486"/>
        <v>40–49 éves</v>
      </c>
      <c r="K196" s="436" t="str">
        <f>IFERROR(INDEX(admin_feor[#All],MATCH(Bérköltség!H196,admin_feor[[#All],[Foglalkozás]],0),2),"NA")</f>
        <v>Egyetemi, főiskolai oktató, tanár</v>
      </c>
      <c r="L196" s="438">
        <f ca="1">IFERROR(
INDEX('Admin - FEOR'!$A$4:$F$465,MATCH(Bérköltség!H196,'Admin - FEOR'!$A$4:$A$465,0),
IF(J196="30 év alatt",3,
IF(J196="30–39 éves",4,
IF(J196="40–49 éves",5,
IF(J196="50 év és afelett",6
)))))*1,"NA")</f>
        <v>629398</v>
      </c>
      <c r="M196" s="438">
        <f t="shared" si="487"/>
        <v>950000</v>
      </c>
      <c r="N196" s="443">
        <f t="shared" ca="1" si="488"/>
        <v>1.5093788032373792</v>
      </c>
      <c r="O196" s="438">
        <f ca="1">IFERROR(
INDEX('Admin - FEOR'!$A$4:$F$465,MATCH(Bérköltség!H196,'Admin - FEOR'!$A$4:$A$465,0),
IF(J196="30 év alatt",3,
IF(J196="30–39 éves",4,
IF(J196="40–49 éves",5,
IF(J196="50 év és afelett",6
)))))*1.5,"NA")</f>
        <v>944097</v>
      </c>
      <c r="P196" s="438">
        <f t="shared" ca="1" si="489"/>
        <v>417790.05172413797</v>
      </c>
      <c r="Q196" s="438">
        <f t="shared" si="490"/>
        <v>420402</v>
      </c>
      <c r="R196" s="444">
        <f t="shared" si="491"/>
        <v>0.44252873563218392</v>
      </c>
      <c r="S196" s="438">
        <f t="shared" ca="1" si="492"/>
        <v>2611.9482758620288</v>
      </c>
      <c r="T196" s="438">
        <f t="shared" ca="1" si="493"/>
        <v>339.55327586206374</v>
      </c>
      <c r="U196" s="445">
        <f t="shared" ca="1" si="494"/>
        <v>2951.5015517240927</v>
      </c>
      <c r="V196" s="446">
        <f t="shared" ca="1" si="495"/>
        <v>472102.4984482759</v>
      </c>
      <c r="W196" s="447" t="str">
        <f t="shared" ca="1" si="496"/>
        <v>Indoklás szükséges mivel a FEOR: 150,9%</v>
      </c>
      <c r="X196" s="571">
        <f t="shared" ca="1" si="497"/>
        <v>2951.5015517240927</v>
      </c>
      <c r="Y196" s="554">
        <f t="shared" ca="1" si="498"/>
        <v>417790</v>
      </c>
      <c r="Z196" s="554">
        <f t="shared" ca="1" si="499"/>
        <v>54312</v>
      </c>
      <c r="AA196" s="101"/>
      <c r="AB196" s="474">
        <v>8403195265</v>
      </c>
      <c r="AC196" s="449" t="s">
        <v>258</v>
      </c>
      <c r="AD196" s="483" t="s">
        <v>45</v>
      </c>
      <c r="AE196" s="450" t="s">
        <v>22</v>
      </c>
      <c r="AF196" s="247" t="s">
        <v>119</v>
      </c>
      <c r="AG196" s="99" t="s">
        <v>157</v>
      </c>
      <c r="AH196" s="451" t="s">
        <v>131</v>
      </c>
      <c r="AI196" s="154">
        <v>45231</v>
      </c>
      <c r="AJ196" s="100" t="str">
        <f>IF(AI196&gt;0,
(IF(AI196&lt;Hónapok!$A$10,Admin!$A$28,
(IF(AI196&lt;Hónapok!$A$22,Admin!$B$28,
(IF(AI196&lt;Hónapok!$A$34,Admin!$C$28,
(IF(AI196&lt;Hónapok!$A$46,Admin!$D$28,"")))))))),"")</f>
        <v>3. mérföldkő</v>
      </c>
      <c r="AK196" s="469" t="s">
        <v>8</v>
      </c>
      <c r="AL196" s="101" t="s">
        <v>26</v>
      </c>
      <c r="AM196" s="903">
        <v>950000</v>
      </c>
      <c r="AN196" s="860">
        <f t="shared" si="500"/>
        <v>123500</v>
      </c>
      <c r="AO196" s="101">
        <v>174</v>
      </c>
      <c r="AP196" s="111">
        <v>77</v>
      </c>
      <c r="AQ196" s="454">
        <f t="shared" si="501"/>
        <v>0.44252873563218392</v>
      </c>
      <c r="AR196" s="455">
        <f t="shared" si="502"/>
        <v>420402</v>
      </c>
      <c r="AS196" s="455">
        <f t="shared" si="503"/>
        <v>54652</v>
      </c>
      <c r="AT196" s="102">
        <f t="shared" si="504"/>
        <v>3.1457955235181245E-7</v>
      </c>
      <c r="AU196" s="116">
        <v>0.13</v>
      </c>
      <c r="AV196" s="565" t="str">
        <f>VLOOKUP(LEFT(AB196,10),Törzsszám!$A$1:$B$908,2,0)</f>
        <v>10000136</v>
      </c>
      <c r="AW196" s="681"/>
      <c r="AX196" s="537"/>
      <c r="AY196" s="486"/>
      <c r="AZ196" s="502"/>
      <c r="BA196" s="671"/>
      <c r="BB196" s="649"/>
      <c r="BC196" s="649"/>
      <c r="BD196" s="672"/>
      <c r="BE196" s="450" t="s">
        <v>259</v>
      </c>
    </row>
    <row r="197" spans="1:57" s="457" customFormat="1" ht="31.5" x14ac:dyDescent="0.25">
      <c r="A197" s="694" t="str">
        <f ca="1">Bérköltség!$B197</f>
        <v>FEOR</v>
      </c>
      <c r="B197" s="694" t="str">
        <f ca="1">IFERROR(
IF(AND(Bérköltség!$F197="",H197="NA"),"HIÁNYOS ADATOK",
IF(Bérköltség!$F197&lt;Bérköltség!$U197,Admin!$B$18,Admin!$B$17)),
"")</f>
        <v>FEOR</v>
      </c>
      <c r="C197" s="437">
        <f>IFERROR(INDEX('Historikus berek_2021-2'!$A$1:$F$903,MATCH(AB197,'Historikus berek_2021-2'!$A$1:$A$903,0),4),"")</f>
        <v>240933.33333333334</v>
      </c>
      <c r="D197" s="438">
        <f t="shared" si="320"/>
        <v>240933.33333333334</v>
      </c>
      <c r="E197" s="437">
        <f t="shared" si="321"/>
        <v>210000</v>
      </c>
      <c r="F197" s="439">
        <f t="shared" si="334"/>
        <v>0</v>
      </c>
      <c r="G197" s="440">
        <f t="shared" si="335"/>
        <v>237299.99999999997</v>
      </c>
      <c r="H197" s="441">
        <f>IFERROR(INDEX('FEOR kodok'!$A$2:$J$1126,MATCH(Bérköltség!AB197,'FEOR kodok'!$B$2:$B$1126,0),8),"NA")</f>
        <v>2169</v>
      </c>
      <c r="I197" s="436">
        <f ca="1">IFERROR(INDEX('FEOR kodok'!$A$2:$J$1126,MATCH(Bérköltség!AB197,'FEOR kodok'!$B$2:$B$1126,0),10),"NA")</f>
        <v>28</v>
      </c>
      <c r="J197" s="442" t="str">
        <f t="shared" ca="1" si="322"/>
        <v>30 év alatt</v>
      </c>
      <c r="K197" s="436" t="str">
        <f>IFERROR(INDEX(admin_feor[#All],MATCH(Bérköltség!H197,admin_feor[[#All],[Foglalkozás]],0),2),"NA")</f>
        <v>Egyéb természettudományi foglalkozású</v>
      </c>
      <c r="L197" s="438">
        <f ca="1">IFERROR(
INDEX('Admin - FEOR'!$A$4:$F$465,MATCH(Bérköltség!H197,'Admin - FEOR'!$A$4:$A$465,0),
IF(J197="30 év alatt",3,
IF(J197="30–39 éves",4,
IF(J197="40–49 éves",5,
IF(J197="50 év és afelett",6
)))))*1,"NA")</f>
        <v>505959</v>
      </c>
      <c r="M197" s="438">
        <f t="shared" si="323"/>
        <v>210000</v>
      </c>
      <c r="N197" s="443">
        <f t="shared" ca="1" si="324"/>
        <v>0.41505339365442656</v>
      </c>
      <c r="O197" s="438">
        <f ca="1">IFERROR(
INDEX('Admin - FEOR'!$A$4:$F$465,MATCH(Bérköltség!H197,'Admin - FEOR'!$A$4:$A$465,0),
IF(J197="30 év alatt",3,
IF(J197="30–39 éves",4,
IF(J197="40–49 éves",5,
IF(J197="50 év és afelett",6
)))))*1.5,"NA")</f>
        <v>758938.5</v>
      </c>
      <c r="P197" s="438">
        <f t="shared" ca="1" si="325"/>
        <v>758938.5</v>
      </c>
      <c r="Q197" s="438">
        <f t="shared" si="326"/>
        <v>210000</v>
      </c>
      <c r="R197" s="444">
        <f t="shared" si="327"/>
        <v>1</v>
      </c>
      <c r="S197" s="438">
        <f t="shared" ca="1" si="328"/>
        <v>0</v>
      </c>
      <c r="T197" s="438">
        <f t="shared" ca="1" si="329"/>
        <v>0</v>
      </c>
      <c r="U197" s="445">
        <f t="shared" ca="1" si="330"/>
        <v>0</v>
      </c>
      <c r="V197" s="446">
        <f t="shared" ca="1" si="331"/>
        <v>237300</v>
      </c>
      <c r="W197" s="447" t="str">
        <f t="shared" ca="1" si="332"/>
        <v>Nem szükséges indoklás.</v>
      </c>
      <c r="X197" s="571">
        <f t="shared" ca="1" si="333"/>
        <v>0</v>
      </c>
      <c r="Y197" s="554">
        <f t="shared" ca="1" si="318"/>
        <v>210000</v>
      </c>
      <c r="Z197" s="554">
        <f t="shared" ca="1" si="319"/>
        <v>27300</v>
      </c>
      <c r="AA197" s="573">
        <v>2</v>
      </c>
      <c r="AB197" s="474">
        <v>8467980052</v>
      </c>
      <c r="AC197" s="449" t="s">
        <v>149</v>
      </c>
      <c r="AD197" s="483" t="s">
        <v>45</v>
      </c>
      <c r="AE197" s="450" t="s">
        <v>22</v>
      </c>
      <c r="AF197" s="247" t="s">
        <v>121</v>
      </c>
      <c r="AG197" s="99" t="s">
        <v>148</v>
      </c>
      <c r="AH197" s="451" t="s">
        <v>131</v>
      </c>
      <c r="AI197" s="154">
        <v>44743</v>
      </c>
      <c r="AJ197" s="100" t="str">
        <f>IF(AI197&gt;0,
(IF(AI197&lt;Hónapok!$A$10,Admin!$A$28,
(IF(AI197&lt;Hónapok!$A$22,Admin!$B$28,
(IF(AI197&lt;Hónapok!$A$34,Admin!$C$28,
(IF(AI197&lt;Hónapok!$A$46,Admin!$D$28,"")))))))),"")</f>
        <v>2. mérföldkő</v>
      </c>
      <c r="AK197" s="469" t="s">
        <v>7</v>
      </c>
      <c r="AL197" s="101" t="s">
        <v>26</v>
      </c>
      <c r="AM197" s="900">
        <v>210000</v>
      </c>
      <c r="AN197" s="860">
        <f t="shared" si="410"/>
        <v>27300</v>
      </c>
      <c r="AO197" s="101">
        <v>87</v>
      </c>
      <c r="AP197" s="111">
        <v>87</v>
      </c>
      <c r="AQ197" s="454">
        <f t="shared" si="313"/>
        <v>1</v>
      </c>
      <c r="AR197" s="455">
        <f t="shared" si="314"/>
        <v>210000</v>
      </c>
      <c r="AS197" s="455">
        <f t="shared" si="315"/>
        <v>27300</v>
      </c>
      <c r="AT197" s="102">
        <f t="shared" si="316"/>
        <v>0</v>
      </c>
      <c r="AU197" s="116">
        <v>0.13</v>
      </c>
      <c r="AV197" s="565" t="str">
        <f>VLOOKUP(LEFT(AB197,10),Törzsszám!$A$1:$B$908,2,0)</f>
        <v>10001303</v>
      </c>
      <c r="AW197" s="615">
        <f t="shared" ca="1" si="311"/>
        <v>0</v>
      </c>
      <c r="AX197" s="479" t="s">
        <v>209</v>
      </c>
      <c r="AY197" s="486"/>
      <c r="AZ197" s="502" t="s">
        <v>4607</v>
      </c>
      <c r="BA197" s="671">
        <v>210000</v>
      </c>
      <c r="BB197" s="649">
        <v>27300</v>
      </c>
      <c r="BC197" s="649">
        <f t="shared" ref="BC197:BD203" ca="1" si="505">Y197-BA197</f>
        <v>0</v>
      </c>
      <c r="BD197" s="672">
        <f t="shared" ca="1" si="505"/>
        <v>0</v>
      </c>
      <c r="BE197" s="450" t="s">
        <v>144</v>
      </c>
    </row>
    <row r="198" spans="1:57" s="457" customFormat="1" ht="31.5" x14ac:dyDescent="0.25">
      <c r="A198" s="694" t="str">
        <f ca="1">Bérköltség!$B198</f>
        <v>FEOR</v>
      </c>
      <c r="B198" s="694" t="str">
        <f ca="1">IFERROR(
IF(AND(Bérköltség!$F198="",H198="NA"),"HIÁNYOS ADATOK",
IF(Bérköltség!$F198&lt;Bérköltség!$U198,Admin!$B$18,Admin!$B$17)),
"")</f>
        <v>FEOR</v>
      </c>
      <c r="C198" s="437">
        <f>IFERROR(INDEX('Historikus berek_2021-2'!$A$1:$F$903,MATCH(AB198,'Historikus berek_2021-2'!$A$1:$A$903,0),4),"")</f>
        <v>240933.33333333334</v>
      </c>
      <c r="D198" s="438">
        <f t="shared" si="320"/>
        <v>240933.33333333334</v>
      </c>
      <c r="E198" s="437">
        <f t="shared" si="321"/>
        <v>210000</v>
      </c>
      <c r="F198" s="439">
        <f t="shared" si="334"/>
        <v>0</v>
      </c>
      <c r="G198" s="440">
        <f t="shared" si="335"/>
        <v>237299.99999999997</v>
      </c>
      <c r="H198" s="441">
        <f>IFERROR(INDEX('FEOR kodok'!$A$2:$J$1126,MATCH(Bérköltség!AB198,'FEOR kodok'!$B$2:$B$1126,0),8),"NA")</f>
        <v>2169</v>
      </c>
      <c r="I198" s="436">
        <f ca="1">IFERROR(INDEX('FEOR kodok'!$A$2:$J$1126,MATCH(Bérköltség!AB198,'FEOR kodok'!$B$2:$B$1126,0),10),"NA")</f>
        <v>28</v>
      </c>
      <c r="J198" s="442" t="str">
        <f t="shared" ca="1" si="322"/>
        <v>30 év alatt</v>
      </c>
      <c r="K198" s="436" t="str">
        <f>IFERROR(INDEX(admin_feor[#All],MATCH(Bérköltség!H198,admin_feor[[#All],[Foglalkozás]],0),2),"NA")</f>
        <v>Egyéb természettudományi foglalkozású</v>
      </c>
      <c r="L198" s="438">
        <f ca="1">IFERROR(
INDEX('Admin - FEOR'!$A$4:$F$465,MATCH(Bérköltség!H198,'Admin - FEOR'!$A$4:$A$465,0),
IF(J198="30 év alatt",3,
IF(J198="30–39 éves",4,
IF(J198="40–49 éves",5,
IF(J198="50 év és afelett",6
)))))*1,"NA")</f>
        <v>505959</v>
      </c>
      <c r="M198" s="438">
        <f t="shared" si="323"/>
        <v>210000</v>
      </c>
      <c r="N198" s="443">
        <f t="shared" ca="1" si="324"/>
        <v>0.41505339365442656</v>
      </c>
      <c r="O198" s="438">
        <f ca="1">IFERROR(
INDEX('Admin - FEOR'!$A$4:$F$465,MATCH(Bérköltség!H198,'Admin - FEOR'!$A$4:$A$465,0),
IF(J198="30 év alatt",3,
IF(J198="30–39 éves",4,
IF(J198="40–49 éves",5,
IF(J198="50 év és afelett",6
)))))*1.5,"NA")</f>
        <v>758938.5</v>
      </c>
      <c r="P198" s="438">
        <f t="shared" ca="1" si="325"/>
        <v>758938.5</v>
      </c>
      <c r="Q198" s="438">
        <f t="shared" si="326"/>
        <v>210000</v>
      </c>
      <c r="R198" s="444">
        <f t="shared" si="327"/>
        <v>1</v>
      </c>
      <c r="S198" s="438">
        <f t="shared" ca="1" si="328"/>
        <v>0</v>
      </c>
      <c r="T198" s="438">
        <f t="shared" ca="1" si="329"/>
        <v>0</v>
      </c>
      <c r="U198" s="445">
        <f t="shared" ca="1" si="330"/>
        <v>0</v>
      </c>
      <c r="V198" s="446">
        <f t="shared" ca="1" si="331"/>
        <v>237300</v>
      </c>
      <c r="W198" s="447" t="str">
        <f t="shared" ca="1" si="332"/>
        <v>Nem szükséges indoklás.</v>
      </c>
      <c r="X198" s="571">
        <f t="shared" ca="1" si="333"/>
        <v>0</v>
      </c>
      <c r="Y198" s="554">
        <f t="shared" ca="1" si="318"/>
        <v>210000</v>
      </c>
      <c r="Z198" s="554">
        <f t="shared" ca="1" si="319"/>
        <v>27300</v>
      </c>
      <c r="AA198" s="573">
        <v>2</v>
      </c>
      <c r="AB198" s="474">
        <v>8467980052</v>
      </c>
      <c r="AC198" s="449" t="s">
        <v>149</v>
      </c>
      <c r="AD198" s="483" t="s">
        <v>45</v>
      </c>
      <c r="AE198" s="450" t="s">
        <v>22</v>
      </c>
      <c r="AF198" s="247" t="s">
        <v>121</v>
      </c>
      <c r="AG198" s="99" t="s">
        <v>148</v>
      </c>
      <c r="AH198" s="451" t="s">
        <v>131</v>
      </c>
      <c r="AI198" s="154">
        <v>44774</v>
      </c>
      <c r="AJ198" s="100" t="str">
        <f>IF(AI198&gt;0,
(IF(AI198&lt;Hónapok!$A$10,Admin!$A$28,
(IF(AI198&lt;Hónapok!$A$22,Admin!$B$28,
(IF(AI198&lt;Hónapok!$A$34,Admin!$C$28,
(IF(AI198&lt;Hónapok!$A$46,Admin!$D$28,"")))))))),"")</f>
        <v>2. mérföldkő</v>
      </c>
      <c r="AK198" s="467" t="s">
        <v>7</v>
      </c>
      <c r="AL198" s="101" t="s">
        <v>26</v>
      </c>
      <c r="AM198" s="900">
        <v>210000</v>
      </c>
      <c r="AN198" s="860">
        <f t="shared" si="410"/>
        <v>27300</v>
      </c>
      <c r="AO198" s="101">
        <v>87</v>
      </c>
      <c r="AP198" s="111">
        <v>87</v>
      </c>
      <c r="AQ198" s="454">
        <f t="shared" si="313"/>
        <v>1</v>
      </c>
      <c r="AR198" s="455">
        <f t="shared" si="314"/>
        <v>210000</v>
      </c>
      <c r="AS198" s="455">
        <f t="shared" si="315"/>
        <v>27300</v>
      </c>
      <c r="AT198" s="102">
        <f t="shared" si="316"/>
        <v>0</v>
      </c>
      <c r="AU198" s="116">
        <v>0.13</v>
      </c>
      <c r="AV198" s="565" t="str">
        <f>VLOOKUP(LEFT(AB198,10),Törzsszám!$A$1:$B$908,2,0)</f>
        <v>10001303</v>
      </c>
      <c r="AW198" s="615">
        <f t="shared" ca="1" si="311"/>
        <v>0</v>
      </c>
      <c r="AX198" s="468" t="s">
        <v>218</v>
      </c>
      <c r="AY198" s="486"/>
      <c r="AZ198" s="502" t="s">
        <v>4607</v>
      </c>
      <c r="BA198" s="671">
        <v>210000</v>
      </c>
      <c r="BB198" s="649">
        <v>27300</v>
      </c>
      <c r="BC198" s="649">
        <f t="shared" ca="1" si="505"/>
        <v>0</v>
      </c>
      <c r="BD198" s="672">
        <f t="shared" ca="1" si="505"/>
        <v>0</v>
      </c>
      <c r="BE198" s="450" t="s">
        <v>144</v>
      </c>
    </row>
    <row r="199" spans="1:57" s="457" customFormat="1" ht="31.5" x14ac:dyDescent="0.25">
      <c r="A199" s="694" t="str">
        <f ca="1">Bérköltség!$B199</f>
        <v>FEOR</v>
      </c>
      <c r="B199" s="694" t="str">
        <f ca="1">IFERROR(
IF(AND(Bérköltség!$F199="",H199="NA"),"HIÁNYOS ADATOK",
IF(Bérköltség!$F199&lt;Bérköltség!$U199,Admin!$B$18,Admin!$B$17)),
"")</f>
        <v>FEOR</v>
      </c>
      <c r="C199" s="437">
        <f>IFERROR(INDEX('Historikus berek_2021-2'!$A$1:$F$903,MATCH(AB199,'Historikus berek_2021-2'!$A$1:$A$903,0),4),"")</f>
        <v>240933.33333333334</v>
      </c>
      <c r="D199" s="438">
        <f t="shared" si="320"/>
        <v>240933.33333333334</v>
      </c>
      <c r="E199" s="437">
        <f t="shared" si="321"/>
        <v>210000</v>
      </c>
      <c r="F199" s="439">
        <f t="shared" si="334"/>
        <v>0</v>
      </c>
      <c r="G199" s="440">
        <f t="shared" si="335"/>
        <v>237299.99999999997</v>
      </c>
      <c r="H199" s="441">
        <f>IFERROR(INDEX('FEOR kodok'!$A$2:$J$1126,MATCH(Bérköltség!AB199,'FEOR kodok'!$B$2:$B$1126,0),8),"NA")</f>
        <v>2169</v>
      </c>
      <c r="I199" s="436">
        <f ca="1">IFERROR(INDEX('FEOR kodok'!$A$2:$J$1126,MATCH(Bérköltség!AB199,'FEOR kodok'!$B$2:$B$1126,0),10),"NA")</f>
        <v>28</v>
      </c>
      <c r="J199" s="442" t="str">
        <f t="shared" ca="1" si="322"/>
        <v>30 év alatt</v>
      </c>
      <c r="K199" s="436" t="str">
        <f>IFERROR(INDEX(admin_feor[#All],MATCH(Bérköltség!H199,admin_feor[[#All],[Foglalkozás]],0),2),"NA")</f>
        <v>Egyéb természettudományi foglalkozású</v>
      </c>
      <c r="L199" s="438">
        <f ca="1">IFERROR(
INDEX('Admin - FEOR'!$A$4:$F$465,MATCH(Bérköltség!H199,'Admin - FEOR'!$A$4:$A$465,0),
IF(J199="30 év alatt",3,
IF(J199="30–39 éves",4,
IF(J199="40–49 éves",5,
IF(J199="50 év és afelett",6
)))))*1,"NA")</f>
        <v>505959</v>
      </c>
      <c r="M199" s="438">
        <f t="shared" si="323"/>
        <v>210000</v>
      </c>
      <c r="N199" s="443">
        <f t="shared" ca="1" si="324"/>
        <v>0.41505339365442656</v>
      </c>
      <c r="O199" s="438">
        <f ca="1">IFERROR(
INDEX('Admin - FEOR'!$A$4:$F$465,MATCH(Bérköltség!H199,'Admin - FEOR'!$A$4:$A$465,0),
IF(J199="30 év alatt",3,
IF(J199="30–39 éves",4,
IF(J199="40–49 éves",5,
IF(J199="50 év és afelett",6
)))))*1.5,"NA")</f>
        <v>758938.5</v>
      </c>
      <c r="P199" s="438">
        <f t="shared" ca="1" si="325"/>
        <v>758938.5</v>
      </c>
      <c r="Q199" s="438">
        <f t="shared" si="326"/>
        <v>210000</v>
      </c>
      <c r="R199" s="444">
        <f t="shared" si="327"/>
        <v>1</v>
      </c>
      <c r="S199" s="438">
        <f t="shared" ca="1" si="328"/>
        <v>0</v>
      </c>
      <c r="T199" s="438">
        <f t="shared" ca="1" si="329"/>
        <v>0</v>
      </c>
      <c r="U199" s="445">
        <f t="shared" ca="1" si="330"/>
        <v>0</v>
      </c>
      <c r="V199" s="446">
        <f t="shared" ca="1" si="331"/>
        <v>237300</v>
      </c>
      <c r="W199" s="447" t="str">
        <f t="shared" ca="1" si="332"/>
        <v>Nem szükséges indoklás.</v>
      </c>
      <c r="X199" s="571">
        <f t="shared" ca="1" si="333"/>
        <v>0</v>
      </c>
      <c r="Y199" s="554">
        <f t="shared" ca="1" si="318"/>
        <v>210000</v>
      </c>
      <c r="Z199" s="554">
        <f t="shared" ca="1" si="319"/>
        <v>27300</v>
      </c>
      <c r="AA199" s="573">
        <v>2</v>
      </c>
      <c r="AB199" s="474">
        <v>8467980052</v>
      </c>
      <c r="AC199" s="449" t="s">
        <v>149</v>
      </c>
      <c r="AD199" s="483" t="s">
        <v>45</v>
      </c>
      <c r="AE199" s="450" t="s">
        <v>22</v>
      </c>
      <c r="AF199" s="247" t="s">
        <v>121</v>
      </c>
      <c r="AG199" s="99" t="s">
        <v>148</v>
      </c>
      <c r="AH199" s="451" t="s">
        <v>131</v>
      </c>
      <c r="AI199" s="154">
        <v>44805</v>
      </c>
      <c r="AJ199" s="100" t="str">
        <f>IF(AI199&gt;0,
(IF(AI199&lt;Hónapok!$A$10,Admin!$A$28,
(IF(AI199&lt;Hónapok!$A$22,Admin!$B$28,
(IF(AI199&lt;Hónapok!$A$34,Admin!$C$28,
(IF(AI199&lt;Hónapok!$A$46,Admin!$D$28,"")))))))),"")</f>
        <v>2. mérföldkő</v>
      </c>
      <c r="AK199" s="467" t="s">
        <v>7</v>
      </c>
      <c r="AL199" s="101" t="s">
        <v>26</v>
      </c>
      <c r="AM199" s="900">
        <v>210000</v>
      </c>
      <c r="AN199" s="860">
        <f t="shared" si="410"/>
        <v>27300</v>
      </c>
      <c r="AO199" s="101">
        <v>87</v>
      </c>
      <c r="AP199" s="111">
        <v>87</v>
      </c>
      <c r="AQ199" s="454">
        <f t="shared" si="313"/>
        <v>1</v>
      </c>
      <c r="AR199" s="455">
        <f t="shared" si="314"/>
        <v>210000</v>
      </c>
      <c r="AS199" s="455">
        <f t="shared" si="315"/>
        <v>27300</v>
      </c>
      <c r="AT199" s="102">
        <f t="shared" si="316"/>
        <v>0</v>
      </c>
      <c r="AU199" s="116">
        <v>0.13</v>
      </c>
      <c r="AV199" s="565" t="str">
        <f>VLOOKUP(LEFT(AB199,10),Törzsszám!$A$1:$B$908,2,0)</f>
        <v>10001303</v>
      </c>
      <c r="AW199" s="615">
        <f t="shared" ca="1" si="311"/>
        <v>0</v>
      </c>
      <c r="AX199" s="468" t="s">
        <v>228</v>
      </c>
      <c r="AY199" s="486"/>
      <c r="AZ199" s="502" t="s">
        <v>4607</v>
      </c>
      <c r="BA199" s="671">
        <v>210000</v>
      </c>
      <c r="BB199" s="649">
        <v>27300</v>
      </c>
      <c r="BC199" s="649">
        <f t="shared" ca="1" si="505"/>
        <v>0</v>
      </c>
      <c r="BD199" s="672">
        <f t="shared" ca="1" si="505"/>
        <v>0</v>
      </c>
      <c r="BE199" s="450" t="s">
        <v>144</v>
      </c>
    </row>
    <row r="200" spans="1:57" s="457" customFormat="1" ht="31.5" x14ac:dyDescent="0.25">
      <c r="A200" s="694" t="str">
        <f ca="1">Bérköltség!$B200</f>
        <v>FEOR</v>
      </c>
      <c r="B200" s="694" t="str">
        <f ca="1">IFERROR(
IF(AND(Bérköltség!$F200="",H200="NA"),"HIÁNYOS ADATOK",
IF(Bérköltség!$F200&lt;Bérköltség!$U200,Admin!$B$18,Admin!$B$17)),
"")</f>
        <v>FEOR</v>
      </c>
      <c r="C200" s="437">
        <f>IFERROR(INDEX('Historikus berek_2021-2'!$A$1:$F$903,MATCH(AB200,'Historikus berek_2021-2'!$A$1:$A$903,0),4),"")</f>
        <v>240933.33333333334</v>
      </c>
      <c r="D200" s="438">
        <f t="shared" si="320"/>
        <v>240933.33333333334</v>
      </c>
      <c r="E200" s="437">
        <f t="shared" si="321"/>
        <v>210000</v>
      </c>
      <c r="F200" s="439">
        <f t="shared" si="334"/>
        <v>0</v>
      </c>
      <c r="G200" s="440">
        <f t="shared" si="335"/>
        <v>237299.99999999997</v>
      </c>
      <c r="H200" s="441">
        <f>IFERROR(INDEX('FEOR kodok'!$A$2:$J$1126,MATCH(Bérköltség!AB200,'FEOR kodok'!$B$2:$B$1126,0),8),"NA")</f>
        <v>2169</v>
      </c>
      <c r="I200" s="436">
        <f ca="1">IFERROR(INDEX('FEOR kodok'!$A$2:$J$1126,MATCH(Bérköltség!AB200,'FEOR kodok'!$B$2:$B$1126,0),10),"NA")</f>
        <v>28</v>
      </c>
      <c r="J200" s="442" t="str">
        <f t="shared" ca="1" si="322"/>
        <v>30 év alatt</v>
      </c>
      <c r="K200" s="436" t="str">
        <f>IFERROR(INDEX(admin_feor[#All],MATCH(Bérköltség!H200,admin_feor[[#All],[Foglalkozás]],0),2),"NA")</f>
        <v>Egyéb természettudományi foglalkozású</v>
      </c>
      <c r="L200" s="438">
        <f ca="1">IFERROR(
INDEX('Admin - FEOR'!$A$4:$F$465,MATCH(Bérköltség!H200,'Admin - FEOR'!$A$4:$A$465,0),
IF(J200="30 év alatt",3,
IF(J200="30–39 éves",4,
IF(J200="40–49 éves",5,
IF(J200="50 év és afelett",6
)))))*1,"NA")</f>
        <v>505959</v>
      </c>
      <c r="M200" s="438">
        <f t="shared" si="323"/>
        <v>210000</v>
      </c>
      <c r="N200" s="443">
        <f t="shared" ca="1" si="324"/>
        <v>0.41505339365442656</v>
      </c>
      <c r="O200" s="438">
        <f ca="1">IFERROR(
INDEX('Admin - FEOR'!$A$4:$F$465,MATCH(Bérköltség!H200,'Admin - FEOR'!$A$4:$A$465,0),
IF(J200="30 év alatt",3,
IF(J200="30–39 éves",4,
IF(J200="40–49 éves",5,
IF(J200="50 év és afelett",6
)))))*1.5,"NA")</f>
        <v>758938.5</v>
      </c>
      <c r="P200" s="438">
        <f t="shared" ca="1" si="325"/>
        <v>758938.5</v>
      </c>
      <c r="Q200" s="438">
        <f t="shared" si="326"/>
        <v>210000</v>
      </c>
      <c r="R200" s="444">
        <f t="shared" si="327"/>
        <v>1</v>
      </c>
      <c r="S200" s="438">
        <f t="shared" ca="1" si="328"/>
        <v>0</v>
      </c>
      <c r="T200" s="438">
        <f t="shared" ca="1" si="329"/>
        <v>0</v>
      </c>
      <c r="U200" s="445">
        <f t="shared" ca="1" si="330"/>
        <v>0</v>
      </c>
      <c r="V200" s="446">
        <f t="shared" ca="1" si="331"/>
        <v>237300</v>
      </c>
      <c r="W200" s="447" t="str">
        <f t="shared" ca="1" si="332"/>
        <v>Nem szükséges indoklás.</v>
      </c>
      <c r="X200" s="571">
        <f t="shared" ca="1" si="333"/>
        <v>0</v>
      </c>
      <c r="Y200" s="554">
        <f t="shared" ca="1" si="318"/>
        <v>210000</v>
      </c>
      <c r="Z200" s="554">
        <f t="shared" ca="1" si="319"/>
        <v>27300</v>
      </c>
      <c r="AA200" s="573">
        <v>2</v>
      </c>
      <c r="AB200" s="474">
        <v>8467980052</v>
      </c>
      <c r="AC200" s="449" t="s">
        <v>149</v>
      </c>
      <c r="AD200" s="483" t="s">
        <v>45</v>
      </c>
      <c r="AE200" s="450" t="s">
        <v>22</v>
      </c>
      <c r="AF200" s="247" t="s">
        <v>121</v>
      </c>
      <c r="AG200" s="99" t="s">
        <v>148</v>
      </c>
      <c r="AH200" s="451" t="s">
        <v>131</v>
      </c>
      <c r="AI200" s="154">
        <v>44835</v>
      </c>
      <c r="AJ200" s="100" t="str">
        <f>IF(AI200&gt;0,
(IF(AI200&lt;Hónapok!$A$10,Admin!$A$28,
(IF(AI200&lt;Hónapok!$A$22,Admin!$B$28,
(IF(AI200&lt;Hónapok!$A$34,Admin!$C$28,
(IF(AI200&lt;Hónapok!$A$46,Admin!$D$28,"")))))))),"")</f>
        <v>2. mérföldkő</v>
      </c>
      <c r="AK200" s="469" t="s">
        <v>7</v>
      </c>
      <c r="AL200" s="101" t="s">
        <v>26</v>
      </c>
      <c r="AM200" s="900">
        <v>210000</v>
      </c>
      <c r="AN200" s="860">
        <f t="shared" si="410"/>
        <v>27300</v>
      </c>
      <c r="AO200" s="101">
        <v>87</v>
      </c>
      <c r="AP200" s="111">
        <v>87</v>
      </c>
      <c r="AQ200" s="454">
        <f t="shared" si="313"/>
        <v>1</v>
      </c>
      <c r="AR200" s="455">
        <f t="shared" si="314"/>
        <v>210000</v>
      </c>
      <c r="AS200" s="455">
        <f t="shared" si="315"/>
        <v>27300</v>
      </c>
      <c r="AT200" s="102">
        <f t="shared" si="316"/>
        <v>0</v>
      </c>
      <c r="AU200" s="116">
        <v>0.13</v>
      </c>
      <c r="AV200" s="565" t="str">
        <f>VLOOKUP(LEFT(AB200,10),Törzsszám!$A$1:$B$908,2,0)</f>
        <v>10001303</v>
      </c>
      <c r="AW200" s="615">
        <f t="shared" ca="1" si="311"/>
        <v>0</v>
      </c>
      <c r="AX200" s="471" t="s">
        <v>251</v>
      </c>
      <c r="AY200" s="486"/>
      <c r="AZ200" s="502" t="s">
        <v>4607</v>
      </c>
      <c r="BA200" s="671">
        <v>210000</v>
      </c>
      <c r="BB200" s="649">
        <v>27300</v>
      </c>
      <c r="BC200" s="649">
        <f t="shared" ca="1" si="505"/>
        <v>0</v>
      </c>
      <c r="BD200" s="672">
        <f t="shared" ca="1" si="505"/>
        <v>0</v>
      </c>
      <c r="BE200" s="450" t="s">
        <v>144</v>
      </c>
    </row>
    <row r="201" spans="1:57" s="457" customFormat="1" ht="31.5" x14ac:dyDescent="0.25">
      <c r="A201" s="694" t="str">
        <f ca="1">Bérköltség!$B201</f>
        <v>FEOR</v>
      </c>
      <c r="B201" s="694" t="str">
        <f ca="1">IFERROR(
IF(AND(Bérköltség!$F201="",H201="NA"),"HIÁNYOS ADATOK",
IF(Bérköltség!$F201&lt;Bérköltség!$U201,Admin!$B$18,Admin!$B$17)),
"")</f>
        <v>FEOR</v>
      </c>
      <c r="C201" s="437">
        <f>IFERROR(INDEX('Historikus berek_2021-2'!$A$1:$F$903,MATCH(AB201,'Historikus berek_2021-2'!$A$1:$A$903,0),4),"")</f>
        <v>240933.33333333334</v>
      </c>
      <c r="D201" s="438">
        <f t="shared" si="320"/>
        <v>240933.33333333334</v>
      </c>
      <c r="E201" s="437">
        <f t="shared" si="321"/>
        <v>210000</v>
      </c>
      <c r="F201" s="439">
        <f t="shared" si="334"/>
        <v>0</v>
      </c>
      <c r="G201" s="440">
        <f t="shared" si="335"/>
        <v>237299.99999999997</v>
      </c>
      <c r="H201" s="441">
        <f>IFERROR(INDEX('FEOR kodok'!$A$2:$J$1126,MATCH(Bérköltség!AB201,'FEOR kodok'!$B$2:$B$1126,0),8),"NA")</f>
        <v>2169</v>
      </c>
      <c r="I201" s="436">
        <f ca="1">IFERROR(INDEX('FEOR kodok'!$A$2:$J$1126,MATCH(Bérköltség!AB201,'FEOR kodok'!$B$2:$B$1126,0),10),"NA")</f>
        <v>28</v>
      </c>
      <c r="J201" s="442" t="str">
        <f t="shared" ca="1" si="322"/>
        <v>30 év alatt</v>
      </c>
      <c r="K201" s="436" t="str">
        <f>IFERROR(INDEX(admin_feor[#All],MATCH(Bérköltség!H201,admin_feor[[#All],[Foglalkozás]],0),2),"NA")</f>
        <v>Egyéb természettudományi foglalkozású</v>
      </c>
      <c r="L201" s="438">
        <f ca="1">IFERROR(
INDEX('Admin - FEOR'!$A$4:$F$465,MATCH(Bérköltség!H201,'Admin - FEOR'!$A$4:$A$465,0),
IF(J201="30 év alatt",3,
IF(J201="30–39 éves",4,
IF(J201="40–49 éves",5,
IF(J201="50 év és afelett",6
)))))*1,"NA")</f>
        <v>505959</v>
      </c>
      <c r="M201" s="438">
        <f t="shared" si="323"/>
        <v>210000</v>
      </c>
      <c r="N201" s="443">
        <f t="shared" ca="1" si="324"/>
        <v>0.41505339365442656</v>
      </c>
      <c r="O201" s="438">
        <f ca="1">IFERROR(
INDEX('Admin - FEOR'!$A$4:$F$465,MATCH(Bérköltség!H201,'Admin - FEOR'!$A$4:$A$465,0),
IF(J201="30 év alatt",3,
IF(J201="30–39 éves",4,
IF(J201="40–49 éves",5,
IF(J201="50 év és afelett",6
)))))*1.5,"NA")</f>
        <v>758938.5</v>
      </c>
      <c r="P201" s="438">
        <f t="shared" ca="1" si="325"/>
        <v>758938.5</v>
      </c>
      <c r="Q201" s="438">
        <f t="shared" si="326"/>
        <v>210000</v>
      </c>
      <c r="R201" s="444">
        <f t="shared" si="327"/>
        <v>1</v>
      </c>
      <c r="S201" s="438">
        <f t="shared" ca="1" si="328"/>
        <v>0</v>
      </c>
      <c r="T201" s="438">
        <f t="shared" ca="1" si="329"/>
        <v>0</v>
      </c>
      <c r="U201" s="445">
        <f t="shared" ca="1" si="330"/>
        <v>0</v>
      </c>
      <c r="V201" s="446">
        <f t="shared" ca="1" si="331"/>
        <v>237300</v>
      </c>
      <c r="W201" s="447" t="str">
        <f t="shared" ca="1" si="332"/>
        <v>Nem szükséges indoklás.</v>
      </c>
      <c r="X201" s="571">
        <f t="shared" ca="1" si="333"/>
        <v>0</v>
      </c>
      <c r="Y201" s="554">
        <f t="shared" ca="1" si="318"/>
        <v>210000</v>
      </c>
      <c r="Z201" s="554">
        <f t="shared" ca="1" si="319"/>
        <v>27300</v>
      </c>
      <c r="AA201" s="573">
        <v>2</v>
      </c>
      <c r="AB201" s="474">
        <v>8467980052</v>
      </c>
      <c r="AC201" s="449" t="s">
        <v>149</v>
      </c>
      <c r="AD201" s="483" t="s">
        <v>45</v>
      </c>
      <c r="AE201" s="450" t="s">
        <v>22</v>
      </c>
      <c r="AF201" s="247" t="s">
        <v>121</v>
      </c>
      <c r="AG201" s="99" t="s">
        <v>148</v>
      </c>
      <c r="AH201" s="451" t="s">
        <v>131</v>
      </c>
      <c r="AI201" s="154">
        <v>44866</v>
      </c>
      <c r="AJ201" s="100" t="str">
        <f>IF(AI201&gt;0,
(IF(AI201&lt;Hónapok!$A$10,Admin!$A$28,
(IF(AI201&lt;Hónapok!$A$22,Admin!$B$28,
(IF(AI201&lt;Hónapok!$A$34,Admin!$C$28,
(IF(AI201&lt;Hónapok!$A$46,Admin!$D$28,"")))))))),"")</f>
        <v>2. mérföldkő</v>
      </c>
      <c r="AK201" s="469" t="s">
        <v>7</v>
      </c>
      <c r="AL201" s="101" t="s">
        <v>26</v>
      </c>
      <c r="AM201" s="900">
        <v>210000</v>
      </c>
      <c r="AN201" s="860">
        <f t="shared" si="410"/>
        <v>27300</v>
      </c>
      <c r="AO201" s="101">
        <v>87</v>
      </c>
      <c r="AP201" s="111">
        <v>87</v>
      </c>
      <c r="AQ201" s="454">
        <f t="shared" si="313"/>
        <v>1</v>
      </c>
      <c r="AR201" s="455">
        <f t="shared" si="314"/>
        <v>210000</v>
      </c>
      <c r="AS201" s="455">
        <f t="shared" si="315"/>
        <v>27300</v>
      </c>
      <c r="AT201" s="102">
        <f t="shared" si="316"/>
        <v>0</v>
      </c>
      <c r="AU201" s="116">
        <v>0.13</v>
      </c>
      <c r="AV201" s="565" t="str">
        <f>VLOOKUP(LEFT(AB201,10),Törzsszám!$A$1:$B$908,2,0)</f>
        <v>10001303</v>
      </c>
      <c r="AW201" s="615">
        <f t="shared" ca="1" si="311"/>
        <v>0</v>
      </c>
      <c r="AX201" s="537" t="s">
        <v>260</v>
      </c>
      <c r="AY201" s="486"/>
      <c r="AZ201" s="502" t="s">
        <v>4607</v>
      </c>
      <c r="BA201" s="671">
        <v>210000</v>
      </c>
      <c r="BB201" s="649">
        <v>27300</v>
      </c>
      <c r="BC201" s="649">
        <f t="shared" ca="1" si="505"/>
        <v>0</v>
      </c>
      <c r="BD201" s="672">
        <f t="shared" ca="1" si="505"/>
        <v>0</v>
      </c>
      <c r="BE201" s="450" t="s">
        <v>144</v>
      </c>
    </row>
    <row r="202" spans="1:57" s="457" customFormat="1" ht="31.5" x14ac:dyDescent="0.25">
      <c r="A202" s="694" t="str">
        <f ca="1">Bérköltség!$B202</f>
        <v>FEOR</v>
      </c>
      <c r="B202" s="694" t="str">
        <f ca="1">IFERROR(
IF(AND(Bérköltség!$F202="",H202="NA"),"HIÁNYOS ADATOK",
IF(Bérköltség!$F202&lt;Bérköltség!$U202,Admin!$B$18,Admin!$B$17)),
"")</f>
        <v>FEOR</v>
      </c>
      <c r="C202" s="437">
        <f>IFERROR(INDEX('Historikus berek_2021-2'!$A$1:$F$903,MATCH(AB202,'Historikus berek_2021-2'!$A$1:$A$903,0),4),"")</f>
        <v>240933.33333333334</v>
      </c>
      <c r="D202" s="438">
        <f t="shared" si="320"/>
        <v>240933.33333333334</v>
      </c>
      <c r="E202" s="437">
        <f t="shared" si="321"/>
        <v>210000</v>
      </c>
      <c r="F202" s="439">
        <f t="shared" si="334"/>
        <v>0</v>
      </c>
      <c r="G202" s="440">
        <f t="shared" si="335"/>
        <v>237299.99999999997</v>
      </c>
      <c r="H202" s="441">
        <f>IFERROR(INDEX('FEOR kodok'!$A$2:$J$1126,MATCH(Bérköltség!AB202,'FEOR kodok'!$B$2:$B$1126,0),8),"NA")</f>
        <v>2169</v>
      </c>
      <c r="I202" s="436">
        <f ca="1">IFERROR(INDEX('FEOR kodok'!$A$2:$J$1126,MATCH(Bérköltség!AB202,'FEOR kodok'!$B$2:$B$1126,0),10),"NA")</f>
        <v>28</v>
      </c>
      <c r="J202" s="442" t="str">
        <f t="shared" ca="1" si="322"/>
        <v>30 év alatt</v>
      </c>
      <c r="K202" s="436" t="str">
        <f>IFERROR(INDEX(admin_feor[#All],MATCH(Bérköltség!H202,admin_feor[[#All],[Foglalkozás]],0),2),"NA")</f>
        <v>Egyéb természettudományi foglalkozású</v>
      </c>
      <c r="L202" s="438">
        <f ca="1">IFERROR(
INDEX('Admin - FEOR'!$A$4:$F$465,MATCH(Bérköltség!H202,'Admin - FEOR'!$A$4:$A$465,0),
IF(J202="30 év alatt",3,
IF(J202="30–39 éves",4,
IF(J202="40–49 éves",5,
IF(J202="50 év és afelett",6
)))))*1,"NA")</f>
        <v>505959</v>
      </c>
      <c r="M202" s="438">
        <f t="shared" si="323"/>
        <v>210000</v>
      </c>
      <c r="N202" s="443">
        <f t="shared" ca="1" si="324"/>
        <v>0.41505339365442656</v>
      </c>
      <c r="O202" s="438">
        <f ca="1">IFERROR(
INDEX('Admin - FEOR'!$A$4:$F$465,MATCH(Bérköltség!H202,'Admin - FEOR'!$A$4:$A$465,0),
IF(J202="30 év alatt",3,
IF(J202="30–39 éves",4,
IF(J202="40–49 éves",5,
IF(J202="50 év és afelett",6
)))))*1.5,"NA")</f>
        <v>758938.5</v>
      </c>
      <c r="P202" s="438">
        <f t="shared" ca="1" si="325"/>
        <v>758938.5</v>
      </c>
      <c r="Q202" s="438">
        <f t="shared" si="326"/>
        <v>210000</v>
      </c>
      <c r="R202" s="444">
        <f t="shared" si="327"/>
        <v>1</v>
      </c>
      <c r="S202" s="438">
        <f t="shared" ca="1" si="328"/>
        <v>0</v>
      </c>
      <c r="T202" s="438">
        <f t="shared" ca="1" si="329"/>
        <v>0</v>
      </c>
      <c r="U202" s="445">
        <f t="shared" ca="1" si="330"/>
        <v>0</v>
      </c>
      <c r="V202" s="446">
        <f t="shared" ca="1" si="331"/>
        <v>237300</v>
      </c>
      <c r="W202" s="447" t="str">
        <f t="shared" ca="1" si="332"/>
        <v>Nem szükséges indoklás.</v>
      </c>
      <c r="X202" s="571">
        <f t="shared" ca="1" si="333"/>
        <v>0</v>
      </c>
      <c r="Y202" s="554">
        <f t="shared" ca="1" si="318"/>
        <v>210000</v>
      </c>
      <c r="Z202" s="554">
        <f t="shared" ca="1" si="319"/>
        <v>27300</v>
      </c>
      <c r="AA202" s="573">
        <v>2</v>
      </c>
      <c r="AB202" s="474">
        <v>8467980052</v>
      </c>
      <c r="AC202" s="449" t="s">
        <v>149</v>
      </c>
      <c r="AD202" s="483" t="s">
        <v>45</v>
      </c>
      <c r="AE202" s="450" t="s">
        <v>22</v>
      </c>
      <c r="AF202" s="247" t="s">
        <v>121</v>
      </c>
      <c r="AG202" s="99" t="s">
        <v>148</v>
      </c>
      <c r="AH202" s="451" t="s">
        <v>131</v>
      </c>
      <c r="AI202" s="154">
        <v>44896</v>
      </c>
      <c r="AJ202" s="100" t="str">
        <f>IF(AI202&gt;0,
(IF(AI202&lt;Hónapok!$A$10,Admin!$A$28,
(IF(AI202&lt;Hónapok!$A$22,Admin!$B$28,
(IF(AI202&lt;Hónapok!$A$34,Admin!$C$28,
(IF(AI202&lt;Hónapok!$A$46,Admin!$D$28,"")))))))),"")</f>
        <v>2. mérföldkő</v>
      </c>
      <c r="AK202" s="469" t="s">
        <v>7</v>
      </c>
      <c r="AL202" s="101" t="s">
        <v>26</v>
      </c>
      <c r="AM202" s="900">
        <v>210000</v>
      </c>
      <c r="AN202" s="860">
        <f t="shared" si="410"/>
        <v>27300</v>
      </c>
      <c r="AO202" s="101">
        <v>87</v>
      </c>
      <c r="AP202" s="111">
        <v>87</v>
      </c>
      <c r="AQ202" s="454">
        <f t="shared" si="313"/>
        <v>1</v>
      </c>
      <c r="AR202" s="455">
        <f t="shared" si="314"/>
        <v>210000</v>
      </c>
      <c r="AS202" s="455">
        <f t="shared" si="315"/>
        <v>27300</v>
      </c>
      <c r="AT202" s="102">
        <f t="shared" si="316"/>
        <v>0</v>
      </c>
      <c r="AU202" s="116">
        <v>0.13</v>
      </c>
      <c r="AV202" s="565" t="str">
        <f>VLOOKUP(LEFT(AB202,10),Törzsszám!$A$1:$B$908,2,0)</f>
        <v>10001303</v>
      </c>
      <c r="AW202" s="615">
        <f t="shared" ca="1" si="311"/>
        <v>0</v>
      </c>
      <c r="AX202" s="471" t="s">
        <v>262</v>
      </c>
      <c r="AY202" s="486"/>
      <c r="AZ202" s="502" t="s">
        <v>4607</v>
      </c>
      <c r="BA202" s="671">
        <v>210000</v>
      </c>
      <c r="BB202" s="649">
        <v>27300</v>
      </c>
      <c r="BC202" s="649">
        <f t="shared" ca="1" si="505"/>
        <v>0</v>
      </c>
      <c r="BD202" s="672">
        <f t="shared" ca="1" si="505"/>
        <v>0</v>
      </c>
      <c r="BE202" s="450" t="s">
        <v>144</v>
      </c>
    </row>
    <row r="203" spans="1:57" s="457" customFormat="1" ht="31.5" x14ac:dyDescent="0.25">
      <c r="A203" s="694" t="str">
        <f ca="1">Bérköltség!$B203</f>
        <v>FEOR</v>
      </c>
      <c r="B203" s="694" t="str">
        <f ca="1">IFERROR(
IF(AND(Bérköltség!$F203="",H203="NA"),"HIÁNYOS ADATOK",
IF(Bérköltség!$F203&lt;Bérköltség!$U203,Admin!$B$18,Admin!$B$17)),
"")</f>
        <v>FEOR</v>
      </c>
      <c r="C203" s="437">
        <f>IFERROR(INDEX('Historikus berek_2021-2'!$A$1:$F$903,MATCH(AB203,'Historikus berek_2021-2'!$A$1:$A$903,0),4),"")</f>
        <v>240933.33333333334</v>
      </c>
      <c r="D203" s="438">
        <f t="shared" si="320"/>
        <v>240933.33333333334</v>
      </c>
      <c r="E203" s="437">
        <f t="shared" si="321"/>
        <v>210000</v>
      </c>
      <c r="F203" s="439">
        <f t="shared" si="334"/>
        <v>0</v>
      </c>
      <c r="G203" s="440">
        <f t="shared" si="335"/>
        <v>237299.99999999997</v>
      </c>
      <c r="H203" s="441">
        <f>IFERROR(INDEX('FEOR kodok'!$A$2:$J$1126,MATCH(Bérköltség!AB203,'FEOR kodok'!$B$2:$B$1126,0),8),"NA")</f>
        <v>2169</v>
      </c>
      <c r="I203" s="436">
        <f ca="1">IFERROR(INDEX('FEOR kodok'!$A$2:$J$1126,MATCH(Bérköltség!AB203,'FEOR kodok'!$B$2:$B$1126,0),10),"NA")</f>
        <v>28</v>
      </c>
      <c r="J203" s="442" t="str">
        <f t="shared" ca="1" si="322"/>
        <v>30 év alatt</v>
      </c>
      <c r="K203" s="436" t="str">
        <f>IFERROR(INDEX(admin_feor[#All],MATCH(Bérköltség!H203,admin_feor[[#All],[Foglalkozás]],0),2),"NA")</f>
        <v>Egyéb természettudományi foglalkozású</v>
      </c>
      <c r="L203" s="438">
        <f ca="1">IFERROR(
INDEX('Admin - FEOR'!$A$4:$F$465,MATCH(Bérköltség!H203,'Admin - FEOR'!$A$4:$A$465,0),
IF(J203="30 év alatt",3,
IF(J203="30–39 éves",4,
IF(J203="40–49 éves",5,
IF(J203="50 év és afelett",6
)))))*1,"NA")</f>
        <v>505959</v>
      </c>
      <c r="M203" s="438">
        <f t="shared" si="323"/>
        <v>210000</v>
      </c>
      <c r="N203" s="443">
        <f t="shared" ca="1" si="324"/>
        <v>0.41505339365442656</v>
      </c>
      <c r="O203" s="438">
        <f ca="1">IFERROR(
INDEX('Admin - FEOR'!$A$4:$F$465,MATCH(Bérköltség!H203,'Admin - FEOR'!$A$4:$A$465,0),
IF(J203="30 év alatt",3,
IF(J203="30–39 éves",4,
IF(J203="40–49 éves",5,
IF(J203="50 év és afelett",6
)))))*1.5,"NA")</f>
        <v>758938.5</v>
      </c>
      <c r="P203" s="438">
        <f t="shared" ca="1" si="325"/>
        <v>758938.5</v>
      </c>
      <c r="Q203" s="438">
        <f t="shared" si="326"/>
        <v>210000</v>
      </c>
      <c r="R203" s="444">
        <f t="shared" si="327"/>
        <v>1</v>
      </c>
      <c r="S203" s="438">
        <f t="shared" ca="1" si="328"/>
        <v>0</v>
      </c>
      <c r="T203" s="438">
        <f t="shared" ca="1" si="329"/>
        <v>0</v>
      </c>
      <c r="U203" s="445">
        <f t="shared" ca="1" si="330"/>
        <v>0</v>
      </c>
      <c r="V203" s="446">
        <f t="shared" ca="1" si="331"/>
        <v>237300</v>
      </c>
      <c r="W203" s="447" t="str">
        <f t="shared" ca="1" si="332"/>
        <v>Nem szükséges indoklás.</v>
      </c>
      <c r="X203" s="571">
        <f t="shared" ca="1" si="333"/>
        <v>0</v>
      </c>
      <c r="Y203" s="554">
        <f t="shared" ca="1" si="318"/>
        <v>210000</v>
      </c>
      <c r="Z203" s="554">
        <f t="shared" ca="1" si="319"/>
        <v>27300</v>
      </c>
      <c r="AA203" s="573">
        <v>2</v>
      </c>
      <c r="AB203" s="474">
        <v>8467980052</v>
      </c>
      <c r="AC203" s="449" t="s">
        <v>149</v>
      </c>
      <c r="AD203" s="482" t="s">
        <v>45</v>
      </c>
      <c r="AE203" s="450" t="s">
        <v>22</v>
      </c>
      <c r="AF203" s="247" t="s">
        <v>121</v>
      </c>
      <c r="AG203" s="99" t="s">
        <v>148</v>
      </c>
      <c r="AH203" s="451" t="s">
        <v>131</v>
      </c>
      <c r="AI203" s="154">
        <v>44927</v>
      </c>
      <c r="AJ203" s="100" t="str">
        <f>IF(AI203&gt;0,
(IF(AI203&lt;Hónapok!$A$10,Admin!$A$28,
(IF(AI203&lt;Hónapok!$A$22,Admin!$B$28,
(IF(AI203&lt;Hónapok!$A$34,Admin!$C$28,
(IF(AI203&lt;Hónapok!$A$46,Admin!$D$28,"")))))))),"")</f>
        <v>2. mérföldkő</v>
      </c>
      <c r="AK203" s="469" t="s">
        <v>7</v>
      </c>
      <c r="AL203" s="101" t="s">
        <v>26</v>
      </c>
      <c r="AM203" s="900">
        <v>210000</v>
      </c>
      <c r="AN203" s="860">
        <f t="shared" si="410"/>
        <v>27300</v>
      </c>
      <c r="AO203" s="101">
        <v>87</v>
      </c>
      <c r="AP203" s="111">
        <v>87</v>
      </c>
      <c r="AQ203" s="454">
        <f t="shared" si="313"/>
        <v>1</v>
      </c>
      <c r="AR203" s="455">
        <f t="shared" si="314"/>
        <v>210000</v>
      </c>
      <c r="AS203" s="455">
        <f t="shared" si="315"/>
        <v>27300</v>
      </c>
      <c r="AT203" s="102">
        <f t="shared" si="316"/>
        <v>0</v>
      </c>
      <c r="AU203" s="116">
        <v>0.13</v>
      </c>
      <c r="AV203" s="565" t="str">
        <f>VLOOKUP(LEFT(AB203,10),Törzsszám!$A$1:$B$908,2,0)</f>
        <v>10001303</v>
      </c>
      <c r="AW203" s="615">
        <f t="shared" ca="1" si="311"/>
        <v>0</v>
      </c>
      <c r="AX203" s="479" t="s">
        <v>2518</v>
      </c>
      <c r="AY203" s="502"/>
      <c r="AZ203" s="502" t="s">
        <v>4607</v>
      </c>
      <c r="BA203" s="671">
        <v>210000</v>
      </c>
      <c r="BB203" s="649">
        <v>27300</v>
      </c>
      <c r="BC203" s="649">
        <f t="shared" ca="1" si="505"/>
        <v>0</v>
      </c>
      <c r="BD203" s="672">
        <f t="shared" ca="1" si="505"/>
        <v>0</v>
      </c>
      <c r="BE203" s="450" t="s">
        <v>144</v>
      </c>
    </row>
    <row r="204" spans="1:57" s="457" customFormat="1" ht="31.5" x14ac:dyDescent="0.25">
      <c r="A204" s="694" t="str">
        <f ca="1">Bérköltség!$B204</f>
        <v>FEOR</v>
      </c>
      <c r="B204" s="694" t="str">
        <f ca="1">IFERROR(
IF(AND(Bérköltség!$F204="",H204="NA"),"HIÁNYOS ADATOK",
IF(Bérköltség!$F204&lt;Bérköltség!$U204,Admin!$B$18,Admin!$B$17)),
"")</f>
        <v>FEOR</v>
      </c>
      <c r="C204" s="437">
        <f>IFERROR(INDEX('Historikus berek_2021-2'!$A$1:$F$903,MATCH(AB204,'Historikus berek_2021-2'!$A$1:$A$903,0),4),"")</f>
        <v>240933.33333333334</v>
      </c>
      <c r="D204" s="438">
        <f t="shared" si="320"/>
        <v>240933.33333333334</v>
      </c>
      <c r="E204" s="437">
        <f t="shared" si="321"/>
        <v>210000</v>
      </c>
      <c r="F204" s="439">
        <f t="shared" si="334"/>
        <v>0</v>
      </c>
      <c r="G204" s="440">
        <f t="shared" si="335"/>
        <v>237299.99999999997</v>
      </c>
      <c r="H204" s="441">
        <f>IFERROR(INDEX('FEOR kodok'!$A$2:$J$1126,MATCH(Bérköltség!AB204,'FEOR kodok'!$B$2:$B$1126,0),8),"NA")</f>
        <v>2169</v>
      </c>
      <c r="I204" s="436">
        <f ca="1">IFERROR(INDEX('FEOR kodok'!$A$2:$J$1126,MATCH(Bérköltség!AB204,'FEOR kodok'!$B$2:$B$1126,0),10),"NA")</f>
        <v>28</v>
      </c>
      <c r="J204" s="442" t="str">
        <f t="shared" ca="1" si="322"/>
        <v>30 év alatt</v>
      </c>
      <c r="K204" s="436" t="str">
        <f>IFERROR(INDEX(admin_feor[#All],MATCH(Bérköltség!H204,admin_feor[[#All],[Foglalkozás]],0),2),"NA")</f>
        <v>Egyéb természettudományi foglalkozású</v>
      </c>
      <c r="L204" s="438">
        <f ca="1">IFERROR(
INDEX('Admin - FEOR'!$A$4:$F$465,MATCH(Bérköltség!H204,'Admin - FEOR'!$A$4:$A$465,0),
IF(J204="30 év alatt",3,
IF(J204="30–39 éves",4,
IF(J204="40–49 éves",5,
IF(J204="50 év és afelett",6
)))))*1,"NA")</f>
        <v>505959</v>
      </c>
      <c r="M204" s="438">
        <f t="shared" si="323"/>
        <v>210000</v>
      </c>
      <c r="N204" s="443">
        <f t="shared" ca="1" si="324"/>
        <v>0.41505339365442656</v>
      </c>
      <c r="O204" s="438">
        <f ca="1">IFERROR(
INDEX('Admin - FEOR'!$A$4:$F$465,MATCH(Bérköltség!H204,'Admin - FEOR'!$A$4:$A$465,0),
IF(J204="30 év alatt",3,
IF(J204="30–39 éves",4,
IF(J204="40–49 éves",5,
IF(J204="50 év és afelett",6
)))))*1.5,"NA")</f>
        <v>758938.5</v>
      </c>
      <c r="P204" s="438">
        <f t="shared" ca="1" si="325"/>
        <v>758938.5</v>
      </c>
      <c r="Q204" s="438">
        <f t="shared" si="326"/>
        <v>210000</v>
      </c>
      <c r="R204" s="444">
        <f t="shared" si="327"/>
        <v>1</v>
      </c>
      <c r="S204" s="438">
        <f t="shared" ca="1" si="328"/>
        <v>0</v>
      </c>
      <c r="T204" s="438">
        <f t="shared" ca="1" si="329"/>
        <v>0</v>
      </c>
      <c r="U204" s="445">
        <f t="shared" ca="1" si="330"/>
        <v>0</v>
      </c>
      <c r="V204" s="446">
        <f t="shared" ca="1" si="331"/>
        <v>237300</v>
      </c>
      <c r="W204" s="447" t="str">
        <f t="shared" ca="1" si="332"/>
        <v>Nem szükséges indoklás.</v>
      </c>
      <c r="X204" s="571">
        <f t="shared" ca="1" si="333"/>
        <v>0</v>
      </c>
      <c r="Y204" s="554">
        <f t="shared" ca="1" si="318"/>
        <v>210000</v>
      </c>
      <c r="Z204" s="554">
        <f t="shared" ca="1" si="319"/>
        <v>27300</v>
      </c>
      <c r="AA204" s="101"/>
      <c r="AB204" s="474">
        <v>8467980052</v>
      </c>
      <c r="AC204" s="449" t="s">
        <v>149</v>
      </c>
      <c r="AD204" s="482" t="s">
        <v>45</v>
      </c>
      <c r="AE204" s="450" t="s">
        <v>22</v>
      </c>
      <c r="AF204" s="247" t="s">
        <v>121</v>
      </c>
      <c r="AG204" s="99" t="s">
        <v>148</v>
      </c>
      <c r="AH204" s="451" t="s">
        <v>131</v>
      </c>
      <c r="AI204" s="154">
        <v>44958</v>
      </c>
      <c r="AJ204" s="100" t="str">
        <f>IF(AI204&gt;0,
(IF(AI204&lt;Hónapok!$A$10,Admin!$A$28,
(IF(AI204&lt;Hónapok!$A$22,Admin!$B$28,
(IF(AI204&lt;Hónapok!$A$34,Admin!$C$28,
(IF(AI204&lt;Hónapok!$A$46,Admin!$D$28,"")))))))),"")</f>
        <v>2. mérföldkő</v>
      </c>
      <c r="AK204" s="469" t="s">
        <v>7</v>
      </c>
      <c r="AL204" s="101" t="s">
        <v>26</v>
      </c>
      <c r="AM204" s="900">
        <v>210000</v>
      </c>
      <c r="AN204" s="860">
        <f t="shared" si="410"/>
        <v>27300</v>
      </c>
      <c r="AO204" s="101">
        <v>87</v>
      </c>
      <c r="AP204" s="111">
        <v>87</v>
      </c>
      <c r="AQ204" s="454">
        <f t="shared" si="313"/>
        <v>1</v>
      </c>
      <c r="AR204" s="455">
        <f t="shared" si="314"/>
        <v>210000</v>
      </c>
      <c r="AS204" s="455">
        <f t="shared" si="315"/>
        <v>27300</v>
      </c>
      <c r="AT204" s="102">
        <f t="shared" si="316"/>
        <v>0</v>
      </c>
      <c r="AU204" s="116">
        <v>0.13</v>
      </c>
      <c r="AV204" s="565" t="str">
        <f>VLOOKUP(LEFT(AB204,10),Törzsszám!$A$1:$B$908,2,0)</f>
        <v>10001303</v>
      </c>
      <c r="AW204" s="615">
        <f t="shared" ca="1" si="311"/>
        <v>0</v>
      </c>
      <c r="AX204" s="537" t="s">
        <v>4557</v>
      </c>
      <c r="AY204" s="486"/>
      <c r="AZ204" s="502"/>
      <c r="BA204" s="671"/>
      <c r="BB204" s="649"/>
      <c r="BC204" s="649"/>
      <c r="BD204" s="672"/>
      <c r="BE204" s="450" t="s">
        <v>144</v>
      </c>
    </row>
    <row r="205" spans="1:57" s="457" customFormat="1" ht="31.5" x14ac:dyDescent="0.25">
      <c r="A205" s="694" t="str">
        <f ca="1">Bérköltség!$B205</f>
        <v>FEOR</v>
      </c>
      <c r="B205" s="694" t="str">
        <f ca="1">IFERROR(
IF(AND(Bérköltség!$F205="",H205="NA"),"HIÁNYOS ADATOK",
IF(Bérköltség!$F205&lt;Bérköltség!$U205,Admin!$B$18,Admin!$B$17)),
"")</f>
        <v>FEOR</v>
      </c>
      <c r="C205" s="437">
        <f>IFERROR(INDEX('Historikus berek_2021-2'!$A$1:$F$903,MATCH(AB205,'Historikus berek_2021-2'!$A$1:$A$903,0),4),"")</f>
        <v>240933.33333333334</v>
      </c>
      <c r="D205" s="438">
        <f t="shared" si="320"/>
        <v>240933.33333333334</v>
      </c>
      <c r="E205" s="437">
        <f t="shared" si="321"/>
        <v>210000</v>
      </c>
      <c r="F205" s="439">
        <f t="shared" si="334"/>
        <v>0</v>
      </c>
      <c r="G205" s="440">
        <f t="shared" si="335"/>
        <v>237299.99999999997</v>
      </c>
      <c r="H205" s="441">
        <f>IFERROR(INDEX('FEOR kodok'!$A$2:$J$1126,MATCH(Bérköltség!AB205,'FEOR kodok'!$B$2:$B$1126,0),8),"NA")</f>
        <v>2169</v>
      </c>
      <c r="I205" s="436">
        <f ca="1">IFERROR(INDEX('FEOR kodok'!$A$2:$J$1126,MATCH(Bérköltség!AB205,'FEOR kodok'!$B$2:$B$1126,0),10),"NA")</f>
        <v>28</v>
      </c>
      <c r="J205" s="442" t="str">
        <f t="shared" ca="1" si="322"/>
        <v>30 év alatt</v>
      </c>
      <c r="K205" s="436" t="str">
        <f>IFERROR(INDEX(admin_feor[#All],MATCH(Bérköltség!H205,admin_feor[[#All],[Foglalkozás]],0),2),"NA")</f>
        <v>Egyéb természettudományi foglalkozású</v>
      </c>
      <c r="L205" s="438">
        <f ca="1">IFERROR(
INDEX('Admin - FEOR'!$A$4:$F$465,MATCH(Bérköltség!H205,'Admin - FEOR'!$A$4:$A$465,0),
IF(J205="30 év alatt",3,
IF(J205="30–39 éves",4,
IF(J205="40–49 éves",5,
IF(J205="50 év és afelett",6
)))))*1,"NA")</f>
        <v>505959</v>
      </c>
      <c r="M205" s="438">
        <f t="shared" si="323"/>
        <v>210000</v>
      </c>
      <c r="N205" s="443">
        <f t="shared" ca="1" si="324"/>
        <v>0.41505339365442656</v>
      </c>
      <c r="O205" s="438">
        <f ca="1">IFERROR(
INDEX('Admin - FEOR'!$A$4:$F$465,MATCH(Bérköltség!H205,'Admin - FEOR'!$A$4:$A$465,0),
IF(J205="30 év alatt",3,
IF(J205="30–39 éves",4,
IF(J205="40–49 éves",5,
IF(J205="50 év és afelett",6
)))))*1.5,"NA")</f>
        <v>758938.5</v>
      </c>
      <c r="P205" s="438">
        <f t="shared" ca="1" si="325"/>
        <v>758938.5</v>
      </c>
      <c r="Q205" s="438">
        <f t="shared" si="326"/>
        <v>210000</v>
      </c>
      <c r="R205" s="444">
        <f t="shared" si="327"/>
        <v>1</v>
      </c>
      <c r="S205" s="438">
        <f t="shared" ca="1" si="328"/>
        <v>0</v>
      </c>
      <c r="T205" s="438">
        <f t="shared" ca="1" si="329"/>
        <v>0</v>
      </c>
      <c r="U205" s="445">
        <f t="shared" ca="1" si="330"/>
        <v>0</v>
      </c>
      <c r="V205" s="446">
        <f t="shared" ca="1" si="331"/>
        <v>237300</v>
      </c>
      <c r="W205" s="447" t="str">
        <f t="shared" ca="1" si="332"/>
        <v>Nem szükséges indoklás.</v>
      </c>
      <c r="X205" s="571">
        <f t="shared" ca="1" si="333"/>
        <v>0</v>
      </c>
      <c r="Y205" s="554">
        <f t="shared" ca="1" si="318"/>
        <v>210000</v>
      </c>
      <c r="Z205" s="554">
        <f t="shared" ca="1" si="319"/>
        <v>27300</v>
      </c>
      <c r="AA205" s="101"/>
      <c r="AB205" s="474">
        <v>8467980052</v>
      </c>
      <c r="AC205" s="449" t="s">
        <v>149</v>
      </c>
      <c r="AD205" s="483" t="s">
        <v>45</v>
      </c>
      <c r="AE205" s="450" t="s">
        <v>22</v>
      </c>
      <c r="AF205" s="247" t="s">
        <v>121</v>
      </c>
      <c r="AG205" s="99" t="s">
        <v>148</v>
      </c>
      <c r="AH205" s="451" t="s">
        <v>131</v>
      </c>
      <c r="AI205" s="154">
        <v>44986</v>
      </c>
      <c r="AJ205" s="100" t="str">
        <f>IF(AI205&gt;0,
(IF(AI205&lt;Hónapok!$A$10,Admin!$A$28,
(IF(AI205&lt;Hónapok!$A$22,Admin!$B$28,
(IF(AI205&lt;Hónapok!$A$34,Admin!$C$28,
(IF(AI205&lt;Hónapok!$A$46,Admin!$D$28,"")))))))),"")</f>
        <v>3. mérföldkő</v>
      </c>
      <c r="AK205" s="470" t="s">
        <v>7</v>
      </c>
      <c r="AL205" s="101" t="s">
        <v>26</v>
      </c>
      <c r="AM205" s="900">
        <v>210000</v>
      </c>
      <c r="AN205" s="860">
        <f t="shared" si="410"/>
        <v>27300</v>
      </c>
      <c r="AO205" s="101">
        <v>87</v>
      </c>
      <c r="AP205" s="111">
        <v>87</v>
      </c>
      <c r="AQ205" s="454">
        <f t="shared" si="313"/>
        <v>1</v>
      </c>
      <c r="AR205" s="455">
        <f t="shared" si="314"/>
        <v>210000</v>
      </c>
      <c r="AS205" s="455">
        <f t="shared" si="315"/>
        <v>27300</v>
      </c>
      <c r="AT205" s="102">
        <f t="shared" si="316"/>
        <v>0</v>
      </c>
      <c r="AU205" s="116">
        <v>0.13</v>
      </c>
      <c r="AV205" s="565" t="str">
        <f>VLOOKUP(LEFT(AB205,10),Törzsszám!$A$1:$B$908,2,0)</f>
        <v>10001303</v>
      </c>
      <c r="AW205" s="615">
        <f t="shared" ca="1" si="311"/>
        <v>0</v>
      </c>
      <c r="AX205" s="468" t="s">
        <v>4561</v>
      </c>
      <c r="AY205" s="502"/>
      <c r="AZ205" s="502"/>
      <c r="BA205" s="671"/>
      <c r="BB205" s="649"/>
      <c r="BC205" s="649"/>
      <c r="BD205" s="672"/>
      <c r="BE205" s="450" t="s">
        <v>144</v>
      </c>
    </row>
    <row r="206" spans="1:57" s="457" customFormat="1" ht="31.5" x14ac:dyDescent="0.25">
      <c r="A206" s="694" t="str">
        <f ca="1">Bérköltség!$B206</f>
        <v>FEOR</v>
      </c>
      <c r="B206" s="694" t="str">
        <f ca="1">IFERROR(
IF(AND(Bérköltség!$F206="",H206="NA"),"HIÁNYOS ADATOK",
IF(Bérköltség!$F206&lt;Bérköltség!$U206,Admin!$B$18,Admin!$B$17)),
"")</f>
        <v>FEOR</v>
      </c>
      <c r="C206" s="437">
        <f>IFERROR(INDEX('Historikus berek_2021-2'!$A$1:$F$903,MATCH(AB206,'Historikus berek_2021-2'!$A$1:$A$903,0),4),"")</f>
        <v>240933.33333333334</v>
      </c>
      <c r="D206" s="438">
        <f t="shared" si="320"/>
        <v>240933.33333333334</v>
      </c>
      <c r="E206" s="437">
        <f t="shared" si="321"/>
        <v>210000</v>
      </c>
      <c r="F206" s="439">
        <f t="shared" si="334"/>
        <v>0</v>
      </c>
      <c r="G206" s="440">
        <f t="shared" si="335"/>
        <v>237299.99999999997</v>
      </c>
      <c r="H206" s="441">
        <f>IFERROR(INDEX('FEOR kodok'!$A$2:$J$1126,MATCH(Bérköltség!AB206,'FEOR kodok'!$B$2:$B$1126,0),8),"NA")</f>
        <v>2169</v>
      </c>
      <c r="I206" s="436">
        <f ca="1">IFERROR(INDEX('FEOR kodok'!$A$2:$J$1126,MATCH(Bérköltség!AB206,'FEOR kodok'!$B$2:$B$1126,0),10),"NA")</f>
        <v>28</v>
      </c>
      <c r="J206" s="442" t="str">
        <f t="shared" ca="1" si="322"/>
        <v>30 év alatt</v>
      </c>
      <c r="K206" s="436" t="str">
        <f>IFERROR(INDEX(admin_feor[#All],MATCH(Bérköltség!H206,admin_feor[[#All],[Foglalkozás]],0),2),"NA")</f>
        <v>Egyéb természettudományi foglalkozású</v>
      </c>
      <c r="L206" s="438">
        <f ca="1">IFERROR(
INDEX('Admin - FEOR'!$A$4:$F$465,MATCH(Bérköltség!H206,'Admin - FEOR'!$A$4:$A$465,0),
IF(J206="30 év alatt",3,
IF(J206="30–39 éves",4,
IF(J206="40–49 éves",5,
IF(J206="50 év és afelett",6
)))))*1,"NA")</f>
        <v>505959</v>
      </c>
      <c r="M206" s="438">
        <f t="shared" si="323"/>
        <v>210000</v>
      </c>
      <c r="N206" s="443">
        <f t="shared" ca="1" si="324"/>
        <v>0.41505339365442656</v>
      </c>
      <c r="O206" s="438">
        <f ca="1">IFERROR(
INDEX('Admin - FEOR'!$A$4:$F$465,MATCH(Bérköltség!H206,'Admin - FEOR'!$A$4:$A$465,0),
IF(J206="30 év alatt",3,
IF(J206="30–39 éves",4,
IF(J206="40–49 éves",5,
IF(J206="50 év és afelett",6
)))))*1.5,"NA")</f>
        <v>758938.5</v>
      </c>
      <c r="P206" s="438">
        <f t="shared" ca="1" si="325"/>
        <v>758938.5</v>
      </c>
      <c r="Q206" s="438">
        <f t="shared" si="326"/>
        <v>210000</v>
      </c>
      <c r="R206" s="444">
        <f t="shared" si="327"/>
        <v>1</v>
      </c>
      <c r="S206" s="438">
        <f t="shared" ca="1" si="328"/>
        <v>0</v>
      </c>
      <c r="T206" s="438">
        <f t="shared" ca="1" si="329"/>
        <v>0</v>
      </c>
      <c r="U206" s="445">
        <f t="shared" ca="1" si="330"/>
        <v>0</v>
      </c>
      <c r="V206" s="446">
        <f t="shared" ca="1" si="331"/>
        <v>237300</v>
      </c>
      <c r="W206" s="447" t="str">
        <f t="shared" ca="1" si="332"/>
        <v>Nem szükséges indoklás.</v>
      </c>
      <c r="X206" s="571">
        <f t="shared" ca="1" si="333"/>
        <v>0</v>
      </c>
      <c r="Y206" s="554">
        <f t="shared" ca="1" si="318"/>
        <v>210000</v>
      </c>
      <c r="Z206" s="554">
        <f t="shared" ca="1" si="319"/>
        <v>27300</v>
      </c>
      <c r="AA206" s="101"/>
      <c r="AB206" s="474">
        <v>8467980052</v>
      </c>
      <c r="AC206" s="449" t="s">
        <v>149</v>
      </c>
      <c r="AD206" s="483" t="s">
        <v>45</v>
      </c>
      <c r="AE206" s="450" t="s">
        <v>22</v>
      </c>
      <c r="AF206" s="247" t="s">
        <v>121</v>
      </c>
      <c r="AG206" s="99" t="s">
        <v>148</v>
      </c>
      <c r="AH206" s="451" t="s">
        <v>131</v>
      </c>
      <c r="AI206" s="154">
        <v>45017</v>
      </c>
      <c r="AJ206" s="100" t="str">
        <f>IF(AI206&gt;0,
(IF(AI206&lt;Hónapok!$A$10,Admin!$A$28,
(IF(AI206&lt;Hónapok!$A$22,Admin!$B$28,
(IF(AI206&lt;Hónapok!$A$34,Admin!$C$28,
(IF(AI206&lt;Hónapok!$A$46,Admin!$D$28,"")))))))),"")</f>
        <v>3. mérföldkő</v>
      </c>
      <c r="AK206" s="469" t="s">
        <v>7</v>
      </c>
      <c r="AL206" s="101" t="s">
        <v>26</v>
      </c>
      <c r="AM206" s="900">
        <v>210000</v>
      </c>
      <c r="AN206" s="860">
        <f t="shared" si="410"/>
        <v>27300</v>
      </c>
      <c r="AO206" s="101">
        <v>87</v>
      </c>
      <c r="AP206" s="111">
        <v>87</v>
      </c>
      <c r="AQ206" s="454">
        <f t="shared" si="313"/>
        <v>1</v>
      </c>
      <c r="AR206" s="455">
        <f t="shared" si="314"/>
        <v>210000</v>
      </c>
      <c r="AS206" s="455">
        <f t="shared" si="315"/>
        <v>27300</v>
      </c>
      <c r="AT206" s="102">
        <f t="shared" si="316"/>
        <v>0</v>
      </c>
      <c r="AU206" s="116">
        <v>0.13</v>
      </c>
      <c r="AV206" s="565" t="str">
        <f>VLOOKUP(LEFT(AB206,10),Törzsszám!$A$1:$B$908,2,0)</f>
        <v>10001303</v>
      </c>
      <c r="AW206" s="615">
        <f t="shared" ca="1" si="311"/>
        <v>0</v>
      </c>
      <c r="AX206" s="471" t="s">
        <v>4581</v>
      </c>
      <c r="AY206" s="486"/>
      <c r="AZ206" s="502"/>
      <c r="BA206" s="671"/>
      <c r="BB206" s="649"/>
      <c r="BC206" s="649"/>
      <c r="BD206" s="672"/>
      <c r="BE206" s="450" t="s">
        <v>144</v>
      </c>
    </row>
    <row r="207" spans="1:57" s="457" customFormat="1" ht="31.5" x14ac:dyDescent="0.25">
      <c r="A207" s="694" t="str">
        <f ca="1">Bérköltség!$B207</f>
        <v>FEOR</v>
      </c>
      <c r="B207" s="694" t="str">
        <f ca="1">IFERROR(
IF(AND(Bérköltség!$F207="",H207="NA"),"HIÁNYOS ADATOK",
IF(Bérköltség!$F207&lt;Bérköltség!$U207,Admin!$B$18,Admin!$B$17)),
"")</f>
        <v>FEOR</v>
      </c>
      <c r="C207" s="437">
        <f>IFERROR(INDEX('Historikus berek_2021-2'!$A$1:$F$903,MATCH(AB207,'Historikus berek_2021-2'!$A$1:$A$903,0),4),"")</f>
        <v>240933.33333333334</v>
      </c>
      <c r="D207" s="438">
        <f t="shared" si="320"/>
        <v>240933.33333333334</v>
      </c>
      <c r="E207" s="437">
        <f t="shared" si="321"/>
        <v>210000</v>
      </c>
      <c r="F207" s="439">
        <f t="shared" si="334"/>
        <v>0</v>
      </c>
      <c r="G207" s="440">
        <f t="shared" si="335"/>
        <v>237299.99999999997</v>
      </c>
      <c r="H207" s="441">
        <f>IFERROR(INDEX('FEOR kodok'!$A$2:$J$1126,MATCH(Bérköltség!AB207,'FEOR kodok'!$B$2:$B$1126,0),8),"NA")</f>
        <v>2169</v>
      </c>
      <c r="I207" s="436">
        <f ca="1">IFERROR(INDEX('FEOR kodok'!$A$2:$J$1126,MATCH(Bérköltség!AB207,'FEOR kodok'!$B$2:$B$1126,0),10),"NA")</f>
        <v>28</v>
      </c>
      <c r="J207" s="442" t="str">
        <f t="shared" ca="1" si="322"/>
        <v>30 év alatt</v>
      </c>
      <c r="K207" s="436" t="str">
        <f>IFERROR(INDEX(admin_feor[#All],MATCH(Bérköltség!H207,admin_feor[[#All],[Foglalkozás]],0),2),"NA")</f>
        <v>Egyéb természettudományi foglalkozású</v>
      </c>
      <c r="L207" s="438">
        <f ca="1">IFERROR(
INDEX('Admin - FEOR'!$A$4:$F$465,MATCH(Bérköltség!H207,'Admin - FEOR'!$A$4:$A$465,0),
IF(J207="30 év alatt",3,
IF(J207="30–39 éves",4,
IF(J207="40–49 éves",5,
IF(J207="50 év és afelett",6
)))))*1,"NA")</f>
        <v>505959</v>
      </c>
      <c r="M207" s="438">
        <f t="shared" si="323"/>
        <v>210000</v>
      </c>
      <c r="N207" s="443">
        <f t="shared" ca="1" si="324"/>
        <v>0.41505339365442656</v>
      </c>
      <c r="O207" s="438">
        <f ca="1">IFERROR(
INDEX('Admin - FEOR'!$A$4:$F$465,MATCH(Bérköltség!H207,'Admin - FEOR'!$A$4:$A$465,0),
IF(J207="30 év alatt",3,
IF(J207="30–39 éves",4,
IF(J207="40–49 éves",5,
IF(J207="50 év és afelett",6
)))))*1.5,"NA")</f>
        <v>758938.5</v>
      </c>
      <c r="P207" s="438">
        <f t="shared" ca="1" si="325"/>
        <v>758938.5</v>
      </c>
      <c r="Q207" s="438">
        <f t="shared" si="326"/>
        <v>210000</v>
      </c>
      <c r="R207" s="444">
        <f t="shared" si="327"/>
        <v>1</v>
      </c>
      <c r="S207" s="438">
        <f t="shared" ca="1" si="328"/>
        <v>0</v>
      </c>
      <c r="T207" s="438">
        <f t="shared" ca="1" si="329"/>
        <v>0</v>
      </c>
      <c r="U207" s="445">
        <f t="shared" ca="1" si="330"/>
        <v>0</v>
      </c>
      <c r="V207" s="446">
        <f t="shared" ca="1" si="331"/>
        <v>237300</v>
      </c>
      <c r="W207" s="447" t="str">
        <f t="shared" ca="1" si="332"/>
        <v>Nem szükséges indoklás.</v>
      </c>
      <c r="X207" s="571">
        <f t="shared" ca="1" si="333"/>
        <v>0</v>
      </c>
      <c r="Y207" s="554">
        <f t="shared" ca="1" si="318"/>
        <v>210000</v>
      </c>
      <c r="Z207" s="554">
        <f t="shared" ca="1" si="319"/>
        <v>27300</v>
      </c>
      <c r="AA207" s="101"/>
      <c r="AB207" s="474">
        <v>8467980052</v>
      </c>
      <c r="AC207" s="449" t="s">
        <v>149</v>
      </c>
      <c r="AD207" s="483" t="s">
        <v>45</v>
      </c>
      <c r="AE207" s="450" t="s">
        <v>22</v>
      </c>
      <c r="AF207" s="247" t="s">
        <v>121</v>
      </c>
      <c r="AG207" s="99" t="s">
        <v>148</v>
      </c>
      <c r="AH207" s="451" t="s">
        <v>131</v>
      </c>
      <c r="AI207" s="154">
        <v>45047</v>
      </c>
      <c r="AJ207" s="100" t="str">
        <f>IF(AI207&gt;0,
(IF(AI207&lt;Hónapok!$A$10,Admin!$A$28,
(IF(AI207&lt;Hónapok!$A$22,Admin!$B$28,
(IF(AI207&lt;Hónapok!$A$34,Admin!$C$28,
(IF(AI207&lt;Hónapok!$A$46,Admin!$D$28,"")))))))),"")</f>
        <v>3. mérföldkő</v>
      </c>
      <c r="AK207" s="469" t="s">
        <v>7</v>
      </c>
      <c r="AL207" s="101" t="s">
        <v>26</v>
      </c>
      <c r="AM207" s="900">
        <v>210000</v>
      </c>
      <c r="AN207" s="860">
        <f t="shared" si="410"/>
        <v>27300</v>
      </c>
      <c r="AO207" s="101">
        <v>87</v>
      </c>
      <c r="AP207" s="111">
        <v>87</v>
      </c>
      <c r="AQ207" s="454">
        <f t="shared" si="313"/>
        <v>1</v>
      </c>
      <c r="AR207" s="455">
        <f t="shared" si="314"/>
        <v>210000</v>
      </c>
      <c r="AS207" s="455">
        <f t="shared" si="315"/>
        <v>27300</v>
      </c>
      <c r="AT207" s="102">
        <f t="shared" si="316"/>
        <v>0</v>
      </c>
      <c r="AU207" s="116">
        <v>0.13</v>
      </c>
      <c r="AV207" s="565" t="str">
        <f>VLOOKUP(LEFT(AB207,10),Törzsszám!$A$1:$B$908,2,0)</f>
        <v>10001303</v>
      </c>
      <c r="AW207" s="615">
        <f t="shared" ca="1" si="311"/>
        <v>0</v>
      </c>
      <c r="AX207" s="471" t="s">
        <v>4596</v>
      </c>
      <c r="AY207" s="486"/>
      <c r="AZ207" s="502"/>
      <c r="BA207" s="671"/>
      <c r="BB207" s="649"/>
      <c r="BC207" s="649"/>
      <c r="BD207" s="672"/>
      <c r="BE207" s="450" t="s">
        <v>144</v>
      </c>
    </row>
    <row r="208" spans="1:57" s="457" customFormat="1" ht="31.5" x14ac:dyDescent="0.25">
      <c r="A208" s="694" t="str">
        <f ca="1">Bérköltség!$B208</f>
        <v>FEOR</v>
      </c>
      <c r="B208" s="694" t="str">
        <f ca="1">IFERROR(
IF(AND(Bérköltség!$F208="",H208="NA"),"HIÁNYOS ADATOK",
IF(Bérköltség!$F208&lt;Bérköltség!$U208,Admin!$B$18,Admin!$B$17)),
"")</f>
        <v>FEOR</v>
      </c>
      <c r="C208" s="437">
        <f>IFERROR(INDEX('Historikus berek_2021-2'!$A$1:$F$903,MATCH(AB208,'Historikus berek_2021-2'!$A$1:$A$903,0),4),"")</f>
        <v>240933.33333333334</v>
      </c>
      <c r="D208" s="438">
        <f t="shared" ref="D208:D213" si="506">IFERROR(C208*AQ208,"NA")</f>
        <v>240933.33333333334</v>
      </c>
      <c r="E208" s="437">
        <f t="shared" ref="E208:E213" si="507">AR208</f>
        <v>225000</v>
      </c>
      <c r="F208" s="439">
        <f t="shared" ref="F208:F213" si="508">IFERROR(IF((E208*(1+AU208)-D208*(1+AU208))&lt;0,0,(E208*(1+AU208)-D208*(1+AU208))),"")</f>
        <v>0</v>
      </c>
      <c r="G208" s="440">
        <f t="shared" ref="G208:G213" si="509">IFERROR((E208*(1+AU208)-F208),"")</f>
        <v>254249.99999999997</v>
      </c>
      <c r="H208" s="441">
        <f>IFERROR(INDEX('FEOR kodok'!$A$2:$J$1126,MATCH(Bérköltség!AB208,'FEOR kodok'!$B$2:$B$1126,0),8),"NA")</f>
        <v>2169</v>
      </c>
      <c r="I208" s="436">
        <f ca="1">IFERROR(INDEX('FEOR kodok'!$A$2:$J$1126,MATCH(Bérköltség!AB208,'FEOR kodok'!$B$2:$B$1126,0),10),"NA")</f>
        <v>28</v>
      </c>
      <c r="J208" s="442" t="str">
        <f t="shared" ref="J208:J213" ca="1" si="510">IF(I208="NA","NA",
IF(I208&lt;30,"30 év alatt",
IF(AND(I208&gt;=30,I208&lt;=39),"30–39 éves",
IF(AND(I208&gt;=40,I208&lt;=49),"40–49 éves",
IF(I208&gt;=50,"50 év és afelett",
"")))))</f>
        <v>30 év alatt</v>
      </c>
      <c r="K208" s="436" t="str">
        <f>IFERROR(INDEX(admin_feor[#All],MATCH(Bérköltség!H208,admin_feor[[#All],[Foglalkozás]],0),2),"NA")</f>
        <v>Egyéb természettudományi foglalkozású</v>
      </c>
      <c r="L208" s="438">
        <f ca="1">IFERROR(
INDEX('Admin - FEOR'!$A$4:$F$465,MATCH(Bérköltség!H208,'Admin - FEOR'!$A$4:$A$465,0),
IF(J208="30 év alatt",3,
IF(J208="30–39 éves",4,
IF(J208="40–49 éves",5,
IF(J208="50 év és afelett",6
)))))*1,"NA")</f>
        <v>505959</v>
      </c>
      <c r="M208" s="438">
        <f t="shared" ref="M208:M213" si="511">AM208</f>
        <v>225000</v>
      </c>
      <c r="N208" s="443">
        <f t="shared" ref="N208:N213" ca="1" si="512">IFERROR(
M208/L208,"NA")</f>
        <v>0.44470006462974271</v>
      </c>
      <c r="O208" s="438">
        <f ca="1">IFERROR(
INDEX('Admin - FEOR'!$A$4:$F$465,MATCH(Bérköltség!H208,'Admin - FEOR'!$A$4:$A$465,0),
IF(J208="30 év alatt",3,
IF(J208="30–39 éves",4,
IF(J208="40–49 éves",5,
IF(J208="50 év és afelett",6
)))))*1.5,"NA")</f>
        <v>758938.5</v>
      </c>
      <c r="P208" s="438">
        <f t="shared" ref="P208:P213" ca="1" si="513">IFERROR(
AQ208*O208,"NA")</f>
        <v>758938.5</v>
      </c>
      <c r="Q208" s="438">
        <f t="shared" ref="Q208:Q213" si="514">IFERROR(AR208,"")</f>
        <v>225000</v>
      </c>
      <c r="R208" s="444">
        <f t="shared" ref="R208:R213" si="515">IFERROR(AQ208,"")</f>
        <v>1</v>
      </c>
      <c r="S208" s="438">
        <f t="shared" ref="S208:S213" ca="1" si="516">IFERROR(
IF(AR208-P208&lt;0,0,AR208-P208),"NA")</f>
        <v>0</v>
      </c>
      <c r="T208" s="438">
        <f t="shared" ref="T208:T213" ca="1" si="517">IFERROR(
S208*AU208,"NA")</f>
        <v>0</v>
      </c>
      <c r="U208" s="445">
        <f t="shared" ref="U208:U213" ca="1" si="518">IFERROR(
S208+T208,"NA")</f>
        <v>0</v>
      </c>
      <c r="V208" s="446">
        <f t="shared" ref="V208:V213" ca="1" si="519">IFERROR(
IF(U208&gt;0,AR208+AS208-U208,AR208+AS208),"NA")</f>
        <v>254250</v>
      </c>
      <c r="W208" s="447" t="str">
        <f t="shared" ref="W208:W213" ca="1" si="520">IF(P208="NA","FEOR hiányzik",
IF(AND(N208&gt;1,A208="FEOR"),CONCATENATE("Indoklás szükséges mivel a FEOR: ",ROUND(N208*100,1),"%"),"Nem szükséges indoklás.")
)</f>
        <v>Nem szükséges indoklás.</v>
      </c>
      <c r="X208" s="571">
        <f t="shared" ref="X208" ca="1" si="521">IF(A208="FEOR",U208,IF(A208="HIÁNYOS ADATOK","HIÁNYOS ADATOK",F208))</f>
        <v>0</v>
      </c>
      <c r="Y208" s="554">
        <f t="shared" ref="Y208" ca="1" si="522">IF(A208="FEOR",ROUND(V208/(1+AU208),0),IF(A208="HIÁNYOS ADATOK","HIÁNYOS ADATOK",ROUND(G208/(1+AU208),0)))</f>
        <v>225000</v>
      </c>
      <c r="Z208" s="554">
        <f t="shared" ref="Z208" ca="1" si="523">IF(A208="FEOR",ROUND(V208-Y208,0),IF(A208="HIÁNYOS ADATOK","HIÁNYOS ADATOK",ROUND(G208-Y208,0)))</f>
        <v>29250</v>
      </c>
      <c r="AA208" s="101"/>
      <c r="AB208" s="474">
        <v>8467980052</v>
      </c>
      <c r="AC208" s="449" t="s">
        <v>149</v>
      </c>
      <c r="AD208" s="483" t="s">
        <v>45</v>
      </c>
      <c r="AE208" s="450" t="s">
        <v>22</v>
      </c>
      <c r="AF208" s="247" t="s">
        <v>121</v>
      </c>
      <c r="AG208" s="99" t="s">
        <v>148</v>
      </c>
      <c r="AH208" s="451" t="s">
        <v>131</v>
      </c>
      <c r="AI208" s="154">
        <v>45078</v>
      </c>
      <c r="AJ208" s="100" t="str">
        <f>IF(AI208&gt;0,
(IF(AI208&lt;Hónapok!$A$10,Admin!$A$28,
(IF(AI208&lt;Hónapok!$A$22,Admin!$B$28,
(IF(AI208&lt;Hónapok!$A$34,Admin!$C$28,
(IF(AI208&lt;Hónapok!$A$46,Admin!$D$28,"")))))))),"")</f>
        <v>3. mérföldkő</v>
      </c>
      <c r="AK208" s="469" t="s">
        <v>7</v>
      </c>
      <c r="AL208" s="101" t="s">
        <v>26</v>
      </c>
      <c r="AM208" s="900">
        <v>225000</v>
      </c>
      <c r="AN208" s="860">
        <f t="shared" ref="AN208:AN213" si="524">IFERROR(ROUND(AM208*AU208,0),"")</f>
        <v>29250</v>
      </c>
      <c r="AO208" s="101">
        <v>87</v>
      </c>
      <c r="AP208" s="111">
        <v>87</v>
      </c>
      <c r="AQ208" s="102">
        <f t="shared" ref="AQ208:AQ213" si="525">IFERROR(AP208/AO208,"")</f>
        <v>1</v>
      </c>
      <c r="AR208" s="455">
        <f t="shared" ref="AR208:AR213" si="526">IFERROR(ROUND(AM208*AP208/AO208,0),"")</f>
        <v>225000</v>
      </c>
      <c r="AS208" s="455">
        <f t="shared" ref="AS208:AS213" si="527">IFERROR(ROUND(AR208*AU208,0),"")</f>
        <v>29250</v>
      </c>
      <c r="AT208" s="102">
        <f t="shared" ref="AT208:AT213" si="528">IFERROR(AP208/AO208-AR208/AM208,"")</f>
        <v>0</v>
      </c>
      <c r="AU208" s="116">
        <v>0.13</v>
      </c>
      <c r="AV208" s="565" t="str">
        <f>VLOOKUP(LEFT(AB208,10),Törzsszám!$A$1:$B$908,2,0)</f>
        <v>10001303</v>
      </c>
      <c r="AW208" s="681">
        <f t="shared" ref="AW208:AW213" ca="1" si="529">(Y208+Z208)-(AR208+AS208)</f>
        <v>0</v>
      </c>
      <c r="AX208" s="471" t="s">
        <v>4606</v>
      </c>
      <c r="AY208" s="486"/>
      <c r="AZ208" s="502"/>
      <c r="BA208" s="671"/>
      <c r="BB208" s="649"/>
      <c r="BC208" s="649"/>
      <c r="BD208" s="672"/>
      <c r="BE208" s="450" t="s">
        <v>144</v>
      </c>
    </row>
    <row r="209" spans="1:58" s="457" customFormat="1" ht="31.5" x14ac:dyDescent="0.25">
      <c r="A209" s="694" t="str">
        <f ca="1">Bérköltség!$B209</f>
        <v>FEOR</v>
      </c>
      <c r="B209" s="694" t="str">
        <f ca="1">IFERROR(
IF(AND(Bérköltség!$F209="",H209="NA"),"HIÁNYOS ADATOK",
IF(Bérköltség!$F209&lt;Bérköltség!$U209,Admin!$B$18,Admin!$B$17)),
"")</f>
        <v>FEOR</v>
      </c>
      <c r="C209" s="437">
        <f>IFERROR(INDEX('Historikus berek_2021-2'!$A$1:$F$903,MATCH(AB209,'Historikus berek_2021-2'!$A$1:$A$903,0),4),"")</f>
        <v>240933.33333333334</v>
      </c>
      <c r="D209" s="438">
        <f t="shared" si="506"/>
        <v>240933.33333333334</v>
      </c>
      <c r="E209" s="437">
        <f t="shared" si="507"/>
        <v>224999</v>
      </c>
      <c r="F209" s="439">
        <f t="shared" si="508"/>
        <v>0</v>
      </c>
      <c r="G209" s="440">
        <f t="shared" si="509"/>
        <v>254248.86999999997</v>
      </c>
      <c r="H209" s="441">
        <f>IFERROR(INDEX('FEOR kodok'!$A$2:$J$1126,MATCH(Bérköltség!AB209,'FEOR kodok'!$B$2:$B$1126,0),8),"NA")</f>
        <v>2169</v>
      </c>
      <c r="I209" s="436">
        <f ca="1">IFERROR(INDEX('FEOR kodok'!$A$2:$J$1126,MATCH(Bérköltség!AB209,'FEOR kodok'!$B$2:$B$1126,0),10),"NA")</f>
        <v>28</v>
      </c>
      <c r="J209" s="442" t="str">
        <f t="shared" ca="1" si="510"/>
        <v>30 év alatt</v>
      </c>
      <c r="K209" s="436" t="str">
        <f>IFERROR(INDEX(admin_feor[#All],MATCH(Bérköltség!H209,admin_feor[[#All],[Foglalkozás]],0),2),"NA")</f>
        <v>Egyéb természettudományi foglalkozású</v>
      </c>
      <c r="L209" s="438">
        <f ca="1">IFERROR(
INDEX('Admin - FEOR'!$A$4:$F$465,MATCH(Bérköltség!H209,'Admin - FEOR'!$A$4:$A$465,0),
IF(J209="30 év alatt",3,
IF(J209="30–39 éves",4,
IF(J209="40–49 éves",5,
IF(J209="50 év és afelett",6
)))))*1,"NA")</f>
        <v>505959</v>
      </c>
      <c r="M209" s="438">
        <f t="shared" si="511"/>
        <v>224999</v>
      </c>
      <c r="N209" s="443">
        <f t="shared" ca="1" si="512"/>
        <v>0.44469808818501105</v>
      </c>
      <c r="O209" s="438">
        <f ca="1">IFERROR(
INDEX('Admin - FEOR'!$A$4:$F$465,MATCH(Bérköltség!H209,'Admin - FEOR'!$A$4:$A$465,0),
IF(J209="30 év alatt",3,
IF(J209="30–39 éves",4,
IF(J209="40–49 éves",5,
IF(J209="50 év és afelett",6
)))))*1.5,"NA")</f>
        <v>758938.5</v>
      </c>
      <c r="P209" s="438">
        <f t="shared" ca="1" si="513"/>
        <v>758938.5</v>
      </c>
      <c r="Q209" s="438">
        <f t="shared" si="514"/>
        <v>224999</v>
      </c>
      <c r="R209" s="444">
        <f t="shared" si="515"/>
        <v>1</v>
      </c>
      <c r="S209" s="438">
        <f t="shared" ca="1" si="516"/>
        <v>0</v>
      </c>
      <c r="T209" s="438">
        <f t="shared" ca="1" si="517"/>
        <v>0</v>
      </c>
      <c r="U209" s="445">
        <f t="shared" ca="1" si="518"/>
        <v>0</v>
      </c>
      <c r="V209" s="446">
        <f t="shared" ca="1" si="519"/>
        <v>254249</v>
      </c>
      <c r="W209" s="447" t="str">
        <f t="shared" ca="1" si="520"/>
        <v>Nem szükséges indoklás.</v>
      </c>
      <c r="X209" s="571">
        <f t="shared" ref="X209:X213" ca="1" si="530">IF(A209="FEOR",U209,IF(A209="HIÁNYOS ADATOK","HIÁNYOS ADATOK",F209))</f>
        <v>0</v>
      </c>
      <c r="Y209" s="554">
        <f t="shared" ref="Y209:Y213" ca="1" si="531">IF(A209="FEOR",ROUND(V209/(1+AU209),0),IF(A209="HIÁNYOS ADATOK","HIÁNYOS ADATOK",ROUND(G209/(1+AU209),0)))</f>
        <v>224999</v>
      </c>
      <c r="Z209" s="554">
        <f t="shared" ref="Z209:Z213" ca="1" si="532">IF(A209="FEOR",ROUND(V209-Y209,0),IF(A209="HIÁNYOS ADATOK","HIÁNYOS ADATOK",ROUND(G209-Y209,0)))</f>
        <v>29250</v>
      </c>
      <c r="AA209" s="101"/>
      <c r="AB209" s="474">
        <v>8467980052</v>
      </c>
      <c r="AC209" s="449" t="s">
        <v>149</v>
      </c>
      <c r="AD209" s="483" t="s">
        <v>45</v>
      </c>
      <c r="AE209" s="450" t="s">
        <v>22</v>
      </c>
      <c r="AF209" s="247" t="s">
        <v>121</v>
      </c>
      <c r="AG209" s="99" t="s">
        <v>148</v>
      </c>
      <c r="AH209" s="451" t="s">
        <v>131</v>
      </c>
      <c r="AI209" s="154">
        <v>45108</v>
      </c>
      <c r="AJ209" s="100" t="str">
        <f>IF(AI209&gt;0,
(IF(AI209&lt;Hónapok!$A$10,Admin!$A$28,
(IF(AI209&lt;Hónapok!$A$22,Admin!$B$28,
(IF(AI209&lt;Hónapok!$A$34,Admin!$C$28,
(IF(AI209&lt;Hónapok!$A$46,Admin!$D$28,"")))))))),"")</f>
        <v>3. mérföldkő</v>
      </c>
      <c r="AK209" s="469" t="s">
        <v>7</v>
      </c>
      <c r="AL209" s="101" t="s">
        <v>26</v>
      </c>
      <c r="AM209" s="900">
        <f>225000-1</f>
        <v>224999</v>
      </c>
      <c r="AN209" s="860">
        <f t="shared" si="524"/>
        <v>29250</v>
      </c>
      <c r="AO209" s="101">
        <v>87</v>
      </c>
      <c r="AP209" s="111">
        <v>87</v>
      </c>
      <c r="AQ209" s="682">
        <f t="shared" si="525"/>
        <v>1</v>
      </c>
      <c r="AR209" s="455">
        <f t="shared" si="526"/>
        <v>224999</v>
      </c>
      <c r="AS209" s="455">
        <f t="shared" si="527"/>
        <v>29250</v>
      </c>
      <c r="AT209" s="102">
        <f t="shared" si="528"/>
        <v>0</v>
      </c>
      <c r="AU209" s="116">
        <v>0.13</v>
      </c>
      <c r="AV209" s="565" t="str">
        <f>VLOOKUP(LEFT(AB209,10),Törzsszám!$A$1:$B$908,2,0)</f>
        <v>10001303</v>
      </c>
      <c r="AW209" s="681">
        <f t="shared" ca="1" si="529"/>
        <v>0</v>
      </c>
      <c r="AX209" s="471" t="s">
        <v>4610</v>
      </c>
      <c r="AY209" s="486"/>
      <c r="AZ209" s="502"/>
      <c r="BA209" s="671"/>
      <c r="BB209" s="649"/>
      <c r="BC209" s="649"/>
      <c r="BD209" s="672"/>
      <c r="BE209" s="450" t="s">
        <v>144</v>
      </c>
    </row>
    <row r="210" spans="1:58" s="457" customFormat="1" ht="31.5" x14ac:dyDescent="0.25">
      <c r="A210" s="694" t="str">
        <f ca="1">Bérköltség!$B210</f>
        <v>FEOR</v>
      </c>
      <c r="B210" s="694" t="str">
        <f ca="1">IFERROR(
IF(AND(Bérköltség!$F210="",H210="NA"),"HIÁNYOS ADATOK",
IF(Bérköltség!$F210&lt;Bérköltség!$U210,Admin!$B$18,Admin!$B$17)),
"")</f>
        <v>FEOR</v>
      </c>
      <c r="C210" s="437">
        <f>IFERROR(INDEX('Historikus berek_2021-2'!$A$1:$F$903,MATCH(AB210,'Historikus berek_2021-2'!$A$1:$A$903,0),4),"")</f>
        <v>240933.33333333334</v>
      </c>
      <c r="D210" s="438">
        <f t="shared" si="506"/>
        <v>240933.33333333334</v>
      </c>
      <c r="E210" s="437">
        <f t="shared" si="507"/>
        <v>225000</v>
      </c>
      <c r="F210" s="439">
        <f t="shared" si="508"/>
        <v>0</v>
      </c>
      <c r="G210" s="440">
        <f t="shared" si="509"/>
        <v>254249.99999999997</v>
      </c>
      <c r="H210" s="441">
        <f>IFERROR(INDEX('FEOR kodok'!$A$2:$J$1126,MATCH(Bérköltség!AB210,'FEOR kodok'!$B$2:$B$1126,0),8),"NA")</f>
        <v>2169</v>
      </c>
      <c r="I210" s="436">
        <f ca="1">IFERROR(INDEX('FEOR kodok'!$A$2:$J$1126,MATCH(Bérköltség!AB210,'FEOR kodok'!$B$2:$B$1126,0),10),"NA")</f>
        <v>28</v>
      </c>
      <c r="J210" s="442" t="str">
        <f t="shared" ca="1" si="510"/>
        <v>30 év alatt</v>
      </c>
      <c r="K210" s="436" t="str">
        <f>IFERROR(INDEX(admin_feor[#All],MATCH(Bérköltség!H210,admin_feor[[#All],[Foglalkozás]],0),2),"NA")</f>
        <v>Egyéb természettudományi foglalkozású</v>
      </c>
      <c r="L210" s="438">
        <f ca="1">IFERROR(
INDEX('Admin - FEOR'!$A$4:$F$465,MATCH(Bérköltség!H210,'Admin - FEOR'!$A$4:$A$465,0),
IF(J210="30 év alatt",3,
IF(J210="30–39 éves",4,
IF(J210="40–49 éves",5,
IF(J210="50 év és afelett",6
)))))*1,"NA")</f>
        <v>505959</v>
      </c>
      <c r="M210" s="438">
        <f t="shared" si="511"/>
        <v>225000</v>
      </c>
      <c r="N210" s="443">
        <f t="shared" ca="1" si="512"/>
        <v>0.44470006462974271</v>
      </c>
      <c r="O210" s="438">
        <f ca="1">IFERROR(
INDEX('Admin - FEOR'!$A$4:$F$465,MATCH(Bérköltség!H210,'Admin - FEOR'!$A$4:$A$465,0),
IF(J210="30 év alatt",3,
IF(J210="30–39 éves",4,
IF(J210="40–49 éves",5,
IF(J210="50 év és afelett",6
)))))*1.5,"NA")</f>
        <v>758938.5</v>
      </c>
      <c r="P210" s="438">
        <f t="shared" ca="1" si="513"/>
        <v>758938.5</v>
      </c>
      <c r="Q210" s="438">
        <f t="shared" si="514"/>
        <v>225000</v>
      </c>
      <c r="R210" s="444">
        <f t="shared" si="515"/>
        <v>1</v>
      </c>
      <c r="S210" s="438">
        <f t="shared" ca="1" si="516"/>
        <v>0</v>
      </c>
      <c r="T210" s="438">
        <f t="shared" ca="1" si="517"/>
        <v>0</v>
      </c>
      <c r="U210" s="445">
        <f t="shared" ca="1" si="518"/>
        <v>0</v>
      </c>
      <c r="V210" s="446">
        <f t="shared" ca="1" si="519"/>
        <v>254250</v>
      </c>
      <c r="W210" s="447" t="str">
        <f t="shared" ca="1" si="520"/>
        <v>Nem szükséges indoklás.</v>
      </c>
      <c r="X210" s="571">
        <f t="shared" ca="1" si="530"/>
        <v>0</v>
      </c>
      <c r="Y210" s="554">
        <f t="shared" ca="1" si="531"/>
        <v>225000</v>
      </c>
      <c r="Z210" s="554">
        <f t="shared" ca="1" si="532"/>
        <v>29250</v>
      </c>
      <c r="AA210" s="101"/>
      <c r="AB210" s="474">
        <v>8467980052</v>
      </c>
      <c r="AC210" s="449" t="s">
        <v>149</v>
      </c>
      <c r="AD210" s="483" t="s">
        <v>45</v>
      </c>
      <c r="AE210" s="450" t="s">
        <v>22</v>
      </c>
      <c r="AF210" s="247" t="s">
        <v>121</v>
      </c>
      <c r="AG210" s="99" t="s">
        <v>148</v>
      </c>
      <c r="AH210" s="451" t="s">
        <v>131</v>
      </c>
      <c r="AI210" s="154">
        <v>45139</v>
      </c>
      <c r="AJ210" s="100" t="str">
        <f>IF(AI210&gt;0,
(IF(AI210&lt;Hónapok!$A$10,Admin!$A$28,
(IF(AI210&lt;Hónapok!$A$22,Admin!$B$28,
(IF(AI210&lt;Hónapok!$A$34,Admin!$C$28,
(IF(AI210&lt;Hónapok!$A$46,Admin!$D$28,"")))))))),"")</f>
        <v>3. mérföldkő</v>
      </c>
      <c r="AK210" s="469" t="s">
        <v>7</v>
      </c>
      <c r="AL210" s="101" t="s">
        <v>26</v>
      </c>
      <c r="AM210" s="900">
        <v>225000</v>
      </c>
      <c r="AN210" s="860">
        <f t="shared" si="524"/>
        <v>29250</v>
      </c>
      <c r="AO210" s="101">
        <v>87</v>
      </c>
      <c r="AP210" s="111">
        <v>87</v>
      </c>
      <c r="AQ210" s="454">
        <f t="shared" si="525"/>
        <v>1</v>
      </c>
      <c r="AR210" s="455">
        <f t="shared" si="526"/>
        <v>225000</v>
      </c>
      <c r="AS210" s="455">
        <f t="shared" si="527"/>
        <v>29250</v>
      </c>
      <c r="AT210" s="102">
        <f t="shared" si="528"/>
        <v>0</v>
      </c>
      <c r="AU210" s="116">
        <v>0.13</v>
      </c>
      <c r="AV210" s="565" t="str">
        <f>VLOOKUP(LEFT(AB210,10),Törzsszám!$A$1:$B$908,2,0)</f>
        <v>10001303</v>
      </c>
      <c r="AW210" s="681">
        <f t="shared" ca="1" si="529"/>
        <v>0</v>
      </c>
      <c r="AX210" s="471" t="s">
        <v>4613</v>
      </c>
      <c r="AY210" s="486"/>
      <c r="AZ210" s="502"/>
      <c r="BA210" s="671"/>
      <c r="BB210" s="649"/>
      <c r="BC210" s="649"/>
      <c r="BD210" s="672"/>
      <c r="BE210" s="450" t="s">
        <v>144</v>
      </c>
    </row>
    <row r="211" spans="1:58" s="457" customFormat="1" ht="31.5" x14ac:dyDescent="0.25">
      <c r="A211" s="694" t="str">
        <f ca="1">Bérköltség!$B211</f>
        <v>FEOR</v>
      </c>
      <c r="B211" s="694" t="str">
        <f ca="1">IFERROR(
IF(AND(Bérköltség!$F211="",H211="NA"),"HIÁNYOS ADATOK",
IF(Bérköltség!$F211&lt;Bérköltség!$U211,Admin!$B$18,Admin!$B$17)),
"")</f>
        <v>FEOR</v>
      </c>
      <c r="C211" s="437">
        <f>IFERROR(INDEX('Historikus berek_2021-2'!$A$1:$F$903,MATCH(AB211,'Historikus berek_2021-2'!$A$1:$A$903,0),4),"")</f>
        <v>240933.33333333334</v>
      </c>
      <c r="D211" s="438">
        <f t="shared" si="506"/>
        <v>240933.33333333334</v>
      </c>
      <c r="E211" s="437">
        <f t="shared" si="507"/>
        <v>225000</v>
      </c>
      <c r="F211" s="439">
        <f t="shared" si="508"/>
        <v>0</v>
      </c>
      <c r="G211" s="440">
        <f t="shared" si="509"/>
        <v>254249.99999999997</v>
      </c>
      <c r="H211" s="441">
        <f>IFERROR(INDEX('FEOR kodok'!$A$2:$J$1126,MATCH(Bérköltség!AB211,'FEOR kodok'!$B$2:$B$1126,0),8),"NA")</f>
        <v>2169</v>
      </c>
      <c r="I211" s="436">
        <f ca="1">IFERROR(INDEX('FEOR kodok'!$A$2:$J$1126,MATCH(Bérköltség!AB211,'FEOR kodok'!$B$2:$B$1126,0),10),"NA")</f>
        <v>28</v>
      </c>
      <c r="J211" s="442" t="str">
        <f t="shared" ca="1" si="510"/>
        <v>30 év alatt</v>
      </c>
      <c r="K211" s="436" t="str">
        <f>IFERROR(INDEX(admin_feor[#All],MATCH(Bérköltség!H211,admin_feor[[#All],[Foglalkozás]],0),2),"NA")</f>
        <v>Egyéb természettudományi foglalkozású</v>
      </c>
      <c r="L211" s="438">
        <f ca="1">IFERROR(
INDEX('Admin - FEOR'!$A$4:$F$465,MATCH(Bérköltség!H211,'Admin - FEOR'!$A$4:$A$465,0),
IF(J211="30 év alatt",3,
IF(J211="30–39 éves",4,
IF(J211="40–49 éves",5,
IF(J211="50 év és afelett",6
)))))*1,"NA")</f>
        <v>505959</v>
      </c>
      <c r="M211" s="438">
        <f t="shared" si="511"/>
        <v>225000</v>
      </c>
      <c r="N211" s="443">
        <f t="shared" ca="1" si="512"/>
        <v>0.44470006462974271</v>
      </c>
      <c r="O211" s="438">
        <f ca="1">IFERROR(
INDEX('Admin - FEOR'!$A$4:$F$465,MATCH(Bérköltség!H211,'Admin - FEOR'!$A$4:$A$465,0),
IF(J211="30 év alatt",3,
IF(J211="30–39 éves",4,
IF(J211="40–49 éves",5,
IF(J211="50 év és afelett",6
)))))*1.5,"NA")</f>
        <v>758938.5</v>
      </c>
      <c r="P211" s="438">
        <f t="shared" ca="1" si="513"/>
        <v>758938.5</v>
      </c>
      <c r="Q211" s="438">
        <f t="shared" si="514"/>
        <v>225000</v>
      </c>
      <c r="R211" s="444">
        <f t="shared" si="515"/>
        <v>1</v>
      </c>
      <c r="S211" s="438">
        <f t="shared" ca="1" si="516"/>
        <v>0</v>
      </c>
      <c r="T211" s="438">
        <f t="shared" ca="1" si="517"/>
        <v>0</v>
      </c>
      <c r="U211" s="445">
        <f t="shared" ca="1" si="518"/>
        <v>0</v>
      </c>
      <c r="V211" s="446">
        <f t="shared" ca="1" si="519"/>
        <v>254250</v>
      </c>
      <c r="W211" s="447" t="str">
        <f t="shared" ca="1" si="520"/>
        <v>Nem szükséges indoklás.</v>
      </c>
      <c r="X211" s="571">
        <f t="shared" ca="1" si="530"/>
        <v>0</v>
      </c>
      <c r="Y211" s="554">
        <f t="shared" ca="1" si="531"/>
        <v>225000</v>
      </c>
      <c r="Z211" s="554">
        <f t="shared" ca="1" si="532"/>
        <v>29250</v>
      </c>
      <c r="AA211" s="101"/>
      <c r="AB211" s="474">
        <v>8467980052</v>
      </c>
      <c r="AC211" s="449" t="s">
        <v>149</v>
      </c>
      <c r="AD211" s="483" t="s">
        <v>45</v>
      </c>
      <c r="AE211" s="450" t="s">
        <v>22</v>
      </c>
      <c r="AF211" s="247" t="s">
        <v>121</v>
      </c>
      <c r="AG211" s="99" t="s">
        <v>148</v>
      </c>
      <c r="AH211" s="451" t="s">
        <v>131</v>
      </c>
      <c r="AI211" s="154">
        <v>45170</v>
      </c>
      <c r="AJ211" s="100" t="str">
        <f>IF(AI211&gt;0,
(IF(AI211&lt;Hónapok!$A$10,Admin!$A$28,
(IF(AI211&lt;Hónapok!$A$22,Admin!$B$28,
(IF(AI211&lt;Hónapok!$A$34,Admin!$C$28,
(IF(AI211&lt;Hónapok!$A$46,Admin!$D$28,"")))))))),"")</f>
        <v>3. mérföldkő</v>
      </c>
      <c r="AK211" s="469" t="s">
        <v>7</v>
      </c>
      <c r="AL211" s="101" t="s">
        <v>26</v>
      </c>
      <c r="AM211" s="900">
        <v>225000</v>
      </c>
      <c r="AN211" s="860">
        <f t="shared" si="524"/>
        <v>29250</v>
      </c>
      <c r="AO211" s="101">
        <v>87</v>
      </c>
      <c r="AP211" s="111">
        <v>87</v>
      </c>
      <c r="AQ211" s="454">
        <f t="shared" si="525"/>
        <v>1</v>
      </c>
      <c r="AR211" s="455">
        <f t="shared" si="526"/>
        <v>225000</v>
      </c>
      <c r="AS211" s="455">
        <f t="shared" si="527"/>
        <v>29250</v>
      </c>
      <c r="AT211" s="102">
        <f t="shared" si="528"/>
        <v>0</v>
      </c>
      <c r="AU211" s="116">
        <v>0.13</v>
      </c>
      <c r="AV211" s="565" t="str">
        <f>VLOOKUP(LEFT(AB211,10),Törzsszám!$A$1:$B$908,2,0)</f>
        <v>10001303</v>
      </c>
      <c r="AW211" s="681">
        <f t="shared" ca="1" si="529"/>
        <v>0</v>
      </c>
      <c r="AX211" s="471" t="s">
        <v>4618</v>
      </c>
      <c r="AY211" s="486"/>
      <c r="AZ211" s="502"/>
      <c r="BA211" s="671"/>
      <c r="BB211" s="649"/>
      <c r="BC211" s="649"/>
      <c r="BD211" s="672"/>
      <c r="BE211" s="450" t="s">
        <v>144</v>
      </c>
    </row>
    <row r="212" spans="1:58" s="457" customFormat="1" ht="31.5" x14ac:dyDescent="0.25">
      <c r="A212" s="694" t="str">
        <f ca="1">Bérköltség!$B212</f>
        <v>FEOR</v>
      </c>
      <c r="B212" s="694" t="str">
        <f ca="1">IFERROR(
IF(AND(Bérköltség!$F212="",H212="NA"),"HIÁNYOS ADATOK",
IF(Bérköltség!$F212&lt;Bérköltség!$U212,Admin!$B$18,Admin!$B$17)),
"")</f>
        <v>FEOR</v>
      </c>
      <c r="C212" s="437">
        <f>IFERROR(INDEX('Historikus berek_2021-2'!$A$1:$F$903,MATCH(AB212,'Historikus berek_2021-2'!$A$1:$A$903,0),4),"")</f>
        <v>240933.33333333334</v>
      </c>
      <c r="D212" s="438">
        <f t="shared" si="506"/>
        <v>240933.33333333334</v>
      </c>
      <c r="E212" s="437">
        <f t="shared" si="507"/>
        <v>225000</v>
      </c>
      <c r="F212" s="439">
        <f t="shared" si="508"/>
        <v>0</v>
      </c>
      <c r="G212" s="440">
        <f t="shared" si="509"/>
        <v>254249.99999999997</v>
      </c>
      <c r="H212" s="441">
        <f>IFERROR(INDEX('FEOR kodok'!$A$2:$J$1126,MATCH(Bérköltség!AB212,'FEOR kodok'!$B$2:$B$1126,0),8),"NA")</f>
        <v>2169</v>
      </c>
      <c r="I212" s="436">
        <f ca="1">IFERROR(INDEX('FEOR kodok'!$A$2:$J$1126,MATCH(Bérköltség!AB212,'FEOR kodok'!$B$2:$B$1126,0),10),"NA")</f>
        <v>28</v>
      </c>
      <c r="J212" s="442" t="str">
        <f t="shared" ca="1" si="510"/>
        <v>30 év alatt</v>
      </c>
      <c r="K212" s="436" t="str">
        <f>IFERROR(INDEX(admin_feor[#All],MATCH(Bérköltség!H212,admin_feor[[#All],[Foglalkozás]],0),2),"NA")</f>
        <v>Egyéb természettudományi foglalkozású</v>
      </c>
      <c r="L212" s="438">
        <f ca="1">IFERROR(
INDEX('Admin - FEOR'!$A$4:$F$465,MATCH(Bérköltség!H212,'Admin - FEOR'!$A$4:$A$465,0),
IF(J212="30 év alatt",3,
IF(J212="30–39 éves",4,
IF(J212="40–49 éves",5,
IF(J212="50 év és afelett",6
)))))*1,"NA")</f>
        <v>505959</v>
      </c>
      <c r="M212" s="438">
        <f t="shared" si="511"/>
        <v>225000</v>
      </c>
      <c r="N212" s="443">
        <f t="shared" ca="1" si="512"/>
        <v>0.44470006462974271</v>
      </c>
      <c r="O212" s="438">
        <f ca="1">IFERROR(
INDEX('Admin - FEOR'!$A$4:$F$465,MATCH(Bérköltség!H212,'Admin - FEOR'!$A$4:$A$465,0),
IF(J212="30 év alatt",3,
IF(J212="30–39 éves",4,
IF(J212="40–49 éves",5,
IF(J212="50 év és afelett",6
)))))*1.5,"NA")</f>
        <v>758938.5</v>
      </c>
      <c r="P212" s="438">
        <f t="shared" ca="1" si="513"/>
        <v>758938.5</v>
      </c>
      <c r="Q212" s="438">
        <f t="shared" si="514"/>
        <v>225000</v>
      </c>
      <c r="R212" s="444">
        <f t="shared" si="515"/>
        <v>1</v>
      </c>
      <c r="S212" s="438">
        <f t="shared" ca="1" si="516"/>
        <v>0</v>
      </c>
      <c r="T212" s="438">
        <f t="shared" ca="1" si="517"/>
        <v>0</v>
      </c>
      <c r="U212" s="445">
        <f t="shared" ca="1" si="518"/>
        <v>0</v>
      </c>
      <c r="V212" s="446">
        <f t="shared" ca="1" si="519"/>
        <v>254250</v>
      </c>
      <c r="W212" s="447" t="str">
        <f t="shared" ca="1" si="520"/>
        <v>Nem szükséges indoklás.</v>
      </c>
      <c r="X212" s="571">
        <f t="shared" ca="1" si="530"/>
        <v>0</v>
      </c>
      <c r="Y212" s="554">
        <f t="shared" ca="1" si="531"/>
        <v>225000</v>
      </c>
      <c r="Z212" s="554">
        <f t="shared" ca="1" si="532"/>
        <v>29250</v>
      </c>
      <c r="AA212" s="101"/>
      <c r="AB212" s="474">
        <v>8467980052</v>
      </c>
      <c r="AC212" s="449" t="s">
        <v>149</v>
      </c>
      <c r="AD212" s="483" t="s">
        <v>45</v>
      </c>
      <c r="AE212" s="450" t="s">
        <v>22</v>
      </c>
      <c r="AF212" s="247" t="s">
        <v>121</v>
      </c>
      <c r="AG212" s="99" t="s">
        <v>148</v>
      </c>
      <c r="AH212" s="451" t="s">
        <v>131</v>
      </c>
      <c r="AI212" s="154">
        <v>45200</v>
      </c>
      <c r="AJ212" s="100" t="str">
        <f>IF(AI212&gt;0,
(IF(AI212&lt;Hónapok!$A$10,Admin!$A$28,
(IF(AI212&lt;Hónapok!$A$22,Admin!$B$28,
(IF(AI212&lt;Hónapok!$A$34,Admin!$C$28,
(IF(AI212&lt;Hónapok!$A$46,Admin!$D$28,"")))))))),"")</f>
        <v>3. mérföldkő</v>
      </c>
      <c r="AK212" s="469" t="s">
        <v>8</v>
      </c>
      <c r="AL212" s="101" t="s">
        <v>26</v>
      </c>
      <c r="AM212" s="900">
        <v>225000</v>
      </c>
      <c r="AN212" s="860">
        <f t="shared" si="524"/>
        <v>29250</v>
      </c>
      <c r="AO212" s="101">
        <v>87</v>
      </c>
      <c r="AP212" s="111">
        <v>87</v>
      </c>
      <c r="AQ212" s="454">
        <f t="shared" si="525"/>
        <v>1</v>
      </c>
      <c r="AR212" s="455">
        <f t="shared" si="526"/>
        <v>225000</v>
      </c>
      <c r="AS212" s="455">
        <f t="shared" si="527"/>
        <v>29250</v>
      </c>
      <c r="AT212" s="102">
        <f t="shared" si="528"/>
        <v>0</v>
      </c>
      <c r="AU212" s="116">
        <v>0.13</v>
      </c>
      <c r="AV212" s="565" t="str">
        <f>VLOOKUP(LEFT(AB212,10),Törzsszám!$A$1:$B$908,2,0)</f>
        <v>10001303</v>
      </c>
      <c r="AW212" s="681">
        <f t="shared" ca="1" si="529"/>
        <v>0</v>
      </c>
      <c r="AX212" s="471"/>
      <c r="AY212" s="486"/>
      <c r="AZ212" s="502"/>
      <c r="BA212" s="671"/>
      <c r="BB212" s="649"/>
      <c r="BC212" s="649"/>
      <c r="BD212" s="672"/>
      <c r="BE212" s="450" t="s">
        <v>144</v>
      </c>
    </row>
    <row r="213" spans="1:58" s="457" customFormat="1" ht="31.5" x14ac:dyDescent="0.25">
      <c r="A213" s="694" t="str">
        <f ca="1">Bérköltség!$B213</f>
        <v>FEOR</v>
      </c>
      <c r="B213" s="694" t="str">
        <f ca="1">IFERROR(
IF(AND(Bérköltség!$F213="",H213="NA"),"HIÁNYOS ADATOK",
IF(Bérköltség!$F213&lt;Bérköltség!$U213,Admin!$B$18,Admin!$B$17)),
"")</f>
        <v>FEOR</v>
      </c>
      <c r="C213" s="437">
        <f>IFERROR(INDEX('Historikus berek_2021-2'!$A$1:$F$903,MATCH(AB213,'Historikus berek_2021-2'!$A$1:$A$903,0),4),"")</f>
        <v>240933.33333333334</v>
      </c>
      <c r="D213" s="438">
        <f t="shared" si="506"/>
        <v>240933.33333333334</v>
      </c>
      <c r="E213" s="437">
        <f t="shared" si="507"/>
        <v>225000</v>
      </c>
      <c r="F213" s="439">
        <f t="shared" si="508"/>
        <v>0</v>
      </c>
      <c r="G213" s="440">
        <f t="shared" si="509"/>
        <v>254249.99999999997</v>
      </c>
      <c r="H213" s="441">
        <f>IFERROR(INDEX('FEOR kodok'!$A$2:$J$1126,MATCH(Bérköltség!AB213,'FEOR kodok'!$B$2:$B$1126,0),8),"NA")</f>
        <v>2169</v>
      </c>
      <c r="I213" s="436">
        <f ca="1">IFERROR(INDEX('FEOR kodok'!$A$2:$J$1126,MATCH(Bérköltség!AB213,'FEOR kodok'!$B$2:$B$1126,0),10),"NA")</f>
        <v>28</v>
      </c>
      <c r="J213" s="442" t="str">
        <f t="shared" ca="1" si="510"/>
        <v>30 év alatt</v>
      </c>
      <c r="K213" s="436" t="str">
        <f>IFERROR(INDEX(admin_feor[#All],MATCH(Bérköltség!H213,admin_feor[[#All],[Foglalkozás]],0),2),"NA")</f>
        <v>Egyéb természettudományi foglalkozású</v>
      </c>
      <c r="L213" s="438">
        <f ca="1">IFERROR(
INDEX('Admin - FEOR'!$A$4:$F$465,MATCH(Bérköltség!H213,'Admin - FEOR'!$A$4:$A$465,0),
IF(J213="30 év alatt",3,
IF(J213="30–39 éves",4,
IF(J213="40–49 éves",5,
IF(J213="50 év és afelett",6
)))))*1,"NA")</f>
        <v>505959</v>
      </c>
      <c r="M213" s="438">
        <f t="shared" si="511"/>
        <v>225000</v>
      </c>
      <c r="N213" s="443">
        <f t="shared" ca="1" si="512"/>
        <v>0.44470006462974271</v>
      </c>
      <c r="O213" s="438">
        <f ca="1">IFERROR(
INDEX('Admin - FEOR'!$A$4:$F$465,MATCH(Bérköltség!H213,'Admin - FEOR'!$A$4:$A$465,0),
IF(J213="30 év alatt",3,
IF(J213="30–39 éves",4,
IF(J213="40–49 éves",5,
IF(J213="50 év és afelett",6
)))))*1.5,"NA")</f>
        <v>758938.5</v>
      </c>
      <c r="P213" s="438">
        <f t="shared" ca="1" si="513"/>
        <v>758938.5</v>
      </c>
      <c r="Q213" s="438">
        <f t="shared" si="514"/>
        <v>225000</v>
      </c>
      <c r="R213" s="444">
        <f t="shared" si="515"/>
        <v>1</v>
      </c>
      <c r="S213" s="438">
        <f t="shared" ca="1" si="516"/>
        <v>0</v>
      </c>
      <c r="T213" s="438">
        <f t="shared" ca="1" si="517"/>
        <v>0</v>
      </c>
      <c r="U213" s="445">
        <f t="shared" ca="1" si="518"/>
        <v>0</v>
      </c>
      <c r="V213" s="446">
        <f t="shared" ca="1" si="519"/>
        <v>254250</v>
      </c>
      <c r="W213" s="447" t="str">
        <f t="shared" ca="1" si="520"/>
        <v>Nem szükséges indoklás.</v>
      </c>
      <c r="X213" s="571">
        <f t="shared" ca="1" si="530"/>
        <v>0</v>
      </c>
      <c r="Y213" s="554">
        <f t="shared" ca="1" si="531"/>
        <v>225000</v>
      </c>
      <c r="Z213" s="554">
        <f t="shared" ca="1" si="532"/>
        <v>29250</v>
      </c>
      <c r="AA213" s="101"/>
      <c r="AB213" s="474">
        <v>8467980052</v>
      </c>
      <c r="AC213" s="449" t="s">
        <v>149</v>
      </c>
      <c r="AD213" s="483" t="s">
        <v>45</v>
      </c>
      <c r="AE213" s="450" t="s">
        <v>22</v>
      </c>
      <c r="AF213" s="247" t="s">
        <v>121</v>
      </c>
      <c r="AG213" s="99" t="s">
        <v>148</v>
      </c>
      <c r="AH213" s="451" t="s">
        <v>131</v>
      </c>
      <c r="AI213" s="154">
        <v>45231</v>
      </c>
      <c r="AJ213" s="100" t="str">
        <f>IF(AI213&gt;0,
(IF(AI213&lt;Hónapok!$A$10,Admin!$A$28,
(IF(AI213&lt;Hónapok!$A$22,Admin!$B$28,
(IF(AI213&lt;Hónapok!$A$34,Admin!$C$28,
(IF(AI213&lt;Hónapok!$A$46,Admin!$D$28,"")))))))),"")</f>
        <v>3. mérföldkő</v>
      </c>
      <c r="AK213" s="469" t="s">
        <v>8</v>
      </c>
      <c r="AL213" s="101" t="s">
        <v>26</v>
      </c>
      <c r="AM213" s="900">
        <v>225000</v>
      </c>
      <c r="AN213" s="860">
        <f t="shared" si="524"/>
        <v>29250</v>
      </c>
      <c r="AO213" s="101">
        <v>87</v>
      </c>
      <c r="AP213" s="111">
        <v>87</v>
      </c>
      <c r="AQ213" s="454">
        <f t="shared" si="525"/>
        <v>1</v>
      </c>
      <c r="AR213" s="455">
        <f t="shared" si="526"/>
        <v>225000</v>
      </c>
      <c r="AS213" s="455">
        <f t="shared" si="527"/>
        <v>29250</v>
      </c>
      <c r="AT213" s="102">
        <f t="shared" si="528"/>
        <v>0</v>
      </c>
      <c r="AU213" s="116">
        <v>0.13</v>
      </c>
      <c r="AV213" s="565" t="str">
        <f>VLOOKUP(LEFT(AB213,10),Törzsszám!$A$1:$B$908,2,0)</f>
        <v>10001303</v>
      </c>
      <c r="AW213" s="681">
        <f t="shared" ca="1" si="529"/>
        <v>0</v>
      </c>
      <c r="AX213" s="471"/>
      <c r="AY213" s="486"/>
      <c r="AZ213" s="502"/>
      <c r="BA213" s="671"/>
      <c r="BB213" s="649"/>
      <c r="BC213" s="649"/>
      <c r="BD213" s="672"/>
      <c r="BE213" s="450" t="s">
        <v>144</v>
      </c>
    </row>
    <row r="214" spans="1:58" s="457" customFormat="1" ht="31.5" x14ac:dyDescent="0.25">
      <c r="A214" s="694" t="str">
        <f ca="1">Bérköltség!$B214</f>
        <v>FEOR</v>
      </c>
      <c r="B214" s="694" t="str">
        <f ca="1">IFERROR(
IF(AND(Bérköltség!$F214="",H214="NA"),"HIÁNYOS ADATOK",
IF(Bérköltség!$F214&lt;Bérköltség!$U214,Admin!$B$18,Admin!$B$17)),
"")</f>
        <v>FEOR</v>
      </c>
      <c r="C214" s="437">
        <f>IFERROR(INDEX('Historikus berek_2021-2'!$A$1:$F$903,MATCH(AB214,'Historikus berek_2021-2'!$A$1:$A$903,0),4),"")</f>
        <v>376666.66666666669</v>
      </c>
      <c r="D214" s="438">
        <f t="shared" si="320"/>
        <v>188333.33333333334</v>
      </c>
      <c r="E214" s="437">
        <f t="shared" si="321"/>
        <v>220000</v>
      </c>
      <c r="F214" s="439">
        <f t="shared" si="334"/>
        <v>35783.333333333314</v>
      </c>
      <c r="G214" s="440">
        <f t="shared" si="335"/>
        <v>212816.66666666666</v>
      </c>
      <c r="H214" s="441">
        <f>IFERROR(INDEX('FEOR kodok'!$A$2:$J$1126,MATCH(Bérköltség!AB214,'FEOR kodok'!$B$2:$B$1126,0),8),"NA")</f>
        <v>2139</v>
      </c>
      <c r="I214" s="436">
        <f ca="1">IFERROR(INDEX('FEOR kodok'!$A$2:$J$1126,MATCH(Bérköltség!AB214,'FEOR kodok'!$B$2:$B$1126,0),10),"NA")</f>
        <v>39</v>
      </c>
      <c r="J214" s="442" t="str">
        <f t="shared" ca="1" si="322"/>
        <v>30–39 éves</v>
      </c>
      <c r="K214" s="436" t="str">
        <f>IFERROR(INDEX(admin_feor[#All],MATCH(Bérköltség!H214,admin_feor[[#All],[Foglalkozás]],0),2),"NA")</f>
        <v>Egyéb, máshova nem sorolható mérnök</v>
      </c>
      <c r="L214" s="438">
        <f ca="1">IFERROR(
INDEX('Admin - FEOR'!$A$4:$F$465,MATCH(Bérköltség!H214,'Admin - FEOR'!$A$4:$A$465,0),
IF(J214="30 év alatt",3,
IF(J214="30–39 éves",4,
IF(J214="40–49 éves",5,
IF(J214="50 év és afelett",6
)))))*1,"NA")</f>
        <v>845378</v>
      </c>
      <c r="M214" s="438">
        <f t="shared" si="323"/>
        <v>439999</v>
      </c>
      <c r="N214" s="443">
        <f t="shared" ca="1" si="324"/>
        <v>0.52047604740128084</v>
      </c>
      <c r="O214" s="438">
        <f ca="1">IFERROR(
INDEX('Admin - FEOR'!$A$4:$F$465,MATCH(Bérköltség!H214,'Admin - FEOR'!$A$4:$A$465,0),
IF(J214="30 év alatt",3,
IF(J214="30–39 éves",4,
IF(J214="40–49 éves",5,
IF(J214="50 év és afelett",6
)))))*1.5,"NA")</f>
        <v>1268067</v>
      </c>
      <c r="P214" s="438">
        <f t="shared" ca="1" si="325"/>
        <v>634033.5</v>
      </c>
      <c r="Q214" s="438">
        <f t="shared" si="326"/>
        <v>220000</v>
      </c>
      <c r="R214" s="444">
        <f t="shared" si="327"/>
        <v>0.5</v>
      </c>
      <c r="S214" s="438">
        <f t="shared" ca="1" si="328"/>
        <v>0</v>
      </c>
      <c r="T214" s="438">
        <f t="shared" ca="1" si="329"/>
        <v>0</v>
      </c>
      <c r="U214" s="445">
        <f t="shared" ca="1" si="330"/>
        <v>0</v>
      </c>
      <c r="V214" s="446">
        <f t="shared" ca="1" si="331"/>
        <v>248600</v>
      </c>
      <c r="W214" s="447" t="str">
        <f t="shared" ca="1" si="332"/>
        <v>Nem szükséges indoklás.</v>
      </c>
      <c r="X214" s="571">
        <f t="shared" ca="1" si="333"/>
        <v>0</v>
      </c>
      <c r="Y214" s="554">
        <f t="shared" ca="1" si="318"/>
        <v>220000</v>
      </c>
      <c r="Z214" s="554">
        <f t="shared" ca="1" si="319"/>
        <v>28600</v>
      </c>
      <c r="AA214" s="573">
        <v>2</v>
      </c>
      <c r="AB214" s="474">
        <v>8429333843</v>
      </c>
      <c r="AC214" s="449" t="s">
        <v>190</v>
      </c>
      <c r="AD214" s="483" t="s">
        <v>45</v>
      </c>
      <c r="AE214" s="450" t="s">
        <v>22</v>
      </c>
      <c r="AF214" s="247" t="s">
        <v>125</v>
      </c>
      <c r="AG214" s="99" t="s">
        <v>191</v>
      </c>
      <c r="AH214" s="451" t="s">
        <v>131</v>
      </c>
      <c r="AI214" s="154">
        <v>44774</v>
      </c>
      <c r="AJ214" s="100" t="str">
        <f>IF(AI214&gt;0,
(IF(AI214&lt;Hónapok!$A$10,Admin!$A$28,
(IF(AI214&lt;Hónapok!$A$22,Admin!$B$28,
(IF(AI214&lt;Hónapok!$A$34,Admin!$C$28,
(IF(AI214&lt;Hónapok!$A$46,Admin!$D$28,"")))))))),"")</f>
        <v>2. mérföldkő</v>
      </c>
      <c r="AK214" s="469" t="s">
        <v>7</v>
      </c>
      <c r="AL214" s="101" t="s">
        <v>26</v>
      </c>
      <c r="AM214" s="900">
        <v>439999</v>
      </c>
      <c r="AN214" s="860">
        <f t="shared" si="410"/>
        <v>57200</v>
      </c>
      <c r="AO214" s="101">
        <v>174</v>
      </c>
      <c r="AP214" s="111">
        <v>87</v>
      </c>
      <c r="AQ214" s="454">
        <f t="shared" si="313"/>
        <v>0.5</v>
      </c>
      <c r="AR214" s="455">
        <f t="shared" si="314"/>
        <v>220000</v>
      </c>
      <c r="AS214" s="455">
        <f t="shared" si="315"/>
        <v>28600</v>
      </c>
      <c r="AT214" s="102">
        <f t="shared" si="316"/>
        <v>-1.1363662190122525E-6</v>
      </c>
      <c r="AU214" s="116">
        <v>0.13</v>
      </c>
      <c r="AV214" s="565" t="str">
        <f>VLOOKUP(LEFT(AB214,10),Törzsszám!$A$1:$B$908,2,0)</f>
        <v>10001133</v>
      </c>
      <c r="AW214" s="615">
        <f t="shared" ca="1" si="311"/>
        <v>0</v>
      </c>
      <c r="AX214" s="456" t="s">
        <v>218</v>
      </c>
      <c r="AY214" s="486"/>
      <c r="AZ214" s="502"/>
      <c r="BA214" s="671">
        <v>220000</v>
      </c>
      <c r="BB214" s="649">
        <v>28600</v>
      </c>
      <c r="BC214" s="649">
        <f t="shared" ref="BC214:BD219" ca="1" si="533">Y214-BA214</f>
        <v>0</v>
      </c>
      <c r="BD214" s="672">
        <f t="shared" ca="1" si="533"/>
        <v>0</v>
      </c>
      <c r="BE214" s="450" t="s">
        <v>192</v>
      </c>
    </row>
    <row r="215" spans="1:58" s="457" customFormat="1" ht="31.5" x14ac:dyDescent="0.25">
      <c r="A215" s="694" t="str">
        <f ca="1">Bérköltség!$B215</f>
        <v>FEOR</v>
      </c>
      <c r="B215" s="694" t="str">
        <f ca="1">IFERROR(
IF(AND(Bérköltség!$F215="",H215="NA"),"HIÁNYOS ADATOK",
IF(Bérköltség!$F215&lt;Bérköltség!$U215,Admin!$B$18,Admin!$B$17)),
"")</f>
        <v>FEOR</v>
      </c>
      <c r="C215" s="437">
        <f>IFERROR(INDEX('Historikus berek_2021-2'!$A$1:$F$903,MATCH(AB215,'Historikus berek_2021-2'!$A$1:$A$903,0),4),"")</f>
        <v>376666.66666666669</v>
      </c>
      <c r="D215" s="438">
        <f t="shared" si="320"/>
        <v>188333.33333333334</v>
      </c>
      <c r="E215" s="437">
        <f t="shared" si="321"/>
        <v>220000</v>
      </c>
      <c r="F215" s="439">
        <f t="shared" si="334"/>
        <v>35783.333333333314</v>
      </c>
      <c r="G215" s="440">
        <f t="shared" si="335"/>
        <v>212816.66666666666</v>
      </c>
      <c r="H215" s="441">
        <f>IFERROR(INDEX('FEOR kodok'!$A$2:$J$1126,MATCH(Bérköltség!AB215,'FEOR kodok'!$B$2:$B$1126,0),8),"NA")</f>
        <v>2139</v>
      </c>
      <c r="I215" s="436">
        <f ca="1">IFERROR(INDEX('FEOR kodok'!$A$2:$J$1126,MATCH(Bérköltség!AB215,'FEOR kodok'!$B$2:$B$1126,0),10),"NA")</f>
        <v>39</v>
      </c>
      <c r="J215" s="442" t="str">
        <f t="shared" ca="1" si="322"/>
        <v>30–39 éves</v>
      </c>
      <c r="K215" s="436" t="str">
        <f>IFERROR(INDEX(admin_feor[#All],MATCH(Bérköltség!H215,admin_feor[[#All],[Foglalkozás]],0),2),"NA")</f>
        <v>Egyéb, máshova nem sorolható mérnök</v>
      </c>
      <c r="L215" s="438">
        <f ca="1">IFERROR(
INDEX('Admin - FEOR'!$A$4:$F$465,MATCH(Bérköltség!H215,'Admin - FEOR'!$A$4:$A$465,0),
IF(J215="30 év alatt",3,
IF(J215="30–39 éves",4,
IF(J215="40–49 éves",5,
IF(J215="50 év és afelett",6
)))))*1,"NA")</f>
        <v>845378</v>
      </c>
      <c r="M215" s="438">
        <f t="shared" si="323"/>
        <v>440000</v>
      </c>
      <c r="N215" s="443">
        <f t="shared" ca="1" si="324"/>
        <v>0.520477230304077</v>
      </c>
      <c r="O215" s="438">
        <f ca="1">IFERROR(
INDEX('Admin - FEOR'!$A$4:$F$465,MATCH(Bérköltség!H215,'Admin - FEOR'!$A$4:$A$465,0),
IF(J215="30 év alatt",3,
IF(J215="30–39 éves",4,
IF(J215="40–49 éves",5,
IF(J215="50 év és afelett",6
)))))*1.5,"NA")</f>
        <v>1268067</v>
      </c>
      <c r="P215" s="438">
        <f t="shared" ca="1" si="325"/>
        <v>634033.5</v>
      </c>
      <c r="Q215" s="438">
        <f t="shared" si="326"/>
        <v>220000</v>
      </c>
      <c r="R215" s="444">
        <f t="shared" si="327"/>
        <v>0.5</v>
      </c>
      <c r="S215" s="438">
        <f t="shared" ca="1" si="328"/>
        <v>0</v>
      </c>
      <c r="T215" s="438">
        <f t="shared" ca="1" si="329"/>
        <v>0</v>
      </c>
      <c r="U215" s="445">
        <f t="shared" ca="1" si="330"/>
        <v>0</v>
      </c>
      <c r="V215" s="446">
        <f t="shared" ca="1" si="331"/>
        <v>248600</v>
      </c>
      <c r="W215" s="447" t="str">
        <f t="shared" ca="1" si="332"/>
        <v>Nem szükséges indoklás.</v>
      </c>
      <c r="X215" s="571">
        <f t="shared" ca="1" si="333"/>
        <v>0</v>
      </c>
      <c r="Y215" s="554">
        <f t="shared" ca="1" si="318"/>
        <v>220000</v>
      </c>
      <c r="Z215" s="554">
        <f t="shared" ca="1" si="319"/>
        <v>28600</v>
      </c>
      <c r="AA215" s="573">
        <v>2</v>
      </c>
      <c r="AB215" s="474">
        <v>8429333843</v>
      </c>
      <c r="AC215" s="449" t="s">
        <v>190</v>
      </c>
      <c r="AD215" s="483" t="s">
        <v>45</v>
      </c>
      <c r="AE215" s="450" t="s">
        <v>22</v>
      </c>
      <c r="AF215" s="247" t="s">
        <v>125</v>
      </c>
      <c r="AG215" s="99" t="s">
        <v>191</v>
      </c>
      <c r="AH215" s="451" t="s">
        <v>131</v>
      </c>
      <c r="AI215" s="154">
        <v>44805</v>
      </c>
      <c r="AJ215" s="100" t="str">
        <f>IF(AI215&gt;0,
(IF(AI215&lt;Hónapok!$A$10,Admin!$A$28,
(IF(AI215&lt;Hónapok!$A$22,Admin!$B$28,
(IF(AI215&lt;Hónapok!$A$34,Admin!$C$28,
(IF(AI215&lt;Hónapok!$A$46,Admin!$D$28,"")))))))),"")</f>
        <v>2. mérföldkő</v>
      </c>
      <c r="AK215" s="469" t="s">
        <v>7</v>
      </c>
      <c r="AL215" s="101" t="s">
        <v>26</v>
      </c>
      <c r="AM215" s="907">
        <v>440000</v>
      </c>
      <c r="AN215" s="860">
        <f t="shared" si="410"/>
        <v>57200</v>
      </c>
      <c r="AO215" s="101">
        <v>174</v>
      </c>
      <c r="AP215" s="111">
        <v>87</v>
      </c>
      <c r="AQ215" s="454">
        <f t="shared" si="313"/>
        <v>0.5</v>
      </c>
      <c r="AR215" s="455">
        <f t="shared" si="314"/>
        <v>220000</v>
      </c>
      <c r="AS215" s="455">
        <f t="shared" si="315"/>
        <v>28600</v>
      </c>
      <c r="AT215" s="102">
        <f t="shared" si="316"/>
        <v>0</v>
      </c>
      <c r="AU215" s="116">
        <v>0.13</v>
      </c>
      <c r="AV215" s="565" t="str">
        <f>VLOOKUP(LEFT(AB215,10),Törzsszám!$A$1:$B$908,2,0)</f>
        <v>10001133</v>
      </c>
      <c r="AW215" s="615">
        <f t="shared" ca="1" si="311"/>
        <v>0</v>
      </c>
      <c r="AX215" s="456" t="s">
        <v>228</v>
      </c>
      <c r="AY215" s="486"/>
      <c r="AZ215" s="502"/>
      <c r="BA215" s="671">
        <v>220000</v>
      </c>
      <c r="BB215" s="649">
        <v>28600</v>
      </c>
      <c r="BC215" s="649">
        <f t="shared" ca="1" si="533"/>
        <v>0</v>
      </c>
      <c r="BD215" s="672">
        <f t="shared" ca="1" si="533"/>
        <v>0</v>
      </c>
      <c r="BE215" s="450" t="s">
        <v>192</v>
      </c>
    </row>
    <row r="216" spans="1:58" s="457" customFormat="1" ht="31.5" x14ac:dyDescent="0.25">
      <c r="A216" s="694" t="str">
        <f ca="1">Bérköltség!$B216</f>
        <v>FEOR</v>
      </c>
      <c r="B216" s="694" t="str">
        <f ca="1">IFERROR(
IF(AND(Bérköltség!$F216="",H216="NA"),"HIÁNYOS ADATOK",
IF(Bérköltség!$F216&lt;Bérköltség!$U216,Admin!$B$18,Admin!$B$17)),
"")</f>
        <v>FEOR</v>
      </c>
      <c r="C216" s="437">
        <f>IFERROR(INDEX('Historikus berek_2021-2'!$A$1:$F$903,MATCH(AB216,'Historikus berek_2021-2'!$A$1:$A$903,0),4),"")</f>
        <v>376666.66666666669</v>
      </c>
      <c r="D216" s="438">
        <f t="shared" si="320"/>
        <v>188333.33333333334</v>
      </c>
      <c r="E216" s="437">
        <f t="shared" si="321"/>
        <v>220000</v>
      </c>
      <c r="F216" s="439">
        <f t="shared" si="334"/>
        <v>35783.333333333314</v>
      </c>
      <c r="G216" s="440">
        <f t="shared" si="335"/>
        <v>212816.66666666666</v>
      </c>
      <c r="H216" s="441">
        <f>IFERROR(INDEX('FEOR kodok'!$A$2:$J$1126,MATCH(Bérköltség!AB216,'FEOR kodok'!$B$2:$B$1126,0),8),"NA")</f>
        <v>2139</v>
      </c>
      <c r="I216" s="436">
        <f ca="1">IFERROR(INDEX('FEOR kodok'!$A$2:$J$1126,MATCH(Bérköltség!AB216,'FEOR kodok'!$B$2:$B$1126,0),10),"NA")</f>
        <v>39</v>
      </c>
      <c r="J216" s="442" t="str">
        <f t="shared" ca="1" si="322"/>
        <v>30–39 éves</v>
      </c>
      <c r="K216" s="436" t="str">
        <f>IFERROR(INDEX(admin_feor[#All],MATCH(Bérköltség!H216,admin_feor[[#All],[Foglalkozás]],0),2),"NA")</f>
        <v>Egyéb, máshova nem sorolható mérnök</v>
      </c>
      <c r="L216" s="438">
        <f ca="1">IFERROR(
INDEX('Admin - FEOR'!$A$4:$F$465,MATCH(Bérköltség!H216,'Admin - FEOR'!$A$4:$A$465,0),
IF(J216="30 év alatt",3,
IF(J216="30–39 éves",4,
IF(J216="40–49 éves",5,
IF(J216="50 év és afelett",6
)))))*1,"NA")</f>
        <v>845378</v>
      </c>
      <c r="M216" s="438">
        <f t="shared" si="323"/>
        <v>440000</v>
      </c>
      <c r="N216" s="443">
        <f t="shared" ca="1" si="324"/>
        <v>0.520477230304077</v>
      </c>
      <c r="O216" s="438">
        <f ca="1">IFERROR(
INDEX('Admin - FEOR'!$A$4:$F$465,MATCH(Bérköltség!H216,'Admin - FEOR'!$A$4:$A$465,0),
IF(J216="30 év alatt",3,
IF(J216="30–39 éves",4,
IF(J216="40–49 éves",5,
IF(J216="50 év és afelett",6
)))))*1.5,"NA")</f>
        <v>1268067</v>
      </c>
      <c r="P216" s="438">
        <f t="shared" ca="1" si="325"/>
        <v>634033.5</v>
      </c>
      <c r="Q216" s="438">
        <f t="shared" si="326"/>
        <v>220000</v>
      </c>
      <c r="R216" s="444">
        <f t="shared" si="327"/>
        <v>0.5</v>
      </c>
      <c r="S216" s="438">
        <f t="shared" ca="1" si="328"/>
        <v>0</v>
      </c>
      <c r="T216" s="438">
        <f t="shared" ca="1" si="329"/>
        <v>0</v>
      </c>
      <c r="U216" s="445">
        <f t="shared" ca="1" si="330"/>
        <v>0</v>
      </c>
      <c r="V216" s="446">
        <f t="shared" ca="1" si="331"/>
        <v>248600</v>
      </c>
      <c r="W216" s="447" t="str">
        <f t="shared" ca="1" si="332"/>
        <v>Nem szükséges indoklás.</v>
      </c>
      <c r="X216" s="571">
        <f t="shared" ca="1" si="333"/>
        <v>0</v>
      </c>
      <c r="Y216" s="554">
        <f t="shared" ca="1" si="318"/>
        <v>220000</v>
      </c>
      <c r="Z216" s="554">
        <f t="shared" ca="1" si="319"/>
        <v>28600</v>
      </c>
      <c r="AA216" s="573">
        <v>2</v>
      </c>
      <c r="AB216" s="474">
        <v>8429333843</v>
      </c>
      <c r="AC216" s="449" t="s">
        <v>190</v>
      </c>
      <c r="AD216" s="483" t="s">
        <v>45</v>
      </c>
      <c r="AE216" s="450" t="s">
        <v>22</v>
      </c>
      <c r="AF216" s="247" t="s">
        <v>125</v>
      </c>
      <c r="AG216" s="99" t="s">
        <v>191</v>
      </c>
      <c r="AH216" s="451" t="s">
        <v>131</v>
      </c>
      <c r="AI216" s="154">
        <v>44835</v>
      </c>
      <c r="AJ216" s="100" t="str">
        <f>IF(AI216&gt;0,
(IF(AI216&lt;Hónapok!$A$10,Admin!$A$28,
(IF(AI216&lt;Hónapok!$A$22,Admin!$B$28,
(IF(AI216&lt;Hónapok!$A$34,Admin!$C$28,
(IF(AI216&lt;Hónapok!$A$46,Admin!$D$28,"")))))))),"")</f>
        <v>2. mérföldkő</v>
      </c>
      <c r="AK216" s="469" t="s">
        <v>7</v>
      </c>
      <c r="AL216" s="101" t="s">
        <v>26</v>
      </c>
      <c r="AM216" s="907">
        <v>440000</v>
      </c>
      <c r="AN216" s="860">
        <f t="shared" si="410"/>
        <v>57200</v>
      </c>
      <c r="AO216" s="101">
        <v>174</v>
      </c>
      <c r="AP216" s="111">
        <v>87</v>
      </c>
      <c r="AQ216" s="454">
        <f t="shared" si="313"/>
        <v>0.5</v>
      </c>
      <c r="AR216" s="455">
        <f t="shared" si="314"/>
        <v>220000</v>
      </c>
      <c r="AS216" s="455">
        <f t="shared" si="315"/>
        <v>28600</v>
      </c>
      <c r="AT216" s="102">
        <f t="shared" si="316"/>
        <v>0</v>
      </c>
      <c r="AU216" s="116">
        <v>0.13</v>
      </c>
      <c r="AV216" s="565" t="str">
        <f>VLOOKUP(LEFT(AB216,10),Törzsszám!$A$1:$B$908,2,0)</f>
        <v>10001133</v>
      </c>
      <c r="AW216" s="615">
        <f t="shared" ca="1" si="311"/>
        <v>0</v>
      </c>
      <c r="AX216" s="456" t="s">
        <v>251</v>
      </c>
      <c r="AY216" s="486"/>
      <c r="AZ216" s="502"/>
      <c r="BA216" s="671">
        <v>220000</v>
      </c>
      <c r="BB216" s="649">
        <v>28600</v>
      </c>
      <c r="BC216" s="649">
        <f t="shared" ca="1" si="533"/>
        <v>0</v>
      </c>
      <c r="BD216" s="672">
        <f t="shared" ca="1" si="533"/>
        <v>0</v>
      </c>
      <c r="BE216" s="450" t="s">
        <v>192</v>
      </c>
    </row>
    <row r="217" spans="1:58" s="457" customFormat="1" ht="31.5" x14ac:dyDescent="0.25">
      <c r="A217" s="694" t="str">
        <f ca="1">Bérköltség!$B217</f>
        <v>FEOR</v>
      </c>
      <c r="B217" s="694" t="str">
        <f ca="1">IFERROR(
IF(AND(Bérköltség!$F217="",H217="NA"),"HIÁNYOS ADATOK",
IF(Bérköltség!$F217&lt;Bérköltség!$U217,Admin!$B$18,Admin!$B$17)),
"")</f>
        <v>FEOR</v>
      </c>
      <c r="C217" s="437">
        <f>IFERROR(INDEX('Historikus berek_2021-2'!$A$1:$F$903,MATCH(AB217,'Historikus berek_2021-2'!$A$1:$A$903,0),4),"")</f>
        <v>376666.66666666669</v>
      </c>
      <c r="D217" s="438">
        <f t="shared" si="320"/>
        <v>188333.33333333334</v>
      </c>
      <c r="E217" s="437">
        <f t="shared" si="321"/>
        <v>220000</v>
      </c>
      <c r="F217" s="439">
        <f t="shared" si="334"/>
        <v>35783.333333333314</v>
      </c>
      <c r="G217" s="440">
        <f t="shared" si="335"/>
        <v>212816.66666666666</v>
      </c>
      <c r="H217" s="441">
        <f>IFERROR(INDEX('FEOR kodok'!$A$2:$J$1126,MATCH(Bérköltség!AB217,'FEOR kodok'!$B$2:$B$1126,0),8),"NA")</f>
        <v>2139</v>
      </c>
      <c r="I217" s="436">
        <f ca="1">IFERROR(INDEX('FEOR kodok'!$A$2:$J$1126,MATCH(Bérköltség!AB217,'FEOR kodok'!$B$2:$B$1126,0),10),"NA")</f>
        <v>39</v>
      </c>
      <c r="J217" s="442" t="str">
        <f t="shared" ca="1" si="322"/>
        <v>30–39 éves</v>
      </c>
      <c r="K217" s="436" t="str">
        <f>IFERROR(INDEX(admin_feor[#All],MATCH(Bérköltség!H217,admin_feor[[#All],[Foglalkozás]],0),2),"NA")</f>
        <v>Egyéb, máshova nem sorolható mérnök</v>
      </c>
      <c r="L217" s="438">
        <f ca="1">IFERROR(
INDEX('Admin - FEOR'!$A$4:$F$465,MATCH(Bérköltség!H217,'Admin - FEOR'!$A$4:$A$465,0),
IF(J217="30 év alatt",3,
IF(J217="30–39 éves",4,
IF(J217="40–49 éves",5,
IF(J217="50 év és afelett",6
)))))*1,"NA")</f>
        <v>845378</v>
      </c>
      <c r="M217" s="438">
        <f t="shared" si="323"/>
        <v>440000</v>
      </c>
      <c r="N217" s="443">
        <f t="shared" ca="1" si="324"/>
        <v>0.520477230304077</v>
      </c>
      <c r="O217" s="438">
        <f ca="1">IFERROR(
INDEX('Admin - FEOR'!$A$4:$F$465,MATCH(Bérköltség!H217,'Admin - FEOR'!$A$4:$A$465,0),
IF(J217="30 év alatt",3,
IF(J217="30–39 éves",4,
IF(J217="40–49 éves",5,
IF(J217="50 év és afelett",6
)))))*1.5,"NA")</f>
        <v>1268067</v>
      </c>
      <c r="P217" s="438">
        <f t="shared" ca="1" si="325"/>
        <v>634033.5</v>
      </c>
      <c r="Q217" s="438">
        <f t="shared" si="326"/>
        <v>220000</v>
      </c>
      <c r="R217" s="444">
        <f t="shared" si="327"/>
        <v>0.5</v>
      </c>
      <c r="S217" s="438">
        <f t="shared" ca="1" si="328"/>
        <v>0</v>
      </c>
      <c r="T217" s="438">
        <f t="shared" ca="1" si="329"/>
        <v>0</v>
      </c>
      <c r="U217" s="445">
        <f t="shared" ca="1" si="330"/>
        <v>0</v>
      </c>
      <c r="V217" s="446">
        <f t="shared" ca="1" si="331"/>
        <v>248600</v>
      </c>
      <c r="W217" s="447" t="str">
        <f t="shared" ca="1" si="332"/>
        <v>Nem szükséges indoklás.</v>
      </c>
      <c r="X217" s="571">
        <f t="shared" ca="1" si="333"/>
        <v>0</v>
      </c>
      <c r="Y217" s="554">
        <f t="shared" ca="1" si="318"/>
        <v>220000</v>
      </c>
      <c r="Z217" s="554">
        <f t="shared" ca="1" si="319"/>
        <v>28600</v>
      </c>
      <c r="AA217" s="573">
        <v>2</v>
      </c>
      <c r="AB217" s="474">
        <v>8429333843</v>
      </c>
      <c r="AC217" s="449" t="s">
        <v>190</v>
      </c>
      <c r="AD217" s="483" t="s">
        <v>45</v>
      </c>
      <c r="AE217" s="450" t="s">
        <v>22</v>
      </c>
      <c r="AF217" s="247" t="s">
        <v>125</v>
      </c>
      <c r="AG217" s="99" t="s">
        <v>191</v>
      </c>
      <c r="AH217" s="451" t="s">
        <v>131</v>
      </c>
      <c r="AI217" s="154">
        <v>44866</v>
      </c>
      <c r="AJ217" s="100" t="str">
        <f>IF(AI217&gt;0,
(IF(AI217&lt;Hónapok!$A$10,Admin!$A$28,
(IF(AI217&lt;Hónapok!$A$22,Admin!$B$28,
(IF(AI217&lt;Hónapok!$A$34,Admin!$C$28,
(IF(AI217&lt;Hónapok!$A$46,Admin!$D$28,"")))))))),"")</f>
        <v>2. mérföldkő</v>
      </c>
      <c r="AK217" s="469" t="s">
        <v>7</v>
      </c>
      <c r="AL217" s="101" t="s">
        <v>26</v>
      </c>
      <c r="AM217" s="907">
        <v>440000</v>
      </c>
      <c r="AN217" s="860">
        <f t="shared" si="410"/>
        <v>57200</v>
      </c>
      <c r="AO217" s="101">
        <v>174</v>
      </c>
      <c r="AP217" s="111">
        <v>87</v>
      </c>
      <c r="AQ217" s="454">
        <f t="shared" si="313"/>
        <v>0.5</v>
      </c>
      <c r="AR217" s="455">
        <f t="shared" si="314"/>
        <v>220000</v>
      </c>
      <c r="AS217" s="455">
        <f t="shared" si="315"/>
        <v>28600</v>
      </c>
      <c r="AT217" s="102">
        <f t="shared" si="316"/>
        <v>0</v>
      </c>
      <c r="AU217" s="116">
        <v>0.13</v>
      </c>
      <c r="AV217" s="565" t="str">
        <f>VLOOKUP(LEFT(AB217,10),Törzsszám!$A$1:$B$908,2,0)</f>
        <v>10001133</v>
      </c>
      <c r="AW217" s="615">
        <f t="shared" ca="1" si="311"/>
        <v>0</v>
      </c>
      <c r="AX217" s="456" t="s">
        <v>260</v>
      </c>
      <c r="AY217" s="486"/>
      <c r="AZ217" s="502"/>
      <c r="BA217" s="671">
        <v>220000</v>
      </c>
      <c r="BB217" s="649">
        <v>28600</v>
      </c>
      <c r="BC217" s="649">
        <f t="shared" ca="1" si="533"/>
        <v>0</v>
      </c>
      <c r="BD217" s="672">
        <f t="shared" ca="1" si="533"/>
        <v>0</v>
      </c>
      <c r="BE217" s="450" t="s">
        <v>192</v>
      </c>
    </row>
    <row r="218" spans="1:58" s="457" customFormat="1" ht="31.5" x14ac:dyDescent="0.25">
      <c r="A218" s="694" t="str">
        <f ca="1">Bérköltség!$B218</f>
        <v>FEOR</v>
      </c>
      <c r="B218" s="694" t="str">
        <f ca="1">IFERROR(
IF(AND(Bérköltség!$F218="",H218="NA"),"HIÁNYOS ADATOK",
IF(Bérköltség!$F218&lt;Bérköltség!$U218,Admin!$B$18,Admin!$B$17)),
"")</f>
        <v>FEOR</v>
      </c>
      <c r="C218" s="437">
        <f>IFERROR(INDEX('Historikus berek_2021-2'!$A$1:$F$903,MATCH(AB218,'Historikus berek_2021-2'!$A$1:$A$903,0),4),"")</f>
        <v>376666.66666666669</v>
      </c>
      <c r="D218" s="438">
        <f t="shared" si="320"/>
        <v>188333.33333333334</v>
      </c>
      <c r="E218" s="437">
        <f t="shared" si="321"/>
        <v>199048</v>
      </c>
      <c r="F218" s="439">
        <f t="shared" si="334"/>
        <v>12107.573333333334</v>
      </c>
      <c r="G218" s="440">
        <f t="shared" si="335"/>
        <v>212816.66666666666</v>
      </c>
      <c r="H218" s="441">
        <f>IFERROR(INDEX('FEOR kodok'!$A$2:$J$1126,MATCH(Bérköltség!AB218,'FEOR kodok'!$B$2:$B$1126,0),8),"NA")</f>
        <v>2139</v>
      </c>
      <c r="I218" s="436">
        <f ca="1">IFERROR(INDEX('FEOR kodok'!$A$2:$J$1126,MATCH(Bérköltség!AB218,'FEOR kodok'!$B$2:$B$1126,0),10),"NA")</f>
        <v>39</v>
      </c>
      <c r="J218" s="442" t="str">
        <f t="shared" ca="1" si="322"/>
        <v>30–39 éves</v>
      </c>
      <c r="K218" s="436" t="str">
        <f>IFERROR(INDEX(admin_feor[#All],MATCH(Bérköltség!H218,admin_feor[[#All],[Foglalkozás]],0),2),"NA")</f>
        <v>Egyéb, máshova nem sorolható mérnök</v>
      </c>
      <c r="L218" s="438">
        <f ca="1">IFERROR(
INDEX('Admin - FEOR'!$A$4:$F$465,MATCH(Bérköltség!H218,'Admin - FEOR'!$A$4:$A$465,0),
IF(J218="30 év alatt",3,
IF(J218="30–39 éves",4,
IF(J218="40–49 éves",5,
IF(J218="50 év és afelett",6
)))))*1,"NA")</f>
        <v>845378</v>
      </c>
      <c r="M218" s="438">
        <f t="shared" si="323"/>
        <v>398096</v>
      </c>
      <c r="N218" s="443">
        <f t="shared" ca="1" si="324"/>
        <v>0.47090887153439054</v>
      </c>
      <c r="O218" s="438">
        <f ca="1">IFERROR(
INDEX('Admin - FEOR'!$A$4:$F$465,MATCH(Bérköltség!H218,'Admin - FEOR'!$A$4:$A$465,0),
IF(J218="30 év alatt",3,
IF(J218="30–39 éves",4,
IF(J218="40–49 éves",5,
IF(J218="50 év és afelett",6
)))))*1.5,"NA")</f>
        <v>1268067</v>
      </c>
      <c r="P218" s="438">
        <f t="shared" ca="1" si="325"/>
        <v>634033.5</v>
      </c>
      <c r="Q218" s="438">
        <f t="shared" si="326"/>
        <v>199048</v>
      </c>
      <c r="R218" s="444">
        <f t="shared" si="327"/>
        <v>0.5</v>
      </c>
      <c r="S218" s="438">
        <f t="shared" ca="1" si="328"/>
        <v>0</v>
      </c>
      <c r="T218" s="438">
        <f t="shared" ca="1" si="329"/>
        <v>0</v>
      </c>
      <c r="U218" s="445">
        <f t="shared" ca="1" si="330"/>
        <v>0</v>
      </c>
      <c r="V218" s="446">
        <f t="shared" ca="1" si="331"/>
        <v>224924</v>
      </c>
      <c r="W218" s="447" t="str">
        <f t="shared" ca="1" si="332"/>
        <v>Nem szükséges indoklás.</v>
      </c>
      <c r="X218" s="571">
        <f t="shared" ca="1" si="333"/>
        <v>0</v>
      </c>
      <c r="Y218" s="554">
        <f t="shared" ca="1" si="318"/>
        <v>199048</v>
      </c>
      <c r="Z218" s="554">
        <f t="shared" ca="1" si="319"/>
        <v>25876</v>
      </c>
      <c r="AA218" s="573">
        <v>2</v>
      </c>
      <c r="AB218" s="474">
        <v>8429333843</v>
      </c>
      <c r="AC218" s="449" t="s">
        <v>190</v>
      </c>
      <c r="AD218" s="482" t="s">
        <v>45</v>
      </c>
      <c r="AE218" s="450" t="s">
        <v>22</v>
      </c>
      <c r="AF218" s="247" t="s">
        <v>125</v>
      </c>
      <c r="AG218" s="99" t="s">
        <v>191</v>
      </c>
      <c r="AH218" s="451" t="s">
        <v>131</v>
      </c>
      <c r="AI218" s="154">
        <v>44896</v>
      </c>
      <c r="AJ218" s="100" t="str">
        <f>IF(AI218&gt;0,
(IF(AI218&lt;Hónapok!$A$10,Admin!$A$28,
(IF(AI218&lt;Hónapok!$A$22,Admin!$B$28,
(IF(AI218&lt;Hónapok!$A$34,Admin!$C$28,
(IF(AI218&lt;Hónapok!$A$46,Admin!$D$28,"")))))))),"")</f>
        <v>2. mérföldkő</v>
      </c>
      <c r="AK218" s="467" t="s">
        <v>7</v>
      </c>
      <c r="AL218" s="101" t="s">
        <v>26</v>
      </c>
      <c r="AM218" s="900">
        <v>398096</v>
      </c>
      <c r="AN218" s="860">
        <f t="shared" si="410"/>
        <v>51752</v>
      </c>
      <c r="AO218" s="101">
        <v>174</v>
      </c>
      <c r="AP218" s="111">
        <v>87</v>
      </c>
      <c r="AQ218" s="454">
        <f t="shared" si="313"/>
        <v>0.5</v>
      </c>
      <c r="AR218" s="455">
        <f t="shared" si="314"/>
        <v>199048</v>
      </c>
      <c r="AS218" s="455">
        <f t="shared" si="315"/>
        <v>25876</v>
      </c>
      <c r="AT218" s="102">
        <f t="shared" si="316"/>
        <v>0</v>
      </c>
      <c r="AU218" s="116">
        <v>0.13</v>
      </c>
      <c r="AV218" s="565" t="str">
        <f>VLOOKUP(LEFT(AB218,10),Törzsszám!$A$1:$B$908,2,0)</f>
        <v>10001133</v>
      </c>
      <c r="AW218" s="615">
        <f t="shared" ca="1" si="311"/>
        <v>0</v>
      </c>
      <c r="AX218" s="456" t="s">
        <v>262</v>
      </c>
      <c r="AY218" s="486"/>
      <c r="AZ218" s="502"/>
      <c r="BA218" s="671">
        <v>199048</v>
      </c>
      <c r="BB218" s="649">
        <v>25876</v>
      </c>
      <c r="BC218" s="649">
        <f t="shared" ca="1" si="533"/>
        <v>0</v>
      </c>
      <c r="BD218" s="672">
        <f t="shared" ca="1" si="533"/>
        <v>0</v>
      </c>
      <c r="BE218" s="450" t="s">
        <v>192</v>
      </c>
    </row>
    <row r="219" spans="1:58" s="457" customFormat="1" ht="31.5" x14ac:dyDescent="0.25">
      <c r="A219" s="694" t="str">
        <f ca="1">Bérköltség!$B219</f>
        <v>FEOR</v>
      </c>
      <c r="B219" s="694" t="str">
        <f ca="1">IFERROR(
IF(AND(Bérköltség!$F219="",H219="NA"),"HIÁNYOS ADATOK",
IF(Bérköltség!$F219&lt;Bérköltség!$U219,Admin!$B$18,Admin!$B$17)),
"")</f>
        <v>FEOR</v>
      </c>
      <c r="C219" s="437">
        <f>IFERROR(INDEX('Historikus berek_2021-2'!$A$1:$F$903,MATCH(AB219,'Historikus berek_2021-2'!$A$1:$A$903,0),4),"")</f>
        <v>376666.66666666669</v>
      </c>
      <c r="D219" s="438">
        <f t="shared" si="320"/>
        <v>201321.83908045976</v>
      </c>
      <c r="E219" s="437">
        <f t="shared" si="321"/>
        <v>251207</v>
      </c>
      <c r="F219" s="439">
        <f t="shared" si="334"/>
        <v>56370.231839080458</v>
      </c>
      <c r="G219" s="440">
        <f t="shared" si="335"/>
        <v>227493.67816091952</v>
      </c>
      <c r="H219" s="441">
        <f>IFERROR(INDEX('FEOR kodok'!$A$2:$J$1126,MATCH(Bérköltség!AB219,'FEOR kodok'!$B$2:$B$1126,0),8),"NA")</f>
        <v>2139</v>
      </c>
      <c r="I219" s="436">
        <f ca="1">IFERROR(INDEX('FEOR kodok'!$A$2:$J$1126,MATCH(Bérköltség!AB219,'FEOR kodok'!$B$2:$B$1126,0),10),"NA")</f>
        <v>39</v>
      </c>
      <c r="J219" s="442" t="str">
        <f t="shared" ca="1" si="322"/>
        <v>30–39 éves</v>
      </c>
      <c r="K219" s="436" t="str">
        <f>IFERROR(INDEX(admin_feor[#All],MATCH(Bérköltség!H219,admin_feor[[#All],[Foglalkozás]],0),2),"NA")</f>
        <v>Egyéb, máshova nem sorolható mérnök</v>
      </c>
      <c r="L219" s="438">
        <f ca="1">IFERROR(
INDEX('Admin - FEOR'!$A$4:$F$465,MATCH(Bérköltség!H219,'Admin - FEOR'!$A$4:$A$465,0),
IF(J219="30 év alatt",3,
IF(J219="30–39 éves",4,
IF(J219="40–49 éves",5,
IF(J219="50 év és afelett",6
)))))*1,"NA")</f>
        <v>845378</v>
      </c>
      <c r="M219" s="438">
        <f t="shared" si="323"/>
        <v>470000</v>
      </c>
      <c r="N219" s="443">
        <f t="shared" ca="1" si="324"/>
        <v>0.55596431418844583</v>
      </c>
      <c r="O219" s="438">
        <f ca="1">IFERROR(
INDEX('Admin - FEOR'!$A$4:$F$465,MATCH(Bérköltség!H219,'Admin - FEOR'!$A$4:$A$465,0),
IF(J219="30 év alatt",3,
IF(J219="30–39 éves",4,
IF(J219="40–49 éves",5,
IF(J219="50 év és afelett",6
)))))*1.5,"NA")</f>
        <v>1268067</v>
      </c>
      <c r="P219" s="438">
        <f t="shared" ca="1" si="325"/>
        <v>677759.94827586203</v>
      </c>
      <c r="Q219" s="438">
        <f t="shared" si="326"/>
        <v>251207</v>
      </c>
      <c r="R219" s="444">
        <f t="shared" si="327"/>
        <v>0.53448275862068961</v>
      </c>
      <c r="S219" s="438">
        <f t="shared" ca="1" si="328"/>
        <v>0</v>
      </c>
      <c r="T219" s="438">
        <f t="shared" ca="1" si="329"/>
        <v>0</v>
      </c>
      <c r="U219" s="445">
        <f t="shared" ca="1" si="330"/>
        <v>0</v>
      </c>
      <c r="V219" s="446">
        <f t="shared" ca="1" si="331"/>
        <v>283864</v>
      </c>
      <c r="W219" s="447" t="str">
        <f t="shared" ca="1" si="332"/>
        <v>Nem szükséges indoklás.</v>
      </c>
      <c r="X219" s="571">
        <f t="shared" ca="1" si="333"/>
        <v>0</v>
      </c>
      <c r="Y219" s="554">
        <f t="shared" ca="1" si="318"/>
        <v>251207</v>
      </c>
      <c r="Z219" s="554">
        <f t="shared" ca="1" si="319"/>
        <v>32657</v>
      </c>
      <c r="AA219" s="573">
        <v>2</v>
      </c>
      <c r="AB219" s="474">
        <v>8429333843</v>
      </c>
      <c r="AC219" s="449" t="s">
        <v>190</v>
      </c>
      <c r="AD219" s="483" t="s">
        <v>45</v>
      </c>
      <c r="AE219" s="450" t="s">
        <v>22</v>
      </c>
      <c r="AF219" s="247" t="s">
        <v>125</v>
      </c>
      <c r="AG219" s="99" t="s">
        <v>191</v>
      </c>
      <c r="AH219" s="451" t="s">
        <v>131</v>
      </c>
      <c r="AI219" s="154">
        <v>44927</v>
      </c>
      <c r="AJ219" s="100" t="str">
        <f>IF(AI219&gt;0,
(IF(AI219&lt;Hónapok!$A$10,Admin!$A$28,
(IF(AI219&lt;Hónapok!$A$22,Admin!$B$28,
(IF(AI219&lt;Hónapok!$A$34,Admin!$C$28,
(IF(AI219&lt;Hónapok!$A$46,Admin!$D$28,"")))))))),"")</f>
        <v>2. mérföldkő</v>
      </c>
      <c r="AK219" s="467" t="s">
        <v>7</v>
      </c>
      <c r="AL219" s="101" t="s">
        <v>26</v>
      </c>
      <c r="AM219" s="900">
        <v>470000</v>
      </c>
      <c r="AN219" s="860">
        <f t="shared" si="410"/>
        <v>61100</v>
      </c>
      <c r="AO219" s="101">
        <v>174</v>
      </c>
      <c r="AP219" s="111">
        <v>93</v>
      </c>
      <c r="AQ219" s="454">
        <f t="shared" si="313"/>
        <v>0.53448275862068961</v>
      </c>
      <c r="AR219" s="455">
        <f t="shared" si="314"/>
        <v>251207</v>
      </c>
      <c r="AS219" s="455">
        <f t="shared" si="315"/>
        <v>32657</v>
      </c>
      <c r="AT219" s="102">
        <f t="shared" si="316"/>
        <v>-2.2010271460981556E-7</v>
      </c>
      <c r="AU219" s="116">
        <v>0.13</v>
      </c>
      <c r="AV219" s="565" t="str">
        <f>VLOOKUP(LEFT(AB219,10),Törzsszám!$A$1:$B$908,2,0)</f>
        <v>10001133</v>
      </c>
      <c r="AW219" s="615">
        <f t="shared" ca="1" si="311"/>
        <v>0</v>
      </c>
      <c r="AX219" s="537" t="s">
        <v>2518</v>
      </c>
      <c r="AY219" s="486"/>
      <c r="AZ219" s="502" t="s">
        <v>4607</v>
      </c>
      <c r="BA219" s="671">
        <v>251207</v>
      </c>
      <c r="BB219" s="649">
        <v>32657</v>
      </c>
      <c r="BC219" s="649">
        <f t="shared" ca="1" si="533"/>
        <v>0</v>
      </c>
      <c r="BD219" s="672">
        <f t="shared" ca="1" si="533"/>
        <v>0</v>
      </c>
      <c r="BE219" s="450" t="s">
        <v>192</v>
      </c>
    </row>
    <row r="220" spans="1:58" s="457" customFormat="1" ht="31.5" x14ac:dyDescent="0.25">
      <c r="A220" s="694" t="str">
        <f ca="1">Bérköltség!$B220</f>
        <v>FEOR</v>
      </c>
      <c r="B220" s="694" t="str">
        <f ca="1">IFERROR(
IF(AND(Bérköltség!$F220="",H220="NA"),"HIÁNYOS ADATOK",
IF(Bérköltség!$F220&lt;Bérköltség!$U220,Admin!$B$18,Admin!$B$17)),
"")</f>
        <v>FEOR</v>
      </c>
      <c r="C220" s="437">
        <f>IFERROR(INDEX('Historikus berek_2021-2'!$A$1:$F$903,MATCH(AB220,'Historikus berek_2021-2'!$A$1:$A$903,0),4),"")</f>
        <v>376666.66666666669</v>
      </c>
      <c r="D220" s="438">
        <f t="shared" si="320"/>
        <v>201321.83908045976</v>
      </c>
      <c r="E220" s="437">
        <f t="shared" si="321"/>
        <v>243671</v>
      </c>
      <c r="F220" s="439">
        <f t="shared" si="334"/>
        <v>47854.551839080465</v>
      </c>
      <c r="G220" s="440">
        <f t="shared" si="335"/>
        <v>227493.67816091952</v>
      </c>
      <c r="H220" s="441">
        <f>IFERROR(INDEX('FEOR kodok'!$A$2:$J$1126,MATCH(Bérköltség!AB220,'FEOR kodok'!$B$2:$B$1126,0),8),"NA")</f>
        <v>2139</v>
      </c>
      <c r="I220" s="436">
        <f ca="1">IFERROR(INDEX('FEOR kodok'!$A$2:$J$1126,MATCH(Bérköltség!AB220,'FEOR kodok'!$B$2:$B$1126,0),10),"NA")</f>
        <v>39</v>
      </c>
      <c r="J220" s="442" t="str">
        <f t="shared" ca="1" si="322"/>
        <v>30–39 éves</v>
      </c>
      <c r="K220" s="436" t="str">
        <f>IFERROR(INDEX(admin_feor[#All],MATCH(Bérköltség!H220,admin_feor[[#All],[Foglalkozás]],0),2),"NA")</f>
        <v>Egyéb, máshova nem sorolható mérnök</v>
      </c>
      <c r="L220" s="438">
        <f ca="1">IFERROR(
INDEX('Admin - FEOR'!$A$4:$F$465,MATCH(Bérköltség!H220,'Admin - FEOR'!$A$4:$A$465,0),
IF(J220="30 év alatt",3,
IF(J220="30–39 éves",4,
IF(J220="40–49 éves",5,
IF(J220="50 év és afelett",6
)))))*1,"NA")</f>
        <v>845378</v>
      </c>
      <c r="M220" s="438">
        <f t="shared" si="323"/>
        <v>455900</v>
      </c>
      <c r="N220" s="443">
        <f t="shared" ca="1" si="324"/>
        <v>0.53928538476279253</v>
      </c>
      <c r="O220" s="438">
        <f ca="1">IFERROR(
INDEX('Admin - FEOR'!$A$4:$F$465,MATCH(Bérköltség!H220,'Admin - FEOR'!$A$4:$A$465,0),
IF(J220="30 év alatt",3,
IF(J220="30–39 éves",4,
IF(J220="40–49 éves",5,
IF(J220="50 év és afelett",6
)))))*1.5,"NA")</f>
        <v>1268067</v>
      </c>
      <c r="P220" s="438">
        <f t="shared" ca="1" si="325"/>
        <v>677759.94827586203</v>
      </c>
      <c r="Q220" s="438">
        <f t="shared" si="326"/>
        <v>243671</v>
      </c>
      <c r="R220" s="444">
        <f t="shared" si="327"/>
        <v>0.53448275862068961</v>
      </c>
      <c r="S220" s="438">
        <f t="shared" ca="1" si="328"/>
        <v>0</v>
      </c>
      <c r="T220" s="438">
        <f t="shared" ca="1" si="329"/>
        <v>0</v>
      </c>
      <c r="U220" s="445">
        <f t="shared" ca="1" si="330"/>
        <v>0</v>
      </c>
      <c r="V220" s="446">
        <f t="shared" ca="1" si="331"/>
        <v>275348</v>
      </c>
      <c r="W220" s="447" t="str">
        <f t="shared" ca="1" si="332"/>
        <v>Nem szükséges indoklás.</v>
      </c>
      <c r="X220" s="571">
        <f t="shared" ca="1" si="333"/>
        <v>0</v>
      </c>
      <c r="Y220" s="554">
        <f t="shared" ca="1" si="318"/>
        <v>243671</v>
      </c>
      <c r="Z220" s="554">
        <f t="shared" ca="1" si="319"/>
        <v>31677</v>
      </c>
      <c r="AA220" s="101"/>
      <c r="AB220" s="474">
        <v>8429333843</v>
      </c>
      <c r="AC220" s="449" t="s">
        <v>190</v>
      </c>
      <c r="AD220" s="482" t="s">
        <v>45</v>
      </c>
      <c r="AE220" s="450" t="s">
        <v>22</v>
      </c>
      <c r="AF220" s="247" t="s">
        <v>125</v>
      </c>
      <c r="AG220" s="99" t="s">
        <v>191</v>
      </c>
      <c r="AH220" s="451" t="s">
        <v>131</v>
      </c>
      <c r="AI220" s="154">
        <v>44958</v>
      </c>
      <c r="AJ220" s="100" t="str">
        <f>IF(AI220&gt;0,
(IF(AI220&lt;Hónapok!$A$10,Admin!$A$28,
(IF(AI220&lt;Hónapok!$A$22,Admin!$B$28,
(IF(AI220&lt;Hónapok!$A$34,Admin!$C$28,
(IF(AI220&lt;Hónapok!$A$46,Admin!$D$28,"")))))))),"")</f>
        <v>2. mérföldkő</v>
      </c>
      <c r="AK220" s="467" t="s">
        <v>7</v>
      </c>
      <c r="AL220" s="101" t="s">
        <v>26</v>
      </c>
      <c r="AM220" s="900">
        <v>455900</v>
      </c>
      <c r="AN220" s="860">
        <f t="shared" si="410"/>
        <v>59267</v>
      </c>
      <c r="AO220" s="101">
        <v>174</v>
      </c>
      <c r="AP220" s="111">
        <v>93</v>
      </c>
      <c r="AQ220" s="454">
        <f t="shared" si="313"/>
        <v>0.53448275862068961</v>
      </c>
      <c r="AR220" s="455">
        <f t="shared" si="314"/>
        <v>243671</v>
      </c>
      <c r="AS220" s="455">
        <f t="shared" si="315"/>
        <v>31677</v>
      </c>
      <c r="AT220" s="102">
        <f t="shared" si="316"/>
        <v>-6.807300452216225E-7</v>
      </c>
      <c r="AU220" s="116">
        <v>0.13</v>
      </c>
      <c r="AV220" s="565" t="str">
        <f>VLOOKUP(LEFT(AB220,10),Törzsszám!$A$1:$B$908,2,0)</f>
        <v>10001133</v>
      </c>
      <c r="AW220" s="615">
        <f t="shared" ca="1" si="311"/>
        <v>0</v>
      </c>
      <c r="AX220" s="537" t="s">
        <v>4557</v>
      </c>
      <c r="AY220" s="486"/>
      <c r="AZ220" s="502"/>
      <c r="BA220" s="671"/>
      <c r="BB220" s="649"/>
      <c r="BC220" s="649"/>
      <c r="BD220" s="672"/>
      <c r="BE220" s="450" t="s">
        <v>192</v>
      </c>
    </row>
    <row r="221" spans="1:58" s="457" customFormat="1" ht="31.5" x14ac:dyDescent="0.25">
      <c r="A221" s="694" t="str">
        <f ca="1">Bérköltség!$B221</f>
        <v>FEOR</v>
      </c>
      <c r="B221" s="694" t="str">
        <f ca="1">IFERROR(
IF(AND(Bérköltség!$F221="",H221="NA"),"HIÁNYOS ADATOK",
IF(Bérköltség!$F221&lt;Bérköltség!$U221,Admin!$B$18,Admin!$B$17)),
"")</f>
        <v>FEOR</v>
      </c>
      <c r="C221" s="437">
        <f>IFERROR(INDEX('Historikus berek_2021-2'!$A$1:$F$903,MATCH(AB221,'Historikus berek_2021-2'!$A$1:$A$903,0),4),"")</f>
        <v>376666.66666666669</v>
      </c>
      <c r="D221" s="438">
        <f t="shared" si="320"/>
        <v>201321.83908045976</v>
      </c>
      <c r="E221" s="437">
        <f t="shared" si="321"/>
        <v>251207</v>
      </c>
      <c r="F221" s="439">
        <f t="shared" si="334"/>
        <v>56370.231839080458</v>
      </c>
      <c r="G221" s="440">
        <f t="shared" si="335"/>
        <v>227493.67816091952</v>
      </c>
      <c r="H221" s="441">
        <f>IFERROR(INDEX('FEOR kodok'!$A$2:$J$1126,MATCH(Bérköltség!AB221,'FEOR kodok'!$B$2:$B$1126,0),8),"NA")</f>
        <v>2139</v>
      </c>
      <c r="I221" s="436">
        <f ca="1">IFERROR(INDEX('FEOR kodok'!$A$2:$J$1126,MATCH(Bérköltség!AB221,'FEOR kodok'!$B$2:$B$1126,0),10),"NA")</f>
        <v>39</v>
      </c>
      <c r="J221" s="442" t="str">
        <f t="shared" ca="1" si="322"/>
        <v>30–39 éves</v>
      </c>
      <c r="K221" s="436" t="str">
        <f>IFERROR(INDEX(admin_feor[#All],MATCH(Bérköltség!H221,admin_feor[[#All],[Foglalkozás]],0),2),"NA")</f>
        <v>Egyéb, máshova nem sorolható mérnök</v>
      </c>
      <c r="L221" s="438">
        <f ca="1">IFERROR(
INDEX('Admin - FEOR'!$A$4:$F$465,MATCH(Bérköltség!H221,'Admin - FEOR'!$A$4:$A$465,0),
IF(J221="30 év alatt",3,
IF(J221="30–39 éves",4,
IF(J221="40–49 éves",5,
IF(J221="50 év és afelett",6
)))))*1,"NA")</f>
        <v>845378</v>
      </c>
      <c r="M221" s="438">
        <f t="shared" si="323"/>
        <v>470000</v>
      </c>
      <c r="N221" s="443">
        <f t="shared" ca="1" si="324"/>
        <v>0.55596431418844583</v>
      </c>
      <c r="O221" s="438">
        <f ca="1">IFERROR(
INDEX('Admin - FEOR'!$A$4:$F$465,MATCH(Bérköltség!H221,'Admin - FEOR'!$A$4:$A$465,0),
IF(J221="30 év alatt",3,
IF(J221="30–39 éves",4,
IF(J221="40–49 éves",5,
IF(J221="50 év és afelett",6
)))))*1.5,"NA")</f>
        <v>1268067</v>
      </c>
      <c r="P221" s="438">
        <f t="shared" ca="1" si="325"/>
        <v>677759.94827586203</v>
      </c>
      <c r="Q221" s="438">
        <f t="shared" si="326"/>
        <v>251207</v>
      </c>
      <c r="R221" s="444">
        <f t="shared" si="327"/>
        <v>0.53448275862068961</v>
      </c>
      <c r="S221" s="438">
        <f t="shared" ca="1" si="328"/>
        <v>0</v>
      </c>
      <c r="T221" s="438">
        <f t="shared" ca="1" si="329"/>
        <v>0</v>
      </c>
      <c r="U221" s="445">
        <f t="shared" ca="1" si="330"/>
        <v>0</v>
      </c>
      <c r="V221" s="446">
        <f t="shared" ca="1" si="331"/>
        <v>283864</v>
      </c>
      <c r="W221" s="447" t="str">
        <f t="shared" ca="1" si="332"/>
        <v>Nem szükséges indoklás.</v>
      </c>
      <c r="X221" s="571">
        <f t="shared" ca="1" si="333"/>
        <v>0</v>
      </c>
      <c r="Y221" s="554">
        <f t="shared" ca="1" si="318"/>
        <v>251207</v>
      </c>
      <c r="Z221" s="554">
        <f t="shared" ca="1" si="319"/>
        <v>32657</v>
      </c>
      <c r="AA221" s="101"/>
      <c r="AB221" s="474">
        <v>8429333843</v>
      </c>
      <c r="AC221" s="449" t="s">
        <v>190</v>
      </c>
      <c r="AD221" s="483" t="s">
        <v>45</v>
      </c>
      <c r="AE221" s="450" t="s">
        <v>22</v>
      </c>
      <c r="AF221" s="247" t="s">
        <v>125</v>
      </c>
      <c r="AG221" s="99" t="s">
        <v>191</v>
      </c>
      <c r="AH221" s="451" t="s">
        <v>131</v>
      </c>
      <c r="AI221" s="154">
        <v>44986</v>
      </c>
      <c r="AJ221" s="100" t="str">
        <f>IF(AI221&gt;0,
(IF(AI221&lt;Hónapok!$A$10,Admin!$A$28,
(IF(AI221&lt;Hónapok!$A$22,Admin!$B$28,
(IF(AI221&lt;Hónapok!$A$34,Admin!$C$28,
(IF(AI221&lt;Hónapok!$A$46,Admin!$D$28,"")))))))),"")</f>
        <v>3. mérföldkő</v>
      </c>
      <c r="AK221" s="470" t="s">
        <v>7</v>
      </c>
      <c r="AL221" s="101" t="s">
        <v>26</v>
      </c>
      <c r="AM221" s="900">
        <v>470000</v>
      </c>
      <c r="AN221" s="860">
        <f t="shared" si="410"/>
        <v>61100</v>
      </c>
      <c r="AO221" s="101">
        <v>174</v>
      </c>
      <c r="AP221" s="111">
        <v>93</v>
      </c>
      <c r="AQ221" s="454">
        <f t="shared" si="313"/>
        <v>0.53448275862068961</v>
      </c>
      <c r="AR221" s="455">
        <f t="shared" si="314"/>
        <v>251207</v>
      </c>
      <c r="AS221" s="455">
        <f t="shared" si="315"/>
        <v>32657</v>
      </c>
      <c r="AT221" s="102">
        <f t="shared" si="316"/>
        <v>-2.2010271460981556E-7</v>
      </c>
      <c r="AU221" s="116">
        <v>0.13</v>
      </c>
      <c r="AV221" s="565" t="str">
        <f>VLOOKUP(LEFT(AB221,10),Törzsszám!$A$1:$B$908,2,0)</f>
        <v>10001133</v>
      </c>
      <c r="AW221" s="681">
        <f t="shared" ca="1" si="311"/>
        <v>0</v>
      </c>
      <c r="AX221" s="468" t="s">
        <v>4561</v>
      </c>
      <c r="AY221" s="502"/>
      <c r="AZ221" s="502"/>
      <c r="BA221" s="671"/>
      <c r="BB221" s="649"/>
      <c r="BC221" s="649"/>
      <c r="BD221" s="672"/>
      <c r="BE221" s="450" t="s">
        <v>192</v>
      </c>
    </row>
    <row r="222" spans="1:58" s="457" customFormat="1" ht="31.5" x14ac:dyDescent="0.25">
      <c r="A222" s="694" t="str">
        <f ca="1">Bérköltség!$B222</f>
        <v>FEOR</v>
      </c>
      <c r="B222" s="694" t="str">
        <f ca="1">IFERROR(
IF(AND(Bérköltség!$F222="",H222="NA"),"HIÁNYOS ADATOK",
IF(Bérköltség!$F222&lt;Bérköltség!$U222,Admin!$B$18,Admin!$B$17)),
"")</f>
        <v>FEOR</v>
      </c>
      <c r="C222" s="437">
        <f>IFERROR(INDEX('Historikus berek_2021-2'!$A$1:$F$903,MATCH(AB222,'Historikus berek_2021-2'!$A$1:$A$903,0),4),"")</f>
        <v>376666.66666666669</v>
      </c>
      <c r="D222" s="438">
        <f t="shared" si="320"/>
        <v>201321.83908045976</v>
      </c>
      <c r="E222" s="437">
        <f t="shared" si="321"/>
        <v>251207</v>
      </c>
      <c r="F222" s="439">
        <f t="shared" si="334"/>
        <v>56370.231839080458</v>
      </c>
      <c r="G222" s="440">
        <f t="shared" si="335"/>
        <v>227493.67816091952</v>
      </c>
      <c r="H222" s="441">
        <f>IFERROR(INDEX('FEOR kodok'!$A$2:$J$1126,MATCH(Bérköltség!AB222,'FEOR kodok'!$B$2:$B$1126,0),8),"NA")</f>
        <v>2139</v>
      </c>
      <c r="I222" s="436">
        <f ca="1">IFERROR(INDEX('FEOR kodok'!$A$2:$J$1126,MATCH(Bérköltség!AB222,'FEOR kodok'!$B$2:$B$1126,0),10),"NA")</f>
        <v>39</v>
      </c>
      <c r="J222" s="442" t="str">
        <f t="shared" ca="1" si="322"/>
        <v>30–39 éves</v>
      </c>
      <c r="K222" s="436" t="str">
        <f>IFERROR(INDEX(admin_feor[#All],MATCH(Bérköltség!H222,admin_feor[[#All],[Foglalkozás]],0),2),"NA")</f>
        <v>Egyéb, máshova nem sorolható mérnök</v>
      </c>
      <c r="L222" s="438">
        <f ca="1">IFERROR(
INDEX('Admin - FEOR'!$A$4:$F$465,MATCH(Bérköltség!H222,'Admin - FEOR'!$A$4:$A$465,0),
IF(J222="30 év alatt",3,
IF(J222="30–39 éves",4,
IF(J222="40–49 éves",5,
IF(J222="50 év és afelett",6
)))))*1,"NA")</f>
        <v>845378</v>
      </c>
      <c r="M222" s="438">
        <f t="shared" si="323"/>
        <v>470000</v>
      </c>
      <c r="N222" s="443">
        <f t="shared" ca="1" si="324"/>
        <v>0.55596431418844583</v>
      </c>
      <c r="O222" s="438">
        <f ca="1">IFERROR(
INDEX('Admin - FEOR'!$A$4:$F$465,MATCH(Bérköltség!H222,'Admin - FEOR'!$A$4:$A$465,0),
IF(J222="30 év alatt",3,
IF(J222="30–39 éves",4,
IF(J222="40–49 éves",5,
IF(J222="50 év és afelett",6
)))))*1.5,"NA")</f>
        <v>1268067</v>
      </c>
      <c r="P222" s="438">
        <f t="shared" ca="1" si="325"/>
        <v>677759.94827586203</v>
      </c>
      <c r="Q222" s="438">
        <f t="shared" si="326"/>
        <v>251207</v>
      </c>
      <c r="R222" s="444">
        <f t="shared" si="327"/>
        <v>0.53448275862068961</v>
      </c>
      <c r="S222" s="438">
        <f t="shared" ca="1" si="328"/>
        <v>0</v>
      </c>
      <c r="T222" s="438">
        <f t="shared" ca="1" si="329"/>
        <v>0</v>
      </c>
      <c r="U222" s="445">
        <f t="shared" ca="1" si="330"/>
        <v>0</v>
      </c>
      <c r="V222" s="446">
        <f t="shared" ca="1" si="331"/>
        <v>283864</v>
      </c>
      <c r="W222" s="447" t="str">
        <f t="shared" ca="1" si="332"/>
        <v>Nem szükséges indoklás.</v>
      </c>
      <c r="X222" s="571">
        <f t="shared" ca="1" si="333"/>
        <v>0</v>
      </c>
      <c r="Y222" s="554">
        <f t="shared" ca="1" si="318"/>
        <v>251207</v>
      </c>
      <c r="Z222" s="554">
        <f t="shared" ca="1" si="319"/>
        <v>32657</v>
      </c>
      <c r="AA222" s="101"/>
      <c r="AB222" s="474">
        <v>8429333843</v>
      </c>
      <c r="AC222" s="449" t="s">
        <v>190</v>
      </c>
      <c r="AD222" s="483" t="s">
        <v>45</v>
      </c>
      <c r="AE222" s="450" t="s">
        <v>22</v>
      </c>
      <c r="AF222" s="247" t="s">
        <v>125</v>
      </c>
      <c r="AG222" s="99" t="s">
        <v>191</v>
      </c>
      <c r="AH222" s="451" t="s">
        <v>131</v>
      </c>
      <c r="AI222" s="154">
        <v>45017</v>
      </c>
      <c r="AJ222" s="100" t="str">
        <f>IF(AI222&gt;0,
(IF(AI222&lt;Hónapok!$A$10,Admin!$A$28,
(IF(AI222&lt;Hónapok!$A$22,Admin!$B$28,
(IF(AI222&lt;Hónapok!$A$34,Admin!$C$28,
(IF(AI222&lt;Hónapok!$A$46,Admin!$D$28,"")))))))),"")</f>
        <v>3. mérföldkő</v>
      </c>
      <c r="AK222" s="469" t="s">
        <v>7</v>
      </c>
      <c r="AL222" s="101" t="s">
        <v>26</v>
      </c>
      <c r="AM222" s="900">
        <v>470000</v>
      </c>
      <c r="AN222" s="860">
        <f t="shared" si="410"/>
        <v>61100</v>
      </c>
      <c r="AO222" s="101">
        <v>174</v>
      </c>
      <c r="AP222" s="111">
        <v>93</v>
      </c>
      <c r="AQ222" s="454">
        <f t="shared" si="313"/>
        <v>0.53448275862068961</v>
      </c>
      <c r="AR222" s="455">
        <f t="shared" si="314"/>
        <v>251207</v>
      </c>
      <c r="AS222" s="455">
        <f t="shared" si="315"/>
        <v>32657</v>
      </c>
      <c r="AT222" s="102">
        <f t="shared" si="316"/>
        <v>-2.2010271460981556E-7</v>
      </c>
      <c r="AU222" s="116">
        <v>0.13</v>
      </c>
      <c r="AV222" s="565" t="str">
        <f>VLOOKUP(LEFT(AB222,10),Törzsszám!$A$1:$B$908,2,0)</f>
        <v>10001133</v>
      </c>
      <c r="AW222" s="681">
        <f t="shared" ca="1" si="311"/>
        <v>0</v>
      </c>
      <c r="AX222" s="471" t="s">
        <v>4581</v>
      </c>
      <c r="AY222" s="486"/>
      <c r="AZ222" s="502"/>
      <c r="BA222" s="671"/>
      <c r="BB222" s="649"/>
      <c r="BC222" s="649"/>
      <c r="BD222" s="672"/>
      <c r="BE222" s="450" t="s">
        <v>192</v>
      </c>
      <c r="BF222" s="812"/>
    </row>
    <row r="223" spans="1:58" s="457" customFormat="1" ht="31.5" x14ac:dyDescent="0.25">
      <c r="A223" s="694" t="str">
        <f ca="1">Bérköltség!$B223</f>
        <v>FEOR</v>
      </c>
      <c r="B223" s="694" t="str">
        <f ca="1">IFERROR(
IF(AND(Bérköltség!$F223="",H223="NA"),"HIÁNYOS ADATOK",
IF(Bérköltség!$F223&lt;Bérköltség!$U223,Admin!$B$18,Admin!$B$17)),
"")</f>
        <v>FEOR</v>
      </c>
      <c r="C223" s="437">
        <f>IFERROR(INDEX('Historikus berek_2021-2'!$A$1:$F$903,MATCH(AB223,'Historikus berek_2021-2'!$A$1:$A$903,0),4),"")</f>
        <v>376666.66666666669</v>
      </c>
      <c r="D223" s="438">
        <f t="shared" si="320"/>
        <v>201321.83908045976</v>
      </c>
      <c r="E223" s="437">
        <f t="shared" si="321"/>
        <v>233264</v>
      </c>
      <c r="F223" s="439">
        <f t="shared" si="334"/>
        <v>36094.641839080432</v>
      </c>
      <c r="G223" s="440">
        <f t="shared" si="335"/>
        <v>227493.67816091952</v>
      </c>
      <c r="H223" s="441">
        <f>IFERROR(INDEX('FEOR kodok'!$A$2:$J$1126,MATCH(Bérköltség!AB223,'FEOR kodok'!$B$2:$B$1126,0),8),"NA")</f>
        <v>2139</v>
      </c>
      <c r="I223" s="436">
        <f ca="1">IFERROR(INDEX('FEOR kodok'!$A$2:$J$1126,MATCH(Bérköltség!AB223,'FEOR kodok'!$B$2:$B$1126,0),10),"NA")</f>
        <v>39</v>
      </c>
      <c r="J223" s="442" t="str">
        <f t="shared" ca="1" si="322"/>
        <v>30–39 éves</v>
      </c>
      <c r="K223" s="436" t="str">
        <f>IFERROR(INDEX(admin_feor[#All],MATCH(Bérköltség!H223,admin_feor[[#All],[Foglalkozás]],0),2),"NA")</f>
        <v>Egyéb, máshova nem sorolható mérnök</v>
      </c>
      <c r="L223" s="438">
        <f ca="1">IFERROR(
INDEX('Admin - FEOR'!$A$4:$F$465,MATCH(Bérköltség!H223,'Admin - FEOR'!$A$4:$A$465,0),
IF(J223="30 év alatt",3,
IF(J223="30–39 éves",4,
IF(J223="40–49 éves",5,
IF(J223="50 év és afelett",6
)))))*1,"NA")</f>
        <v>845378</v>
      </c>
      <c r="M223" s="438">
        <f t="shared" si="323"/>
        <v>436429</v>
      </c>
      <c r="N223" s="443">
        <f t="shared" ca="1" si="324"/>
        <v>0.51625308441904094</v>
      </c>
      <c r="O223" s="438">
        <f ca="1">IFERROR(
INDEX('Admin - FEOR'!$A$4:$F$465,MATCH(Bérköltség!H223,'Admin - FEOR'!$A$4:$A$465,0),
IF(J223="30 év alatt",3,
IF(J223="30–39 éves",4,
IF(J223="40–49 éves",5,
IF(J223="50 év és afelett",6
)))))*1.5,"NA")</f>
        <v>1268067</v>
      </c>
      <c r="P223" s="438">
        <f t="shared" ca="1" si="325"/>
        <v>677759.94827586203</v>
      </c>
      <c r="Q223" s="438">
        <f t="shared" si="326"/>
        <v>233264</v>
      </c>
      <c r="R223" s="444">
        <f t="shared" si="327"/>
        <v>0.53448275862068961</v>
      </c>
      <c r="S223" s="438">
        <f t="shared" ca="1" si="328"/>
        <v>0</v>
      </c>
      <c r="T223" s="438">
        <f t="shared" ca="1" si="329"/>
        <v>0</v>
      </c>
      <c r="U223" s="445">
        <f t="shared" ca="1" si="330"/>
        <v>0</v>
      </c>
      <c r="V223" s="446">
        <f t="shared" ca="1" si="331"/>
        <v>263588</v>
      </c>
      <c r="W223" s="447" t="str">
        <f t="shared" ca="1" si="332"/>
        <v>Nem szükséges indoklás.</v>
      </c>
      <c r="X223" s="571">
        <f t="shared" ca="1" si="333"/>
        <v>0</v>
      </c>
      <c r="Y223" s="554">
        <f t="shared" ca="1" si="318"/>
        <v>233264</v>
      </c>
      <c r="Z223" s="554">
        <f t="shared" ca="1" si="319"/>
        <v>30324</v>
      </c>
      <c r="AA223" s="101"/>
      <c r="AB223" s="474">
        <v>8429333843</v>
      </c>
      <c r="AC223" s="449" t="s">
        <v>190</v>
      </c>
      <c r="AD223" s="483" t="s">
        <v>45</v>
      </c>
      <c r="AE223" s="450" t="s">
        <v>22</v>
      </c>
      <c r="AF223" s="247" t="s">
        <v>125</v>
      </c>
      <c r="AG223" s="99" t="s">
        <v>191</v>
      </c>
      <c r="AH223" s="451" t="s">
        <v>131</v>
      </c>
      <c r="AI223" s="154">
        <v>45047</v>
      </c>
      <c r="AJ223" s="100" t="str">
        <f>IF(AI223&gt;0,
(IF(AI223&lt;Hónapok!$A$10,Admin!$A$28,
(IF(AI223&lt;Hónapok!$A$22,Admin!$B$28,
(IF(AI223&lt;Hónapok!$A$34,Admin!$C$28,
(IF(AI223&lt;Hónapok!$A$46,Admin!$D$28,"")))))))),"")</f>
        <v>3. mérföldkő</v>
      </c>
      <c r="AK223" s="469" t="s">
        <v>7</v>
      </c>
      <c r="AL223" s="101" t="s">
        <v>26</v>
      </c>
      <c r="AM223" s="900">
        <v>436429</v>
      </c>
      <c r="AN223" s="860">
        <f t="shared" si="410"/>
        <v>56736</v>
      </c>
      <c r="AO223" s="101">
        <v>174</v>
      </c>
      <c r="AP223" s="111">
        <v>93</v>
      </c>
      <c r="AQ223" s="454">
        <f t="shared" si="313"/>
        <v>0.53448275862068961</v>
      </c>
      <c r="AR223" s="455">
        <f t="shared" si="314"/>
        <v>233264</v>
      </c>
      <c r="AS223" s="455">
        <f t="shared" si="315"/>
        <v>30324</v>
      </c>
      <c r="AT223" s="102">
        <f t="shared" si="316"/>
        <v>-5.1357249641892366E-7</v>
      </c>
      <c r="AU223" s="116">
        <v>0.13</v>
      </c>
      <c r="AV223" s="565" t="str">
        <f>VLOOKUP(LEFT(AB223,10),Törzsszám!$A$1:$B$908,2,0)</f>
        <v>10001133</v>
      </c>
      <c r="AW223" s="681">
        <f t="shared" ca="1" si="311"/>
        <v>0</v>
      </c>
      <c r="AX223" s="471" t="s">
        <v>4596</v>
      </c>
      <c r="AY223" s="486"/>
      <c r="AZ223" s="502"/>
      <c r="BA223" s="671"/>
      <c r="BB223" s="649"/>
      <c r="BC223" s="649"/>
      <c r="BD223" s="672"/>
      <c r="BE223" s="450" t="s">
        <v>192</v>
      </c>
      <c r="BF223" s="812"/>
    </row>
    <row r="224" spans="1:58" s="457" customFormat="1" ht="31.5" x14ac:dyDescent="0.25">
      <c r="A224" s="694" t="str">
        <f ca="1">Bérköltség!$B224</f>
        <v>FEOR</v>
      </c>
      <c r="B224" s="694" t="str">
        <f ca="1">IFERROR(
IF(AND(Bérköltség!$F224="",H224="NA"),"HIÁNYOS ADATOK",
IF(Bérköltség!$F224&lt;Bérköltség!$U224,Admin!$B$18,Admin!$B$17)),
"")</f>
        <v>FEOR</v>
      </c>
      <c r="C224" s="437">
        <f>IFERROR(INDEX('Historikus berek_2021-2'!$A$1:$F$903,MATCH(AB224,'Historikus berek_2021-2'!$A$1:$A$903,0),4),"")</f>
        <v>376666.66666666669</v>
      </c>
      <c r="D224" s="438">
        <f t="shared" si="320"/>
        <v>201321.83908045976</v>
      </c>
      <c r="E224" s="437">
        <f t="shared" si="321"/>
        <v>251207</v>
      </c>
      <c r="F224" s="439">
        <f t="shared" si="334"/>
        <v>56370.231839080458</v>
      </c>
      <c r="G224" s="440">
        <f t="shared" si="335"/>
        <v>227493.67816091952</v>
      </c>
      <c r="H224" s="441">
        <f>IFERROR(INDEX('FEOR kodok'!$A$2:$J$1126,MATCH(Bérköltség!AB224,'FEOR kodok'!$B$2:$B$1126,0),8),"NA")</f>
        <v>2139</v>
      </c>
      <c r="I224" s="436">
        <f ca="1">IFERROR(INDEX('FEOR kodok'!$A$2:$J$1126,MATCH(Bérköltség!AB224,'FEOR kodok'!$B$2:$B$1126,0),10),"NA")</f>
        <v>39</v>
      </c>
      <c r="J224" s="442" t="str">
        <f t="shared" ca="1" si="322"/>
        <v>30–39 éves</v>
      </c>
      <c r="K224" s="436" t="str">
        <f>IFERROR(INDEX(admin_feor[#All],MATCH(Bérköltség!H224,admin_feor[[#All],[Foglalkozás]],0),2),"NA")</f>
        <v>Egyéb, máshova nem sorolható mérnök</v>
      </c>
      <c r="L224" s="438">
        <f ca="1">IFERROR(
INDEX('Admin - FEOR'!$A$4:$F$465,MATCH(Bérköltség!H224,'Admin - FEOR'!$A$4:$A$465,0),
IF(J224="30 év alatt",3,
IF(J224="30–39 éves",4,
IF(J224="40–49 éves",5,
IF(J224="50 év és afelett",6
)))))*1,"NA")</f>
        <v>845378</v>
      </c>
      <c r="M224" s="438">
        <f t="shared" si="323"/>
        <v>470000</v>
      </c>
      <c r="N224" s="443">
        <f t="shared" ca="1" si="324"/>
        <v>0.55596431418844583</v>
      </c>
      <c r="O224" s="438">
        <f ca="1">IFERROR(
INDEX('Admin - FEOR'!$A$4:$F$465,MATCH(Bérköltség!H224,'Admin - FEOR'!$A$4:$A$465,0),
IF(J224="30 év alatt",3,
IF(J224="30–39 éves",4,
IF(J224="40–49 éves",5,
IF(J224="50 év és afelett",6
)))))*1.5,"NA")</f>
        <v>1268067</v>
      </c>
      <c r="P224" s="438">
        <f t="shared" ca="1" si="325"/>
        <v>677759.94827586203</v>
      </c>
      <c r="Q224" s="438">
        <f t="shared" si="326"/>
        <v>251207</v>
      </c>
      <c r="R224" s="444">
        <f t="shared" si="327"/>
        <v>0.53448275862068961</v>
      </c>
      <c r="S224" s="438">
        <f t="shared" ca="1" si="328"/>
        <v>0</v>
      </c>
      <c r="T224" s="438">
        <f t="shared" ca="1" si="329"/>
        <v>0</v>
      </c>
      <c r="U224" s="445">
        <f t="shared" ca="1" si="330"/>
        <v>0</v>
      </c>
      <c r="V224" s="446">
        <f t="shared" ca="1" si="331"/>
        <v>283864</v>
      </c>
      <c r="W224" s="447" t="str">
        <f t="shared" ca="1" si="332"/>
        <v>Nem szükséges indoklás.</v>
      </c>
      <c r="X224" s="571">
        <f t="shared" ca="1" si="333"/>
        <v>0</v>
      </c>
      <c r="Y224" s="554">
        <f t="shared" ca="1" si="318"/>
        <v>251207</v>
      </c>
      <c r="Z224" s="554">
        <f t="shared" ca="1" si="319"/>
        <v>32657</v>
      </c>
      <c r="AA224" s="101"/>
      <c r="AB224" s="474">
        <v>8429333843</v>
      </c>
      <c r="AC224" s="449" t="s">
        <v>190</v>
      </c>
      <c r="AD224" s="483" t="s">
        <v>45</v>
      </c>
      <c r="AE224" s="450" t="s">
        <v>22</v>
      </c>
      <c r="AF224" s="247" t="s">
        <v>125</v>
      </c>
      <c r="AG224" s="99" t="s">
        <v>191</v>
      </c>
      <c r="AH224" s="451" t="s">
        <v>131</v>
      </c>
      <c r="AI224" s="154">
        <v>45078</v>
      </c>
      <c r="AJ224" s="100" t="str">
        <f>IF(AI224&gt;0,
(IF(AI224&lt;Hónapok!$A$10,Admin!$A$28,
(IF(AI224&lt;Hónapok!$A$22,Admin!$B$28,
(IF(AI224&lt;Hónapok!$A$34,Admin!$C$28,
(IF(AI224&lt;Hónapok!$A$46,Admin!$D$28,"")))))))),"")</f>
        <v>3. mérföldkő</v>
      </c>
      <c r="AK224" s="469" t="s">
        <v>7</v>
      </c>
      <c r="AL224" s="101" t="s">
        <v>26</v>
      </c>
      <c r="AM224" s="900">
        <v>470000</v>
      </c>
      <c r="AN224" s="860">
        <f t="shared" si="410"/>
        <v>61100</v>
      </c>
      <c r="AO224" s="101">
        <v>174</v>
      </c>
      <c r="AP224" s="111">
        <v>93</v>
      </c>
      <c r="AQ224" s="843">
        <f t="shared" si="313"/>
        <v>0.53448275862068961</v>
      </c>
      <c r="AR224" s="455">
        <f t="shared" si="314"/>
        <v>251207</v>
      </c>
      <c r="AS224" s="455">
        <f t="shared" si="315"/>
        <v>32657</v>
      </c>
      <c r="AT224" s="102">
        <f t="shared" si="316"/>
        <v>-2.2010271460981556E-7</v>
      </c>
      <c r="AU224" s="116">
        <v>0.13</v>
      </c>
      <c r="AV224" s="565" t="str">
        <f>VLOOKUP(LEFT(AB224,10),Törzsszám!$A$1:$B$908,2,0)</f>
        <v>10001133</v>
      </c>
      <c r="AW224" s="681">
        <f t="shared" ca="1" si="311"/>
        <v>0</v>
      </c>
      <c r="AX224" s="471" t="s">
        <v>4606</v>
      </c>
      <c r="AY224" s="486"/>
      <c r="AZ224" s="502"/>
      <c r="BA224" s="671"/>
      <c r="BB224" s="649"/>
      <c r="BC224" s="649"/>
      <c r="BD224" s="672"/>
      <c r="BE224" s="450" t="s">
        <v>192</v>
      </c>
      <c r="BF224" s="812"/>
    </row>
    <row r="225" spans="1:57" s="457" customFormat="1" ht="31.5" x14ac:dyDescent="0.25">
      <c r="A225" s="694" t="str">
        <f ca="1">Bérköltség!$B225</f>
        <v>FEOR</v>
      </c>
      <c r="B225" s="694" t="str">
        <f ca="1">IFERROR(
IF(AND(Bérköltség!$F225="",H225="NA"),"HIÁNYOS ADATOK",
IF(Bérköltség!$F225&lt;Bérköltség!$U225,Admin!$B$18,Admin!$B$17)),
"")</f>
        <v>FEOR</v>
      </c>
      <c r="C225" s="437">
        <f>IFERROR(INDEX('Historikus berek_2021-2'!$A$1:$F$903,MATCH(AB225,'Historikus berek_2021-2'!$A$1:$A$903,0),4),"")</f>
        <v>376666.66666666669</v>
      </c>
      <c r="D225" s="438">
        <f t="shared" si="320"/>
        <v>201321.83908045976</v>
      </c>
      <c r="E225" s="437">
        <f t="shared" si="321"/>
        <v>251207</v>
      </c>
      <c r="F225" s="439">
        <f t="shared" si="334"/>
        <v>56370.231839080458</v>
      </c>
      <c r="G225" s="440">
        <f t="shared" si="335"/>
        <v>227493.67816091952</v>
      </c>
      <c r="H225" s="441">
        <f>IFERROR(INDEX('FEOR kodok'!$A$2:$J$1126,MATCH(Bérköltség!AB225,'FEOR kodok'!$B$2:$B$1126,0),8),"NA")</f>
        <v>2139</v>
      </c>
      <c r="I225" s="436">
        <f ca="1">IFERROR(INDEX('FEOR kodok'!$A$2:$J$1126,MATCH(Bérköltség!AB225,'FEOR kodok'!$B$2:$B$1126,0),10),"NA")</f>
        <v>39</v>
      </c>
      <c r="J225" s="442" t="str">
        <f t="shared" ca="1" si="322"/>
        <v>30–39 éves</v>
      </c>
      <c r="K225" s="436" t="str">
        <f>IFERROR(INDEX(admin_feor[#All],MATCH(Bérköltség!H225,admin_feor[[#All],[Foglalkozás]],0),2),"NA")</f>
        <v>Egyéb, máshova nem sorolható mérnök</v>
      </c>
      <c r="L225" s="438">
        <f ca="1">IFERROR(
INDEX('Admin - FEOR'!$A$4:$F$465,MATCH(Bérköltség!H225,'Admin - FEOR'!$A$4:$A$465,0),
IF(J225="30 év alatt",3,
IF(J225="30–39 éves",4,
IF(J225="40–49 éves",5,
IF(J225="50 év és afelett",6
)))))*1,"NA")</f>
        <v>845378</v>
      </c>
      <c r="M225" s="438">
        <f t="shared" si="323"/>
        <v>470000</v>
      </c>
      <c r="N225" s="443">
        <f t="shared" ca="1" si="324"/>
        <v>0.55596431418844583</v>
      </c>
      <c r="O225" s="438">
        <f ca="1">IFERROR(
INDEX('Admin - FEOR'!$A$4:$F$465,MATCH(Bérköltség!H225,'Admin - FEOR'!$A$4:$A$465,0),
IF(J225="30 év alatt",3,
IF(J225="30–39 éves",4,
IF(J225="40–49 éves",5,
IF(J225="50 év és afelett",6
)))))*1.5,"NA")</f>
        <v>1268067</v>
      </c>
      <c r="P225" s="438">
        <f t="shared" ca="1" si="325"/>
        <v>677759.94827586203</v>
      </c>
      <c r="Q225" s="438">
        <f t="shared" si="326"/>
        <v>251207</v>
      </c>
      <c r="R225" s="444">
        <f t="shared" si="327"/>
        <v>0.53448275862068961</v>
      </c>
      <c r="S225" s="438">
        <f t="shared" ca="1" si="328"/>
        <v>0</v>
      </c>
      <c r="T225" s="438">
        <f t="shared" ca="1" si="329"/>
        <v>0</v>
      </c>
      <c r="U225" s="445">
        <f t="shared" ca="1" si="330"/>
        <v>0</v>
      </c>
      <c r="V225" s="446">
        <f t="shared" ca="1" si="331"/>
        <v>283864</v>
      </c>
      <c r="W225" s="447" t="str">
        <f t="shared" ca="1" si="332"/>
        <v>Nem szükséges indoklás.</v>
      </c>
      <c r="X225" s="571">
        <f t="shared" ca="1" si="333"/>
        <v>0</v>
      </c>
      <c r="Y225" s="554">
        <f t="shared" ca="1" si="318"/>
        <v>251207</v>
      </c>
      <c r="Z225" s="554">
        <f t="shared" ca="1" si="319"/>
        <v>32657</v>
      </c>
      <c r="AA225" s="101"/>
      <c r="AB225" s="448">
        <v>8429333843</v>
      </c>
      <c r="AC225" s="449" t="s">
        <v>190</v>
      </c>
      <c r="AD225" s="483" t="s">
        <v>45</v>
      </c>
      <c r="AE225" s="450" t="s">
        <v>22</v>
      </c>
      <c r="AF225" s="99" t="s">
        <v>125</v>
      </c>
      <c r="AG225" s="99" t="s">
        <v>191</v>
      </c>
      <c r="AH225" s="451" t="s">
        <v>131</v>
      </c>
      <c r="AI225" s="154">
        <v>45108</v>
      </c>
      <c r="AJ225" s="100" t="str">
        <f>IF(AI225&gt;0,
(IF(AI225&lt;Hónapok!$A$10,Admin!$A$28,
(IF(AI225&lt;Hónapok!$A$22,Admin!$B$28,
(IF(AI225&lt;Hónapok!$A$34,Admin!$C$28,
(IF(AI225&lt;Hónapok!$A$46,Admin!$D$28,"")))))))),"")</f>
        <v>3. mérföldkő</v>
      </c>
      <c r="AK225" s="469" t="s">
        <v>7</v>
      </c>
      <c r="AL225" s="101" t="s">
        <v>26</v>
      </c>
      <c r="AM225" s="900">
        <v>470000</v>
      </c>
      <c r="AN225" s="860">
        <f t="shared" si="410"/>
        <v>61100</v>
      </c>
      <c r="AO225" s="101">
        <v>174</v>
      </c>
      <c r="AP225" s="111">
        <v>93</v>
      </c>
      <c r="AQ225" s="682">
        <f t="shared" ref="AQ225:AQ327" si="534">IFERROR(AP225/AO225,"")</f>
        <v>0.53448275862068961</v>
      </c>
      <c r="AR225" s="455">
        <f t="shared" ref="AR225:AR327" si="535">IFERROR(ROUND(AM225*AP225/AO225,0),"")</f>
        <v>251207</v>
      </c>
      <c r="AS225" s="455">
        <f t="shared" ref="AS225:AS327" si="536">IFERROR(ROUND(AR225*AU225,0),"")</f>
        <v>32657</v>
      </c>
      <c r="AT225" s="102">
        <f t="shared" ref="AT225:AT327" si="537">IFERROR(AP225/AO225-AR225/AM225,"")</f>
        <v>-2.2010271460981556E-7</v>
      </c>
      <c r="AU225" s="116">
        <v>0.13</v>
      </c>
      <c r="AV225" s="565" t="str">
        <f>VLOOKUP(LEFT(AB225,10),Törzsszám!$A$1:$B$908,2,0)</f>
        <v>10001133</v>
      </c>
      <c r="AW225" s="681">
        <f t="shared" ref="AW225:AW327" ca="1" si="538">(Y225+Z225)-(AR225+AS225)</f>
        <v>0</v>
      </c>
      <c r="AX225" s="471" t="s">
        <v>4610</v>
      </c>
      <c r="AY225" s="486"/>
      <c r="AZ225" s="502"/>
      <c r="BA225" s="671"/>
      <c r="BB225" s="649"/>
      <c r="BC225" s="649"/>
      <c r="BD225" s="672"/>
      <c r="BE225" s="450" t="s">
        <v>192</v>
      </c>
    </row>
    <row r="226" spans="1:57" s="457" customFormat="1" ht="31.5" x14ac:dyDescent="0.25">
      <c r="A226" s="694" t="str">
        <f ca="1">Bérköltség!$B226</f>
        <v>FEOR</v>
      </c>
      <c r="B226" s="694" t="str">
        <f ca="1">IFERROR(
IF(AND(Bérköltség!$F226="",H226="NA"),"HIÁNYOS ADATOK",
IF(Bérköltség!$F226&lt;Bérköltség!$U226,Admin!$B$18,Admin!$B$17)),
"")</f>
        <v>FEOR</v>
      </c>
      <c r="C226" s="437">
        <f>IFERROR(INDEX('Historikus berek_2021-2'!$A$1:$F$903,MATCH(AB226,'Historikus berek_2021-2'!$A$1:$A$903,0),4),"")</f>
        <v>376666.66666666669</v>
      </c>
      <c r="D226" s="438">
        <f t="shared" si="320"/>
        <v>201321.83908045976</v>
      </c>
      <c r="E226" s="437">
        <f t="shared" si="321"/>
        <v>251207</v>
      </c>
      <c r="F226" s="439">
        <f t="shared" si="334"/>
        <v>56370.231839080458</v>
      </c>
      <c r="G226" s="440">
        <f t="shared" si="335"/>
        <v>227493.67816091952</v>
      </c>
      <c r="H226" s="441">
        <f>IFERROR(INDEX('FEOR kodok'!$A$2:$J$1126,MATCH(Bérköltség!AB226,'FEOR kodok'!$B$2:$B$1126,0),8),"NA")</f>
        <v>2139</v>
      </c>
      <c r="I226" s="436">
        <f ca="1">IFERROR(INDEX('FEOR kodok'!$A$2:$J$1126,MATCH(Bérköltség!AB226,'FEOR kodok'!$B$2:$B$1126,0),10),"NA")</f>
        <v>39</v>
      </c>
      <c r="J226" s="442" t="str">
        <f t="shared" ca="1" si="322"/>
        <v>30–39 éves</v>
      </c>
      <c r="K226" s="436" t="str">
        <f>IFERROR(INDEX(admin_feor[#All],MATCH(Bérköltség!H226,admin_feor[[#All],[Foglalkozás]],0),2),"NA")</f>
        <v>Egyéb, máshova nem sorolható mérnök</v>
      </c>
      <c r="L226" s="438">
        <f ca="1">IFERROR(
INDEX('Admin - FEOR'!$A$4:$F$465,MATCH(Bérköltség!H226,'Admin - FEOR'!$A$4:$A$465,0),
IF(J226="30 év alatt",3,
IF(J226="30–39 éves",4,
IF(J226="40–49 éves",5,
IF(J226="50 év és afelett",6
)))))*1,"NA")</f>
        <v>845378</v>
      </c>
      <c r="M226" s="438">
        <f t="shared" si="323"/>
        <v>470000</v>
      </c>
      <c r="N226" s="443">
        <f t="shared" ca="1" si="324"/>
        <v>0.55596431418844583</v>
      </c>
      <c r="O226" s="438">
        <f ca="1">IFERROR(
INDEX('Admin - FEOR'!$A$4:$F$465,MATCH(Bérköltség!H226,'Admin - FEOR'!$A$4:$A$465,0),
IF(J226="30 év alatt",3,
IF(J226="30–39 éves",4,
IF(J226="40–49 éves",5,
IF(J226="50 év és afelett",6
)))))*1.5,"NA")</f>
        <v>1268067</v>
      </c>
      <c r="P226" s="438">
        <f t="shared" ca="1" si="325"/>
        <v>677759.94827586203</v>
      </c>
      <c r="Q226" s="438">
        <f t="shared" si="326"/>
        <v>251207</v>
      </c>
      <c r="R226" s="444">
        <f t="shared" si="327"/>
        <v>0.53448275862068961</v>
      </c>
      <c r="S226" s="438">
        <f t="shared" ca="1" si="328"/>
        <v>0</v>
      </c>
      <c r="T226" s="438">
        <f t="shared" ca="1" si="329"/>
        <v>0</v>
      </c>
      <c r="U226" s="445">
        <f t="shared" ca="1" si="330"/>
        <v>0</v>
      </c>
      <c r="V226" s="446">
        <f t="shared" ca="1" si="331"/>
        <v>283864</v>
      </c>
      <c r="W226" s="447" t="str">
        <f t="shared" ca="1" si="332"/>
        <v>Nem szükséges indoklás.</v>
      </c>
      <c r="X226" s="571">
        <f t="shared" ca="1" si="333"/>
        <v>0</v>
      </c>
      <c r="Y226" s="554">
        <f t="shared" ca="1" si="318"/>
        <v>251207</v>
      </c>
      <c r="Z226" s="554">
        <f t="shared" ca="1" si="319"/>
        <v>32657</v>
      </c>
      <c r="AA226" s="101"/>
      <c r="AB226" s="448">
        <v>8429333843</v>
      </c>
      <c r="AC226" s="449" t="s">
        <v>190</v>
      </c>
      <c r="AD226" s="483" t="s">
        <v>45</v>
      </c>
      <c r="AE226" s="450" t="s">
        <v>22</v>
      </c>
      <c r="AF226" s="99" t="s">
        <v>125</v>
      </c>
      <c r="AG226" s="99" t="s">
        <v>191</v>
      </c>
      <c r="AH226" s="451" t="s">
        <v>131</v>
      </c>
      <c r="AI226" s="154">
        <v>45139</v>
      </c>
      <c r="AJ226" s="100" t="str">
        <f>IF(AI226&gt;0,
(IF(AI226&lt;Hónapok!$A$10,Admin!$A$28,
(IF(AI226&lt;Hónapok!$A$22,Admin!$B$28,
(IF(AI226&lt;Hónapok!$A$34,Admin!$C$28,
(IF(AI226&lt;Hónapok!$A$46,Admin!$D$28,"")))))))),"")</f>
        <v>3. mérföldkő</v>
      </c>
      <c r="AK226" s="469" t="s">
        <v>7</v>
      </c>
      <c r="AL226" s="101" t="s">
        <v>26</v>
      </c>
      <c r="AM226" s="900">
        <v>470000</v>
      </c>
      <c r="AN226" s="860">
        <f t="shared" si="410"/>
        <v>61100</v>
      </c>
      <c r="AO226" s="101">
        <v>174</v>
      </c>
      <c r="AP226" s="111">
        <v>93</v>
      </c>
      <c r="AQ226" s="454">
        <f t="shared" si="534"/>
        <v>0.53448275862068961</v>
      </c>
      <c r="AR226" s="455">
        <f t="shared" si="535"/>
        <v>251207</v>
      </c>
      <c r="AS226" s="455">
        <f t="shared" si="536"/>
        <v>32657</v>
      </c>
      <c r="AT226" s="102">
        <f t="shared" si="537"/>
        <v>-2.2010271460981556E-7</v>
      </c>
      <c r="AU226" s="116">
        <v>0.13</v>
      </c>
      <c r="AV226" s="565" t="str">
        <f>VLOOKUP(LEFT(AB226,10),Törzsszám!$A$1:$B$908,2,0)</f>
        <v>10001133</v>
      </c>
      <c r="AW226" s="662">
        <f t="shared" ca="1" si="538"/>
        <v>0</v>
      </c>
      <c r="AX226" s="471" t="s">
        <v>4613</v>
      </c>
      <c r="AY226" s="502"/>
      <c r="AZ226" s="502"/>
      <c r="BA226" s="671"/>
      <c r="BB226" s="649"/>
      <c r="BC226" s="649"/>
      <c r="BD226" s="672"/>
      <c r="BE226" s="450" t="s">
        <v>192</v>
      </c>
    </row>
    <row r="227" spans="1:57" s="457" customFormat="1" ht="31.5" x14ac:dyDescent="0.25">
      <c r="A227" s="694" t="str">
        <f ca="1">Bérköltség!$B227</f>
        <v>FEOR</v>
      </c>
      <c r="B227" s="694" t="str">
        <f ca="1">IFERROR(
IF(AND(Bérköltség!$F227="",H227="NA"),"HIÁNYOS ADATOK",
IF(Bérköltség!$F227&lt;Bérköltség!$U227,Admin!$B$18,Admin!$B$17)),
"")</f>
        <v>FEOR</v>
      </c>
      <c r="C227" s="437">
        <f>IFERROR(INDEX('Historikus berek_2021-2'!$A$1:$F$903,MATCH(AB227,'Historikus berek_2021-2'!$A$1:$A$903,0),4),"")</f>
        <v>376666.66666666669</v>
      </c>
      <c r="D227" s="438">
        <f t="shared" ref="D227:D229" si="539">IFERROR(C227*AQ227,"NA")</f>
        <v>201321.83908045976</v>
      </c>
      <c r="E227" s="437">
        <f t="shared" ref="E227:E229" si="540">AR227</f>
        <v>251207</v>
      </c>
      <c r="F227" s="439">
        <f t="shared" ref="F227:F229" si="541">IFERROR(IF((E227*(1+AU227)-D227*(1+AU227))&lt;0,0,(E227*(1+AU227)-D227*(1+AU227))),"")</f>
        <v>56370.231839080458</v>
      </c>
      <c r="G227" s="440">
        <f t="shared" ref="G227:G229" si="542">IFERROR((E227*(1+AU227)-F227),"")</f>
        <v>227493.67816091952</v>
      </c>
      <c r="H227" s="441">
        <f>IFERROR(INDEX('FEOR kodok'!$A$2:$J$1126,MATCH(Bérköltség!AB227,'FEOR kodok'!$B$2:$B$1126,0),8),"NA")</f>
        <v>2139</v>
      </c>
      <c r="I227" s="436">
        <f ca="1">IFERROR(INDEX('FEOR kodok'!$A$2:$J$1126,MATCH(Bérköltség!AB227,'FEOR kodok'!$B$2:$B$1126,0),10),"NA")</f>
        <v>39</v>
      </c>
      <c r="J227" s="442" t="str">
        <f t="shared" ref="J227:J229" ca="1" si="543">IF(I227="NA","NA",
IF(I227&lt;30,"30 év alatt",
IF(AND(I227&gt;=30,I227&lt;=39),"30–39 éves",
IF(AND(I227&gt;=40,I227&lt;=49),"40–49 éves",
IF(I227&gt;=50,"50 év és afelett",
"")))))</f>
        <v>30–39 éves</v>
      </c>
      <c r="K227" s="436" t="str">
        <f>IFERROR(INDEX(admin_feor[#All],MATCH(Bérköltség!H227,admin_feor[[#All],[Foglalkozás]],0),2),"NA")</f>
        <v>Egyéb, máshova nem sorolható mérnök</v>
      </c>
      <c r="L227" s="438">
        <f ca="1">IFERROR(
INDEX('Admin - FEOR'!$A$4:$F$465,MATCH(Bérköltség!H227,'Admin - FEOR'!$A$4:$A$465,0),
IF(J227="30 év alatt",3,
IF(J227="30–39 éves",4,
IF(J227="40–49 éves",5,
IF(J227="50 év és afelett",6
)))))*1,"NA")</f>
        <v>845378</v>
      </c>
      <c r="M227" s="438">
        <f t="shared" ref="M227:M229" si="544">AM227</f>
        <v>470000</v>
      </c>
      <c r="N227" s="443">
        <f t="shared" ref="N227:N229" ca="1" si="545">IFERROR(
M227/L227,"NA")</f>
        <v>0.55596431418844583</v>
      </c>
      <c r="O227" s="438">
        <f ca="1">IFERROR(
INDEX('Admin - FEOR'!$A$4:$F$465,MATCH(Bérköltség!H227,'Admin - FEOR'!$A$4:$A$465,0),
IF(J227="30 év alatt",3,
IF(J227="30–39 éves",4,
IF(J227="40–49 éves",5,
IF(J227="50 év és afelett",6
)))))*1.5,"NA")</f>
        <v>1268067</v>
      </c>
      <c r="P227" s="438">
        <f t="shared" ref="P227:P229" ca="1" si="546">IFERROR(
AQ227*O227,"NA")</f>
        <v>677759.94827586203</v>
      </c>
      <c r="Q227" s="438">
        <f t="shared" ref="Q227:Q229" si="547">IFERROR(AR227,"")</f>
        <v>251207</v>
      </c>
      <c r="R227" s="444">
        <f t="shared" ref="R227:R229" si="548">IFERROR(AQ227,"")</f>
        <v>0.53448275862068961</v>
      </c>
      <c r="S227" s="438">
        <f t="shared" ref="S227:S229" ca="1" si="549">IFERROR(
IF(AR227-P227&lt;0,0,AR227-P227),"NA")</f>
        <v>0</v>
      </c>
      <c r="T227" s="438">
        <f t="shared" ref="T227:T229" ca="1" si="550">IFERROR(
S227*AU227,"NA")</f>
        <v>0</v>
      </c>
      <c r="U227" s="445">
        <f t="shared" ref="U227:U229" ca="1" si="551">IFERROR(
S227+T227,"NA")</f>
        <v>0</v>
      </c>
      <c r="V227" s="446">
        <f t="shared" ref="V227:V229" ca="1" si="552">IFERROR(
IF(U227&gt;0,AR227+AS227-U227,AR227+AS227),"NA")</f>
        <v>283864</v>
      </c>
      <c r="W227" s="447" t="str">
        <f t="shared" ref="W227:W229" ca="1" si="553">IF(P227="NA","FEOR hiányzik",
IF(AND(N227&gt;1,A227="FEOR"),CONCATENATE("Indoklás szükséges mivel a FEOR: ",ROUND(N227*100,1),"%"),"Nem szükséges indoklás.")
)</f>
        <v>Nem szükséges indoklás.</v>
      </c>
      <c r="X227" s="571">
        <f t="shared" ref="X227:X229" ca="1" si="554">IF(A227="FEOR",U227,IF(A227="HIÁNYOS ADATOK","HIÁNYOS ADATOK",F227))</f>
        <v>0</v>
      </c>
      <c r="Y227" s="554">
        <f t="shared" ref="Y227:Y229" ca="1" si="555">IF(A227="FEOR",ROUND(V227/(1+AU227),0),IF(A227="HIÁNYOS ADATOK","HIÁNYOS ADATOK",ROUND(G227/(1+AU227),0)))</f>
        <v>251207</v>
      </c>
      <c r="Z227" s="554">
        <f t="shared" ref="Z227:Z229" ca="1" si="556">IF(A227="FEOR",ROUND(V227-Y227,0),IF(A227="HIÁNYOS ADATOK","HIÁNYOS ADATOK",ROUND(G227-Y227,0)))</f>
        <v>32657</v>
      </c>
      <c r="AA227" s="101"/>
      <c r="AB227" s="448">
        <v>8429333843</v>
      </c>
      <c r="AC227" s="449" t="s">
        <v>190</v>
      </c>
      <c r="AD227" s="483" t="s">
        <v>45</v>
      </c>
      <c r="AE227" s="450" t="s">
        <v>22</v>
      </c>
      <c r="AF227" s="99" t="s">
        <v>125</v>
      </c>
      <c r="AG227" s="99" t="s">
        <v>191</v>
      </c>
      <c r="AH227" s="451" t="s">
        <v>131</v>
      </c>
      <c r="AI227" s="154">
        <v>45170</v>
      </c>
      <c r="AJ227" s="100" t="str">
        <f>IF(AI227&gt;0,
(IF(AI227&lt;Hónapok!$A$10,Admin!$A$28,
(IF(AI227&lt;Hónapok!$A$22,Admin!$B$28,
(IF(AI227&lt;Hónapok!$A$34,Admin!$C$28,
(IF(AI227&lt;Hónapok!$A$46,Admin!$D$28,"")))))))),"")</f>
        <v>3. mérföldkő</v>
      </c>
      <c r="AK227" s="469" t="s">
        <v>7</v>
      </c>
      <c r="AL227" s="101" t="s">
        <v>26</v>
      </c>
      <c r="AM227" s="900">
        <v>470000</v>
      </c>
      <c r="AN227" s="860">
        <f t="shared" ref="AN227:AN229" si="557">IFERROR(ROUND(AM227*AU227,0),"")</f>
        <v>61100</v>
      </c>
      <c r="AO227" s="101">
        <v>174</v>
      </c>
      <c r="AP227" s="111">
        <v>93</v>
      </c>
      <c r="AQ227" s="454">
        <f t="shared" ref="AQ227:AQ229" si="558">IFERROR(AP227/AO227,"")</f>
        <v>0.53448275862068961</v>
      </c>
      <c r="AR227" s="455">
        <f t="shared" ref="AR227:AR229" si="559">IFERROR(ROUND(AM227*AP227/AO227,0),"")</f>
        <v>251207</v>
      </c>
      <c r="AS227" s="455">
        <f t="shared" ref="AS227:AS229" si="560">IFERROR(ROUND(AR227*AU227,0),"")</f>
        <v>32657</v>
      </c>
      <c r="AT227" s="102">
        <f t="shared" ref="AT227:AT229" si="561">IFERROR(AP227/AO227-AR227/AM227,"")</f>
        <v>-2.2010271460981556E-7</v>
      </c>
      <c r="AU227" s="116">
        <v>0.13</v>
      </c>
      <c r="AV227" s="565" t="str">
        <f>VLOOKUP(LEFT(AB227,10),Törzsszám!$A$1:$B$908,2,0)</f>
        <v>10001133</v>
      </c>
      <c r="AW227" s="681">
        <f t="shared" ref="AW227:AW229" ca="1" si="562">(Y227+Z227)-(AR227+AS227)</f>
        <v>0</v>
      </c>
      <c r="AX227" s="471" t="s">
        <v>4618</v>
      </c>
      <c r="AY227" s="502"/>
      <c r="AZ227" s="502"/>
      <c r="BA227" s="671"/>
      <c r="BB227" s="649"/>
      <c r="BC227" s="649"/>
      <c r="BD227" s="672"/>
      <c r="BE227" s="450" t="s">
        <v>192</v>
      </c>
    </row>
    <row r="228" spans="1:57" s="457" customFormat="1" ht="31.5" x14ac:dyDescent="0.25">
      <c r="A228" s="694" t="str">
        <f ca="1">Bérköltség!$B228</f>
        <v>FEOR</v>
      </c>
      <c r="B228" s="694" t="str">
        <f ca="1">IFERROR(
IF(AND(Bérköltség!$F228="",H228="NA"),"HIÁNYOS ADATOK",
IF(Bérköltség!$F228&lt;Bérköltség!$U228,Admin!$B$18,Admin!$B$17)),
"")</f>
        <v>FEOR</v>
      </c>
      <c r="C228" s="437">
        <f>IFERROR(INDEX('Historikus berek_2021-2'!$A$1:$F$903,MATCH(AB228,'Historikus berek_2021-2'!$A$1:$A$903,0),4),"")</f>
        <v>376666.66666666669</v>
      </c>
      <c r="D228" s="438">
        <f t="shared" si="539"/>
        <v>201321.83908045976</v>
      </c>
      <c r="E228" s="437">
        <f t="shared" si="540"/>
        <v>251207</v>
      </c>
      <c r="F228" s="439">
        <f t="shared" si="541"/>
        <v>56370.231839080458</v>
      </c>
      <c r="G228" s="440">
        <f t="shared" si="542"/>
        <v>227493.67816091952</v>
      </c>
      <c r="H228" s="441">
        <f>IFERROR(INDEX('FEOR kodok'!$A$2:$J$1126,MATCH(Bérköltség!AB228,'FEOR kodok'!$B$2:$B$1126,0),8),"NA")</f>
        <v>2139</v>
      </c>
      <c r="I228" s="436">
        <f ca="1">IFERROR(INDEX('FEOR kodok'!$A$2:$J$1126,MATCH(Bérköltség!AB228,'FEOR kodok'!$B$2:$B$1126,0),10),"NA")</f>
        <v>39</v>
      </c>
      <c r="J228" s="442" t="str">
        <f t="shared" ca="1" si="543"/>
        <v>30–39 éves</v>
      </c>
      <c r="K228" s="436" t="str">
        <f>IFERROR(INDEX(admin_feor[#All],MATCH(Bérköltség!H228,admin_feor[[#All],[Foglalkozás]],0),2),"NA")</f>
        <v>Egyéb, máshova nem sorolható mérnök</v>
      </c>
      <c r="L228" s="438">
        <f ca="1">IFERROR(
INDEX('Admin - FEOR'!$A$4:$F$465,MATCH(Bérköltség!H228,'Admin - FEOR'!$A$4:$A$465,0),
IF(J228="30 év alatt",3,
IF(J228="30–39 éves",4,
IF(J228="40–49 éves",5,
IF(J228="50 év és afelett",6
)))))*1,"NA")</f>
        <v>845378</v>
      </c>
      <c r="M228" s="438">
        <f t="shared" si="544"/>
        <v>470000</v>
      </c>
      <c r="N228" s="443">
        <f t="shared" ca="1" si="545"/>
        <v>0.55596431418844583</v>
      </c>
      <c r="O228" s="438">
        <f ca="1">IFERROR(
INDEX('Admin - FEOR'!$A$4:$F$465,MATCH(Bérköltség!H228,'Admin - FEOR'!$A$4:$A$465,0),
IF(J228="30 év alatt",3,
IF(J228="30–39 éves",4,
IF(J228="40–49 éves",5,
IF(J228="50 év és afelett",6
)))))*1.5,"NA")</f>
        <v>1268067</v>
      </c>
      <c r="P228" s="438">
        <f t="shared" ca="1" si="546"/>
        <v>677759.94827586203</v>
      </c>
      <c r="Q228" s="438">
        <f t="shared" si="547"/>
        <v>251207</v>
      </c>
      <c r="R228" s="444">
        <f t="shared" si="548"/>
        <v>0.53448275862068961</v>
      </c>
      <c r="S228" s="438">
        <f t="shared" ca="1" si="549"/>
        <v>0</v>
      </c>
      <c r="T228" s="438">
        <f t="shared" ca="1" si="550"/>
        <v>0</v>
      </c>
      <c r="U228" s="445">
        <f t="shared" ca="1" si="551"/>
        <v>0</v>
      </c>
      <c r="V228" s="446">
        <f t="shared" ca="1" si="552"/>
        <v>283864</v>
      </c>
      <c r="W228" s="447" t="str">
        <f t="shared" ca="1" si="553"/>
        <v>Nem szükséges indoklás.</v>
      </c>
      <c r="X228" s="571">
        <f t="shared" ca="1" si="554"/>
        <v>0</v>
      </c>
      <c r="Y228" s="554">
        <f t="shared" ca="1" si="555"/>
        <v>251207</v>
      </c>
      <c r="Z228" s="554">
        <f t="shared" ca="1" si="556"/>
        <v>32657</v>
      </c>
      <c r="AA228" s="101"/>
      <c r="AB228" s="448">
        <v>8429333843</v>
      </c>
      <c r="AC228" s="449" t="s">
        <v>190</v>
      </c>
      <c r="AD228" s="483" t="s">
        <v>45</v>
      </c>
      <c r="AE228" s="450" t="s">
        <v>22</v>
      </c>
      <c r="AF228" s="99" t="s">
        <v>125</v>
      </c>
      <c r="AG228" s="99" t="s">
        <v>191</v>
      </c>
      <c r="AH228" s="451" t="s">
        <v>131</v>
      </c>
      <c r="AI228" s="154">
        <v>45200</v>
      </c>
      <c r="AJ228" s="100" t="str">
        <f>IF(AI228&gt;0,
(IF(AI228&lt;Hónapok!$A$10,Admin!$A$28,
(IF(AI228&lt;Hónapok!$A$22,Admin!$B$28,
(IF(AI228&lt;Hónapok!$A$34,Admin!$C$28,
(IF(AI228&lt;Hónapok!$A$46,Admin!$D$28,"")))))))),"")</f>
        <v>3. mérföldkő</v>
      </c>
      <c r="AK228" s="469" t="s">
        <v>8</v>
      </c>
      <c r="AL228" s="101" t="s">
        <v>26</v>
      </c>
      <c r="AM228" s="900">
        <v>470000</v>
      </c>
      <c r="AN228" s="860">
        <f t="shared" si="557"/>
        <v>61100</v>
      </c>
      <c r="AO228" s="101">
        <v>174</v>
      </c>
      <c r="AP228" s="111">
        <v>93</v>
      </c>
      <c r="AQ228" s="454">
        <f t="shared" si="558"/>
        <v>0.53448275862068961</v>
      </c>
      <c r="AR228" s="455">
        <f t="shared" si="559"/>
        <v>251207</v>
      </c>
      <c r="AS228" s="455">
        <f t="shared" si="560"/>
        <v>32657</v>
      </c>
      <c r="AT228" s="102">
        <f t="shared" si="561"/>
        <v>-2.2010271460981556E-7</v>
      </c>
      <c r="AU228" s="116">
        <v>0.13</v>
      </c>
      <c r="AV228" s="565" t="str">
        <f>VLOOKUP(LEFT(AB228,10),Törzsszám!$A$1:$B$908,2,0)</f>
        <v>10001133</v>
      </c>
      <c r="AW228" s="681">
        <f t="shared" ca="1" si="562"/>
        <v>0</v>
      </c>
      <c r="AX228" s="479"/>
      <c r="AY228" s="502"/>
      <c r="AZ228" s="502"/>
      <c r="BA228" s="671"/>
      <c r="BB228" s="649"/>
      <c r="BC228" s="649"/>
      <c r="BD228" s="672"/>
      <c r="BE228" s="450" t="s">
        <v>192</v>
      </c>
    </row>
    <row r="229" spans="1:57" s="457" customFormat="1" ht="31.5" x14ac:dyDescent="0.25">
      <c r="A229" s="694" t="str">
        <f ca="1">Bérköltség!$B229</f>
        <v>FEOR</v>
      </c>
      <c r="B229" s="694" t="str">
        <f ca="1">IFERROR(
IF(AND(Bérköltség!$F229="",H229="NA"),"HIÁNYOS ADATOK",
IF(Bérköltség!$F229&lt;Bérköltség!$U229,Admin!$B$18,Admin!$B$17)),
"")</f>
        <v>FEOR</v>
      </c>
      <c r="C229" s="437">
        <f>IFERROR(INDEX('Historikus berek_2021-2'!$A$1:$F$903,MATCH(AB229,'Historikus berek_2021-2'!$A$1:$A$903,0),4),"")</f>
        <v>376666.66666666669</v>
      </c>
      <c r="D229" s="438">
        <f t="shared" si="539"/>
        <v>201321.83908045976</v>
      </c>
      <c r="E229" s="437">
        <f t="shared" si="540"/>
        <v>251207</v>
      </c>
      <c r="F229" s="439">
        <f t="shared" si="541"/>
        <v>56370.231839080458</v>
      </c>
      <c r="G229" s="440">
        <f t="shared" si="542"/>
        <v>227493.67816091952</v>
      </c>
      <c r="H229" s="441">
        <f>IFERROR(INDEX('FEOR kodok'!$A$2:$J$1126,MATCH(Bérköltség!AB229,'FEOR kodok'!$B$2:$B$1126,0),8),"NA")</f>
        <v>2139</v>
      </c>
      <c r="I229" s="436">
        <f ca="1">IFERROR(INDEX('FEOR kodok'!$A$2:$J$1126,MATCH(Bérköltség!AB229,'FEOR kodok'!$B$2:$B$1126,0),10),"NA")</f>
        <v>39</v>
      </c>
      <c r="J229" s="442" t="str">
        <f t="shared" ca="1" si="543"/>
        <v>30–39 éves</v>
      </c>
      <c r="K229" s="436" t="str">
        <f>IFERROR(INDEX(admin_feor[#All],MATCH(Bérköltség!H229,admin_feor[[#All],[Foglalkozás]],0),2),"NA")</f>
        <v>Egyéb, máshova nem sorolható mérnök</v>
      </c>
      <c r="L229" s="438">
        <f ca="1">IFERROR(
INDEX('Admin - FEOR'!$A$4:$F$465,MATCH(Bérköltség!H229,'Admin - FEOR'!$A$4:$A$465,0),
IF(J229="30 év alatt",3,
IF(J229="30–39 éves",4,
IF(J229="40–49 éves",5,
IF(J229="50 év és afelett",6
)))))*1,"NA")</f>
        <v>845378</v>
      </c>
      <c r="M229" s="438">
        <f t="shared" si="544"/>
        <v>470000</v>
      </c>
      <c r="N229" s="443">
        <f t="shared" ca="1" si="545"/>
        <v>0.55596431418844583</v>
      </c>
      <c r="O229" s="438">
        <f ca="1">IFERROR(
INDEX('Admin - FEOR'!$A$4:$F$465,MATCH(Bérköltség!H229,'Admin - FEOR'!$A$4:$A$465,0),
IF(J229="30 év alatt",3,
IF(J229="30–39 éves",4,
IF(J229="40–49 éves",5,
IF(J229="50 év és afelett",6
)))))*1.5,"NA")</f>
        <v>1268067</v>
      </c>
      <c r="P229" s="438">
        <f t="shared" ca="1" si="546"/>
        <v>677759.94827586203</v>
      </c>
      <c r="Q229" s="438">
        <f t="shared" si="547"/>
        <v>251207</v>
      </c>
      <c r="R229" s="444">
        <f t="shared" si="548"/>
        <v>0.53448275862068961</v>
      </c>
      <c r="S229" s="438">
        <f t="shared" ca="1" si="549"/>
        <v>0</v>
      </c>
      <c r="T229" s="438">
        <f t="shared" ca="1" si="550"/>
        <v>0</v>
      </c>
      <c r="U229" s="445">
        <f t="shared" ca="1" si="551"/>
        <v>0</v>
      </c>
      <c r="V229" s="446">
        <f t="shared" ca="1" si="552"/>
        <v>283864</v>
      </c>
      <c r="W229" s="447" t="str">
        <f t="shared" ca="1" si="553"/>
        <v>Nem szükséges indoklás.</v>
      </c>
      <c r="X229" s="571">
        <f t="shared" ca="1" si="554"/>
        <v>0</v>
      </c>
      <c r="Y229" s="554">
        <f t="shared" ca="1" si="555"/>
        <v>251207</v>
      </c>
      <c r="Z229" s="554">
        <f t="shared" ca="1" si="556"/>
        <v>32657</v>
      </c>
      <c r="AA229" s="101"/>
      <c r="AB229" s="448">
        <v>8429333843</v>
      </c>
      <c r="AC229" s="449" t="s">
        <v>190</v>
      </c>
      <c r="AD229" s="483" t="s">
        <v>45</v>
      </c>
      <c r="AE229" s="450" t="s">
        <v>22</v>
      </c>
      <c r="AF229" s="99" t="s">
        <v>125</v>
      </c>
      <c r="AG229" s="99" t="s">
        <v>191</v>
      </c>
      <c r="AH229" s="451" t="s">
        <v>131</v>
      </c>
      <c r="AI229" s="154">
        <v>45231</v>
      </c>
      <c r="AJ229" s="100" t="str">
        <f>IF(AI229&gt;0,
(IF(AI229&lt;Hónapok!$A$10,Admin!$A$28,
(IF(AI229&lt;Hónapok!$A$22,Admin!$B$28,
(IF(AI229&lt;Hónapok!$A$34,Admin!$C$28,
(IF(AI229&lt;Hónapok!$A$46,Admin!$D$28,"")))))))),"")</f>
        <v>3. mérföldkő</v>
      </c>
      <c r="AK229" s="469" t="s">
        <v>8</v>
      </c>
      <c r="AL229" s="101" t="s">
        <v>26</v>
      </c>
      <c r="AM229" s="900">
        <v>470000</v>
      </c>
      <c r="AN229" s="860">
        <f t="shared" si="557"/>
        <v>61100</v>
      </c>
      <c r="AO229" s="101">
        <v>174</v>
      </c>
      <c r="AP229" s="111">
        <v>93</v>
      </c>
      <c r="AQ229" s="454">
        <f t="shared" si="558"/>
        <v>0.53448275862068961</v>
      </c>
      <c r="AR229" s="455">
        <f t="shared" si="559"/>
        <v>251207</v>
      </c>
      <c r="AS229" s="455">
        <f t="shared" si="560"/>
        <v>32657</v>
      </c>
      <c r="AT229" s="102">
        <f t="shared" si="561"/>
        <v>-2.2010271460981556E-7</v>
      </c>
      <c r="AU229" s="116">
        <v>0.13</v>
      </c>
      <c r="AV229" s="565" t="str">
        <f>VLOOKUP(LEFT(AB229,10),Törzsszám!$A$1:$B$908,2,0)</f>
        <v>10001133</v>
      </c>
      <c r="AW229" s="681">
        <f t="shared" ca="1" si="562"/>
        <v>0</v>
      </c>
      <c r="AX229" s="479"/>
      <c r="AY229" s="502"/>
      <c r="AZ229" s="502"/>
      <c r="BA229" s="671"/>
      <c r="BB229" s="649"/>
      <c r="BC229" s="649"/>
      <c r="BD229" s="672"/>
      <c r="BE229" s="450" t="s">
        <v>192</v>
      </c>
    </row>
    <row r="230" spans="1:57" s="457" customFormat="1" ht="31.5" x14ac:dyDescent="0.25">
      <c r="A230" s="694" t="str">
        <f ca="1">Bérköltség!$B230</f>
        <v>FEOR</v>
      </c>
      <c r="B230" s="694" t="str">
        <f ca="1">IFERROR(
IF(AND(Bérköltség!$F230="",H230="NA"),"HIÁNYOS ADATOK",
IF(Bérköltség!$F230&lt;Bérköltség!$U230,Admin!$B$18,Admin!$B$17)),
"")</f>
        <v>FEOR</v>
      </c>
      <c r="C230" s="437">
        <f>IFERROR(INDEX('Historikus berek_2021-2'!$A$1:$F$903,MATCH(AB230,'Historikus berek_2021-2'!$A$1:$A$903,0),4),"")</f>
        <v>264000</v>
      </c>
      <c r="D230" s="438">
        <f t="shared" si="320"/>
        <v>191172.41379310345</v>
      </c>
      <c r="E230" s="437">
        <f t="shared" si="321"/>
        <v>249828</v>
      </c>
      <c r="F230" s="439">
        <f t="shared" si="334"/>
        <v>66280.812413793086</v>
      </c>
      <c r="G230" s="440">
        <f t="shared" si="335"/>
        <v>216024.82758620687</v>
      </c>
      <c r="H230" s="441">
        <f>IFERROR(INDEX('FEOR kodok'!$A$2:$J$1126,MATCH(Bérköltség!AB230,'FEOR kodok'!$B$2:$B$1126,0),8),"NA")</f>
        <v>2214</v>
      </c>
      <c r="I230" s="436">
        <f ca="1">IFERROR(INDEX('FEOR kodok'!$A$2:$J$1126,MATCH(Bérköltség!AB230,'FEOR kodok'!$B$2:$B$1126,0),10),"NA")</f>
        <v>33</v>
      </c>
      <c r="J230" s="442" t="str">
        <f t="shared" ca="1" si="322"/>
        <v>30–39 éves</v>
      </c>
      <c r="K230" s="436" t="str">
        <f>IFERROR(INDEX(admin_feor[#All],MATCH(Bérköltség!H230,admin_feor[[#All],[Foglalkozás]],0),2),"NA")</f>
        <v>Gyógyszerész, szakgyógyszerész</v>
      </c>
      <c r="L230" s="438">
        <f ca="1">IFERROR(
INDEX('Admin - FEOR'!$A$4:$F$465,MATCH(Bérköltség!H230,'Admin - FEOR'!$A$4:$A$465,0),
IF(J230="30 év alatt",3,
IF(J230="30–39 éves",4,
IF(J230="40–49 éves",5,
IF(J230="50 év és afelett",6
)))))*1,"NA")</f>
        <v>633911</v>
      </c>
      <c r="M230" s="438">
        <f t="shared" si="323"/>
        <v>345000</v>
      </c>
      <c r="N230" s="443">
        <f t="shared" ca="1" si="324"/>
        <v>0.54424043753776163</v>
      </c>
      <c r="O230" s="438">
        <f ca="1">IFERROR(
INDEX('Admin - FEOR'!$A$4:$F$465,MATCH(Bérköltség!H230,'Admin - FEOR'!$A$4:$A$465,0),
IF(J230="30 év alatt",3,
IF(J230="30–39 éves",4,
IF(J230="40–49 éves",5,
IF(J230="50 év és afelett",6
)))))*1.5,"NA")</f>
        <v>950866.5</v>
      </c>
      <c r="P230" s="438">
        <f t="shared" ca="1" si="325"/>
        <v>688558.5</v>
      </c>
      <c r="Q230" s="438">
        <f t="shared" si="326"/>
        <v>249828</v>
      </c>
      <c r="R230" s="444">
        <f t="shared" si="327"/>
        <v>0.72413793103448276</v>
      </c>
      <c r="S230" s="438">
        <f t="shared" ca="1" si="328"/>
        <v>0</v>
      </c>
      <c r="T230" s="438">
        <f t="shared" ca="1" si="329"/>
        <v>0</v>
      </c>
      <c r="U230" s="445">
        <f t="shared" ca="1" si="330"/>
        <v>0</v>
      </c>
      <c r="V230" s="446">
        <f t="shared" ca="1" si="331"/>
        <v>282306</v>
      </c>
      <c r="W230" s="447" t="str">
        <f t="shared" ca="1" si="332"/>
        <v>Nem szükséges indoklás.</v>
      </c>
      <c r="X230" s="571">
        <f t="shared" ca="1" si="333"/>
        <v>0</v>
      </c>
      <c r="Y230" s="554">
        <f t="shared" ca="1" si="318"/>
        <v>249828</v>
      </c>
      <c r="Z230" s="554">
        <f t="shared" ca="1" si="319"/>
        <v>32478</v>
      </c>
      <c r="AA230" s="573">
        <v>2</v>
      </c>
      <c r="AB230" s="448">
        <v>8450532272</v>
      </c>
      <c r="AC230" s="449" t="s">
        <v>193</v>
      </c>
      <c r="AD230" s="482" t="s">
        <v>45</v>
      </c>
      <c r="AE230" s="450" t="s">
        <v>22</v>
      </c>
      <c r="AF230" s="99" t="s">
        <v>125</v>
      </c>
      <c r="AG230" s="99" t="s">
        <v>194</v>
      </c>
      <c r="AH230" s="451" t="s">
        <v>131</v>
      </c>
      <c r="AI230" s="154">
        <v>44805</v>
      </c>
      <c r="AJ230" s="100" t="str">
        <f>IF(AI230&gt;0,
(IF(AI230&lt;Hónapok!$A$10,Admin!$A$28,
(IF(AI230&lt;Hónapok!$A$22,Admin!$B$28,
(IF(AI230&lt;Hónapok!$A$34,Admin!$C$28,
(IF(AI230&lt;Hónapok!$A$46,Admin!$D$28,"")))))))),"")</f>
        <v>2. mérföldkő</v>
      </c>
      <c r="AK230" s="469" t="s">
        <v>7</v>
      </c>
      <c r="AL230" s="101" t="s">
        <v>26</v>
      </c>
      <c r="AM230" s="900">
        <v>345000</v>
      </c>
      <c r="AN230" s="860">
        <f t="shared" si="410"/>
        <v>44850</v>
      </c>
      <c r="AO230" s="101">
        <v>174</v>
      </c>
      <c r="AP230" s="111">
        <v>126</v>
      </c>
      <c r="AQ230" s="454">
        <f t="shared" si="534"/>
        <v>0.72413793103448276</v>
      </c>
      <c r="AR230" s="455">
        <f t="shared" si="535"/>
        <v>249828</v>
      </c>
      <c r="AS230" s="455">
        <f t="shared" si="536"/>
        <v>32478</v>
      </c>
      <c r="AT230" s="102">
        <f t="shared" si="537"/>
        <v>-1.1994002998561015E-6</v>
      </c>
      <c r="AU230" s="116">
        <v>0.13</v>
      </c>
      <c r="AV230" s="565" t="str">
        <f>VLOOKUP(LEFT(AB230,10),Törzsszám!$A$1:$B$908,2,0)</f>
        <v>10001640</v>
      </c>
      <c r="AW230" s="615">
        <f t="shared" ca="1" si="538"/>
        <v>0</v>
      </c>
      <c r="AX230" s="479" t="s">
        <v>228</v>
      </c>
      <c r="AY230" s="502"/>
      <c r="AZ230" s="502"/>
      <c r="BA230" s="671">
        <v>249828</v>
      </c>
      <c r="BB230" s="649">
        <v>32478</v>
      </c>
      <c r="BC230" s="649">
        <f t="shared" ref="BC230:BD234" ca="1" si="563">Y230-BA230</f>
        <v>0</v>
      </c>
      <c r="BD230" s="672">
        <f t="shared" ca="1" si="563"/>
        <v>0</v>
      </c>
      <c r="BE230" s="450" t="s">
        <v>192</v>
      </c>
    </row>
    <row r="231" spans="1:57" s="457" customFormat="1" ht="31.5" x14ac:dyDescent="0.25">
      <c r="A231" s="694" t="str">
        <f ca="1">Bérköltség!$B231</f>
        <v>FEOR</v>
      </c>
      <c r="B231" s="694" t="str">
        <f ca="1">IFERROR(
IF(AND(Bérköltség!$F231="",H231="NA"),"HIÁNYOS ADATOK",
IF(Bérköltség!$F231&lt;Bérköltség!$U231,Admin!$B$18,Admin!$B$17)),
"")</f>
        <v>FEOR</v>
      </c>
      <c r="C231" s="437">
        <f>IFERROR(INDEX('Historikus berek_2021-2'!$A$1:$F$903,MATCH(AB231,'Historikus berek_2021-2'!$A$1:$A$903,0),4),"")</f>
        <v>264000</v>
      </c>
      <c r="D231" s="438">
        <f t="shared" ref="D231:D330" si="564">IFERROR(C231*AQ231,"NA")</f>
        <v>191172.41379310345</v>
      </c>
      <c r="E231" s="437">
        <f t="shared" ref="E231:E330" si="565">AR231</f>
        <v>249828</v>
      </c>
      <c r="F231" s="439">
        <f t="shared" ref="F231:F330" si="566">IFERROR(IF((E231*(1+AU231)-D231*(1+AU231))&lt;0,0,(E231*(1+AU231)-D231*(1+AU231))),"")</f>
        <v>66280.812413793086</v>
      </c>
      <c r="G231" s="440">
        <f t="shared" ref="G231:G330" si="567">IFERROR((E231*(1+AU231)-F231),"")</f>
        <v>216024.82758620687</v>
      </c>
      <c r="H231" s="441">
        <f>IFERROR(INDEX('FEOR kodok'!$A$2:$J$1126,MATCH(Bérköltség!AB231,'FEOR kodok'!$B$2:$B$1126,0),8),"NA")</f>
        <v>2214</v>
      </c>
      <c r="I231" s="436">
        <f ca="1">IFERROR(INDEX('FEOR kodok'!$A$2:$J$1126,MATCH(Bérköltség!AB231,'FEOR kodok'!$B$2:$B$1126,0),10),"NA")</f>
        <v>33</v>
      </c>
      <c r="J231" s="442" t="str">
        <f t="shared" ref="J231:J330" ca="1" si="568">IF(I231="NA","NA",
IF(I231&lt;30,"30 év alatt",
IF(AND(I231&gt;=30,I231&lt;=39),"30–39 éves",
IF(AND(I231&gt;=40,I231&lt;=49),"40–49 éves",
IF(I231&gt;=50,"50 év és afelett",
"")))))</f>
        <v>30–39 éves</v>
      </c>
      <c r="K231" s="436" t="str">
        <f>IFERROR(INDEX(admin_feor[#All],MATCH(Bérköltség!H231,admin_feor[[#All],[Foglalkozás]],0),2),"NA")</f>
        <v>Gyógyszerész, szakgyógyszerész</v>
      </c>
      <c r="L231" s="438">
        <f ca="1">IFERROR(
INDEX('Admin - FEOR'!$A$4:$F$465,MATCH(Bérköltség!H231,'Admin - FEOR'!$A$4:$A$465,0),
IF(J231="30 év alatt",3,
IF(J231="30–39 éves",4,
IF(J231="40–49 éves",5,
IF(J231="50 év és afelett",6
)))))*1,"NA")</f>
        <v>633911</v>
      </c>
      <c r="M231" s="438">
        <f t="shared" ref="M231:M330" si="569">AM231</f>
        <v>345000</v>
      </c>
      <c r="N231" s="443">
        <f t="shared" ref="N231:N330" ca="1" si="570">IFERROR(
M231/L231,"NA")</f>
        <v>0.54424043753776163</v>
      </c>
      <c r="O231" s="438">
        <f ca="1">IFERROR(
INDEX('Admin - FEOR'!$A$4:$F$465,MATCH(Bérköltség!H231,'Admin - FEOR'!$A$4:$A$465,0),
IF(J231="30 év alatt",3,
IF(J231="30–39 éves",4,
IF(J231="40–49 éves",5,
IF(J231="50 év és afelett",6
)))))*1.5,"NA")</f>
        <v>950866.5</v>
      </c>
      <c r="P231" s="438">
        <f t="shared" ref="P231:P330" ca="1" si="571">IFERROR(
AQ231*O231,"NA")</f>
        <v>688558.5</v>
      </c>
      <c r="Q231" s="438">
        <f t="shared" ref="Q231:Q330" si="572">IFERROR(AR231,"")</f>
        <v>249828</v>
      </c>
      <c r="R231" s="444">
        <f t="shared" ref="R231:R330" si="573">IFERROR(AQ231,"")</f>
        <v>0.72413793103448276</v>
      </c>
      <c r="S231" s="438">
        <f t="shared" ref="S231:S330" ca="1" si="574">IFERROR(
IF(AR231-P231&lt;0,0,AR231-P231),"NA")</f>
        <v>0</v>
      </c>
      <c r="T231" s="438">
        <f t="shared" ref="T231:T330" ca="1" si="575">IFERROR(
S231*AU231,"NA")</f>
        <v>0</v>
      </c>
      <c r="U231" s="445">
        <f t="shared" ref="U231:U330" ca="1" si="576">IFERROR(
S231+T231,"NA")</f>
        <v>0</v>
      </c>
      <c r="V231" s="446">
        <f t="shared" ref="V231:V330" ca="1" si="577">IFERROR(
IF(U231&gt;0,AR231+AS231-U231,AR231+AS231),"NA")</f>
        <v>282306</v>
      </c>
      <c r="W231" s="447" t="str">
        <f t="shared" ref="W231:W330" ca="1" si="578">IF(P231="NA","FEOR hiányzik",
IF(AND(N231&gt;1,A231="FEOR"),CONCATENATE("Indoklás szükséges mivel a FEOR: ",ROUND(N231*100,1),"%"),"Nem szükséges indoklás.")
)</f>
        <v>Nem szükséges indoklás.</v>
      </c>
      <c r="X231" s="571">
        <f t="shared" ref="X231:X330" ca="1" si="579">IF(A231="FEOR",U231,IF(A231="HIÁNYOS ADATOK","HIÁNYOS ADATOK",F231))</f>
        <v>0</v>
      </c>
      <c r="Y231" s="554">
        <f t="shared" ref="Y231:Y330" ca="1" si="580">IF(A231="FEOR",ROUND(V231/(1+AU231),0),IF(A231="HIÁNYOS ADATOK","HIÁNYOS ADATOK",ROUND(G231/(1+AU231),0)))</f>
        <v>249828</v>
      </c>
      <c r="Z231" s="554">
        <f t="shared" ref="Z231:Z330" ca="1" si="581">IF(A231="FEOR",ROUND(V231-Y231,0),IF(A231="HIÁNYOS ADATOK","HIÁNYOS ADATOK",ROUND(G231-Y231,0)))</f>
        <v>32478</v>
      </c>
      <c r="AA231" s="573">
        <v>2</v>
      </c>
      <c r="AB231" s="448">
        <v>8450532272</v>
      </c>
      <c r="AC231" s="449" t="s">
        <v>193</v>
      </c>
      <c r="AD231" s="483" t="s">
        <v>45</v>
      </c>
      <c r="AE231" s="450" t="s">
        <v>22</v>
      </c>
      <c r="AF231" s="99" t="s">
        <v>125</v>
      </c>
      <c r="AG231" s="99" t="s">
        <v>194</v>
      </c>
      <c r="AH231" s="451" t="s">
        <v>131</v>
      </c>
      <c r="AI231" s="154">
        <v>44835</v>
      </c>
      <c r="AJ231" s="100" t="str">
        <f>IF(AI231&gt;0,
(IF(AI231&lt;Hónapok!$A$10,Admin!$A$28,
(IF(AI231&lt;Hónapok!$A$22,Admin!$B$28,
(IF(AI231&lt;Hónapok!$A$34,Admin!$C$28,
(IF(AI231&lt;Hónapok!$A$46,Admin!$D$28,"")))))))),"")</f>
        <v>2. mérföldkő</v>
      </c>
      <c r="AK231" s="469" t="s">
        <v>7</v>
      </c>
      <c r="AL231" s="101" t="s">
        <v>26</v>
      </c>
      <c r="AM231" s="900">
        <v>345000</v>
      </c>
      <c r="AN231" s="860">
        <f t="shared" si="410"/>
        <v>44850</v>
      </c>
      <c r="AO231" s="101">
        <v>174</v>
      </c>
      <c r="AP231" s="111">
        <v>126</v>
      </c>
      <c r="AQ231" s="454">
        <f t="shared" si="534"/>
        <v>0.72413793103448276</v>
      </c>
      <c r="AR231" s="455">
        <f t="shared" si="535"/>
        <v>249828</v>
      </c>
      <c r="AS231" s="455">
        <f t="shared" si="536"/>
        <v>32478</v>
      </c>
      <c r="AT231" s="102">
        <f t="shared" si="537"/>
        <v>-1.1994002998561015E-6</v>
      </c>
      <c r="AU231" s="116">
        <v>0.13</v>
      </c>
      <c r="AV231" s="565" t="str">
        <f>VLOOKUP(LEFT(AB231,10),Törzsszám!$A$1:$B$908,2,0)</f>
        <v>10001640</v>
      </c>
      <c r="AW231" s="681">
        <f t="shared" ca="1" si="538"/>
        <v>0</v>
      </c>
      <c r="AX231" s="479" t="s">
        <v>251</v>
      </c>
      <c r="AY231" s="502"/>
      <c r="AZ231" s="502"/>
      <c r="BA231" s="671">
        <v>249828</v>
      </c>
      <c r="BB231" s="649">
        <v>32478</v>
      </c>
      <c r="BC231" s="649">
        <f t="shared" ca="1" si="563"/>
        <v>0</v>
      </c>
      <c r="BD231" s="672">
        <f t="shared" ca="1" si="563"/>
        <v>0</v>
      </c>
      <c r="BE231" s="450" t="s">
        <v>192</v>
      </c>
    </row>
    <row r="232" spans="1:57" s="457" customFormat="1" ht="31.5" x14ac:dyDescent="0.25">
      <c r="A232" s="694" t="str">
        <f ca="1">Bérköltség!$B232</f>
        <v>FEOR</v>
      </c>
      <c r="B232" s="694" t="str">
        <f ca="1">IFERROR(
IF(AND(Bérköltség!$F232="",H232="NA"),"HIÁNYOS ADATOK",
IF(Bérköltség!$F232&lt;Bérköltség!$U232,Admin!$B$18,Admin!$B$17)),
"")</f>
        <v>FEOR</v>
      </c>
      <c r="C232" s="437">
        <f>IFERROR(INDEX('Historikus berek_2021-2'!$A$1:$F$903,MATCH(AB232,'Historikus berek_2021-2'!$A$1:$A$903,0),4),"")</f>
        <v>264000</v>
      </c>
      <c r="D232" s="438">
        <f t="shared" si="564"/>
        <v>191172.41379310345</v>
      </c>
      <c r="E232" s="437">
        <f t="shared" si="565"/>
        <v>249828</v>
      </c>
      <c r="F232" s="439">
        <f t="shared" si="566"/>
        <v>66280.812413793086</v>
      </c>
      <c r="G232" s="440">
        <f t="shared" si="567"/>
        <v>216024.82758620687</v>
      </c>
      <c r="H232" s="441">
        <f>IFERROR(INDEX('FEOR kodok'!$A$2:$J$1126,MATCH(Bérköltség!AB232,'FEOR kodok'!$B$2:$B$1126,0),8),"NA")</f>
        <v>2214</v>
      </c>
      <c r="I232" s="436">
        <f ca="1">IFERROR(INDEX('FEOR kodok'!$A$2:$J$1126,MATCH(Bérköltség!AB232,'FEOR kodok'!$B$2:$B$1126,0),10),"NA")</f>
        <v>33</v>
      </c>
      <c r="J232" s="442" t="str">
        <f t="shared" ca="1" si="568"/>
        <v>30–39 éves</v>
      </c>
      <c r="K232" s="436" t="str">
        <f>IFERROR(INDEX(admin_feor[#All],MATCH(Bérköltség!H232,admin_feor[[#All],[Foglalkozás]],0),2),"NA")</f>
        <v>Gyógyszerész, szakgyógyszerész</v>
      </c>
      <c r="L232" s="438">
        <f ca="1">IFERROR(
INDEX('Admin - FEOR'!$A$4:$F$465,MATCH(Bérköltség!H232,'Admin - FEOR'!$A$4:$A$465,0),
IF(J232="30 év alatt",3,
IF(J232="30–39 éves",4,
IF(J232="40–49 éves",5,
IF(J232="50 év és afelett",6
)))))*1,"NA")</f>
        <v>633911</v>
      </c>
      <c r="M232" s="438">
        <f t="shared" si="569"/>
        <v>345000</v>
      </c>
      <c r="N232" s="443">
        <f t="shared" ca="1" si="570"/>
        <v>0.54424043753776163</v>
      </c>
      <c r="O232" s="438">
        <f ca="1">IFERROR(
INDEX('Admin - FEOR'!$A$4:$F$465,MATCH(Bérköltség!H232,'Admin - FEOR'!$A$4:$A$465,0),
IF(J232="30 év alatt",3,
IF(J232="30–39 éves",4,
IF(J232="40–49 éves",5,
IF(J232="50 év és afelett",6
)))))*1.5,"NA")</f>
        <v>950866.5</v>
      </c>
      <c r="P232" s="438">
        <f t="shared" ca="1" si="571"/>
        <v>688558.5</v>
      </c>
      <c r="Q232" s="438">
        <f t="shared" si="572"/>
        <v>249828</v>
      </c>
      <c r="R232" s="444">
        <f t="shared" si="573"/>
        <v>0.72413793103448276</v>
      </c>
      <c r="S232" s="438">
        <f t="shared" ca="1" si="574"/>
        <v>0</v>
      </c>
      <c r="T232" s="438">
        <f t="shared" ca="1" si="575"/>
        <v>0</v>
      </c>
      <c r="U232" s="445">
        <f t="shared" ca="1" si="576"/>
        <v>0</v>
      </c>
      <c r="V232" s="446">
        <f t="shared" ca="1" si="577"/>
        <v>282306</v>
      </c>
      <c r="W232" s="447" t="str">
        <f t="shared" ca="1" si="578"/>
        <v>Nem szükséges indoklás.</v>
      </c>
      <c r="X232" s="571">
        <f t="shared" ca="1" si="579"/>
        <v>0</v>
      </c>
      <c r="Y232" s="554">
        <f t="shared" ca="1" si="580"/>
        <v>249828</v>
      </c>
      <c r="Z232" s="554">
        <f t="shared" ca="1" si="581"/>
        <v>32478</v>
      </c>
      <c r="AA232" s="573">
        <v>2</v>
      </c>
      <c r="AB232" s="448">
        <v>8450532272</v>
      </c>
      <c r="AC232" s="449" t="s">
        <v>193</v>
      </c>
      <c r="AD232" s="483" t="s">
        <v>45</v>
      </c>
      <c r="AE232" s="450" t="s">
        <v>22</v>
      </c>
      <c r="AF232" s="99" t="s">
        <v>125</v>
      </c>
      <c r="AG232" s="99" t="s">
        <v>194</v>
      </c>
      <c r="AH232" s="451" t="s">
        <v>131</v>
      </c>
      <c r="AI232" s="154">
        <v>44866</v>
      </c>
      <c r="AJ232" s="100" t="str">
        <f>IF(AI232&gt;0,
(IF(AI232&lt;Hónapok!$A$10,Admin!$A$28,
(IF(AI232&lt;Hónapok!$A$22,Admin!$B$28,
(IF(AI232&lt;Hónapok!$A$34,Admin!$C$28,
(IF(AI232&lt;Hónapok!$A$46,Admin!$D$28,"")))))))),"")</f>
        <v>2. mérföldkő</v>
      </c>
      <c r="AK232" s="467" t="s">
        <v>7</v>
      </c>
      <c r="AL232" s="101" t="s">
        <v>26</v>
      </c>
      <c r="AM232" s="900">
        <v>345000</v>
      </c>
      <c r="AN232" s="860">
        <f t="shared" ref="AN232:AN273" si="582">IFERROR(ROUND(AM232*AU232,0),"")</f>
        <v>44850</v>
      </c>
      <c r="AO232" s="101">
        <v>174</v>
      </c>
      <c r="AP232" s="111">
        <v>126</v>
      </c>
      <c r="AQ232" s="454">
        <f t="shared" si="534"/>
        <v>0.72413793103448276</v>
      </c>
      <c r="AR232" s="455">
        <f t="shared" si="535"/>
        <v>249828</v>
      </c>
      <c r="AS232" s="455">
        <f t="shared" si="536"/>
        <v>32478</v>
      </c>
      <c r="AT232" s="102">
        <f t="shared" si="537"/>
        <v>-1.1994002998561015E-6</v>
      </c>
      <c r="AU232" s="116">
        <v>0.13</v>
      </c>
      <c r="AV232" s="565" t="str">
        <f>VLOOKUP(LEFT(AB232,10),Törzsszám!$A$1:$B$908,2,0)</f>
        <v>10001640</v>
      </c>
      <c r="AW232" s="681">
        <f t="shared" ca="1" si="538"/>
        <v>0</v>
      </c>
      <c r="AX232" s="468" t="s">
        <v>260</v>
      </c>
      <c r="AY232" s="502"/>
      <c r="AZ232" s="502"/>
      <c r="BA232" s="671">
        <v>249828</v>
      </c>
      <c r="BB232" s="649">
        <v>32478</v>
      </c>
      <c r="BC232" s="649">
        <f t="shared" ca="1" si="563"/>
        <v>0</v>
      </c>
      <c r="BD232" s="672">
        <f t="shared" ca="1" si="563"/>
        <v>0</v>
      </c>
      <c r="BE232" s="450" t="s">
        <v>192</v>
      </c>
    </row>
    <row r="233" spans="1:57" s="457" customFormat="1" ht="31.5" x14ac:dyDescent="0.25">
      <c r="A233" s="694" t="str">
        <f ca="1">Bérköltség!$B233</f>
        <v>FEOR</v>
      </c>
      <c r="B233" s="694" t="str">
        <f ca="1">IFERROR(
IF(AND(Bérköltség!$F233="",H233="NA"),"HIÁNYOS ADATOK",
IF(Bérköltség!$F233&lt;Bérköltség!$U233,Admin!$B$18,Admin!$B$17)),
"")</f>
        <v>FEOR</v>
      </c>
      <c r="C233" s="437">
        <f>IFERROR(INDEX('Historikus berek_2021-2'!$A$1:$F$903,MATCH(AB233,'Historikus berek_2021-2'!$A$1:$A$903,0),4),"")</f>
        <v>264000</v>
      </c>
      <c r="D233" s="438">
        <f t="shared" si="564"/>
        <v>191172.41379310345</v>
      </c>
      <c r="E233" s="437">
        <f t="shared" si="565"/>
        <v>249827</v>
      </c>
      <c r="F233" s="439">
        <f t="shared" si="566"/>
        <v>66279.682413793082</v>
      </c>
      <c r="G233" s="440">
        <f t="shared" si="567"/>
        <v>216024.82758620687</v>
      </c>
      <c r="H233" s="441">
        <f>IFERROR(INDEX('FEOR kodok'!$A$2:$J$1126,MATCH(Bérköltség!AB233,'FEOR kodok'!$B$2:$B$1126,0),8),"NA")</f>
        <v>2214</v>
      </c>
      <c r="I233" s="436">
        <f ca="1">IFERROR(INDEX('FEOR kodok'!$A$2:$J$1126,MATCH(Bérköltség!AB233,'FEOR kodok'!$B$2:$B$1126,0),10),"NA")</f>
        <v>33</v>
      </c>
      <c r="J233" s="442" t="str">
        <f t="shared" ca="1" si="568"/>
        <v>30–39 éves</v>
      </c>
      <c r="K233" s="436" t="str">
        <f>IFERROR(INDEX(admin_feor[#All],MATCH(Bérköltség!H233,admin_feor[[#All],[Foglalkozás]],0),2),"NA")</f>
        <v>Gyógyszerész, szakgyógyszerész</v>
      </c>
      <c r="L233" s="438">
        <f ca="1">IFERROR(
INDEX('Admin - FEOR'!$A$4:$F$465,MATCH(Bérköltség!H233,'Admin - FEOR'!$A$4:$A$465,0),
IF(J233="30 év alatt",3,
IF(J233="30–39 éves",4,
IF(J233="40–49 éves",5,
IF(J233="50 év és afelett",6
)))))*1,"NA")</f>
        <v>633911</v>
      </c>
      <c r="M233" s="438">
        <f t="shared" si="569"/>
        <v>344999</v>
      </c>
      <c r="N233" s="443">
        <f t="shared" ca="1" si="570"/>
        <v>0.54423886002924704</v>
      </c>
      <c r="O233" s="438">
        <f ca="1">IFERROR(
INDEX('Admin - FEOR'!$A$4:$F$465,MATCH(Bérköltség!H233,'Admin - FEOR'!$A$4:$A$465,0),
IF(J233="30 év alatt",3,
IF(J233="30–39 éves",4,
IF(J233="40–49 éves",5,
IF(J233="50 év és afelett",6
)))))*1.5,"NA")</f>
        <v>950866.5</v>
      </c>
      <c r="P233" s="438">
        <f t="shared" ca="1" si="571"/>
        <v>688558.5</v>
      </c>
      <c r="Q233" s="438">
        <f t="shared" si="572"/>
        <v>249827</v>
      </c>
      <c r="R233" s="444">
        <f t="shared" si="573"/>
        <v>0.72413793103448276</v>
      </c>
      <c r="S233" s="438">
        <f t="shared" ca="1" si="574"/>
        <v>0</v>
      </c>
      <c r="T233" s="438">
        <f t="shared" ca="1" si="575"/>
        <v>0</v>
      </c>
      <c r="U233" s="445">
        <f t="shared" ca="1" si="576"/>
        <v>0</v>
      </c>
      <c r="V233" s="446">
        <f t="shared" ca="1" si="577"/>
        <v>282305</v>
      </c>
      <c r="W233" s="447" t="str">
        <f t="shared" ca="1" si="578"/>
        <v>Nem szükséges indoklás.</v>
      </c>
      <c r="X233" s="571">
        <f t="shared" ca="1" si="579"/>
        <v>0</v>
      </c>
      <c r="Y233" s="554">
        <f t="shared" ca="1" si="580"/>
        <v>249827</v>
      </c>
      <c r="Z233" s="554">
        <f t="shared" ca="1" si="581"/>
        <v>32478</v>
      </c>
      <c r="AA233" s="573">
        <v>2</v>
      </c>
      <c r="AB233" s="448">
        <v>8450532272</v>
      </c>
      <c r="AC233" s="449" t="s">
        <v>193</v>
      </c>
      <c r="AD233" s="483" t="s">
        <v>45</v>
      </c>
      <c r="AE233" s="450" t="s">
        <v>22</v>
      </c>
      <c r="AF233" s="99" t="s">
        <v>125</v>
      </c>
      <c r="AG233" s="99" t="s">
        <v>194</v>
      </c>
      <c r="AH233" s="451" t="s">
        <v>131</v>
      </c>
      <c r="AI233" s="154">
        <v>44896</v>
      </c>
      <c r="AJ233" s="100" t="str">
        <f>IF(AI233&gt;0,
(IF(AI233&lt;Hónapok!$A$10,Admin!$A$28,
(IF(AI233&lt;Hónapok!$A$22,Admin!$B$28,
(IF(AI233&lt;Hónapok!$A$34,Admin!$C$28,
(IF(AI233&lt;Hónapok!$A$46,Admin!$D$28,"")))))))),"")</f>
        <v>2. mérföldkő</v>
      </c>
      <c r="AK233" s="469" t="s">
        <v>7</v>
      </c>
      <c r="AL233" s="101" t="s">
        <v>26</v>
      </c>
      <c r="AM233" s="900">
        <v>344999</v>
      </c>
      <c r="AN233" s="860">
        <f t="shared" si="582"/>
        <v>44850</v>
      </c>
      <c r="AO233" s="101">
        <v>174</v>
      </c>
      <c r="AP233" s="111">
        <v>126</v>
      </c>
      <c r="AQ233" s="454">
        <f t="shared" si="534"/>
        <v>0.72413793103448276</v>
      </c>
      <c r="AR233" s="455">
        <f t="shared" si="535"/>
        <v>249827</v>
      </c>
      <c r="AS233" s="455">
        <f t="shared" si="536"/>
        <v>32478</v>
      </c>
      <c r="AT233" s="102">
        <f t="shared" si="537"/>
        <v>-3.9980125876581951E-7</v>
      </c>
      <c r="AU233" s="116">
        <v>0.13</v>
      </c>
      <c r="AV233" s="565" t="str">
        <f>VLOOKUP(LEFT(AB233,10),Törzsszám!$A$1:$B$908,2,0)</f>
        <v>10001640</v>
      </c>
      <c r="AW233" s="681">
        <f t="shared" ca="1" si="538"/>
        <v>0</v>
      </c>
      <c r="AX233" s="701" t="s">
        <v>262</v>
      </c>
      <c r="AY233" s="502"/>
      <c r="AZ233" s="502"/>
      <c r="BA233" s="671">
        <v>249827</v>
      </c>
      <c r="BB233" s="649">
        <v>32478</v>
      </c>
      <c r="BC233" s="649">
        <f t="shared" ca="1" si="563"/>
        <v>0</v>
      </c>
      <c r="BD233" s="672">
        <f t="shared" ca="1" si="563"/>
        <v>0</v>
      </c>
      <c r="BE233" s="450" t="s">
        <v>192</v>
      </c>
    </row>
    <row r="234" spans="1:57" s="457" customFormat="1" ht="31.5" x14ac:dyDescent="0.25">
      <c r="A234" s="694" t="str">
        <f ca="1">Bérköltség!$B234</f>
        <v>FEOR</v>
      </c>
      <c r="B234" s="694" t="str">
        <f ca="1">IFERROR(
IF(AND(Bérköltség!$F234="",H234="NA"),"HIÁNYOS ADATOK",
IF(Bérköltség!$F234&lt;Bérköltség!$U234,Admin!$B$18,Admin!$B$17)),
"")</f>
        <v>FEOR</v>
      </c>
      <c r="C234" s="437">
        <f>IFERROR(INDEX('Historikus berek_2021-2'!$A$1:$F$903,MATCH(AB234,'Historikus berek_2021-2'!$A$1:$A$903,0),4),"")</f>
        <v>264000</v>
      </c>
      <c r="D234" s="438">
        <f t="shared" si="564"/>
        <v>191172.41379310345</v>
      </c>
      <c r="E234" s="437">
        <f t="shared" si="565"/>
        <v>287483</v>
      </c>
      <c r="F234" s="439">
        <f t="shared" si="566"/>
        <v>108830.96241379311</v>
      </c>
      <c r="G234" s="440">
        <f t="shared" si="567"/>
        <v>216024.82758620687</v>
      </c>
      <c r="H234" s="441">
        <f>IFERROR(INDEX('FEOR kodok'!$A$2:$J$1126,MATCH(Bérköltség!AB234,'FEOR kodok'!$B$2:$B$1126,0),8),"NA")</f>
        <v>2214</v>
      </c>
      <c r="I234" s="436">
        <f ca="1">IFERROR(INDEX('FEOR kodok'!$A$2:$J$1126,MATCH(Bérköltség!AB234,'FEOR kodok'!$B$2:$B$1126,0),10),"NA")</f>
        <v>33</v>
      </c>
      <c r="J234" s="442" t="str">
        <f t="shared" ca="1" si="568"/>
        <v>30–39 éves</v>
      </c>
      <c r="K234" s="436" t="str">
        <f>IFERROR(INDEX(admin_feor[#All],MATCH(Bérköltség!H234,admin_feor[[#All],[Foglalkozás]],0),2),"NA")</f>
        <v>Gyógyszerész, szakgyógyszerész</v>
      </c>
      <c r="L234" s="438">
        <f ca="1">IFERROR(
INDEX('Admin - FEOR'!$A$4:$F$465,MATCH(Bérköltség!H234,'Admin - FEOR'!$A$4:$A$465,0),
IF(J234="30 év alatt",3,
IF(J234="30–39 éves",4,
IF(J234="40–49 éves",5,
IF(J234="50 év és afelett",6
)))))*1,"NA")</f>
        <v>633911</v>
      </c>
      <c r="M234" s="438">
        <f t="shared" si="569"/>
        <v>397000</v>
      </c>
      <c r="N234" s="443">
        <f t="shared" ca="1" si="570"/>
        <v>0.62627088029707645</v>
      </c>
      <c r="O234" s="438">
        <f ca="1">IFERROR(
INDEX('Admin - FEOR'!$A$4:$F$465,MATCH(Bérköltség!H234,'Admin - FEOR'!$A$4:$A$465,0),
IF(J234="30 év alatt",3,
IF(J234="30–39 éves",4,
IF(J234="40–49 éves",5,
IF(J234="50 év és afelett",6
)))))*1.5,"NA")</f>
        <v>950866.5</v>
      </c>
      <c r="P234" s="438">
        <f t="shared" ca="1" si="571"/>
        <v>688558.5</v>
      </c>
      <c r="Q234" s="438">
        <f t="shared" si="572"/>
        <v>287483</v>
      </c>
      <c r="R234" s="444">
        <f t="shared" si="573"/>
        <v>0.72413793103448276</v>
      </c>
      <c r="S234" s="438">
        <f t="shared" ca="1" si="574"/>
        <v>0</v>
      </c>
      <c r="T234" s="438">
        <f t="shared" ca="1" si="575"/>
        <v>0</v>
      </c>
      <c r="U234" s="445">
        <f t="shared" ca="1" si="576"/>
        <v>0</v>
      </c>
      <c r="V234" s="446">
        <f t="shared" ca="1" si="577"/>
        <v>324856</v>
      </c>
      <c r="W234" s="447" t="str">
        <f t="shared" ca="1" si="578"/>
        <v>Nem szükséges indoklás.</v>
      </c>
      <c r="X234" s="571">
        <f t="shared" ca="1" si="579"/>
        <v>0</v>
      </c>
      <c r="Y234" s="554">
        <f t="shared" ca="1" si="580"/>
        <v>287483</v>
      </c>
      <c r="Z234" s="554">
        <f t="shared" ca="1" si="581"/>
        <v>37373</v>
      </c>
      <c r="AA234" s="573">
        <v>2</v>
      </c>
      <c r="AB234" s="448">
        <v>8450532272</v>
      </c>
      <c r="AC234" s="449" t="s">
        <v>193</v>
      </c>
      <c r="AD234" s="483" t="s">
        <v>45</v>
      </c>
      <c r="AE234" s="450" t="s">
        <v>22</v>
      </c>
      <c r="AF234" s="99" t="s">
        <v>125</v>
      </c>
      <c r="AG234" s="99" t="s">
        <v>194</v>
      </c>
      <c r="AH234" s="451" t="s">
        <v>131</v>
      </c>
      <c r="AI234" s="154">
        <v>44927</v>
      </c>
      <c r="AJ234" s="100" t="str">
        <f>IF(AI234&gt;0,
(IF(AI234&lt;Hónapok!$A$10,Admin!$A$28,
(IF(AI234&lt;Hónapok!$A$22,Admin!$B$28,
(IF(AI234&lt;Hónapok!$A$34,Admin!$C$28,
(IF(AI234&lt;Hónapok!$A$46,Admin!$D$28,"")))))))),"")</f>
        <v>2. mérföldkő</v>
      </c>
      <c r="AK234" s="469" t="s">
        <v>7</v>
      </c>
      <c r="AL234" s="101" t="s">
        <v>26</v>
      </c>
      <c r="AM234" s="900">
        <v>397000</v>
      </c>
      <c r="AN234" s="860">
        <f t="shared" si="582"/>
        <v>51610</v>
      </c>
      <c r="AO234" s="101">
        <v>174</v>
      </c>
      <c r="AP234" s="111">
        <v>126</v>
      </c>
      <c r="AQ234" s="454">
        <f t="shared" si="534"/>
        <v>0.72413793103448276</v>
      </c>
      <c r="AR234" s="455">
        <f t="shared" si="535"/>
        <v>287483</v>
      </c>
      <c r="AS234" s="455">
        <f t="shared" si="536"/>
        <v>37373</v>
      </c>
      <c r="AT234" s="102">
        <f t="shared" si="537"/>
        <v>-6.08008338343069E-7</v>
      </c>
      <c r="AU234" s="116">
        <v>0.13</v>
      </c>
      <c r="AV234" s="565" t="str">
        <f>VLOOKUP(LEFT(AB234,10),Törzsszám!$A$1:$B$908,2,0)</f>
        <v>10001640</v>
      </c>
      <c r="AW234" s="681">
        <f t="shared" ca="1" si="538"/>
        <v>0</v>
      </c>
      <c r="AX234" s="468" t="s">
        <v>2518</v>
      </c>
      <c r="AY234" s="502"/>
      <c r="AZ234" s="502" t="s">
        <v>4607</v>
      </c>
      <c r="BA234" s="671">
        <v>287483</v>
      </c>
      <c r="BB234" s="649">
        <v>37373</v>
      </c>
      <c r="BC234" s="649">
        <f t="shared" ca="1" si="563"/>
        <v>0</v>
      </c>
      <c r="BD234" s="672">
        <f t="shared" ca="1" si="563"/>
        <v>0</v>
      </c>
      <c r="BE234" s="450" t="s">
        <v>192</v>
      </c>
    </row>
    <row r="235" spans="1:57" s="457" customFormat="1" ht="31.5" x14ac:dyDescent="0.25">
      <c r="A235" s="694" t="str">
        <f ca="1">Bérköltség!$B235</f>
        <v>FEOR</v>
      </c>
      <c r="B235" s="694" t="str">
        <f ca="1">IFERROR(
IF(AND(Bérköltség!$F235="",H235="NA"),"HIÁNYOS ADATOK",
IF(Bérköltség!$F235&lt;Bérköltség!$U235,Admin!$B$18,Admin!$B$17)),
"")</f>
        <v>FEOR</v>
      </c>
      <c r="C235" s="437">
        <f>IFERROR(INDEX('Historikus berek_2021-2'!$A$1:$F$903,MATCH(AB235,'Historikus berek_2021-2'!$A$1:$A$903,0),4),"")</f>
        <v>264000</v>
      </c>
      <c r="D235" s="438">
        <f t="shared" si="564"/>
        <v>191172.41379310345</v>
      </c>
      <c r="E235" s="437">
        <f t="shared" si="565"/>
        <v>257297</v>
      </c>
      <c r="F235" s="439">
        <f t="shared" si="566"/>
        <v>74720.782413793117</v>
      </c>
      <c r="G235" s="440">
        <f t="shared" si="567"/>
        <v>216024.82758620687</v>
      </c>
      <c r="H235" s="441">
        <f>IFERROR(INDEX('FEOR kodok'!$A$2:$J$1126,MATCH(Bérköltség!AB235,'FEOR kodok'!$B$2:$B$1126,0),8),"NA")</f>
        <v>2214</v>
      </c>
      <c r="I235" s="436">
        <f ca="1">IFERROR(INDEX('FEOR kodok'!$A$2:$J$1126,MATCH(Bérköltség!AB235,'FEOR kodok'!$B$2:$B$1126,0),10),"NA")</f>
        <v>33</v>
      </c>
      <c r="J235" s="442" t="str">
        <f t="shared" ca="1" si="568"/>
        <v>30–39 éves</v>
      </c>
      <c r="K235" s="436" t="str">
        <f>IFERROR(INDEX(admin_feor[#All],MATCH(Bérköltség!H235,admin_feor[[#All],[Foglalkozás]],0),2),"NA")</f>
        <v>Gyógyszerész, szakgyógyszerész</v>
      </c>
      <c r="L235" s="438">
        <f ca="1">IFERROR(
INDEX('Admin - FEOR'!$A$4:$F$465,MATCH(Bérköltség!H235,'Admin - FEOR'!$A$4:$A$465,0),
IF(J235="30 év alatt",3,
IF(J235="30–39 éves",4,
IF(J235="40–49 éves",5,
IF(J235="50 év és afelett",6
)))))*1,"NA")</f>
        <v>633911</v>
      </c>
      <c r="M235" s="438">
        <f t="shared" si="569"/>
        <v>355315</v>
      </c>
      <c r="N235" s="443">
        <f t="shared" ca="1" si="570"/>
        <v>0.56051243786588334</v>
      </c>
      <c r="O235" s="438">
        <f ca="1">IFERROR(
INDEX('Admin - FEOR'!$A$4:$F$465,MATCH(Bérköltség!H235,'Admin - FEOR'!$A$4:$A$465,0),
IF(J235="30 év alatt",3,
IF(J235="30–39 éves",4,
IF(J235="40–49 éves",5,
IF(J235="50 év és afelett",6
)))))*1.5,"NA")</f>
        <v>950866.5</v>
      </c>
      <c r="P235" s="438">
        <f t="shared" ca="1" si="571"/>
        <v>688558.5</v>
      </c>
      <c r="Q235" s="438">
        <f t="shared" si="572"/>
        <v>257297</v>
      </c>
      <c r="R235" s="444">
        <f t="shared" si="573"/>
        <v>0.72413793103448276</v>
      </c>
      <c r="S235" s="438">
        <f t="shared" ca="1" si="574"/>
        <v>0</v>
      </c>
      <c r="T235" s="438">
        <f t="shared" ca="1" si="575"/>
        <v>0</v>
      </c>
      <c r="U235" s="445">
        <f t="shared" ca="1" si="576"/>
        <v>0</v>
      </c>
      <c r="V235" s="446">
        <f t="shared" ca="1" si="577"/>
        <v>290746</v>
      </c>
      <c r="W235" s="447" t="str">
        <f t="shared" ca="1" si="578"/>
        <v>Nem szükséges indoklás.</v>
      </c>
      <c r="X235" s="571">
        <f t="shared" ca="1" si="579"/>
        <v>0</v>
      </c>
      <c r="Y235" s="554">
        <f t="shared" ca="1" si="580"/>
        <v>257297</v>
      </c>
      <c r="Z235" s="554">
        <f t="shared" ca="1" si="581"/>
        <v>33449</v>
      </c>
      <c r="AA235" s="333"/>
      <c r="AB235" s="315">
        <v>8450532272</v>
      </c>
      <c r="AC235" s="489" t="s">
        <v>193</v>
      </c>
      <c r="AD235" s="482" t="s">
        <v>45</v>
      </c>
      <c r="AE235" s="485" t="s">
        <v>22</v>
      </c>
      <c r="AF235" s="364" t="s">
        <v>125</v>
      </c>
      <c r="AG235" s="364" t="s">
        <v>194</v>
      </c>
      <c r="AH235" s="490" t="s">
        <v>131</v>
      </c>
      <c r="AI235" s="365">
        <v>44958</v>
      </c>
      <c r="AJ235" s="100" t="str">
        <f>IF(AI235&gt;0,
(IF(AI235&lt;Hónapok!$A$10,Admin!$A$28,
(IF(AI235&lt;Hónapok!$A$22,Admin!$B$28,
(IF(AI235&lt;Hónapok!$A$34,Admin!$C$28,
(IF(AI235&lt;Hónapok!$A$46,Admin!$D$28,"")))))))),"")</f>
        <v>2. mérföldkő</v>
      </c>
      <c r="AK235" s="469" t="s">
        <v>7</v>
      </c>
      <c r="AL235" s="333" t="s">
        <v>26</v>
      </c>
      <c r="AM235" s="907">
        <v>355315</v>
      </c>
      <c r="AN235" s="860">
        <f t="shared" si="582"/>
        <v>46191</v>
      </c>
      <c r="AO235" s="333">
        <v>174</v>
      </c>
      <c r="AP235" s="491">
        <v>126</v>
      </c>
      <c r="AQ235" s="454">
        <f t="shared" si="534"/>
        <v>0.72413793103448276</v>
      </c>
      <c r="AR235" s="455">
        <f t="shared" si="535"/>
        <v>257297</v>
      </c>
      <c r="AS235" s="455">
        <f t="shared" si="536"/>
        <v>33449</v>
      </c>
      <c r="AT235" s="102">
        <f t="shared" si="537"/>
        <v>1.9409683593707427E-7</v>
      </c>
      <c r="AU235" s="116">
        <v>0.13</v>
      </c>
      <c r="AV235" s="565" t="str">
        <f>VLOOKUP(LEFT(AB235,10),Törzsszám!$A$1:$B$908,2,0)</f>
        <v>10001640</v>
      </c>
      <c r="AW235" s="681">
        <f t="shared" ca="1" si="538"/>
        <v>0</v>
      </c>
      <c r="AX235" s="537" t="s">
        <v>4557</v>
      </c>
      <c r="AY235" s="686"/>
      <c r="AZ235" s="551"/>
      <c r="BA235" s="675"/>
      <c r="BB235" s="652"/>
      <c r="BC235" s="649"/>
      <c r="BD235" s="672"/>
      <c r="BE235" s="485" t="s">
        <v>192</v>
      </c>
    </row>
    <row r="236" spans="1:57" s="457" customFormat="1" ht="31.5" x14ac:dyDescent="0.25">
      <c r="A236" s="694" t="str">
        <f ca="1">Bérköltség!$B236</f>
        <v>FEOR</v>
      </c>
      <c r="B236" s="694" t="str">
        <f ca="1">IFERROR(
IF(AND(Bérköltség!$F236="",H236="NA"),"HIÁNYOS ADATOK",
IF(Bérköltség!$F236&lt;Bérköltség!$U236,Admin!$B$18,Admin!$B$17)),
"")</f>
        <v>FEOR</v>
      </c>
      <c r="C236" s="437">
        <f>IFERROR(INDEX('Historikus berek_2021-2'!$A$1:$F$903,MATCH(AB236,'Historikus berek_2021-2'!$A$1:$A$903,0),4),"")</f>
        <v>264000</v>
      </c>
      <c r="D236" s="438">
        <f t="shared" si="564"/>
        <v>191172.41379310345</v>
      </c>
      <c r="E236" s="437">
        <f t="shared" si="565"/>
        <v>271334</v>
      </c>
      <c r="F236" s="439">
        <f t="shared" si="566"/>
        <v>90582.592413793114</v>
      </c>
      <c r="G236" s="440">
        <f t="shared" si="567"/>
        <v>216024.82758620687</v>
      </c>
      <c r="H236" s="441">
        <f>IFERROR(INDEX('FEOR kodok'!$A$2:$J$1126,MATCH(Bérköltség!AB236,'FEOR kodok'!$B$2:$B$1126,0),8),"NA")</f>
        <v>2214</v>
      </c>
      <c r="I236" s="436">
        <f ca="1">IFERROR(INDEX('FEOR kodok'!$A$2:$J$1126,MATCH(Bérköltség!AB236,'FEOR kodok'!$B$2:$B$1126,0),10),"NA")</f>
        <v>33</v>
      </c>
      <c r="J236" s="442" t="str">
        <f t="shared" ca="1" si="568"/>
        <v>30–39 éves</v>
      </c>
      <c r="K236" s="436" t="str">
        <f>IFERROR(INDEX(admin_feor[#All],MATCH(Bérköltség!H236,admin_feor[[#All],[Foglalkozás]],0),2),"NA")</f>
        <v>Gyógyszerész, szakgyógyszerész</v>
      </c>
      <c r="L236" s="438">
        <f ca="1">IFERROR(
INDEX('Admin - FEOR'!$A$4:$F$465,MATCH(Bérköltség!H236,'Admin - FEOR'!$A$4:$A$465,0),
IF(J236="30 év alatt",3,
IF(J236="30–39 éves",4,
IF(J236="40–49 éves",5,
IF(J236="50 év és afelett",6
)))))*1,"NA")</f>
        <v>633911</v>
      </c>
      <c r="M236" s="438">
        <f t="shared" si="569"/>
        <v>374700</v>
      </c>
      <c r="N236" s="443">
        <f t="shared" ca="1" si="570"/>
        <v>0.59109244042144715</v>
      </c>
      <c r="O236" s="438">
        <f ca="1">IFERROR(
INDEX('Admin - FEOR'!$A$4:$F$465,MATCH(Bérköltség!H236,'Admin - FEOR'!$A$4:$A$465,0),
IF(J236="30 év alatt",3,
IF(J236="30–39 éves",4,
IF(J236="40–49 éves",5,
IF(J236="50 év és afelett",6
)))))*1.5,"NA")</f>
        <v>950866.5</v>
      </c>
      <c r="P236" s="438">
        <f t="shared" ca="1" si="571"/>
        <v>688558.5</v>
      </c>
      <c r="Q236" s="438">
        <f t="shared" si="572"/>
        <v>271334</v>
      </c>
      <c r="R236" s="444">
        <f t="shared" si="573"/>
        <v>0.72413793103448276</v>
      </c>
      <c r="S236" s="438">
        <f t="shared" ca="1" si="574"/>
        <v>0</v>
      </c>
      <c r="T236" s="438">
        <f t="shared" ca="1" si="575"/>
        <v>0</v>
      </c>
      <c r="U236" s="445">
        <f t="shared" ca="1" si="576"/>
        <v>0</v>
      </c>
      <c r="V236" s="446">
        <f t="shared" ca="1" si="577"/>
        <v>306607</v>
      </c>
      <c r="W236" s="447" t="str">
        <f t="shared" ca="1" si="578"/>
        <v>Nem szükséges indoklás.</v>
      </c>
      <c r="X236" s="571">
        <f t="shared" ca="1" si="579"/>
        <v>0</v>
      </c>
      <c r="Y236" s="554">
        <f t="shared" ca="1" si="580"/>
        <v>271334</v>
      </c>
      <c r="Z236" s="554">
        <f t="shared" ca="1" si="581"/>
        <v>35273</v>
      </c>
      <c r="AA236" s="333"/>
      <c r="AB236" s="315">
        <v>8450532272</v>
      </c>
      <c r="AC236" s="489" t="s">
        <v>193</v>
      </c>
      <c r="AD236" s="483" t="s">
        <v>45</v>
      </c>
      <c r="AE236" s="485" t="s">
        <v>22</v>
      </c>
      <c r="AF236" s="364" t="s">
        <v>125</v>
      </c>
      <c r="AG236" s="364" t="s">
        <v>194</v>
      </c>
      <c r="AH236" s="490" t="s">
        <v>131</v>
      </c>
      <c r="AI236" s="365">
        <v>44986</v>
      </c>
      <c r="AJ236" s="100" t="str">
        <f>IF(AI236&gt;0,
(IF(AI236&lt;Hónapok!$A$10,Admin!$A$28,
(IF(AI236&lt;Hónapok!$A$22,Admin!$B$28,
(IF(AI236&lt;Hónapok!$A$34,Admin!$C$28,
(IF(AI236&lt;Hónapok!$A$46,Admin!$D$28,"")))))))),"")</f>
        <v>3. mérföldkő</v>
      </c>
      <c r="AK236" s="470" t="s">
        <v>7</v>
      </c>
      <c r="AL236" s="333" t="s">
        <v>26</v>
      </c>
      <c r="AM236" s="907">
        <v>374700</v>
      </c>
      <c r="AN236" s="860">
        <f t="shared" si="582"/>
        <v>48711</v>
      </c>
      <c r="AO236" s="333">
        <v>174</v>
      </c>
      <c r="AP236" s="491">
        <v>126</v>
      </c>
      <c r="AQ236" s="454">
        <f t="shared" si="534"/>
        <v>0.72413793103448276</v>
      </c>
      <c r="AR236" s="455">
        <f t="shared" si="535"/>
        <v>271334</v>
      </c>
      <c r="AS236" s="455">
        <f t="shared" si="536"/>
        <v>35273</v>
      </c>
      <c r="AT236" s="102">
        <f t="shared" si="537"/>
        <v>1.288387031506133E-6</v>
      </c>
      <c r="AU236" s="116">
        <v>0.13</v>
      </c>
      <c r="AV236" s="565" t="str">
        <f>VLOOKUP(LEFT(AB236,10),Törzsszám!$A$1:$B$908,2,0)</f>
        <v>10001640</v>
      </c>
      <c r="AW236" s="681">
        <f t="shared" ca="1" si="538"/>
        <v>0</v>
      </c>
      <c r="AX236" s="468" t="s">
        <v>4561</v>
      </c>
      <c r="AY236" s="551"/>
      <c r="AZ236" s="551"/>
      <c r="BA236" s="675"/>
      <c r="BB236" s="652"/>
      <c r="BC236" s="649"/>
      <c r="BD236" s="672"/>
      <c r="BE236" s="485" t="s">
        <v>192</v>
      </c>
    </row>
    <row r="237" spans="1:57" s="457" customFormat="1" ht="31.5" x14ac:dyDescent="0.25">
      <c r="A237" s="694" t="str">
        <f ca="1">Bérköltség!$B237</f>
        <v>FEOR</v>
      </c>
      <c r="B237" s="694" t="str">
        <f ca="1">IFERROR(
IF(AND(Bérköltség!$F237="",H237="NA"),"HIÁNYOS ADATOK",
IF(Bérköltség!$F237&lt;Bérköltség!$U237,Admin!$B$18,Admin!$B$17)),
"")</f>
        <v>FEOR</v>
      </c>
      <c r="C237" s="437">
        <f>IFERROR(INDEX('Historikus berek_2021-2'!$A$1:$F$903,MATCH(AB237,'Historikus berek_2021-2'!$A$1:$A$903,0),4),"")</f>
        <v>264000</v>
      </c>
      <c r="D237" s="438">
        <f t="shared" si="564"/>
        <v>191172.41379310345</v>
      </c>
      <c r="E237" s="437">
        <f t="shared" si="565"/>
        <v>271334</v>
      </c>
      <c r="F237" s="439">
        <f t="shared" si="566"/>
        <v>90582.592413793114</v>
      </c>
      <c r="G237" s="440">
        <f t="shared" si="567"/>
        <v>216024.82758620687</v>
      </c>
      <c r="H237" s="441">
        <f>IFERROR(INDEX('FEOR kodok'!$A$2:$J$1126,MATCH(Bérköltség!AB237,'FEOR kodok'!$B$2:$B$1126,0),8),"NA")</f>
        <v>2214</v>
      </c>
      <c r="I237" s="436">
        <f ca="1">IFERROR(INDEX('FEOR kodok'!$A$2:$J$1126,MATCH(Bérköltség!AB237,'FEOR kodok'!$B$2:$B$1126,0),10),"NA")</f>
        <v>33</v>
      </c>
      <c r="J237" s="442" t="str">
        <f t="shared" ca="1" si="568"/>
        <v>30–39 éves</v>
      </c>
      <c r="K237" s="436" t="str">
        <f>IFERROR(INDEX(admin_feor[#All],MATCH(Bérköltség!H237,admin_feor[[#All],[Foglalkozás]],0),2),"NA")</f>
        <v>Gyógyszerész, szakgyógyszerész</v>
      </c>
      <c r="L237" s="438">
        <f ca="1">IFERROR(
INDEX('Admin - FEOR'!$A$4:$F$465,MATCH(Bérköltség!H237,'Admin - FEOR'!$A$4:$A$465,0),
IF(J237="30 év alatt",3,
IF(J237="30–39 éves",4,
IF(J237="40–49 éves",5,
IF(J237="50 év és afelett",6
)))))*1,"NA")</f>
        <v>633911</v>
      </c>
      <c r="M237" s="438">
        <f t="shared" si="569"/>
        <v>374700</v>
      </c>
      <c r="N237" s="443">
        <f t="shared" ca="1" si="570"/>
        <v>0.59109244042144715</v>
      </c>
      <c r="O237" s="438">
        <f ca="1">IFERROR(
INDEX('Admin - FEOR'!$A$4:$F$465,MATCH(Bérköltség!H237,'Admin - FEOR'!$A$4:$A$465,0),
IF(J237="30 év alatt",3,
IF(J237="30–39 éves",4,
IF(J237="40–49 éves",5,
IF(J237="50 év és afelett",6
)))))*1.5,"NA")</f>
        <v>950866.5</v>
      </c>
      <c r="P237" s="438">
        <f t="shared" ca="1" si="571"/>
        <v>688558.5</v>
      </c>
      <c r="Q237" s="438">
        <f t="shared" si="572"/>
        <v>271334</v>
      </c>
      <c r="R237" s="444">
        <f t="shared" si="573"/>
        <v>0.72413793103448276</v>
      </c>
      <c r="S237" s="438">
        <f t="shared" ca="1" si="574"/>
        <v>0</v>
      </c>
      <c r="T237" s="438">
        <f t="shared" ca="1" si="575"/>
        <v>0</v>
      </c>
      <c r="U237" s="445">
        <f t="shared" ca="1" si="576"/>
        <v>0</v>
      </c>
      <c r="V237" s="446">
        <f t="shared" ca="1" si="577"/>
        <v>306607</v>
      </c>
      <c r="W237" s="447" t="str">
        <f t="shared" ca="1" si="578"/>
        <v>Nem szükséges indoklás.</v>
      </c>
      <c r="X237" s="571">
        <f t="shared" ca="1" si="579"/>
        <v>0</v>
      </c>
      <c r="Y237" s="554">
        <f t="shared" ca="1" si="580"/>
        <v>271334</v>
      </c>
      <c r="Z237" s="554">
        <f t="shared" ca="1" si="581"/>
        <v>35273</v>
      </c>
      <c r="AA237" s="333"/>
      <c r="AB237" s="315">
        <v>8450532272</v>
      </c>
      <c r="AC237" s="489" t="s">
        <v>193</v>
      </c>
      <c r="AD237" s="483" t="s">
        <v>45</v>
      </c>
      <c r="AE237" s="485" t="s">
        <v>22</v>
      </c>
      <c r="AF237" s="364" t="s">
        <v>125</v>
      </c>
      <c r="AG237" s="364" t="s">
        <v>194</v>
      </c>
      <c r="AH237" s="490" t="s">
        <v>131</v>
      </c>
      <c r="AI237" s="365">
        <v>45017</v>
      </c>
      <c r="AJ237" s="100" t="str">
        <f>IF(AI237&gt;0,
(IF(AI237&lt;Hónapok!$A$10,Admin!$A$28,
(IF(AI237&lt;Hónapok!$A$22,Admin!$B$28,
(IF(AI237&lt;Hónapok!$A$34,Admin!$C$28,
(IF(AI237&lt;Hónapok!$A$46,Admin!$D$28,"")))))))),"")</f>
        <v>3. mérföldkő</v>
      </c>
      <c r="AK237" s="469" t="s">
        <v>7</v>
      </c>
      <c r="AL237" s="333" t="s">
        <v>26</v>
      </c>
      <c r="AM237" s="907">
        <v>374700</v>
      </c>
      <c r="AN237" s="860">
        <f t="shared" si="582"/>
        <v>48711</v>
      </c>
      <c r="AO237" s="333">
        <v>174</v>
      </c>
      <c r="AP237" s="491">
        <v>126</v>
      </c>
      <c r="AQ237" s="454">
        <f t="shared" si="534"/>
        <v>0.72413793103448276</v>
      </c>
      <c r="AR237" s="455">
        <f t="shared" si="535"/>
        <v>271334</v>
      </c>
      <c r="AS237" s="455">
        <f t="shared" si="536"/>
        <v>35273</v>
      </c>
      <c r="AT237" s="102">
        <f t="shared" si="537"/>
        <v>1.288387031506133E-6</v>
      </c>
      <c r="AU237" s="116">
        <v>0.13</v>
      </c>
      <c r="AV237" s="565" t="str">
        <f>VLOOKUP(LEFT(AB237,10),Törzsszám!$A$1:$B$908,2,0)</f>
        <v>10001640</v>
      </c>
      <c r="AW237" s="681">
        <f t="shared" ca="1" si="538"/>
        <v>0</v>
      </c>
      <c r="AX237" s="471" t="s">
        <v>4581</v>
      </c>
      <c r="AY237" s="551"/>
      <c r="AZ237" s="551"/>
      <c r="BA237" s="675"/>
      <c r="BB237" s="652"/>
      <c r="BC237" s="649"/>
      <c r="BD237" s="672"/>
      <c r="BE237" s="485" t="s">
        <v>192</v>
      </c>
    </row>
    <row r="238" spans="1:57" s="457" customFormat="1" ht="31.5" x14ac:dyDescent="0.25">
      <c r="A238" s="694" t="str">
        <f ca="1">Bérköltség!$B238</f>
        <v>FEOR</v>
      </c>
      <c r="B238" s="694" t="str">
        <f ca="1">IFERROR(
IF(AND(Bérköltség!$F238="",H238="NA"),"HIÁNYOS ADATOK",
IF(Bérköltség!$F238&lt;Bérköltség!$U238,Admin!$B$18,Admin!$B$17)),
"")</f>
        <v>FEOR</v>
      </c>
      <c r="C238" s="437">
        <f>IFERROR(INDEX('Historikus berek_2021-2'!$A$1:$F$903,MATCH(AB238,'Historikus berek_2021-2'!$A$1:$A$903,0),4),"")</f>
        <v>264000</v>
      </c>
      <c r="D238" s="438">
        <f t="shared" si="564"/>
        <v>191172.41379310345</v>
      </c>
      <c r="E238" s="437">
        <f t="shared" si="565"/>
        <v>271334</v>
      </c>
      <c r="F238" s="439">
        <f t="shared" si="566"/>
        <v>90582.592413793114</v>
      </c>
      <c r="G238" s="440">
        <f t="shared" si="567"/>
        <v>216024.82758620687</v>
      </c>
      <c r="H238" s="441">
        <f>IFERROR(INDEX('FEOR kodok'!$A$2:$J$1126,MATCH(Bérköltség!AB238,'FEOR kodok'!$B$2:$B$1126,0),8),"NA")</f>
        <v>2214</v>
      </c>
      <c r="I238" s="436">
        <f ca="1">IFERROR(INDEX('FEOR kodok'!$A$2:$J$1126,MATCH(Bérköltség!AB238,'FEOR kodok'!$B$2:$B$1126,0),10),"NA")</f>
        <v>33</v>
      </c>
      <c r="J238" s="442" t="str">
        <f t="shared" ca="1" si="568"/>
        <v>30–39 éves</v>
      </c>
      <c r="K238" s="436" t="str">
        <f>IFERROR(INDEX(admin_feor[#All],MATCH(Bérköltség!H238,admin_feor[[#All],[Foglalkozás]],0),2),"NA")</f>
        <v>Gyógyszerész, szakgyógyszerész</v>
      </c>
      <c r="L238" s="438">
        <f ca="1">IFERROR(
INDEX('Admin - FEOR'!$A$4:$F$465,MATCH(Bérköltség!H238,'Admin - FEOR'!$A$4:$A$465,0),
IF(J238="30 év alatt",3,
IF(J238="30–39 éves",4,
IF(J238="40–49 éves",5,
IF(J238="50 év és afelett",6
)))))*1,"NA")</f>
        <v>633911</v>
      </c>
      <c r="M238" s="438">
        <f t="shared" si="569"/>
        <v>374700</v>
      </c>
      <c r="N238" s="443">
        <f t="shared" ca="1" si="570"/>
        <v>0.59109244042144715</v>
      </c>
      <c r="O238" s="438">
        <f ca="1">IFERROR(
INDEX('Admin - FEOR'!$A$4:$F$465,MATCH(Bérköltség!H238,'Admin - FEOR'!$A$4:$A$465,0),
IF(J238="30 év alatt",3,
IF(J238="30–39 éves",4,
IF(J238="40–49 éves",5,
IF(J238="50 év és afelett",6
)))))*1.5,"NA")</f>
        <v>950866.5</v>
      </c>
      <c r="P238" s="438">
        <f t="shared" ca="1" si="571"/>
        <v>688558.5</v>
      </c>
      <c r="Q238" s="438">
        <f t="shared" si="572"/>
        <v>271334</v>
      </c>
      <c r="R238" s="444">
        <f t="shared" si="573"/>
        <v>0.72413793103448276</v>
      </c>
      <c r="S238" s="438">
        <f t="shared" ca="1" si="574"/>
        <v>0</v>
      </c>
      <c r="T238" s="438">
        <f t="shared" ca="1" si="575"/>
        <v>0</v>
      </c>
      <c r="U238" s="445">
        <f t="shared" ca="1" si="576"/>
        <v>0</v>
      </c>
      <c r="V238" s="446">
        <f t="shared" ca="1" si="577"/>
        <v>306607</v>
      </c>
      <c r="W238" s="447" t="str">
        <f t="shared" ca="1" si="578"/>
        <v>Nem szükséges indoklás.</v>
      </c>
      <c r="X238" s="571">
        <f t="shared" ca="1" si="579"/>
        <v>0</v>
      </c>
      <c r="Y238" s="554">
        <f t="shared" ca="1" si="580"/>
        <v>271334</v>
      </c>
      <c r="Z238" s="554">
        <f t="shared" ca="1" si="581"/>
        <v>35273</v>
      </c>
      <c r="AA238" s="101"/>
      <c r="AB238" s="448">
        <v>8450532272</v>
      </c>
      <c r="AC238" s="449" t="s">
        <v>193</v>
      </c>
      <c r="AD238" s="483" t="s">
        <v>45</v>
      </c>
      <c r="AE238" s="450" t="s">
        <v>22</v>
      </c>
      <c r="AF238" s="99" t="s">
        <v>125</v>
      </c>
      <c r="AG238" s="99" t="s">
        <v>194</v>
      </c>
      <c r="AH238" s="451" t="s">
        <v>131</v>
      </c>
      <c r="AI238" s="154">
        <v>45047</v>
      </c>
      <c r="AJ238" s="100" t="str">
        <f>IF(AI238&gt;0,
(IF(AI238&lt;Hónapok!$A$10,Admin!$A$28,
(IF(AI238&lt;Hónapok!$A$22,Admin!$B$28,
(IF(AI238&lt;Hónapok!$A$34,Admin!$C$28,
(IF(AI238&lt;Hónapok!$A$46,Admin!$D$28,"")))))))),"")</f>
        <v>3. mérföldkő</v>
      </c>
      <c r="AK238" s="467" t="s">
        <v>7</v>
      </c>
      <c r="AL238" s="101" t="s">
        <v>26</v>
      </c>
      <c r="AM238" s="907">
        <v>374700</v>
      </c>
      <c r="AN238" s="860">
        <f t="shared" si="582"/>
        <v>48711</v>
      </c>
      <c r="AO238" s="333">
        <v>174</v>
      </c>
      <c r="AP238" s="491">
        <v>126</v>
      </c>
      <c r="AQ238" s="454">
        <f t="shared" si="534"/>
        <v>0.72413793103448276</v>
      </c>
      <c r="AR238" s="455">
        <f t="shared" si="535"/>
        <v>271334</v>
      </c>
      <c r="AS238" s="455">
        <f t="shared" si="536"/>
        <v>35273</v>
      </c>
      <c r="AT238" s="102">
        <f t="shared" si="537"/>
        <v>1.288387031506133E-6</v>
      </c>
      <c r="AU238" s="116">
        <v>0.13</v>
      </c>
      <c r="AV238" s="565" t="str">
        <f>VLOOKUP(LEFT(AB238,10),Törzsszám!$A$1:$B$908,2,0)</f>
        <v>10001640</v>
      </c>
      <c r="AW238" s="681">
        <f t="shared" ca="1" si="538"/>
        <v>0</v>
      </c>
      <c r="AX238" s="471" t="s">
        <v>4596</v>
      </c>
      <c r="AY238" s="502"/>
      <c r="AZ238" s="502"/>
      <c r="BA238" s="671"/>
      <c r="BB238" s="649"/>
      <c r="BC238" s="649"/>
      <c r="BD238" s="672"/>
      <c r="BE238" s="450" t="s">
        <v>192</v>
      </c>
    </row>
    <row r="239" spans="1:57" s="457" customFormat="1" ht="31.5" x14ac:dyDescent="0.25">
      <c r="A239" s="694" t="str">
        <f ca="1">Bérköltség!$B239</f>
        <v>FEOR</v>
      </c>
      <c r="B239" s="694" t="str">
        <f ca="1">IFERROR(
IF(AND(Bérköltség!$F239="",H239="NA"),"HIÁNYOS ADATOK",
IF(Bérköltség!$F239&lt;Bérköltség!$U239,Admin!$B$18,Admin!$B$17)),
"")</f>
        <v>FEOR</v>
      </c>
      <c r="C239" s="437">
        <f>IFERROR(INDEX('Historikus berek_2021-2'!$A$1:$F$903,MATCH(AB239,'Historikus berek_2021-2'!$A$1:$A$903,0),4),"")</f>
        <v>264000</v>
      </c>
      <c r="D239" s="438">
        <f t="shared" si="564"/>
        <v>191172.41379310345</v>
      </c>
      <c r="E239" s="437">
        <f t="shared" si="565"/>
        <v>271334</v>
      </c>
      <c r="F239" s="439">
        <f t="shared" si="566"/>
        <v>90582.592413793114</v>
      </c>
      <c r="G239" s="440">
        <f t="shared" si="567"/>
        <v>216024.82758620687</v>
      </c>
      <c r="H239" s="441">
        <f>IFERROR(INDEX('FEOR kodok'!$A$2:$J$1126,MATCH(Bérköltség!AB239,'FEOR kodok'!$B$2:$B$1126,0),8),"NA")</f>
        <v>2214</v>
      </c>
      <c r="I239" s="436">
        <f ca="1">IFERROR(INDEX('FEOR kodok'!$A$2:$J$1126,MATCH(Bérköltség!AB239,'FEOR kodok'!$B$2:$B$1126,0),10),"NA")</f>
        <v>33</v>
      </c>
      <c r="J239" s="442" t="str">
        <f t="shared" ca="1" si="568"/>
        <v>30–39 éves</v>
      </c>
      <c r="K239" s="436" t="str">
        <f>IFERROR(INDEX(admin_feor[#All],MATCH(Bérköltség!H239,admin_feor[[#All],[Foglalkozás]],0),2),"NA")</f>
        <v>Gyógyszerész, szakgyógyszerész</v>
      </c>
      <c r="L239" s="438">
        <f ca="1">IFERROR(
INDEX('Admin - FEOR'!$A$4:$F$465,MATCH(Bérköltség!H239,'Admin - FEOR'!$A$4:$A$465,0),
IF(J239="30 év alatt",3,
IF(J239="30–39 éves",4,
IF(J239="40–49 éves",5,
IF(J239="50 év és afelett",6
)))))*1,"NA")</f>
        <v>633911</v>
      </c>
      <c r="M239" s="438">
        <f t="shared" si="569"/>
        <v>374700</v>
      </c>
      <c r="N239" s="443">
        <f t="shared" ca="1" si="570"/>
        <v>0.59109244042144715</v>
      </c>
      <c r="O239" s="438">
        <f ca="1">IFERROR(
INDEX('Admin - FEOR'!$A$4:$F$465,MATCH(Bérköltség!H239,'Admin - FEOR'!$A$4:$A$465,0),
IF(J239="30 év alatt",3,
IF(J239="30–39 éves",4,
IF(J239="40–49 éves",5,
IF(J239="50 év és afelett",6
)))))*1.5,"NA")</f>
        <v>950866.5</v>
      </c>
      <c r="P239" s="438">
        <f t="shared" ca="1" si="571"/>
        <v>688558.5</v>
      </c>
      <c r="Q239" s="438">
        <f t="shared" si="572"/>
        <v>271334</v>
      </c>
      <c r="R239" s="444">
        <f t="shared" si="573"/>
        <v>0.72413793103448276</v>
      </c>
      <c r="S239" s="438">
        <f t="shared" ca="1" si="574"/>
        <v>0</v>
      </c>
      <c r="T239" s="438">
        <f t="shared" ca="1" si="575"/>
        <v>0</v>
      </c>
      <c r="U239" s="445">
        <f t="shared" ca="1" si="576"/>
        <v>0</v>
      </c>
      <c r="V239" s="446">
        <f t="shared" ca="1" si="577"/>
        <v>306607</v>
      </c>
      <c r="W239" s="447" t="str">
        <f t="shared" ca="1" si="578"/>
        <v>Nem szükséges indoklás.</v>
      </c>
      <c r="X239" s="571">
        <f t="shared" ca="1" si="579"/>
        <v>0</v>
      </c>
      <c r="Y239" s="554">
        <f t="shared" ca="1" si="580"/>
        <v>271334</v>
      </c>
      <c r="Z239" s="554">
        <f t="shared" ca="1" si="581"/>
        <v>35273</v>
      </c>
      <c r="AA239" s="101"/>
      <c r="AB239" s="448">
        <v>8450532272</v>
      </c>
      <c r="AC239" s="449" t="s">
        <v>193</v>
      </c>
      <c r="AD239" s="482" t="s">
        <v>45</v>
      </c>
      <c r="AE239" s="450" t="s">
        <v>22</v>
      </c>
      <c r="AF239" s="99" t="s">
        <v>125</v>
      </c>
      <c r="AG239" s="99" t="s">
        <v>194</v>
      </c>
      <c r="AH239" s="451" t="s">
        <v>131</v>
      </c>
      <c r="AI239" s="154">
        <v>45078</v>
      </c>
      <c r="AJ239" s="100" t="str">
        <f>IF(AI239&gt;0,
(IF(AI239&lt;Hónapok!$A$10,Admin!$A$28,
(IF(AI239&lt;Hónapok!$A$22,Admin!$B$28,
(IF(AI239&lt;Hónapok!$A$34,Admin!$C$28,
(IF(AI239&lt;Hónapok!$A$46,Admin!$D$28,"")))))))),"")</f>
        <v>3. mérföldkő</v>
      </c>
      <c r="AK239" s="469" t="s">
        <v>7</v>
      </c>
      <c r="AL239" s="101" t="s">
        <v>26</v>
      </c>
      <c r="AM239" s="907">
        <v>374700</v>
      </c>
      <c r="AN239" s="860">
        <f t="shared" si="582"/>
        <v>48711</v>
      </c>
      <c r="AO239" s="333">
        <v>174</v>
      </c>
      <c r="AP239" s="491">
        <v>126</v>
      </c>
      <c r="AQ239" s="843">
        <f t="shared" si="534"/>
        <v>0.72413793103448276</v>
      </c>
      <c r="AR239" s="455">
        <f t="shared" si="535"/>
        <v>271334</v>
      </c>
      <c r="AS239" s="455">
        <f t="shared" si="536"/>
        <v>35273</v>
      </c>
      <c r="AT239" s="102">
        <f t="shared" si="537"/>
        <v>1.288387031506133E-6</v>
      </c>
      <c r="AU239" s="116">
        <v>0.13</v>
      </c>
      <c r="AV239" s="565" t="str">
        <f>VLOOKUP(LEFT(AB239,10),Törzsszám!$A$1:$B$908,2,0)</f>
        <v>10001640</v>
      </c>
      <c r="AW239" s="681">
        <f t="shared" ca="1" si="538"/>
        <v>0</v>
      </c>
      <c r="AX239" s="471" t="s">
        <v>4606</v>
      </c>
      <c r="AY239" s="486"/>
      <c r="AZ239" s="502"/>
      <c r="BA239" s="671"/>
      <c r="BB239" s="649"/>
      <c r="BC239" s="649"/>
      <c r="BD239" s="672"/>
      <c r="BE239" s="450" t="s">
        <v>192</v>
      </c>
    </row>
    <row r="240" spans="1:57" s="457" customFormat="1" ht="31.5" x14ac:dyDescent="0.25">
      <c r="A240" s="694" t="str">
        <f ca="1">Bérköltség!$B240</f>
        <v>FEOR</v>
      </c>
      <c r="B240" s="694" t="str">
        <f ca="1">IFERROR(
IF(AND(Bérköltség!$F240="",H240="NA"),"HIÁNYOS ADATOK",
IF(Bérköltség!$F240&lt;Bérköltség!$U240,Admin!$B$18,Admin!$B$17)),
"")</f>
        <v>FEOR</v>
      </c>
      <c r="C240" s="437">
        <f>IFERROR(INDEX('Historikus berek_2021-2'!$A$1:$F$903,MATCH(AB240,'Historikus berek_2021-2'!$A$1:$A$903,0),4),"")</f>
        <v>264000</v>
      </c>
      <c r="D240" s="438">
        <f t="shared" si="564"/>
        <v>191172.41379310345</v>
      </c>
      <c r="E240" s="437">
        <f t="shared" si="565"/>
        <v>271334</v>
      </c>
      <c r="F240" s="439">
        <f t="shared" si="566"/>
        <v>90582.592413793114</v>
      </c>
      <c r="G240" s="440">
        <f t="shared" si="567"/>
        <v>216024.82758620687</v>
      </c>
      <c r="H240" s="441">
        <f>IFERROR(INDEX('FEOR kodok'!$A$2:$J$1126,MATCH(Bérköltség!AB240,'FEOR kodok'!$B$2:$B$1126,0),8),"NA")</f>
        <v>2214</v>
      </c>
      <c r="I240" s="436">
        <f ca="1">IFERROR(INDEX('FEOR kodok'!$A$2:$J$1126,MATCH(Bérköltség!AB240,'FEOR kodok'!$B$2:$B$1126,0),10),"NA")</f>
        <v>33</v>
      </c>
      <c r="J240" s="442" t="str">
        <f t="shared" ca="1" si="568"/>
        <v>30–39 éves</v>
      </c>
      <c r="K240" s="436" t="str">
        <f>IFERROR(INDEX(admin_feor[#All],MATCH(Bérköltség!H240,admin_feor[[#All],[Foglalkozás]],0),2),"NA")</f>
        <v>Gyógyszerész, szakgyógyszerész</v>
      </c>
      <c r="L240" s="438">
        <f ca="1">IFERROR(
INDEX('Admin - FEOR'!$A$4:$F$465,MATCH(Bérköltség!H240,'Admin - FEOR'!$A$4:$A$465,0),
IF(J240="30 év alatt",3,
IF(J240="30–39 éves",4,
IF(J240="40–49 éves",5,
IF(J240="50 év és afelett",6
)))))*1,"NA")</f>
        <v>633911</v>
      </c>
      <c r="M240" s="438">
        <f t="shared" si="569"/>
        <v>374700</v>
      </c>
      <c r="N240" s="443">
        <f t="shared" ca="1" si="570"/>
        <v>0.59109244042144715</v>
      </c>
      <c r="O240" s="438">
        <f ca="1">IFERROR(
INDEX('Admin - FEOR'!$A$4:$F$465,MATCH(Bérköltség!H240,'Admin - FEOR'!$A$4:$A$465,0),
IF(J240="30 év alatt",3,
IF(J240="30–39 éves",4,
IF(J240="40–49 éves",5,
IF(J240="50 év és afelett",6
)))))*1.5,"NA")</f>
        <v>950866.5</v>
      </c>
      <c r="P240" s="438">
        <f t="shared" ca="1" si="571"/>
        <v>688558.5</v>
      </c>
      <c r="Q240" s="438">
        <f t="shared" si="572"/>
        <v>271334</v>
      </c>
      <c r="R240" s="444">
        <f t="shared" si="573"/>
        <v>0.72413793103448276</v>
      </c>
      <c r="S240" s="438">
        <f t="shared" ca="1" si="574"/>
        <v>0</v>
      </c>
      <c r="T240" s="438">
        <f t="shared" ca="1" si="575"/>
        <v>0</v>
      </c>
      <c r="U240" s="445">
        <f t="shared" ca="1" si="576"/>
        <v>0</v>
      </c>
      <c r="V240" s="446">
        <f t="shared" ca="1" si="577"/>
        <v>306607</v>
      </c>
      <c r="W240" s="447" t="str">
        <f t="shared" ca="1" si="578"/>
        <v>Nem szükséges indoklás.</v>
      </c>
      <c r="X240" s="571">
        <f t="shared" ca="1" si="579"/>
        <v>0</v>
      </c>
      <c r="Y240" s="554">
        <f t="shared" ca="1" si="580"/>
        <v>271334</v>
      </c>
      <c r="Z240" s="554">
        <f t="shared" ca="1" si="581"/>
        <v>35273</v>
      </c>
      <c r="AA240" s="101"/>
      <c r="AB240" s="448">
        <v>8450532272</v>
      </c>
      <c r="AC240" s="449" t="s">
        <v>193</v>
      </c>
      <c r="AD240" s="483" t="s">
        <v>45</v>
      </c>
      <c r="AE240" s="450" t="s">
        <v>22</v>
      </c>
      <c r="AF240" s="99" t="s">
        <v>125</v>
      </c>
      <c r="AG240" s="99" t="s">
        <v>194</v>
      </c>
      <c r="AH240" s="451" t="s">
        <v>131</v>
      </c>
      <c r="AI240" s="154">
        <v>45108</v>
      </c>
      <c r="AJ240" s="100" t="str">
        <f>IF(AI240&gt;0,
(IF(AI240&lt;Hónapok!$A$10,Admin!$A$28,
(IF(AI240&lt;Hónapok!$A$22,Admin!$B$28,
(IF(AI240&lt;Hónapok!$A$34,Admin!$C$28,
(IF(AI240&lt;Hónapok!$A$46,Admin!$D$28,"")))))))),"")</f>
        <v>3. mérföldkő</v>
      </c>
      <c r="AK240" s="469" t="s">
        <v>7</v>
      </c>
      <c r="AL240" s="101" t="s">
        <v>26</v>
      </c>
      <c r="AM240" s="907">
        <v>374700</v>
      </c>
      <c r="AN240" s="860">
        <f t="shared" si="582"/>
        <v>48711</v>
      </c>
      <c r="AO240" s="333">
        <v>174</v>
      </c>
      <c r="AP240" s="491">
        <v>126</v>
      </c>
      <c r="AQ240" s="682">
        <f t="shared" si="534"/>
        <v>0.72413793103448276</v>
      </c>
      <c r="AR240" s="455">
        <f t="shared" si="535"/>
        <v>271334</v>
      </c>
      <c r="AS240" s="455">
        <f t="shared" si="536"/>
        <v>35273</v>
      </c>
      <c r="AT240" s="102">
        <f t="shared" si="537"/>
        <v>1.288387031506133E-6</v>
      </c>
      <c r="AU240" s="116">
        <v>0.13</v>
      </c>
      <c r="AV240" s="565" t="str">
        <f>VLOOKUP(LEFT(AB240,10),Törzsszám!$A$1:$B$908,2,0)</f>
        <v>10001640</v>
      </c>
      <c r="AW240" s="681">
        <f t="shared" ca="1" si="538"/>
        <v>0</v>
      </c>
      <c r="AX240" s="471" t="s">
        <v>4610</v>
      </c>
      <c r="AY240" s="486"/>
      <c r="AZ240" s="502"/>
      <c r="BA240" s="671"/>
      <c r="BB240" s="649"/>
      <c r="BC240" s="649"/>
      <c r="BD240" s="672"/>
      <c r="BE240" s="450" t="s">
        <v>192</v>
      </c>
    </row>
    <row r="241" spans="1:59" s="457" customFormat="1" ht="31.5" x14ac:dyDescent="0.25">
      <c r="A241" s="694" t="str">
        <f ca="1">Bérköltség!$B241</f>
        <v>FEOR</v>
      </c>
      <c r="B241" s="694" t="str">
        <f ca="1">IFERROR(
IF(AND(Bérköltség!$F241="",H241="NA"),"HIÁNYOS ADATOK",
IF(Bérköltség!$F241&lt;Bérköltség!$U241,Admin!$B$18,Admin!$B$17)),
"")</f>
        <v>FEOR</v>
      </c>
      <c r="C241" s="437">
        <f>IFERROR(INDEX('Historikus berek_2021-2'!$A$1:$F$903,MATCH(AB241,'Historikus berek_2021-2'!$A$1:$A$903,0),4),"")</f>
        <v>264000</v>
      </c>
      <c r="D241" s="438">
        <f t="shared" si="564"/>
        <v>191172.41379310345</v>
      </c>
      <c r="E241" s="437">
        <f t="shared" si="565"/>
        <v>271334</v>
      </c>
      <c r="F241" s="439">
        <f t="shared" si="566"/>
        <v>90582.592413793114</v>
      </c>
      <c r="G241" s="440">
        <f t="shared" si="567"/>
        <v>216024.82758620687</v>
      </c>
      <c r="H241" s="441">
        <f>IFERROR(INDEX('FEOR kodok'!$A$2:$J$1126,MATCH(Bérköltség!AB241,'FEOR kodok'!$B$2:$B$1126,0),8),"NA")</f>
        <v>2214</v>
      </c>
      <c r="I241" s="436">
        <f ca="1">IFERROR(INDEX('FEOR kodok'!$A$2:$J$1126,MATCH(Bérköltség!AB241,'FEOR kodok'!$B$2:$B$1126,0),10),"NA")</f>
        <v>33</v>
      </c>
      <c r="J241" s="442" t="str">
        <f t="shared" ca="1" si="568"/>
        <v>30–39 éves</v>
      </c>
      <c r="K241" s="436" t="str">
        <f>IFERROR(INDEX(admin_feor[#All],MATCH(Bérköltség!H241,admin_feor[[#All],[Foglalkozás]],0),2),"NA")</f>
        <v>Gyógyszerész, szakgyógyszerész</v>
      </c>
      <c r="L241" s="438">
        <f ca="1">IFERROR(
INDEX('Admin - FEOR'!$A$4:$F$465,MATCH(Bérköltség!H241,'Admin - FEOR'!$A$4:$A$465,0),
IF(J241="30 év alatt",3,
IF(J241="30–39 éves",4,
IF(J241="40–49 éves",5,
IF(J241="50 év és afelett",6
)))))*1,"NA")</f>
        <v>633911</v>
      </c>
      <c r="M241" s="438">
        <f t="shared" si="569"/>
        <v>374700</v>
      </c>
      <c r="N241" s="443">
        <f t="shared" ca="1" si="570"/>
        <v>0.59109244042144715</v>
      </c>
      <c r="O241" s="438">
        <f ca="1">IFERROR(
INDEX('Admin - FEOR'!$A$4:$F$465,MATCH(Bérköltség!H241,'Admin - FEOR'!$A$4:$A$465,0),
IF(J241="30 év alatt",3,
IF(J241="30–39 éves",4,
IF(J241="40–49 éves",5,
IF(J241="50 év és afelett",6
)))))*1.5,"NA")</f>
        <v>950866.5</v>
      </c>
      <c r="P241" s="438">
        <f t="shared" ca="1" si="571"/>
        <v>688558.5</v>
      </c>
      <c r="Q241" s="438">
        <f t="shared" si="572"/>
        <v>271334</v>
      </c>
      <c r="R241" s="444">
        <f t="shared" si="573"/>
        <v>0.72413793103448276</v>
      </c>
      <c r="S241" s="438">
        <f t="shared" ca="1" si="574"/>
        <v>0</v>
      </c>
      <c r="T241" s="438">
        <f t="shared" ca="1" si="575"/>
        <v>0</v>
      </c>
      <c r="U241" s="445">
        <f t="shared" ca="1" si="576"/>
        <v>0</v>
      </c>
      <c r="V241" s="446">
        <f t="shared" ca="1" si="577"/>
        <v>306607</v>
      </c>
      <c r="W241" s="447" t="str">
        <f t="shared" ca="1" si="578"/>
        <v>Nem szükséges indoklás.</v>
      </c>
      <c r="X241" s="571">
        <f t="shared" ca="1" si="579"/>
        <v>0</v>
      </c>
      <c r="Y241" s="554">
        <f t="shared" ca="1" si="580"/>
        <v>271334</v>
      </c>
      <c r="Z241" s="554">
        <f t="shared" ca="1" si="581"/>
        <v>35273</v>
      </c>
      <c r="AA241" s="101"/>
      <c r="AB241" s="448">
        <v>8450532272</v>
      </c>
      <c r="AC241" s="449" t="s">
        <v>193</v>
      </c>
      <c r="AD241" s="483" t="s">
        <v>45</v>
      </c>
      <c r="AE241" s="450" t="s">
        <v>22</v>
      </c>
      <c r="AF241" s="99" t="s">
        <v>125</v>
      </c>
      <c r="AG241" s="99" t="s">
        <v>194</v>
      </c>
      <c r="AH241" s="451" t="s">
        <v>131</v>
      </c>
      <c r="AI241" s="154">
        <v>45139</v>
      </c>
      <c r="AJ241" s="100" t="str">
        <f>IF(AI241&gt;0,
(IF(AI241&lt;Hónapok!$A$10,Admin!$A$28,
(IF(AI241&lt;Hónapok!$A$22,Admin!$B$28,
(IF(AI241&lt;Hónapok!$A$34,Admin!$C$28,
(IF(AI241&lt;Hónapok!$A$46,Admin!$D$28,"")))))))),"")</f>
        <v>3. mérföldkő</v>
      </c>
      <c r="AK241" s="469" t="s">
        <v>7</v>
      </c>
      <c r="AL241" s="101" t="s">
        <v>26</v>
      </c>
      <c r="AM241" s="907">
        <v>374700</v>
      </c>
      <c r="AN241" s="860">
        <f t="shared" si="582"/>
        <v>48711</v>
      </c>
      <c r="AO241" s="333">
        <v>174</v>
      </c>
      <c r="AP241" s="491">
        <v>126</v>
      </c>
      <c r="AQ241" s="454">
        <f t="shared" si="534"/>
        <v>0.72413793103448276</v>
      </c>
      <c r="AR241" s="455">
        <f t="shared" si="535"/>
        <v>271334</v>
      </c>
      <c r="AS241" s="455">
        <f t="shared" si="536"/>
        <v>35273</v>
      </c>
      <c r="AT241" s="102">
        <f t="shared" si="537"/>
        <v>1.288387031506133E-6</v>
      </c>
      <c r="AU241" s="116">
        <v>0.13</v>
      </c>
      <c r="AV241" s="565" t="str">
        <f>VLOOKUP(LEFT(AB241,10),Törzsszám!$A$1:$B$908,2,0)</f>
        <v>10001640</v>
      </c>
      <c r="AW241" s="681">
        <f t="shared" ca="1" si="538"/>
        <v>0</v>
      </c>
      <c r="AX241" s="471" t="s">
        <v>4613</v>
      </c>
      <c r="AY241" s="486"/>
      <c r="AZ241" s="502"/>
      <c r="BA241" s="671"/>
      <c r="BB241" s="649"/>
      <c r="BC241" s="649"/>
      <c r="BD241" s="672"/>
      <c r="BE241" s="450" t="s">
        <v>192</v>
      </c>
    </row>
    <row r="242" spans="1:59" s="457" customFormat="1" ht="31.5" x14ac:dyDescent="0.25">
      <c r="A242" s="694" t="str">
        <f ca="1">Bérköltség!$B242</f>
        <v>FEOR</v>
      </c>
      <c r="B242" s="694" t="str">
        <f ca="1">IFERROR(
IF(AND(Bérköltség!$F242="",H242="NA"),"HIÁNYOS ADATOK",
IF(Bérköltség!$F242&lt;Bérköltség!$U242,Admin!$B$18,Admin!$B$17)),
"")</f>
        <v>FEOR</v>
      </c>
      <c r="C242" s="437">
        <f>IFERROR(INDEX('Historikus berek_2021-2'!$A$1:$F$903,MATCH(AB242,'Historikus berek_2021-2'!$A$1:$A$903,0),4),"")</f>
        <v>264000</v>
      </c>
      <c r="D242" s="438">
        <f t="shared" ref="D242:D247" si="583">IFERROR(C242*AQ242,"NA")</f>
        <v>197241.37931034481</v>
      </c>
      <c r="E242" s="437">
        <f t="shared" ref="E242:E247" si="584">AR242</f>
        <v>279948</v>
      </c>
      <c r="F242" s="439">
        <f t="shared" ref="F242:F247" si="585">IFERROR(IF((E242*(1+AU242)-D242*(1+AU242))&lt;0,0,(E242*(1+AU242)-D242*(1+AU242))),"")</f>
        <v>93458.481379310368</v>
      </c>
      <c r="G242" s="440">
        <f t="shared" ref="G242:G247" si="586">IFERROR((E242*(1+AU242)-F242),"")</f>
        <v>222882.75862068962</v>
      </c>
      <c r="H242" s="441">
        <f>IFERROR(INDEX('FEOR kodok'!$A$2:$J$1126,MATCH(Bérköltség!AB242,'FEOR kodok'!$B$2:$B$1126,0),8),"NA")</f>
        <v>2214</v>
      </c>
      <c r="I242" s="436">
        <f ca="1">IFERROR(INDEX('FEOR kodok'!$A$2:$J$1126,MATCH(Bérköltség!AB242,'FEOR kodok'!$B$2:$B$1126,0),10),"NA")</f>
        <v>33</v>
      </c>
      <c r="J242" s="442" t="str">
        <f t="shared" ref="J242:J247" ca="1" si="587">IF(I242="NA","NA",
IF(I242&lt;30,"30 év alatt",
IF(AND(I242&gt;=30,I242&lt;=39),"30–39 éves",
IF(AND(I242&gt;=40,I242&lt;=49),"40–49 éves",
IF(I242&gt;=50,"50 év és afelett",
"")))))</f>
        <v>30–39 éves</v>
      </c>
      <c r="K242" s="436" t="str">
        <f>IFERROR(INDEX(admin_feor[#All],MATCH(Bérköltség!H242,admin_feor[[#All],[Foglalkozás]],0),2),"NA")</f>
        <v>Gyógyszerész, szakgyógyszerész</v>
      </c>
      <c r="L242" s="438">
        <f ca="1">IFERROR(
INDEX('Admin - FEOR'!$A$4:$F$465,MATCH(Bérköltség!H242,'Admin - FEOR'!$A$4:$A$465,0),
IF(J242="30 év alatt",3,
IF(J242="30–39 éves",4,
IF(J242="40–49 éves",5,
IF(J242="50 év és afelett",6
)))))*1,"NA")</f>
        <v>633911</v>
      </c>
      <c r="M242" s="438">
        <f t="shared" ref="M242:M247" si="588">AM242</f>
        <v>374700</v>
      </c>
      <c r="N242" s="443">
        <f t="shared" ref="N242:N247" ca="1" si="589">IFERROR(
M242/L242,"NA")</f>
        <v>0.59109244042144715</v>
      </c>
      <c r="O242" s="438">
        <f ca="1">IFERROR(
INDEX('Admin - FEOR'!$A$4:$F$465,MATCH(Bérköltség!H242,'Admin - FEOR'!$A$4:$A$465,0),
IF(J242="30 év alatt",3,
IF(J242="30–39 éves",4,
IF(J242="40–49 éves",5,
IF(J242="50 év és afelett",6
)))))*1.5,"NA")</f>
        <v>950866.5</v>
      </c>
      <c r="P242" s="438">
        <f t="shared" ref="P242:P247" ca="1" si="590">IFERROR(
AQ242*O242,"NA")</f>
        <v>710417.5</v>
      </c>
      <c r="Q242" s="438">
        <f t="shared" ref="Q242:Q247" si="591">IFERROR(AR242,"")</f>
        <v>279948</v>
      </c>
      <c r="R242" s="444">
        <f t="shared" ref="R242:R247" si="592">IFERROR(AQ242,"")</f>
        <v>0.74712643678160917</v>
      </c>
      <c r="S242" s="438">
        <f t="shared" ref="S242:S247" ca="1" si="593">IFERROR(
IF(AR242-P242&lt;0,0,AR242-P242),"NA")</f>
        <v>0</v>
      </c>
      <c r="T242" s="438">
        <f t="shared" ref="T242:T247" ca="1" si="594">IFERROR(
S242*AU242,"NA")</f>
        <v>0</v>
      </c>
      <c r="U242" s="445">
        <f t="shared" ref="U242:U247" ca="1" si="595">IFERROR(
S242+T242,"NA")</f>
        <v>0</v>
      </c>
      <c r="V242" s="446">
        <f t="shared" ref="V242:V247" ca="1" si="596">IFERROR(
IF(U242&gt;0,AR242+AS242-U242,AR242+AS242),"NA")</f>
        <v>316341</v>
      </c>
      <c r="W242" s="447" t="str">
        <f t="shared" ref="W242:W247" ca="1" si="597">IF(P242="NA","FEOR hiányzik",
IF(AND(N242&gt;1,A242="FEOR"),CONCATENATE("Indoklás szükséges mivel a FEOR: ",ROUND(N242*100,1),"%"),"Nem szükséges indoklás.")
)</f>
        <v>Nem szükséges indoklás.</v>
      </c>
      <c r="X242" s="571">
        <f t="shared" ref="X242:X247" ca="1" si="598">IF(A242="FEOR",U242,IF(A242="HIÁNYOS ADATOK","HIÁNYOS ADATOK",F242))</f>
        <v>0</v>
      </c>
      <c r="Y242" s="554">
        <f t="shared" ref="Y242:Y247" ca="1" si="599">IF(A242="FEOR",ROUND(V242/(1+AU242),0),IF(A242="HIÁNYOS ADATOK","HIÁNYOS ADATOK",ROUND(G242/(1+AU242),0)))</f>
        <v>279948</v>
      </c>
      <c r="Z242" s="554">
        <f t="shared" ref="Z242:Z247" ca="1" si="600">IF(A242="FEOR",ROUND(V242-Y242,0),IF(A242="HIÁNYOS ADATOK","HIÁNYOS ADATOK",ROUND(G242-Y242,0)))</f>
        <v>36393</v>
      </c>
      <c r="AA242" s="101"/>
      <c r="AB242" s="448">
        <v>8450532272</v>
      </c>
      <c r="AC242" s="449" t="s">
        <v>193</v>
      </c>
      <c r="AD242" s="483" t="s">
        <v>45</v>
      </c>
      <c r="AE242" s="450" t="s">
        <v>22</v>
      </c>
      <c r="AF242" s="99" t="s">
        <v>125</v>
      </c>
      <c r="AG242" s="99" t="s">
        <v>194</v>
      </c>
      <c r="AH242" s="451" t="s">
        <v>131</v>
      </c>
      <c r="AI242" s="154">
        <v>45170</v>
      </c>
      <c r="AJ242" s="100" t="str">
        <f>IF(AI242&gt;0,
(IF(AI242&lt;Hónapok!$A$10,Admin!$A$28,
(IF(AI242&lt;Hónapok!$A$22,Admin!$B$28,
(IF(AI242&lt;Hónapok!$A$34,Admin!$C$28,
(IF(AI242&lt;Hónapok!$A$46,Admin!$D$28,"")))))))),"")</f>
        <v>3. mérföldkő</v>
      </c>
      <c r="AK242" s="469" t="s">
        <v>7</v>
      </c>
      <c r="AL242" s="101" t="s">
        <v>26</v>
      </c>
      <c r="AM242" s="907">
        <v>374700</v>
      </c>
      <c r="AN242" s="860">
        <f t="shared" ref="AN242:AN247" si="601">IFERROR(ROUND(AM242*AU242,0),"")</f>
        <v>48711</v>
      </c>
      <c r="AO242" s="333">
        <v>174</v>
      </c>
      <c r="AP242" s="491">
        <v>130</v>
      </c>
      <c r="AQ242" s="454">
        <f t="shared" ref="AQ242:AQ247" si="602">IFERROR(AP242/AO242,"")</f>
        <v>0.74712643678160917</v>
      </c>
      <c r="AR242" s="455">
        <f t="shared" ref="AR242:AR247" si="603">IFERROR(ROUND(AM242*AP242/AO242,0),"")</f>
        <v>279948</v>
      </c>
      <c r="AS242" s="455">
        <f t="shared" ref="AS242:AS247" si="604">IFERROR(ROUND(AR242*AU242,0),"")</f>
        <v>36393</v>
      </c>
      <c r="AT242" s="102">
        <f t="shared" ref="AT242:AT247" si="605">IFERROR(AP242/AO242-AR242/AM242,"")</f>
        <v>7.3622116081306643E-7</v>
      </c>
      <c r="AU242" s="116">
        <v>0.13</v>
      </c>
      <c r="AV242" s="565" t="str">
        <f>VLOOKUP(LEFT(AB242,10),Törzsszám!$A$1:$B$908,2,0)</f>
        <v>10001640</v>
      </c>
      <c r="AW242" s="681">
        <f t="shared" ref="AW242:AW247" ca="1" si="606">(Y242+Z242)-(AR242+AS242)</f>
        <v>0</v>
      </c>
      <c r="AX242" s="471" t="s">
        <v>4618</v>
      </c>
      <c r="AY242" s="486"/>
      <c r="AZ242" s="502"/>
      <c r="BA242" s="671"/>
      <c r="BB242" s="649"/>
      <c r="BC242" s="649"/>
      <c r="BD242" s="672"/>
      <c r="BE242" s="450" t="s">
        <v>192</v>
      </c>
    </row>
    <row r="243" spans="1:59" s="457" customFormat="1" ht="31.5" x14ac:dyDescent="0.25">
      <c r="A243" s="694" t="str">
        <f ca="1">Bérköltség!$B243</f>
        <v>FEOR</v>
      </c>
      <c r="B243" s="694" t="str">
        <f ca="1">IFERROR(
IF(AND(Bérköltség!$F243="",H243="NA"),"HIÁNYOS ADATOK",
IF(Bérköltség!$F243&lt;Bérköltség!$U243,Admin!$B$18,Admin!$B$17)),
"")</f>
        <v>FEOR</v>
      </c>
      <c r="C243" s="437">
        <f>IFERROR(INDEX('Historikus berek_2021-2'!$A$1:$F$903,MATCH(AB243,'Historikus berek_2021-2'!$A$1:$A$903,0),4),"")</f>
        <v>264000</v>
      </c>
      <c r="D243" s="438">
        <f t="shared" si="583"/>
        <v>197241.37931034481</v>
      </c>
      <c r="E243" s="437">
        <f t="shared" si="584"/>
        <v>279948</v>
      </c>
      <c r="F243" s="439">
        <f t="shared" si="585"/>
        <v>93458.481379310368</v>
      </c>
      <c r="G243" s="440">
        <f t="shared" si="586"/>
        <v>222882.75862068962</v>
      </c>
      <c r="H243" s="441">
        <f>IFERROR(INDEX('FEOR kodok'!$A$2:$J$1126,MATCH(Bérköltség!AB243,'FEOR kodok'!$B$2:$B$1126,0),8),"NA")</f>
        <v>2214</v>
      </c>
      <c r="I243" s="436">
        <f ca="1">IFERROR(INDEX('FEOR kodok'!$A$2:$J$1126,MATCH(Bérköltség!AB243,'FEOR kodok'!$B$2:$B$1126,0),10),"NA")</f>
        <v>33</v>
      </c>
      <c r="J243" s="442" t="str">
        <f t="shared" ca="1" si="587"/>
        <v>30–39 éves</v>
      </c>
      <c r="K243" s="436" t="str">
        <f>IFERROR(INDEX(admin_feor[#All],MATCH(Bérköltség!H243,admin_feor[[#All],[Foglalkozás]],0),2),"NA")</f>
        <v>Gyógyszerész, szakgyógyszerész</v>
      </c>
      <c r="L243" s="438">
        <f ca="1">IFERROR(
INDEX('Admin - FEOR'!$A$4:$F$465,MATCH(Bérköltség!H243,'Admin - FEOR'!$A$4:$A$465,0),
IF(J243="30 év alatt",3,
IF(J243="30–39 éves",4,
IF(J243="40–49 éves",5,
IF(J243="50 év és afelett",6
)))))*1,"NA")</f>
        <v>633911</v>
      </c>
      <c r="M243" s="438">
        <f t="shared" si="588"/>
        <v>374700</v>
      </c>
      <c r="N243" s="443">
        <f t="shared" ca="1" si="589"/>
        <v>0.59109244042144715</v>
      </c>
      <c r="O243" s="438">
        <f ca="1">IFERROR(
INDEX('Admin - FEOR'!$A$4:$F$465,MATCH(Bérköltség!H243,'Admin - FEOR'!$A$4:$A$465,0),
IF(J243="30 év alatt",3,
IF(J243="30–39 éves",4,
IF(J243="40–49 éves",5,
IF(J243="50 év és afelett",6
)))))*1.5,"NA")</f>
        <v>950866.5</v>
      </c>
      <c r="P243" s="438">
        <f t="shared" ca="1" si="590"/>
        <v>710417.5</v>
      </c>
      <c r="Q243" s="438">
        <f t="shared" si="591"/>
        <v>279948</v>
      </c>
      <c r="R243" s="444">
        <f t="shared" si="592"/>
        <v>0.74712643678160917</v>
      </c>
      <c r="S243" s="438">
        <f t="shared" ca="1" si="593"/>
        <v>0</v>
      </c>
      <c r="T243" s="438">
        <f t="shared" ca="1" si="594"/>
        <v>0</v>
      </c>
      <c r="U243" s="445">
        <f t="shared" ca="1" si="595"/>
        <v>0</v>
      </c>
      <c r="V243" s="446">
        <f t="shared" ca="1" si="596"/>
        <v>316341</v>
      </c>
      <c r="W243" s="447" t="str">
        <f t="shared" ca="1" si="597"/>
        <v>Nem szükséges indoklás.</v>
      </c>
      <c r="X243" s="571">
        <f t="shared" ca="1" si="598"/>
        <v>0</v>
      </c>
      <c r="Y243" s="554">
        <f t="shared" ca="1" si="599"/>
        <v>279948</v>
      </c>
      <c r="Z243" s="554">
        <f t="shared" ca="1" si="600"/>
        <v>36393</v>
      </c>
      <c r="AA243" s="101"/>
      <c r="AB243" s="448">
        <v>8450532272</v>
      </c>
      <c r="AC243" s="449" t="s">
        <v>193</v>
      </c>
      <c r="AD243" s="483" t="s">
        <v>45</v>
      </c>
      <c r="AE243" s="450" t="s">
        <v>22</v>
      </c>
      <c r="AF243" s="99" t="s">
        <v>125</v>
      </c>
      <c r="AG243" s="99" t="s">
        <v>194</v>
      </c>
      <c r="AH243" s="451" t="s">
        <v>131</v>
      </c>
      <c r="AI243" s="154">
        <v>45200</v>
      </c>
      <c r="AJ243" s="100" t="str">
        <f>IF(AI243&gt;0,
(IF(AI243&lt;Hónapok!$A$10,Admin!$A$28,
(IF(AI243&lt;Hónapok!$A$22,Admin!$B$28,
(IF(AI243&lt;Hónapok!$A$34,Admin!$C$28,
(IF(AI243&lt;Hónapok!$A$46,Admin!$D$28,"")))))))),"")</f>
        <v>3. mérföldkő</v>
      </c>
      <c r="AK243" s="469" t="s">
        <v>8</v>
      </c>
      <c r="AL243" s="101" t="s">
        <v>26</v>
      </c>
      <c r="AM243" s="907">
        <v>374700</v>
      </c>
      <c r="AN243" s="860">
        <f t="shared" si="601"/>
        <v>48711</v>
      </c>
      <c r="AO243" s="333">
        <v>174</v>
      </c>
      <c r="AP243" s="491">
        <v>130</v>
      </c>
      <c r="AQ243" s="454">
        <f t="shared" si="602"/>
        <v>0.74712643678160917</v>
      </c>
      <c r="AR243" s="455">
        <f t="shared" si="603"/>
        <v>279948</v>
      </c>
      <c r="AS243" s="455">
        <f t="shared" si="604"/>
        <v>36393</v>
      </c>
      <c r="AT243" s="102">
        <f t="shared" si="605"/>
        <v>7.3622116081306643E-7</v>
      </c>
      <c r="AU243" s="116">
        <v>0.13</v>
      </c>
      <c r="AV243" s="565" t="str">
        <f>VLOOKUP(LEFT(AB243,10),Törzsszám!$A$1:$B$908,2,0)</f>
        <v>10001640</v>
      </c>
      <c r="AW243" s="681">
        <f t="shared" ca="1" si="606"/>
        <v>0</v>
      </c>
      <c r="AX243" s="471"/>
      <c r="AY243" s="486"/>
      <c r="AZ243" s="502"/>
      <c r="BA243" s="671"/>
      <c r="BB243" s="649"/>
      <c r="BC243" s="649"/>
      <c r="BD243" s="672"/>
      <c r="BE243" s="450" t="s">
        <v>192</v>
      </c>
    </row>
    <row r="244" spans="1:59" s="457" customFormat="1" ht="31.5" x14ac:dyDescent="0.25">
      <c r="A244" s="694" t="str">
        <f ca="1">Bérköltség!$B244</f>
        <v>FEOR</v>
      </c>
      <c r="B244" s="694" t="str">
        <f ca="1">IFERROR(
IF(AND(Bérköltség!$F244="",H244="NA"),"HIÁNYOS ADATOK",
IF(Bérköltség!$F244&lt;Bérköltség!$U244,Admin!$B$18,Admin!$B$17)),
"")</f>
        <v>FEOR</v>
      </c>
      <c r="C244" s="437">
        <f>IFERROR(INDEX('Historikus berek_2021-2'!$A$1:$F$903,MATCH(AB244,'Historikus berek_2021-2'!$A$1:$A$903,0),4),"")</f>
        <v>264000</v>
      </c>
      <c r="D244" s="438">
        <f t="shared" si="583"/>
        <v>197241.37931034481</v>
      </c>
      <c r="E244" s="437">
        <f t="shared" si="584"/>
        <v>279948</v>
      </c>
      <c r="F244" s="439">
        <f t="shared" si="585"/>
        <v>93458.481379310368</v>
      </c>
      <c r="G244" s="440">
        <f t="shared" si="586"/>
        <v>222882.75862068962</v>
      </c>
      <c r="H244" s="441">
        <f>IFERROR(INDEX('FEOR kodok'!$A$2:$J$1126,MATCH(Bérköltség!AB244,'FEOR kodok'!$B$2:$B$1126,0),8),"NA")</f>
        <v>2214</v>
      </c>
      <c r="I244" s="436">
        <f ca="1">IFERROR(INDEX('FEOR kodok'!$A$2:$J$1126,MATCH(Bérköltség!AB244,'FEOR kodok'!$B$2:$B$1126,0),10),"NA")</f>
        <v>33</v>
      </c>
      <c r="J244" s="442" t="str">
        <f t="shared" ca="1" si="587"/>
        <v>30–39 éves</v>
      </c>
      <c r="K244" s="436" t="str">
        <f>IFERROR(INDEX(admin_feor[#All],MATCH(Bérköltség!H244,admin_feor[[#All],[Foglalkozás]],0),2),"NA")</f>
        <v>Gyógyszerész, szakgyógyszerész</v>
      </c>
      <c r="L244" s="438">
        <f ca="1">IFERROR(
INDEX('Admin - FEOR'!$A$4:$F$465,MATCH(Bérköltség!H244,'Admin - FEOR'!$A$4:$A$465,0),
IF(J244="30 év alatt",3,
IF(J244="30–39 éves",4,
IF(J244="40–49 éves",5,
IF(J244="50 év és afelett",6
)))))*1,"NA")</f>
        <v>633911</v>
      </c>
      <c r="M244" s="438">
        <f t="shared" si="588"/>
        <v>374700</v>
      </c>
      <c r="N244" s="443">
        <f t="shared" ca="1" si="589"/>
        <v>0.59109244042144715</v>
      </c>
      <c r="O244" s="438">
        <f ca="1">IFERROR(
INDEX('Admin - FEOR'!$A$4:$F$465,MATCH(Bérköltség!H244,'Admin - FEOR'!$A$4:$A$465,0),
IF(J244="30 év alatt",3,
IF(J244="30–39 éves",4,
IF(J244="40–49 éves",5,
IF(J244="50 év és afelett",6
)))))*1.5,"NA")</f>
        <v>950866.5</v>
      </c>
      <c r="P244" s="438">
        <f t="shared" ca="1" si="590"/>
        <v>710417.5</v>
      </c>
      <c r="Q244" s="438">
        <f t="shared" si="591"/>
        <v>279948</v>
      </c>
      <c r="R244" s="444">
        <f t="shared" si="592"/>
        <v>0.74712643678160917</v>
      </c>
      <c r="S244" s="438">
        <f t="shared" ca="1" si="593"/>
        <v>0</v>
      </c>
      <c r="T244" s="438">
        <f t="shared" ca="1" si="594"/>
        <v>0</v>
      </c>
      <c r="U244" s="445">
        <f t="shared" ca="1" si="595"/>
        <v>0</v>
      </c>
      <c r="V244" s="446">
        <f t="shared" ca="1" si="596"/>
        <v>316341</v>
      </c>
      <c r="W244" s="447" t="str">
        <f t="shared" ca="1" si="597"/>
        <v>Nem szükséges indoklás.</v>
      </c>
      <c r="X244" s="571">
        <f t="shared" ca="1" si="598"/>
        <v>0</v>
      </c>
      <c r="Y244" s="554">
        <f t="shared" ca="1" si="599"/>
        <v>279948</v>
      </c>
      <c r="Z244" s="554">
        <f t="shared" ca="1" si="600"/>
        <v>36393</v>
      </c>
      <c r="AA244" s="101"/>
      <c r="AB244" s="448">
        <v>8450532272</v>
      </c>
      <c r="AC244" s="449" t="s">
        <v>193</v>
      </c>
      <c r="AD244" s="483" t="s">
        <v>45</v>
      </c>
      <c r="AE244" s="450" t="s">
        <v>22</v>
      </c>
      <c r="AF244" s="99" t="s">
        <v>125</v>
      </c>
      <c r="AG244" s="99" t="s">
        <v>194</v>
      </c>
      <c r="AH244" s="451" t="s">
        <v>131</v>
      </c>
      <c r="AI244" s="154">
        <v>45231</v>
      </c>
      <c r="AJ244" s="100" t="str">
        <f>IF(AI244&gt;0,
(IF(AI244&lt;Hónapok!$A$10,Admin!$A$28,
(IF(AI244&lt;Hónapok!$A$22,Admin!$B$28,
(IF(AI244&lt;Hónapok!$A$34,Admin!$C$28,
(IF(AI244&lt;Hónapok!$A$46,Admin!$D$28,"")))))))),"")</f>
        <v>3. mérföldkő</v>
      </c>
      <c r="AK244" s="469" t="s">
        <v>8</v>
      </c>
      <c r="AL244" s="101" t="s">
        <v>26</v>
      </c>
      <c r="AM244" s="907">
        <v>374700</v>
      </c>
      <c r="AN244" s="860">
        <f t="shared" si="601"/>
        <v>48711</v>
      </c>
      <c r="AO244" s="333">
        <v>174</v>
      </c>
      <c r="AP244" s="491">
        <v>130</v>
      </c>
      <c r="AQ244" s="454">
        <f t="shared" si="602"/>
        <v>0.74712643678160917</v>
      </c>
      <c r="AR244" s="455">
        <f t="shared" si="603"/>
        <v>279948</v>
      </c>
      <c r="AS244" s="455">
        <f t="shared" si="604"/>
        <v>36393</v>
      </c>
      <c r="AT244" s="102">
        <f t="shared" si="605"/>
        <v>7.3622116081306643E-7</v>
      </c>
      <c r="AU244" s="116">
        <v>0.13</v>
      </c>
      <c r="AV244" s="565" t="str">
        <f>VLOOKUP(LEFT(AB244,10),Törzsszám!$A$1:$B$908,2,0)</f>
        <v>10001640</v>
      </c>
      <c r="AW244" s="681">
        <f t="shared" ca="1" si="606"/>
        <v>0</v>
      </c>
      <c r="AX244" s="471"/>
      <c r="AY244" s="486"/>
      <c r="AZ244" s="502"/>
      <c r="BA244" s="671"/>
      <c r="BB244" s="649"/>
      <c r="BC244" s="649"/>
      <c r="BD244" s="672"/>
      <c r="BE244" s="450" t="s">
        <v>192</v>
      </c>
    </row>
    <row r="245" spans="1:59" s="457" customFormat="1" ht="31.5" x14ac:dyDescent="0.25">
      <c r="A245" s="694" t="str">
        <f ca="1">Bérköltség!$B245</f>
        <v>FEOR</v>
      </c>
      <c r="B245" s="694" t="str">
        <f ca="1">IFERROR(
IF(AND(Bérköltség!$F245="",H245="NA"),"HIÁNYOS ADATOK",
IF(Bérköltség!$F245&lt;Bérköltség!$U245,Admin!$B$18,Admin!$B$17)),
"")</f>
        <v>FEOR</v>
      </c>
      <c r="C245" s="437">
        <f>IFERROR(INDEX('Historikus berek_2021-2'!$A$1:$F$903,MATCH(AB245,'Historikus berek_2021-2'!$A$1:$A$903,0),4),"")</f>
        <v>264000</v>
      </c>
      <c r="D245" s="438">
        <f t="shared" si="583"/>
        <v>197241.37931034481</v>
      </c>
      <c r="E245" s="437">
        <f t="shared" si="584"/>
        <v>279948</v>
      </c>
      <c r="F245" s="439">
        <f t="shared" si="585"/>
        <v>93458.481379310368</v>
      </c>
      <c r="G245" s="440">
        <f t="shared" si="586"/>
        <v>222882.75862068962</v>
      </c>
      <c r="H245" s="441">
        <f>IFERROR(INDEX('FEOR kodok'!$A$2:$J$1126,MATCH(Bérköltség!AB245,'FEOR kodok'!$B$2:$B$1126,0),8),"NA")</f>
        <v>2214</v>
      </c>
      <c r="I245" s="436">
        <f ca="1">IFERROR(INDEX('FEOR kodok'!$A$2:$J$1126,MATCH(Bérköltség!AB245,'FEOR kodok'!$B$2:$B$1126,0),10),"NA")</f>
        <v>33</v>
      </c>
      <c r="J245" s="442" t="str">
        <f t="shared" ca="1" si="587"/>
        <v>30–39 éves</v>
      </c>
      <c r="K245" s="436" t="str">
        <f>IFERROR(INDEX(admin_feor[#All],MATCH(Bérköltség!H245,admin_feor[[#All],[Foglalkozás]],0),2),"NA")</f>
        <v>Gyógyszerész, szakgyógyszerész</v>
      </c>
      <c r="L245" s="438">
        <f ca="1">IFERROR(
INDEX('Admin - FEOR'!$A$4:$F$465,MATCH(Bérköltség!H245,'Admin - FEOR'!$A$4:$A$465,0),
IF(J245="30 év alatt",3,
IF(J245="30–39 éves",4,
IF(J245="40–49 éves",5,
IF(J245="50 év és afelett",6
)))))*1,"NA")</f>
        <v>633911</v>
      </c>
      <c r="M245" s="438">
        <f t="shared" si="588"/>
        <v>374700</v>
      </c>
      <c r="N245" s="443">
        <f t="shared" ca="1" si="589"/>
        <v>0.59109244042144715</v>
      </c>
      <c r="O245" s="438">
        <f ca="1">IFERROR(
INDEX('Admin - FEOR'!$A$4:$F$465,MATCH(Bérköltség!H245,'Admin - FEOR'!$A$4:$A$465,0),
IF(J245="30 év alatt",3,
IF(J245="30–39 éves",4,
IF(J245="40–49 éves",5,
IF(J245="50 év és afelett",6
)))))*1.5,"NA")</f>
        <v>950866.5</v>
      </c>
      <c r="P245" s="438">
        <f t="shared" ca="1" si="590"/>
        <v>710417.5</v>
      </c>
      <c r="Q245" s="438">
        <f t="shared" si="591"/>
        <v>279948</v>
      </c>
      <c r="R245" s="444">
        <f t="shared" si="592"/>
        <v>0.74712643678160917</v>
      </c>
      <c r="S245" s="438">
        <f t="shared" ca="1" si="593"/>
        <v>0</v>
      </c>
      <c r="T245" s="438">
        <f t="shared" ca="1" si="594"/>
        <v>0</v>
      </c>
      <c r="U245" s="445">
        <f t="shared" ca="1" si="595"/>
        <v>0</v>
      </c>
      <c r="V245" s="446">
        <f t="shared" ca="1" si="596"/>
        <v>316341</v>
      </c>
      <c r="W245" s="447" t="str">
        <f t="shared" ca="1" si="597"/>
        <v>Nem szükséges indoklás.</v>
      </c>
      <c r="X245" s="571">
        <f t="shared" ca="1" si="598"/>
        <v>0</v>
      </c>
      <c r="Y245" s="554">
        <f t="shared" ca="1" si="599"/>
        <v>279948</v>
      </c>
      <c r="Z245" s="554">
        <f t="shared" ca="1" si="600"/>
        <v>36393</v>
      </c>
      <c r="AA245" s="101"/>
      <c r="AB245" s="448">
        <v>8450532272</v>
      </c>
      <c r="AC245" s="449" t="s">
        <v>193</v>
      </c>
      <c r="AD245" s="483" t="s">
        <v>45</v>
      </c>
      <c r="AE245" s="450" t="s">
        <v>22</v>
      </c>
      <c r="AF245" s="99" t="s">
        <v>125</v>
      </c>
      <c r="AG245" s="99" t="s">
        <v>194</v>
      </c>
      <c r="AH245" s="451" t="s">
        <v>131</v>
      </c>
      <c r="AI245" s="154">
        <v>45261</v>
      </c>
      <c r="AJ245" s="100" t="str">
        <f>IF(AI245&gt;0,
(IF(AI245&lt;Hónapok!$A$10,Admin!$A$28,
(IF(AI245&lt;Hónapok!$A$22,Admin!$B$28,
(IF(AI245&lt;Hónapok!$A$34,Admin!$C$28,
(IF(AI245&lt;Hónapok!$A$46,Admin!$D$28,"")))))))),"")</f>
        <v>3. mérföldkő</v>
      </c>
      <c r="AK245" s="469" t="s">
        <v>8</v>
      </c>
      <c r="AL245" s="101" t="s">
        <v>26</v>
      </c>
      <c r="AM245" s="907">
        <v>374700</v>
      </c>
      <c r="AN245" s="860">
        <f t="shared" si="601"/>
        <v>48711</v>
      </c>
      <c r="AO245" s="333">
        <v>174</v>
      </c>
      <c r="AP245" s="491">
        <v>130</v>
      </c>
      <c r="AQ245" s="454">
        <f t="shared" si="602"/>
        <v>0.74712643678160917</v>
      </c>
      <c r="AR245" s="455">
        <f t="shared" si="603"/>
        <v>279948</v>
      </c>
      <c r="AS245" s="455">
        <f t="shared" si="604"/>
        <v>36393</v>
      </c>
      <c r="AT245" s="102">
        <f t="shared" si="605"/>
        <v>7.3622116081306643E-7</v>
      </c>
      <c r="AU245" s="116">
        <v>0.13</v>
      </c>
      <c r="AV245" s="565" t="str">
        <f>VLOOKUP(LEFT(AB245,10),Törzsszám!$A$1:$B$908,2,0)</f>
        <v>10001640</v>
      </c>
      <c r="AW245" s="681">
        <f t="shared" ca="1" si="606"/>
        <v>0</v>
      </c>
      <c r="AX245" s="471"/>
      <c r="AY245" s="486"/>
      <c r="AZ245" s="502"/>
      <c r="BA245" s="671"/>
      <c r="BB245" s="649"/>
      <c r="BC245" s="649"/>
      <c r="BD245" s="672"/>
      <c r="BE245" s="450" t="s">
        <v>192</v>
      </c>
    </row>
    <row r="246" spans="1:59" s="457" customFormat="1" ht="31.5" x14ac:dyDescent="0.25">
      <c r="A246" s="694" t="str">
        <f ca="1">Bérköltség!$B246</f>
        <v>FEOR</v>
      </c>
      <c r="B246" s="694" t="str">
        <f ca="1">IFERROR(
IF(AND(Bérköltség!$F246="",H246="NA"),"HIÁNYOS ADATOK",
IF(Bérköltség!$F246&lt;Bérköltség!$U246,Admin!$B$18,Admin!$B$17)),
"")</f>
        <v>FEOR</v>
      </c>
      <c r="C246" s="437">
        <f>IFERROR(INDEX('Historikus berek_2021-2'!$A$1:$F$903,MATCH(AB246,'Historikus berek_2021-2'!$A$1:$A$903,0),4),"")</f>
        <v>264000</v>
      </c>
      <c r="D246" s="438">
        <f t="shared" si="583"/>
        <v>197241.37931034481</v>
      </c>
      <c r="E246" s="437">
        <f t="shared" si="584"/>
        <v>279948</v>
      </c>
      <c r="F246" s="439">
        <f t="shared" si="585"/>
        <v>93458.481379310368</v>
      </c>
      <c r="G246" s="440">
        <f t="shared" si="586"/>
        <v>222882.75862068962</v>
      </c>
      <c r="H246" s="441">
        <f>IFERROR(INDEX('FEOR kodok'!$A$2:$J$1126,MATCH(Bérköltség!AB246,'FEOR kodok'!$B$2:$B$1126,0),8),"NA")</f>
        <v>2214</v>
      </c>
      <c r="I246" s="436">
        <f ca="1">IFERROR(INDEX('FEOR kodok'!$A$2:$J$1126,MATCH(Bérköltség!AB246,'FEOR kodok'!$B$2:$B$1126,0),10),"NA")</f>
        <v>33</v>
      </c>
      <c r="J246" s="442" t="str">
        <f t="shared" ca="1" si="587"/>
        <v>30–39 éves</v>
      </c>
      <c r="K246" s="436" t="str">
        <f>IFERROR(INDEX(admin_feor[#All],MATCH(Bérköltség!H246,admin_feor[[#All],[Foglalkozás]],0),2),"NA")</f>
        <v>Gyógyszerész, szakgyógyszerész</v>
      </c>
      <c r="L246" s="438">
        <f ca="1">IFERROR(
INDEX('Admin - FEOR'!$A$4:$F$465,MATCH(Bérköltség!H246,'Admin - FEOR'!$A$4:$A$465,0),
IF(J246="30 év alatt",3,
IF(J246="30–39 éves",4,
IF(J246="40–49 éves",5,
IF(J246="50 év és afelett",6
)))))*1,"NA")</f>
        <v>633911</v>
      </c>
      <c r="M246" s="438">
        <f t="shared" si="588"/>
        <v>374700</v>
      </c>
      <c r="N246" s="443">
        <f t="shared" ca="1" si="589"/>
        <v>0.59109244042144715</v>
      </c>
      <c r="O246" s="438">
        <f ca="1">IFERROR(
INDEX('Admin - FEOR'!$A$4:$F$465,MATCH(Bérköltség!H246,'Admin - FEOR'!$A$4:$A$465,0),
IF(J246="30 év alatt",3,
IF(J246="30–39 éves",4,
IF(J246="40–49 éves",5,
IF(J246="50 év és afelett",6
)))))*1.5,"NA")</f>
        <v>950866.5</v>
      </c>
      <c r="P246" s="438">
        <f t="shared" ca="1" si="590"/>
        <v>710417.5</v>
      </c>
      <c r="Q246" s="438">
        <f t="shared" si="591"/>
        <v>279948</v>
      </c>
      <c r="R246" s="444">
        <f t="shared" si="592"/>
        <v>0.74712643678160917</v>
      </c>
      <c r="S246" s="438">
        <f t="shared" ca="1" si="593"/>
        <v>0</v>
      </c>
      <c r="T246" s="438">
        <f t="shared" ca="1" si="594"/>
        <v>0</v>
      </c>
      <c r="U246" s="445">
        <f t="shared" ca="1" si="595"/>
        <v>0</v>
      </c>
      <c r="V246" s="446">
        <f t="shared" ca="1" si="596"/>
        <v>316341</v>
      </c>
      <c r="W246" s="447" t="str">
        <f t="shared" ca="1" si="597"/>
        <v>Nem szükséges indoklás.</v>
      </c>
      <c r="X246" s="571">
        <f t="shared" ca="1" si="598"/>
        <v>0</v>
      </c>
      <c r="Y246" s="554">
        <f t="shared" ca="1" si="599"/>
        <v>279948</v>
      </c>
      <c r="Z246" s="554">
        <f t="shared" ca="1" si="600"/>
        <v>36393</v>
      </c>
      <c r="AA246" s="101"/>
      <c r="AB246" s="448">
        <v>8450532272</v>
      </c>
      <c r="AC246" s="449" t="s">
        <v>193</v>
      </c>
      <c r="AD246" s="483" t="s">
        <v>45</v>
      </c>
      <c r="AE246" s="450" t="s">
        <v>22</v>
      </c>
      <c r="AF246" s="99" t="s">
        <v>125</v>
      </c>
      <c r="AG246" s="99" t="s">
        <v>194</v>
      </c>
      <c r="AH246" s="451" t="s">
        <v>131</v>
      </c>
      <c r="AI246" s="154">
        <v>45292</v>
      </c>
      <c r="AJ246" s="100" t="str">
        <f>IF(AI246&gt;0,
(IF(AI246&lt;Hónapok!$A$10,Admin!$A$28,
(IF(AI246&lt;Hónapok!$A$22,Admin!$B$28,
(IF(AI246&lt;Hónapok!$A$34,Admin!$C$28,
(IF(AI246&lt;Hónapok!$A$46,Admin!$D$28,"")))))))),"")</f>
        <v>3. mérföldkő</v>
      </c>
      <c r="AK246" s="469" t="s">
        <v>8</v>
      </c>
      <c r="AL246" s="101" t="s">
        <v>26</v>
      </c>
      <c r="AM246" s="907">
        <v>374700</v>
      </c>
      <c r="AN246" s="860">
        <f t="shared" si="601"/>
        <v>48711</v>
      </c>
      <c r="AO246" s="333">
        <v>174</v>
      </c>
      <c r="AP246" s="491">
        <v>130</v>
      </c>
      <c r="AQ246" s="454">
        <f t="shared" si="602"/>
        <v>0.74712643678160917</v>
      </c>
      <c r="AR246" s="455">
        <f t="shared" si="603"/>
        <v>279948</v>
      </c>
      <c r="AS246" s="455">
        <f t="shared" si="604"/>
        <v>36393</v>
      </c>
      <c r="AT246" s="102">
        <f t="shared" si="605"/>
        <v>7.3622116081306643E-7</v>
      </c>
      <c r="AU246" s="116">
        <v>0.13</v>
      </c>
      <c r="AV246" s="565" t="str">
        <f>VLOOKUP(LEFT(AB246,10),Törzsszám!$A$1:$B$908,2,0)</f>
        <v>10001640</v>
      </c>
      <c r="AW246" s="681">
        <f t="shared" ca="1" si="606"/>
        <v>0</v>
      </c>
      <c r="AX246" s="471"/>
      <c r="AY246" s="486"/>
      <c r="AZ246" s="502"/>
      <c r="BA246" s="671"/>
      <c r="BB246" s="649"/>
      <c r="BC246" s="649"/>
      <c r="BD246" s="672"/>
      <c r="BE246" s="450" t="s">
        <v>192</v>
      </c>
    </row>
    <row r="247" spans="1:59" s="457" customFormat="1" ht="31.5" x14ac:dyDescent="0.25">
      <c r="A247" s="694" t="str">
        <f ca="1">Bérköltség!$B247</f>
        <v>FEOR</v>
      </c>
      <c r="B247" s="694" t="str">
        <f ca="1">IFERROR(
IF(AND(Bérköltség!$F247="",H247="NA"),"HIÁNYOS ADATOK",
IF(Bérköltség!$F247&lt;Bérköltség!$U247,Admin!$B$18,Admin!$B$17)),
"")</f>
        <v>FEOR</v>
      </c>
      <c r="C247" s="437">
        <f>IFERROR(INDEX('Historikus berek_2021-2'!$A$1:$F$903,MATCH(AB247,'Historikus berek_2021-2'!$A$1:$A$903,0),4),"")</f>
        <v>264000</v>
      </c>
      <c r="D247" s="438">
        <f t="shared" si="583"/>
        <v>197241.37931034481</v>
      </c>
      <c r="E247" s="437">
        <f t="shared" si="584"/>
        <v>279948</v>
      </c>
      <c r="F247" s="439">
        <f t="shared" si="585"/>
        <v>93458.481379310368</v>
      </c>
      <c r="G247" s="440">
        <f t="shared" si="586"/>
        <v>222882.75862068962</v>
      </c>
      <c r="H247" s="441">
        <f>IFERROR(INDEX('FEOR kodok'!$A$2:$J$1126,MATCH(Bérköltség!AB247,'FEOR kodok'!$B$2:$B$1126,0),8),"NA")</f>
        <v>2214</v>
      </c>
      <c r="I247" s="436">
        <f ca="1">IFERROR(INDEX('FEOR kodok'!$A$2:$J$1126,MATCH(Bérköltség!AB247,'FEOR kodok'!$B$2:$B$1126,0),10),"NA")</f>
        <v>33</v>
      </c>
      <c r="J247" s="442" t="str">
        <f t="shared" ca="1" si="587"/>
        <v>30–39 éves</v>
      </c>
      <c r="K247" s="436" t="str">
        <f>IFERROR(INDEX(admin_feor[#All],MATCH(Bérköltség!H247,admin_feor[[#All],[Foglalkozás]],0),2),"NA")</f>
        <v>Gyógyszerész, szakgyógyszerész</v>
      </c>
      <c r="L247" s="438">
        <f ca="1">IFERROR(
INDEX('Admin - FEOR'!$A$4:$F$465,MATCH(Bérköltség!H247,'Admin - FEOR'!$A$4:$A$465,0),
IF(J247="30 év alatt",3,
IF(J247="30–39 éves",4,
IF(J247="40–49 éves",5,
IF(J247="50 év és afelett",6
)))))*1,"NA")</f>
        <v>633911</v>
      </c>
      <c r="M247" s="438">
        <f t="shared" si="588"/>
        <v>374700</v>
      </c>
      <c r="N247" s="443">
        <f t="shared" ca="1" si="589"/>
        <v>0.59109244042144715</v>
      </c>
      <c r="O247" s="438">
        <f ca="1">IFERROR(
INDEX('Admin - FEOR'!$A$4:$F$465,MATCH(Bérköltség!H247,'Admin - FEOR'!$A$4:$A$465,0),
IF(J247="30 év alatt",3,
IF(J247="30–39 éves",4,
IF(J247="40–49 éves",5,
IF(J247="50 év és afelett",6
)))))*1.5,"NA")</f>
        <v>950866.5</v>
      </c>
      <c r="P247" s="438">
        <f t="shared" ca="1" si="590"/>
        <v>710417.5</v>
      </c>
      <c r="Q247" s="438">
        <f t="shared" si="591"/>
        <v>279948</v>
      </c>
      <c r="R247" s="444">
        <f t="shared" si="592"/>
        <v>0.74712643678160917</v>
      </c>
      <c r="S247" s="438">
        <f t="shared" ca="1" si="593"/>
        <v>0</v>
      </c>
      <c r="T247" s="438">
        <f t="shared" ca="1" si="594"/>
        <v>0</v>
      </c>
      <c r="U247" s="445">
        <f t="shared" ca="1" si="595"/>
        <v>0</v>
      </c>
      <c r="V247" s="446">
        <f t="shared" ca="1" si="596"/>
        <v>316341</v>
      </c>
      <c r="W247" s="447" t="str">
        <f t="shared" ca="1" si="597"/>
        <v>Nem szükséges indoklás.</v>
      </c>
      <c r="X247" s="571">
        <f t="shared" ca="1" si="598"/>
        <v>0</v>
      </c>
      <c r="Y247" s="554">
        <f t="shared" ca="1" si="599"/>
        <v>279948</v>
      </c>
      <c r="Z247" s="554">
        <f t="shared" ca="1" si="600"/>
        <v>36393</v>
      </c>
      <c r="AA247" s="101"/>
      <c r="AB247" s="448">
        <v>8450532272</v>
      </c>
      <c r="AC247" s="449" t="s">
        <v>193</v>
      </c>
      <c r="AD247" s="483" t="s">
        <v>45</v>
      </c>
      <c r="AE247" s="450" t="s">
        <v>22</v>
      </c>
      <c r="AF247" s="99" t="s">
        <v>125</v>
      </c>
      <c r="AG247" s="99" t="s">
        <v>194</v>
      </c>
      <c r="AH247" s="451" t="s">
        <v>131</v>
      </c>
      <c r="AI247" s="154">
        <v>45323</v>
      </c>
      <c r="AJ247" s="100" t="str">
        <f>IF(AI247&gt;0,
(IF(AI247&lt;Hónapok!$A$10,Admin!$A$28,
(IF(AI247&lt;Hónapok!$A$22,Admin!$B$28,
(IF(AI247&lt;Hónapok!$A$34,Admin!$C$28,
(IF(AI247&lt;Hónapok!$A$46,Admin!$D$28,"")))))))),"")</f>
        <v>3. mérföldkő</v>
      </c>
      <c r="AK247" s="469" t="s">
        <v>8</v>
      </c>
      <c r="AL247" s="101" t="s">
        <v>26</v>
      </c>
      <c r="AM247" s="907">
        <v>374700</v>
      </c>
      <c r="AN247" s="860">
        <f t="shared" si="601"/>
        <v>48711</v>
      </c>
      <c r="AO247" s="333">
        <v>174</v>
      </c>
      <c r="AP247" s="491">
        <v>130</v>
      </c>
      <c r="AQ247" s="454">
        <f t="shared" si="602"/>
        <v>0.74712643678160917</v>
      </c>
      <c r="AR247" s="455">
        <f t="shared" si="603"/>
        <v>279948</v>
      </c>
      <c r="AS247" s="455">
        <f t="shared" si="604"/>
        <v>36393</v>
      </c>
      <c r="AT247" s="102">
        <f t="shared" si="605"/>
        <v>7.3622116081306643E-7</v>
      </c>
      <c r="AU247" s="116">
        <v>0.13</v>
      </c>
      <c r="AV247" s="565" t="str">
        <f>VLOOKUP(LEFT(AB247,10),Törzsszám!$A$1:$B$908,2,0)</f>
        <v>10001640</v>
      </c>
      <c r="AW247" s="681">
        <f t="shared" ca="1" si="606"/>
        <v>0</v>
      </c>
      <c r="AX247" s="471"/>
      <c r="AY247" s="486"/>
      <c r="AZ247" s="502"/>
      <c r="BA247" s="671"/>
      <c r="BB247" s="649"/>
      <c r="BC247" s="649"/>
      <c r="BD247" s="672"/>
      <c r="BE247" s="450" t="s">
        <v>192</v>
      </c>
    </row>
    <row r="248" spans="1:59" s="492" customFormat="1" ht="47.25" x14ac:dyDescent="0.25">
      <c r="A248" s="694" t="str">
        <f ca="1">Bérköltség!$B248</f>
        <v>FEOR</v>
      </c>
      <c r="B248" s="694" t="str">
        <f ca="1">IFERROR(
IF(AND(Bérköltség!$F248="",H248="NA"),"HIÁNYOS ADATOK",
IF(Bérköltség!$F248&lt;Bérköltség!$U248,Admin!$B$18,Admin!$B$17)),
"")</f>
        <v>FEOR</v>
      </c>
      <c r="C248" s="437">
        <f>IFERROR(INDEX('Historikus berek_2021-2'!$A$1:$F$903,MATCH(AB248,'Historikus berek_2021-2'!$A$1:$A$903,0),4),"")</f>
        <v>586333.33333333337</v>
      </c>
      <c r="D248" s="438">
        <f t="shared" si="564"/>
        <v>586333.33333333337</v>
      </c>
      <c r="E248" s="437">
        <f t="shared" si="565"/>
        <v>353982</v>
      </c>
      <c r="F248" s="439">
        <f t="shared" si="566"/>
        <v>0</v>
      </c>
      <c r="G248" s="440">
        <f t="shared" si="567"/>
        <v>399999.66</v>
      </c>
      <c r="H248" s="441">
        <f>IFERROR(INDEX('FEOR kodok'!$A$2:$J$1126,MATCH(Bérköltség!AB248,'FEOR kodok'!$B$2:$B$1126,0),8),"NA")</f>
        <v>2169</v>
      </c>
      <c r="I248" s="436">
        <f ca="1">IFERROR(INDEX('FEOR kodok'!$A$2:$J$1126,MATCH(Bérköltség!AB248,'FEOR kodok'!$B$2:$B$1126,0),10),"NA")</f>
        <v>42</v>
      </c>
      <c r="J248" s="442" t="str">
        <f t="shared" ca="1" si="568"/>
        <v>40–49 éves</v>
      </c>
      <c r="K248" s="436" t="str">
        <f>IFERROR(INDEX(admin_feor[#All],MATCH(Bérköltség!H248,admin_feor[[#All],[Foglalkozás]],0),2),"NA")</f>
        <v>Egyéb természettudományi foglalkozású</v>
      </c>
      <c r="L248" s="438">
        <f ca="1">IFERROR(
INDEX('Admin - FEOR'!$A$4:$F$465,MATCH(Bérköltség!H248,'Admin - FEOR'!$A$4:$A$465,0),
IF(J248="30 év alatt",3,
IF(J248="30–39 éves",4,
IF(J248="40–49 éves",5,
IF(J248="50 év és afelett",6
)))))*1,"NA")</f>
        <v>758214</v>
      </c>
      <c r="M248" s="438">
        <f t="shared" si="569"/>
        <v>700000</v>
      </c>
      <c r="N248" s="443">
        <f t="shared" ca="1" si="570"/>
        <v>0.92322220375777819</v>
      </c>
      <c r="O248" s="438">
        <f ca="1">IFERROR(
INDEX('Admin - FEOR'!$A$4:$F$465,MATCH(Bérköltség!H248,'Admin - FEOR'!$A$4:$A$465,0),
IF(J248="30 év alatt",3,
IF(J248="30–39 éves",4,
IF(J248="40–49 éves",5,
IF(J248="50 év és afelett",6
)))))*1.5,"NA")</f>
        <v>1137321</v>
      </c>
      <c r="P248" s="438">
        <f t="shared" ca="1" si="571"/>
        <v>1137321</v>
      </c>
      <c r="Q248" s="438">
        <f t="shared" si="572"/>
        <v>353982</v>
      </c>
      <c r="R248" s="444">
        <f t="shared" si="573"/>
        <v>1</v>
      </c>
      <c r="S248" s="438">
        <f t="shared" ca="1" si="574"/>
        <v>0</v>
      </c>
      <c r="T248" s="438">
        <f t="shared" ca="1" si="575"/>
        <v>0</v>
      </c>
      <c r="U248" s="445">
        <f t="shared" ca="1" si="576"/>
        <v>0</v>
      </c>
      <c r="V248" s="446">
        <f t="shared" ca="1" si="577"/>
        <v>400000</v>
      </c>
      <c r="W248" s="447" t="str">
        <f t="shared" ca="1" si="578"/>
        <v>Nem szükséges indoklás.</v>
      </c>
      <c r="X248" s="571">
        <f t="shared" ca="1" si="579"/>
        <v>0</v>
      </c>
      <c r="Y248" s="554">
        <f t="shared" ca="1" si="580"/>
        <v>353982</v>
      </c>
      <c r="Z248" s="554">
        <f t="shared" ca="1" si="581"/>
        <v>46018</v>
      </c>
      <c r="AA248" s="493">
        <v>1</v>
      </c>
      <c r="AB248" s="448">
        <v>8417671102</v>
      </c>
      <c r="AC248" s="449" t="s">
        <v>156</v>
      </c>
      <c r="AD248" s="483" t="s">
        <v>45</v>
      </c>
      <c r="AE248" s="450" t="s">
        <v>158</v>
      </c>
      <c r="AF248" s="99" t="s">
        <v>119</v>
      </c>
      <c r="AG248" s="99" t="s">
        <v>157</v>
      </c>
      <c r="AH248" s="451" t="s">
        <v>131</v>
      </c>
      <c r="AI248" s="559">
        <v>44742</v>
      </c>
      <c r="AJ248" s="100" t="str">
        <f>IF(AI248&gt;0,
(IF(AI248&lt;Hónapok!$A$10,Admin!$A$28,
(IF(AI248&lt;Hónapok!$A$22,Admin!$B$28,
(IF(AI248&lt;Hónapok!$A$34,Admin!$C$28,
(IF(AI248&lt;Hónapok!$A$46,Admin!$D$28,"")))))))),"")</f>
        <v>2. mérföldkő</v>
      </c>
      <c r="AK248" s="469" t="s">
        <v>7</v>
      </c>
      <c r="AL248" s="101" t="s">
        <v>26</v>
      </c>
      <c r="AM248" s="900">
        <v>700000</v>
      </c>
      <c r="AN248" s="860">
        <f t="shared" si="582"/>
        <v>91000</v>
      </c>
      <c r="AO248" s="101">
        <v>174</v>
      </c>
      <c r="AP248" s="111">
        <v>174</v>
      </c>
      <c r="AQ248" s="454">
        <f t="shared" si="534"/>
        <v>1</v>
      </c>
      <c r="AR248" s="455">
        <v>353982</v>
      </c>
      <c r="AS248" s="455">
        <f t="shared" si="536"/>
        <v>46018</v>
      </c>
      <c r="AT248" s="102">
        <f t="shared" si="537"/>
        <v>0.49431142857142862</v>
      </c>
      <c r="AU248" s="116">
        <v>0.13</v>
      </c>
      <c r="AV248" s="565" t="str">
        <f>VLOOKUP(LEFT(AB248,10),Törzsszám!$A$1:$B$908,2,0)</f>
        <v>10000165</v>
      </c>
      <c r="AW248" s="615">
        <f t="shared" ca="1" si="538"/>
        <v>0</v>
      </c>
      <c r="AX248" s="471" t="s">
        <v>188</v>
      </c>
      <c r="AY248" s="486"/>
      <c r="AZ248" s="502"/>
      <c r="BA248" s="671"/>
      <c r="BB248" s="649"/>
      <c r="BC248" s="649">
        <f t="shared" ref="BC248:BC256" ca="1" si="607">Y248-BA248</f>
        <v>353982</v>
      </c>
      <c r="BD248" s="672">
        <f t="shared" ref="BD248:BD256" ca="1" si="608">Z248-BB248</f>
        <v>46018</v>
      </c>
      <c r="BE248" s="450" t="s">
        <v>212</v>
      </c>
      <c r="BF248" s="457" t="s">
        <v>211</v>
      </c>
      <c r="BG248" s="457" t="s">
        <v>187</v>
      </c>
    </row>
    <row r="249" spans="1:59" s="492" customFormat="1" ht="31.5" x14ac:dyDescent="0.25">
      <c r="A249" s="694" t="str">
        <f ca="1">Bérköltség!$B249</f>
        <v>FEOR</v>
      </c>
      <c r="B249" s="694" t="str">
        <f ca="1">IFERROR(
IF(AND(Bérköltség!$F249="",H249="NA"),"HIÁNYOS ADATOK",
IF(Bérköltség!$F249&lt;Bérköltség!$U249,Admin!$B$18,Admin!$B$17)),
"")</f>
        <v>FEOR</v>
      </c>
      <c r="C249" s="437">
        <f>IFERROR(INDEX('Historikus berek_2021-2'!$A$1:$F$903,MATCH(AB249,'Historikus berek_2021-2'!$A$1:$A$903,0),4),"")</f>
        <v>586333.33333333337</v>
      </c>
      <c r="D249" s="438">
        <f t="shared" ref="D249" si="609">IFERROR(C249*AQ249,"NA")</f>
        <v>586333.33333333337</v>
      </c>
      <c r="E249" s="437">
        <f t="shared" ref="E249" si="610">AR249</f>
        <v>346018</v>
      </c>
      <c r="F249" s="439">
        <f t="shared" ref="F249" si="611">IFERROR(IF((E249*(1+AU249)-D249*(1+AU249))&lt;0,0,(E249*(1+AU249)-D249*(1+AU249))),"")</f>
        <v>0</v>
      </c>
      <c r="G249" s="440">
        <f t="shared" ref="G249" si="612">IFERROR((E249*(1+AU249)-F249),"")</f>
        <v>391000.33999999997</v>
      </c>
      <c r="H249" s="441">
        <f>IFERROR(INDEX('FEOR kodok'!$A$2:$J$1126,MATCH(Bérköltség!AB249,'FEOR kodok'!$B$2:$B$1126,0),8),"NA")</f>
        <v>2169</v>
      </c>
      <c r="I249" s="436">
        <f ca="1">IFERROR(INDEX('FEOR kodok'!$A$2:$J$1126,MATCH(Bérköltség!AB249,'FEOR kodok'!$B$2:$B$1126,0),10),"NA")</f>
        <v>42</v>
      </c>
      <c r="J249" s="442" t="str">
        <f t="shared" ref="J249" ca="1" si="613">IF(I249="NA","NA",
IF(I249&lt;30,"30 év alatt",
IF(AND(I249&gt;=30,I249&lt;=39),"30–39 éves",
IF(AND(I249&gt;=40,I249&lt;=49),"40–49 éves",
IF(I249&gt;=50,"50 év és afelett",
"")))))</f>
        <v>40–49 éves</v>
      </c>
      <c r="K249" s="436" t="str">
        <f>IFERROR(INDEX(admin_feor[#All],MATCH(Bérköltség!H249,admin_feor[[#All],[Foglalkozás]],0),2),"NA")</f>
        <v>Egyéb természettudományi foglalkozású</v>
      </c>
      <c r="L249" s="438">
        <f ca="1">IFERROR(
INDEX('Admin - FEOR'!$A$4:$F$465,MATCH(Bérköltség!H249,'Admin - FEOR'!$A$4:$A$465,0),
IF(J249="30 év alatt",3,
IF(J249="30–39 éves",4,
IF(J249="40–49 éves",5,
IF(J249="50 év és afelett",6
)))))*1,"NA")</f>
        <v>758214</v>
      </c>
      <c r="M249" s="438">
        <f t="shared" ref="M249" si="614">AM249</f>
        <v>700000</v>
      </c>
      <c r="N249" s="443">
        <f t="shared" ref="N249" ca="1" si="615">IFERROR(
M249/L249,"NA")</f>
        <v>0.92322220375777819</v>
      </c>
      <c r="O249" s="438">
        <f ca="1">IFERROR(
INDEX('Admin - FEOR'!$A$4:$F$465,MATCH(Bérköltség!H249,'Admin - FEOR'!$A$4:$A$465,0),
IF(J249="30 év alatt",3,
IF(J249="30–39 éves",4,
IF(J249="40–49 éves",5,
IF(J249="50 év és afelett",6
)))))*1.5,"NA")</f>
        <v>1137321</v>
      </c>
      <c r="P249" s="438">
        <f t="shared" ref="P249" ca="1" si="616">IFERROR(
AQ249*O249,"NA")</f>
        <v>1137321</v>
      </c>
      <c r="Q249" s="438">
        <f t="shared" ref="Q249" si="617">IFERROR(AR249,"")</f>
        <v>346018</v>
      </c>
      <c r="R249" s="444">
        <f t="shared" ref="R249" si="618">IFERROR(AQ249,"")</f>
        <v>1</v>
      </c>
      <c r="S249" s="438">
        <f t="shared" ref="S249" ca="1" si="619">IFERROR(
IF(AR249-P249&lt;0,0,AR249-P249),"NA")</f>
        <v>0</v>
      </c>
      <c r="T249" s="438">
        <f t="shared" ref="T249" ca="1" si="620">IFERROR(
S249*AU249,"NA")</f>
        <v>0</v>
      </c>
      <c r="U249" s="445">
        <f t="shared" ref="U249" ca="1" si="621">IFERROR(
S249+T249,"NA")</f>
        <v>0</v>
      </c>
      <c r="V249" s="446">
        <f t="shared" ref="V249" ca="1" si="622">IFERROR(
IF(U249&gt;0,AR249+AS249-U249,AR249+AS249),"NA")</f>
        <v>391000</v>
      </c>
      <c r="W249" s="447" t="str">
        <f t="shared" ref="W249" ca="1" si="623">IF(P249="NA","FEOR hiányzik",
IF(AND(N249&gt;1,A249="FEOR"),CONCATENATE("Indoklás szükséges mivel a FEOR: ",ROUND(N249*100,1),"%"),"Nem szükséges indoklás.")
)</f>
        <v>Nem szükséges indoklás.</v>
      </c>
      <c r="X249" s="571">
        <f t="shared" ref="X249" ca="1" si="624">IF(A249="FEOR",U249,IF(A249="HIÁNYOS ADATOK","HIÁNYOS ADATOK",F249))</f>
        <v>0</v>
      </c>
      <c r="Y249" s="554">
        <f t="shared" ref="Y249" ca="1" si="625">IF(A249="FEOR",ROUND(V249/(1+AU249),0),IF(A249="HIÁNYOS ADATOK","HIÁNYOS ADATOK",ROUND(G249/(1+AU249),0)))</f>
        <v>346018</v>
      </c>
      <c r="Z249" s="554">
        <f t="shared" ref="Z249" ca="1" si="626">IF(A249="FEOR",ROUND(V249-Y249,0),IF(A249="HIÁNYOS ADATOK","HIÁNYOS ADATOK",ROUND(G249-Y249,0)))</f>
        <v>44982</v>
      </c>
      <c r="AA249" s="573">
        <v>2</v>
      </c>
      <c r="AB249" s="448">
        <v>8417671102</v>
      </c>
      <c r="AC249" s="449" t="s">
        <v>156</v>
      </c>
      <c r="AD249" s="483" t="s">
        <v>45</v>
      </c>
      <c r="AE249" s="450" t="s">
        <v>158</v>
      </c>
      <c r="AF249" s="99" t="s">
        <v>119</v>
      </c>
      <c r="AG249" s="99" t="s">
        <v>157</v>
      </c>
      <c r="AH249" s="451" t="s">
        <v>131</v>
      </c>
      <c r="AI249" s="559">
        <v>44742</v>
      </c>
      <c r="AJ249" s="100" t="str">
        <f>IF(AI249&gt;0,
(IF(AI249&lt;Hónapok!$A$10,Admin!$A$28,
(IF(AI249&lt;Hónapok!$A$22,Admin!$B$28,
(IF(AI249&lt;Hónapok!$A$34,Admin!$C$28,
(IF(AI249&lt;Hónapok!$A$46,Admin!$D$28,"")))))))),"")</f>
        <v>2. mérföldkő</v>
      </c>
      <c r="AK249" s="469" t="s">
        <v>7</v>
      </c>
      <c r="AL249" s="101" t="s">
        <v>26</v>
      </c>
      <c r="AM249" s="900">
        <v>700000</v>
      </c>
      <c r="AN249" s="860">
        <f t="shared" ref="AN249" si="627">IFERROR(ROUND(AM249*AU249,0),"")</f>
        <v>91000</v>
      </c>
      <c r="AO249" s="101">
        <v>174</v>
      </c>
      <c r="AP249" s="111">
        <v>174</v>
      </c>
      <c r="AQ249" s="454">
        <f t="shared" ref="AQ249" si="628">IFERROR(AP249/AO249,"")</f>
        <v>1</v>
      </c>
      <c r="AR249" s="455">
        <v>346018</v>
      </c>
      <c r="AS249" s="455">
        <f t="shared" ref="AS249" si="629">IFERROR(ROUND(AR249*AU249,0),"")</f>
        <v>44982</v>
      </c>
      <c r="AT249" s="102">
        <f t="shared" ref="AT249" si="630">IFERROR(AP249/AO249-AR249/AM249,"")</f>
        <v>0.50568857142857149</v>
      </c>
      <c r="AU249" s="116">
        <v>0.13</v>
      </c>
      <c r="AV249" s="565" t="str">
        <f>VLOOKUP(LEFT(AB249,10),Törzsszám!$A$1:$B$908,2,0)</f>
        <v>10000165</v>
      </c>
      <c r="AW249" s="615">
        <f t="shared" ca="1" si="538"/>
        <v>0</v>
      </c>
      <c r="AX249" s="471" t="s">
        <v>188</v>
      </c>
      <c r="AY249" s="486"/>
      <c r="AZ249" s="847" t="s">
        <v>4607</v>
      </c>
      <c r="BA249" s="671">
        <v>700000</v>
      </c>
      <c r="BB249" s="649">
        <v>91000</v>
      </c>
      <c r="BC249" s="649">
        <f t="shared" ca="1" si="607"/>
        <v>-353982</v>
      </c>
      <c r="BD249" s="672">
        <f t="shared" ca="1" si="608"/>
        <v>-46018</v>
      </c>
      <c r="BE249" s="450"/>
    </row>
    <row r="250" spans="1:59" s="492" customFormat="1" ht="31.5" x14ac:dyDescent="0.25">
      <c r="A250" s="694" t="str">
        <f ca="1">Bérköltség!$B250</f>
        <v>FEOR</v>
      </c>
      <c r="B250" s="694" t="str">
        <f ca="1">IFERROR(
IF(AND(Bérköltség!$F250="",H250="NA"),"HIÁNYOS ADATOK",
IF(Bérköltség!$F250&lt;Bérköltség!$U250,Admin!$B$18,Admin!$B$17)),
"")</f>
        <v>FEOR</v>
      </c>
      <c r="C250" s="437">
        <f>IFERROR(INDEX('Historikus berek_2021-2'!$A$1:$F$903,MATCH(AB250,'Historikus berek_2021-2'!$A$1:$A$903,0),4),"")</f>
        <v>586333.33333333337</v>
      </c>
      <c r="D250" s="438">
        <f t="shared" si="564"/>
        <v>586333.33333333337</v>
      </c>
      <c r="E250" s="437">
        <f t="shared" si="565"/>
        <v>700000</v>
      </c>
      <c r="F250" s="439">
        <f t="shared" si="566"/>
        <v>128443.33333333326</v>
      </c>
      <c r="G250" s="440">
        <f t="shared" si="567"/>
        <v>662556.66666666663</v>
      </c>
      <c r="H250" s="441">
        <f>IFERROR(INDEX('FEOR kodok'!$A$2:$J$1126,MATCH(Bérköltség!AB250,'FEOR kodok'!$B$2:$B$1126,0),8),"NA")</f>
        <v>2169</v>
      </c>
      <c r="I250" s="436">
        <f ca="1">IFERROR(INDEX('FEOR kodok'!$A$2:$J$1126,MATCH(Bérköltség!AB250,'FEOR kodok'!$B$2:$B$1126,0),10),"NA")</f>
        <v>42</v>
      </c>
      <c r="J250" s="442" t="str">
        <f t="shared" ca="1" si="568"/>
        <v>40–49 éves</v>
      </c>
      <c r="K250" s="436" t="str">
        <f>IFERROR(INDEX(admin_feor[#All],MATCH(Bérköltség!H250,admin_feor[[#All],[Foglalkozás]],0),2),"NA")</f>
        <v>Egyéb természettudományi foglalkozású</v>
      </c>
      <c r="L250" s="438">
        <f ca="1">IFERROR(
INDEX('Admin - FEOR'!$A$4:$F$465,MATCH(Bérköltség!H250,'Admin - FEOR'!$A$4:$A$465,0),
IF(J250="30 év alatt",3,
IF(J250="30–39 éves",4,
IF(J250="40–49 éves",5,
IF(J250="50 év és afelett",6
)))))*1,"NA")</f>
        <v>758214</v>
      </c>
      <c r="M250" s="438">
        <f t="shared" si="569"/>
        <v>700000</v>
      </c>
      <c r="N250" s="443">
        <f t="shared" ca="1" si="570"/>
        <v>0.92322220375777819</v>
      </c>
      <c r="O250" s="438">
        <f ca="1">IFERROR(
INDEX('Admin - FEOR'!$A$4:$F$465,MATCH(Bérköltség!H250,'Admin - FEOR'!$A$4:$A$465,0),
IF(J250="30 év alatt",3,
IF(J250="30–39 éves",4,
IF(J250="40–49 éves",5,
IF(J250="50 év és afelett",6
)))))*1.5,"NA")</f>
        <v>1137321</v>
      </c>
      <c r="P250" s="438">
        <f t="shared" ca="1" si="571"/>
        <v>1137321</v>
      </c>
      <c r="Q250" s="438">
        <f t="shared" si="572"/>
        <v>700000</v>
      </c>
      <c r="R250" s="444">
        <f t="shared" si="573"/>
        <v>1</v>
      </c>
      <c r="S250" s="438">
        <f t="shared" ca="1" si="574"/>
        <v>0</v>
      </c>
      <c r="T250" s="438">
        <f t="shared" ca="1" si="575"/>
        <v>0</v>
      </c>
      <c r="U250" s="445">
        <f t="shared" ca="1" si="576"/>
        <v>0</v>
      </c>
      <c r="V250" s="446">
        <f t="shared" ca="1" si="577"/>
        <v>791000</v>
      </c>
      <c r="W250" s="447" t="str">
        <f t="shared" ca="1" si="578"/>
        <v>Nem szükséges indoklás.</v>
      </c>
      <c r="X250" s="571">
        <f t="shared" ca="1" si="579"/>
        <v>0</v>
      </c>
      <c r="Y250" s="554">
        <f t="shared" ca="1" si="580"/>
        <v>700000</v>
      </c>
      <c r="Z250" s="554">
        <f t="shared" ca="1" si="581"/>
        <v>91000</v>
      </c>
      <c r="AA250" s="573">
        <v>2</v>
      </c>
      <c r="AB250" s="448">
        <v>8417671102</v>
      </c>
      <c r="AC250" s="449" t="s">
        <v>156</v>
      </c>
      <c r="AD250" s="483" t="s">
        <v>45</v>
      </c>
      <c r="AE250" s="450" t="s">
        <v>158</v>
      </c>
      <c r="AF250" s="99" t="s">
        <v>119</v>
      </c>
      <c r="AG250" s="99" t="s">
        <v>157</v>
      </c>
      <c r="AH250" s="451" t="s">
        <v>131</v>
      </c>
      <c r="AI250" s="154">
        <v>44743</v>
      </c>
      <c r="AJ250" s="100" t="str">
        <f>IF(AI250&gt;0,
(IF(AI250&lt;Hónapok!$A$10,Admin!$A$28,
(IF(AI250&lt;Hónapok!$A$22,Admin!$B$28,
(IF(AI250&lt;Hónapok!$A$34,Admin!$C$28,
(IF(AI250&lt;Hónapok!$A$46,Admin!$D$28,"")))))))),"")</f>
        <v>2. mérföldkő</v>
      </c>
      <c r="AK250" s="469" t="s">
        <v>7</v>
      </c>
      <c r="AL250" s="101" t="s">
        <v>26</v>
      </c>
      <c r="AM250" s="900">
        <v>700000</v>
      </c>
      <c r="AN250" s="860">
        <f t="shared" si="582"/>
        <v>91000</v>
      </c>
      <c r="AO250" s="101">
        <v>174</v>
      </c>
      <c r="AP250" s="111">
        <v>174</v>
      </c>
      <c r="AQ250" s="454">
        <f t="shared" si="534"/>
        <v>1</v>
      </c>
      <c r="AR250" s="455">
        <f t="shared" si="535"/>
        <v>700000</v>
      </c>
      <c r="AS250" s="455">
        <f t="shared" si="536"/>
        <v>91000</v>
      </c>
      <c r="AT250" s="102">
        <f t="shared" si="537"/>
        <v>0</v>
      </c>
      <c r="AU250" s="116">
        <v>0.13</v>
      </c>
      <c r="AV250" s="565" t="str">
        <f>VLOOKUP(LEFT(AB250,10),Törzsszám!$A$1:$B$908,2,0)</f>
        <v>10000165</v>
      </c>
      <c r="AW250" s="681">
        <f t="shared" ca="1" si="538"/>
        <v>0</v>
      </c>
      <c r="AX250" s="456" t="s">
        <v>209</v>
      </c>
      <c r="AY250" s="486"/>
      <c r="AZ250" s="502" t="s">
        <v>4607</v>
      </c>
      <c r="BA250" s="671">
        <v>353982</v>
      </c>
      <c r="BB250" s="649">
        <v>46018</v>
      </c>
      <c r="BC250" s="649">
        <f t="shared" ca="1" si="607"/>
        <v>346018</v>
      </c>
      <c r="BD250" s="672">
        <f t="shared" ca="1" si="608"/>
        <v>44982</v>
      </c>
      <c r="BE250" s="450"/>
    </row>
    <row r="251" spans="1:59" s="492" customFormat="1" ht="31.5" x14ac:dyDescent="0.25">
      <c r="A251" s="694" t="str">
        <f ca="1">Bérköltség!$B251</f>
        <v>FEOR</v>
      </c>
      <c r="B251" s="694" t="str">
        <f ca="1">IFERROR(
IF(AND(Bérköltség!$F251="",H251="NA"),"HIÁNYOS ADATOK",
IF(Bérköltség!$F251&lt;Bérköltség!$U251,Admin!$B$18,Admin!$B$17)),
"")</f>
        <v>FEOR</v>
      </c>
      <c r="C251" s="437">
        <f>IFERROR(INDEX('Historikus berek_2021-2'!$A$1:$F$903,MATCH(AB251,'Historikus berek_2021-2'!$A$1:$A$903,0),4),"")</f>
        <v>586333.33333333337</v>
      </c>
      <c r="D251" s="438">
        <f t="shared" si="564"/>
        <v>586333.33333333337</v>
      </c>
      <c r="E251" s="437">
        <f t="shared" si="565"/>
        <v>700000</v>
      </c>
      <c r="F251" s="439">
        <f t="shared" si="566"/>
        <v>128443.33333333326</v>
      </c>
      <c r="G251" s="440">
        <f t="shared" si="567"/>
        <v>662556.66666666663</v>
      </c>
      <c r="H251" s="441">
        <f>IFERROR(INDEX('FEOR kodok'!$A$2:$J$1126,MATCH(Bérköltség!AB251,'FEOR kodok'!$B$2:$B$1126,0),8),"NA")</f>
        <v>2169</v>
      </c>
      <c r="I251" s="436">
        <f ca="1">IFERROR(INDEX('FEOR kodok'!$A$2:$J$1126,MATCH(Bérköltség!AB251,'FEOR kodok'!$B$2:$B$1126,0),10),"NA")</f>
        <v>42</v>
      </c>
      <c r="J251" s="442" t="str">
        <f t="shared" ca="1" si="568"/>
        <v>40–49 éves</v>
      </c>
      <c r="K251" s="436" t="str">
        <f>IFERROR(INDEX(admin_feor[#All],MATCH(Bérköltség!H251,admin_feor[[#All],[Foglalkozás]],0),2),"NA")</f>
        <v>Egyéb természettudományi foglalkozású</v>
      </c>
      <c r="L251" s="438">
        <f ca="1">IFERROR(
INDEX('Admin - FEOR'!$A$4:$F$465,MATCH(Bérköltség!H251,'Admin - FEOR'!$A$4:$A$465,0),
IF(J251="30 év alatt",3,
IF(J251="30–39 éves",4,
IF(J251="40–49 éves",5,
IF(J251="50 év és afelett",6
)))))*1,"NA")</f>
        <v>758214</v>
      </c>
      <c r="M251" s="438">
        <f t="shared" si="569"/>
        <v>700000</v>
      </c>
      <c r="N251" s="443">
        <f t="shared" ca="1" si="570"/>
        <v>0.92322220375777819</v>
      </c>
      <c r="O251" s="438">
        <f ca="1">IFERROR(
INDEX('Admin - FEOR'!$A$4:$F$465,MATCH(Bérköltség!H251,'Admin - FEOR'!$A$4:$A$465,0),
IF(J251="30 év alatt",3,
IF(J251="30–39 éves",4,
IF(J251="40–49 éves",5,
IF(J251="50 év és afelett",6
)))))*1.5,"NA")</f>
        <v>1137321</v>
      </c>
      <c r="P251" s="438">
        <f t="shared" ca="1" si="571"/>
        <v>1137321</v>
      </c>
      <c r="Q251" s="438">
        <f t="shared" si="572"/>
        <v>700000</v>
      </c>
      <c r="R251" s="444">
        <f t="shared" si="573"/>
        <v>1</v>
      </c>
      <c r="S251" s="438">
        <f t="shared" ca="1" si="574"/>
        <v>0</v>
      </c>
      <c r="T251" s="438">
        <f t="shared" ca="1" si="575"/>
        <v>0</v>
      </c>
      <c r="U251" s="445">
        <f t="shared" ca="1" si="576"/>
        <v>0</v>
      </c>
      <c r="V251" s="446">
        <f t="shared" ca="1" si="577"/>
        <v>791000</v>
      </c>
      <c r="W251" s="447" t="str">
        <f t="shared" ca="1" si="578"/>
        <v>Nem szükséges indoklás.</v>
      </c>
      <c r="X251" s="571">
        <f t="shared" ca="1" si="579"/>
        <v>0</v>
      </c>
      <c r="Y251" s="554">
        <f t="shared" ca="1" si="580"/>
        <v>700000</v>
      </c>
      <c r="Z251" s="554">
        <f t="shared" ca="1" si="581"/>
        <v>91000</v>
      </c>
      <c r="AA251" s="573">
        <v>2</v>
      </c>
      <c r="AB251" s="448">
        <v>8417671102</v>
      </c>
      <c r="AC251" s="449" t="s">
        <v>156</v>
      </c>
      <c r="AD251" s="483" t="s">
        <v>45</v>
      </c>
      <c r="AE251" s="450" t="s">
        <v>158</v>
      </c>
      <c r="AF251" s="99" t="s">
        <v>119</v>
      </c>
      <c r="AG251" s="99" t="s">
        <v>157</v>
      </c>
      <c r="AH251" s="451" t="s">
        <v>131</v>
      </c>
      <c r="AI251" s="154">
        <v>44774</v>
      </c>
      <c r="AJ251" s="100" t="str">
        <f>IF(AI251&gt;0,
(IF(AI251&lt;Hónapok!$A$10,Admin!$A$28,
(IF(AI251&lt;Hónapok!$A$22,Admin!$B$28,
(IF(AI251&lt;Hónapok!$A$34,Admin!$C$28,
(IF(AI251&lt;Hónapok!$A$46,Admin!$D$28,"")))))))),"")</f>
        <v>2. mérföldkő</v>
      </c>
      <c r="AK251" s="469" t="s">
        <v>7</v>
      </c>
      <c r="AL251" s="101" t="s">
        <v>26</v>
      </c>
      <c r="AM251" s="900">
        <v>700000</v>
      </c>
      <c r="AN251" s="860">
        <f t="shared" si="582"/>
        <v>91000</v>
      </c>
      <c r="AO251" s="101">
        <v>174</v>
      </c>
      <c r="AP251" s="111">
        <v>174</v>
      </c>
      <c r="AQ251" s="454">
        <f t="shared" si="534"/>
        <v>1</v>
      </c>
      <c r="AR251" s="455">
        <f t="shared" si="535"/>
        <v>700000</v>
      </c>
      <c r="AS251" s="455">
        <f t="shared" si="536"/>
        <v>91000</v>
      </c>
      <c r="AT251" s="102">
        <f t="shared" si="537"/>
        <v>0</v>
      </c>
      <c r="AU251" s="116">
        <v>0.13</v>
      </c>
      <c r="AV251" s="565" t="str">
        <f>VLOOKUP(LEFT(AB251,10),Törzsszám!$A$1:$B$908,2,0)</f>
        <v>10000165</v>
      </c>
      <c r="AW251" s="681">
        <f t="shared" ca="1" si="538"/>
        <v>0</v>
      </c>
      <c r="AX251" s="456" t="s">
        <v>218</v>
      </c>
      <c r="AY251" s="486"/>
      <c r="AZ251" s="502" t="s">
        <v>4607</v>
      </c>
      <c r="BA251" s="671">
        <v>353982</v>
      </c>
      <c r="BB251" s="649">
        <v>46018</v>
      </c>
      <c r="BC251" s="649">
        <f t="shared" ca="1" si="607"/>
        <v>346018</v>
      </c>
      <c r="BD251" s="672">
        <f t="shared" ca="1" si="608"/>
        <v>44982</v>
      </c>
      <c r="BE251" s="450"/>
    </row>
    <row r="252" spans="1:59" s="457" customFormat="1" ht="31.5" x14ac:dyDescent="0.25">
      <c r="A252" s="694" t="str">
        <f ca="1">Bérköltség!$B252</f>
        <v>FEOR</v>
      </c>
      <c r="B252" s="694" t="str">
        <f ca="1">IFERROR(
IF(AND(Bérköltség!$F252="",H252="NA"),"HIÁNYOS ADATOK",
IF(Bérköltség!$F252&lt;Bérköltség!$U252,Admin!$B$18,Admin!$B$17)),
"")</f>
        <v>FEOR</v>
      </c>
      <c r="C252" s="437">
        <f>IFERROR(INDEX('Historikus berek_2021-2'!$A$1:$F$903,MATCH(AB252,'Historikus berek_2021-2'!$A$1:$A$903,0),4),"")</f>
        <v>586333.33333333337</v>
      </c>
      <c r="D252" s="438">
        <f t="shared" si="564"/>
        <v>586333.33333333337</v>
      </c>
      <c r="E252" s="437">
        <f t="shared" si="565"/>
        <v>700000</v>
      </c>
      <c r="F252" s="439">
        <f t="shared" si="566"/>
        <v>128443.33333333326</v>
      </c>
      <c r="G252" s="440">
        <f t="shared" si="567"/>
        <v>662556.66666666663</v>
      </c>
      <c r="H252" s="441">
        <f>IFERROR(INDEX('FEOR kodok'!$A$2:$J$1126,MATCH(Bérköltség!AB252,'FEOR kodok'!$B$2:$B$1126,0),8),"NA")</f>
        <v>2169</v>
      </c>
      <c r="I252" s="436">
        <f ca="1">IFERROR(INDEX('FEOR kodok'!$A$2:$J$1126,MATCH(Bérköltség!AB252,'FEOR kodok'!$B$2:$B$1126,0),10),"NA")</f>
        <v>42</v>
      </c>
      <c r="J252" s="442" t="str">
        <f t="shared" ca="1" si="568"/>
        <v>40–49 éves</v>
      </c>
      <c r="K252" s="436" t="str">
        <f>IFERROR(INDEX(admin_feor[#All],MATCH(Bérköltség!H252,admin_feor[[#All],[Foglalkozás]],0),2),"NA")</f>
        <v>Egyéb természettudományi foglalkozású</v>
      </c>
      <c r="L252" s="438">
        <f ca="1">IFERROR(
INDEX('Admin - FEOR'!$A$4:$F$465,MATCH(Bérköltség!H252,'Admin - FEOR'!$A$4:$A$465,0),
IF(J252="30 év alatt",3,
IF(J252="30–39 éves",4,
IF(J252="40–49 éves",5,
IF(J252="50 év és afelett",6
)))))*1,"NA")</f>
        <v>758214</v>
      </c>
      <c r="M252" s="438">
        <f t="shared" si="569"/>
        <v>700000</v>
      </c>
      <c r="N252" s="443">
        <f t="shared" ca="1" si="570"/>
        <v>0.92322220375777819</v>
      </c>
      <c r="O252" s="438">
        <f ca="1">IFERROR(
INDEX('Admin - FEOR'!$A$4:$F$465,MATCH(Bérköltség!H252,'Admin - FEOR'!$A$4:$A$465,0),
IF(J252="30 év alatt",3,
IF(J252="30–39 éves",4,
IF(J252="40–49 éves",5,
IF(J252="50 év és afelett",6
)))))*1.5,"NA")</f>
        <v>1137321</v>
      </c>
      <c r="P252" s="438">
        <f t="shared" ca="1" si="571"/>
        <v>1137321</v>
      </c>
      <c r="Q252" s="438">
        <f t="shared" si="572"/>
        <v>700000</v>
      </c>
      <c r="R252" s="444">
        <f t="shared" si="573"/>
        <v>1</v>
      </c>
      <c r="S252" s="438">
        <f t="shared" ca="1" si="574"/>
        <v>0</v>
      </c>
      <c r="T252" s="438">
        <f t="shared" ca="1" si="575"/>
        <v>0</v>
      </c>
      <c r="U252" s="445">
        <f t="shared" ca="1" si="576"/>
        <v>0</v>
      </c>
      <c r="V252" s="446">
        <f t="shared" ca="1" si="577"/>
        <v>791000</v>
      </c>
      <c r="W252" s="447" t="str">
        <f t="shared" ca="1" si="578"/>
        <v>Nem szükséges indoklás.</v>
      </c>
      <c r="X252" s="571">
        <f t="shared" ca="1" si="579"/>
        <v>0</v>
      </c>
      <c r="Y252" s="554">
        <f t="shared" ca="1" si="580"/>
        <v>700000</v>
      </c>
      <c r="Z252" s="554">
        <f t="shared" ca="1" si="581"/>
        <v>91000</v>
      </c>
      <c r="AA252" s="573">
        <v>2</v>
      </c>
      <c r="AB252" s="448">
        <v>8417671102</v>
      </c>
      <c r="AC252" s="449" t="s">
        <v>156</v>
      </c>
      <c r="AD252" s="483" t="s">
        <v>45</v>
      </c>
      <c r="AE252" s="450" t="s">
        <v>158</v>
      </c>
      <c r="AF252" s="99" t="s">
        <v>119</v>
      </c>
      <c r="AG252" s="99" t="s">
        <v>157</v>
      </c>
      <c r="AH252" s="451" t="s">
        <v>131</v>
      </c>
      <c r="AI252" s="154">
        <v>44805</v>
      </c>
      <c r="AJ252" s="100" t="str">
        <f>IF(AI252&gt;0,
(IF(AI252&lt;Hónapok!$A$10,Admin!$A$28,
(IF(AI252&lt;Hónapok!$A$22,Admin!$B$28,
(IF(AI252&lt;Hónapok!$A$34,Admin!$C$28,
(IF(AI252&lt;Hónapok!$A$46,Admin!$D$28,"")))))))),"")</f>
        <v>2. mérföldkő</v>
      </c>
      <c r="AK252" s="467" t="s">
        <v>7</v>
      </c>
      <c r="AL252" s="101" t="s">
        <v>26</v>
      </c>
      <c r="AM252" s="900">
        <v>700000</v>
      </c>
      <c r="AN252" s="860">
        <f t="shared" si="582"/>
        <v>91000</v>
      </c>
      <c r="AO252" s="101">
        <v>174</v>
      </c>
      <c r="AP252" s="111">
        <v>174</v>
      </c>
      <c r="AQ252" s="454">
        <f t="shared" si="534"/>
        <v>1</v>
      </c>
      <c r="AR252" s="455">
        <f t="shared" si="535"/>
        <v>700000</v>
      </c>
      <c r="AS252" s="455">
        <f t="shared" si="536"/>
        <v>91000</v>
      </c>
      <c r="AT252" s="102">
        <f t="shared" si="537"/>
        <v>0</v>
      </c>
      <c r="AU252" s="116">
        <v>0.13</v>
      </c>
      <c r="AV252" s="565" t="str">
        <f>VLOOKUP(LEFT(AB252,10),Törzsszám!$A$1:$B$908,2,0)</f>
        <v>10000165</v>
      </c>
      <c r="AW252" s="681">
        <f t="shared" ca="1" si="538"/>
        <v>0</v>
      </c>
      <c r="AX252" s="468" t="s">
        <v>228</v>
      </c>
      <c r="AY252" s="486"/>
      <c r="AZ252" s="502" t="s">
        <v>4607</v>
      </c>
      <c r="BA252" s="671">
        <v>353982</v>
      </c>
      <c r="BB252" s="649">
        <v>46018</v>
      </c>
      <c r="BC252" s="649">
        <f t="shared" ca="1" si="607"/>
        <v>346018</v>
      </c>
      <c r="BD252" s="672">
        <f t="shared" ca="1" si="608"/>
        <v>44982</v>
      </c>
      <c r="BE252" s="450"/>
      <c r="BF252" s="487"/>
    </row>
    <row r="253" spans="1:59" s="457" customFormat="1" ht="31.5" x14ac:dyDescent="0.25">
      <c r="A253" s="694" t="str">
        <f ca="1">Bérköltség!$B253</f>
        <v>FEOR</v>
      </c>
      <c r="B253" s="694" t="str">
        <f ca="1">IFERROR(
IF(AND(Bérköltség!$F253="",H253="NA"),"HIÁNYOS ADATOK",
IF(Bérköltség!$F253&lt;Bérköltség!$U253,Admin!$B$18,Admin!$B$17)),
"")</f>
        <v>FEOR</v>
      </c>
      <c r="C253" s="437">
        <f>IFERROR(INDEX('Historikus berek_2021-2'!$A$1:$F$903,MATCH(AB253,'Historikus berek_2021-2'!$A$1:$A$903,0),4),"")</f>
        <v>586333.33333333337</v>
      </c>
      <c r="D253" s="438">
        <f t="shared" si="564"/>
        <v>586333.33333333337</v>
      </c>
      <c r="E253" s="437">
        <f t="shared" si="565"/>
        <v>700000</v>
      </c>
      <c r="F253" s="439">
        <f t="shared" si="566"/>
        <v>128443.33333333326</v>
      </c>
      <c r="G253" s="440">
        <f t="shared" si="567"/>
        <v>662556.66666666663</v>
      </c>
      <c r="H253" s="441">
        <f>IFERROR(INDEX('FEOR kodok'!$A$2:$J$1126,MATCH(Bérköltség!AB253,'FEOR kodok'!$B$2:$B$1126,0),8),"NA")</f>
        <v>2169</v>
      </c>
      <c r="I253" s="436">
        <f ca="1">IFERROR(INDEX('FEOR kodok'!$A$2:$J$1126,MATCH(Bérköltség!AB253,'FEOR kodok'!$B$2:$B$1126,0),10),"NA")</f>
        <v>42</v>
      </c>
      <c r="J253" s="442" t="str">
        <f t="shared" ca="1" si="568"/>
        <v>40–49 éves</v>
      </c>
      <c r="K253" s="436" t="str">
        <f>IFERROR(INDEX(admin_feor[#All],MATCH(Bérköltség!H253,admin_feor[[#All],[Foglalkozás]],0),2),"NA")</f>
        <v>Egyéb természettudományi foglalkozású</v>
      </c>
      <c r="L253" s="438">
        <f ca="1">IFERROR(
INDEX('Admin - FEOR'!$A$4:$F$465,MATCH(Bérköltség!H253,'Admin - FEOR'!$A$4:$A$465,0),
IF(J253="30 év alatt",3,
IF(J253="30–39 éves",4,
IF(J253="40–49 éves",5,
IF(J253="50 év és afelett",6
)))))*1,"NA")</f>
        <v>758214</v>
      </c>
      <c r="M253" s="438">
        <f t="shared" si="569"/>
        <v>700000</v>
      </c>
      <c r="N253" s="443">
        <f t="shared" ca="1" si="570"/>
        <v>0.92322220375777819</v>
      </c>
      <c r="O253" s="438">
        <f ca="1">IFERROR(
INDEX('Admin - FEOR'!$A$4:$F$465,MATCH(Bérköltség!H253,'Admin - FEOR'!$A$4:$A$465,0),
IF(J253="30 év alatt",3,
IF(J253="30–39 éves",4,
IF(J253="40–49 éves",5,
IF(J253="50 év és afelett",6
)))))*1.5,"NA")</f>
        <v>1137321</v>
      </c>
      <c r="P253" s="438">
        <f t="shared" ca="1" si="571"/>
        <v>1137321</v>
      </c>
      <c r="Q253" s="438">
        <f t="shared" si="572"/>
        <v>700000</v>
      </c>
      <c r="R253" s="444">
        <f t="shared" si="573"/>
        <v>1</v>
      </c>
      <c r="S253" s="438">
        <f t="shared" ca="1" si="574"/>
        <v>0</v>
      </c>
      <c r="T253" s="438">
        <f t="shared" ca="1" si="575"/>
        <v>0</v>
      </c>
      <c r="U253" s="445">
        <f t="shared" ca="1" si="576"/>
        <v>0</v>
      </c>
      <c r="V253" s="446">
        <f t="shared" ca="1" si="577"/>
        <v>791000</v>
      </c>
      <c r="W253" s="447" t="str">
        <f t="shared" ca="1" si="578"/>
        <v>Nem szükséges indoklás.</v>
      </c>
      <c r="X253" s="571">
        <f t="shared" ca="1" si="579"/>
        <v>0</v>
      </c>
      <c r="Y253" s="554">
        <f t="shared" ca="1" si="580"/>
        <v>700000</v>
      </c>
      <c r="Z253" s="554">
        <f t="shared" ca="1" si="581"/>
        <v>91000</v>
      </c>
      <c r="AA253" s="573">
        <v>2</v>
      </c>
      <c r="AB253" s="448">
        <v>8417671102</v>
      </c>
      <c r="AC253" s="449" t="s">
        <v>156</v>
      </c>
      <c r="AD253" s="482" t="s">
        <v>45</v>
      </c>
      <c r="AE253" s="450" t="s">
        <v>158</v>
      </c>
      <c r="AF253" s="99" t="s">
        <v>119</v>
      </c>
      <c r="AG253" s="99" t="s">
        <v>157</v>
      </c>
      <c r="AH253" s="451" t="s">
        <v>131</v>
      </c>
      <c r="AI253" s="154">
        <v>44835</v>
      </c>
      <c r="AJ253" s="100" t="str">
        <f>IF(AI253&gt;0,
(IF(AI253&lt;Hónapok!$A$10,Admin!$A$28,
(IF(AI253&lt;Hónapok!$A$22,Admin!$B$28,
(IF(AI253&lt;Hónapok!$A$34,Admin!$C$28,
(IF(AI253&lt;Hónapok!$A$46,Admin!$D$28,"")))))))),"")</f>
        <v>2. mérföldkő</v>
      </c>
      <c r="AK253" s="467" t="s">
        <v>7</v>
      </c>
      <c r="AL253" s="101" t="s">
        <v>26</v>
      </c>
      <c r="AM253" s="900">
        <v>700000</v>
      </c>
      <c r="AN253" s="860">
        <f t="shared" si="582"/>
        <v>91000</v>
      </c>
      <c r="AO253" s="101">
        <v>174</v>
      </c>
      <c r="AP253" s="111">
        <v>174</v>
      </c>
      <c r="AQ253" s="454">
        <f t="shared" si="534"/>
        <v>1</v>
      </c>
      <c r="AR253" s="455">
        <f t="shared" si="535"/>
        <v>700000</v>
      </c>
      <c r="AS253" s="455">
        <f t="shared" si="536"/>
        <v>91000</v>
      </c>
      <c r="AT253" s="102">
        <f t="shared" si="537"/>
        <v>0</v>
      </c>
      <c r="AU253" s="116">
        <v>0.13</v>
      </c>
      <c r="AV253" s="565" t="str">
        <f>VLOOKUP(LEFT(AB253,10),Törzsszám!$A$1:$B$908,2,0)</f>
        <v>10000165</v>
      </c>
      <c r="AW253" s="681">
        <f t="shared" ca="1" si="538"/>
        <v>0</v>
      </c>
      <c r="AX253" s="468" t="s">
        <v>251</v>
      </c>
      <c r="AY253" s="486"/>
      <c r="AZ253" s="502" t="s">
        <v>4607</v>
      </c>
      <c r="BA253" s="671">
        <v>353982</v>
      </c>
      <c r="BB253" s="649">
        <v>46018</v>
      </c>
      <c r="BC253" s="649">
        <f t="shared" ca="1" si="607"/>
        <v>346018</v>
      </c>
      <c r="BD253" s="672">
        <f t="shared" ca="1" si="608"/>
        <v>44982</v>
      </c>
      <c r="BE253" s="450"/>
      <c r="BF253" s="487"/>
    </row>
    <row r="254" spans="1:59" s="457" customFormat="1" ht="31.5" x14ac:dyDescent="0.25">
      <c r="A254" s="694" t="str">
        <f ca="1">Bérköltség!$B254</f>
        <v>FEOR</v>
      </c>
      <c r="B254" s="694" t="str">
        <f ca="1">IFERROR(
IF(AND(Bérköltség!$F254="",H254="NA"),"HIÁNYOS ADATOK",
IF(Bérköltség!$F254&lt;Bérköltség!$U254,Admin!$B$18,Admin!$B$17)),
"")</f>
        <v>FEOR</v>
      </c>
      <c r="C254" s="437">
        <f>IFERROR(INDEX('Historikus berek_2021-2'!$A$1:$F$903,MATCH(AB254,'Historikus berek_2021-2'!$A$1:$A$903,0),4),"")</f>
        <v>586333.33333333337</v>
      </c>
      <c r="D254" s="438">
        <f t="shared" si="564"/>
        <v>586333.33333333337</v>
      </c>
      <c r="E254" s="437">
        <f t="shared" si="565"/>
        <v>700000</v>
      </c>
      <c r="F254" s="439">
        <f t="shared" si="566"/>
        <v>128443.33333333326</v>
      </c>
      <c r="G254" s="440">
        <f t="shared" si="567"/>
        <v>662556.66666666663</v>
      </c>
      <c r="H254" s="441">
        <f>IFERROR(INDEX('FEOR kodok'!$A$2:$J$1126,MATCH(Bérköltség!AB254,'FEOR kodok'!$B$2:$B$1126,0),8),"NA")</f>
        <v>2169</v>
      </c>
      <c r="I254" s="436">
        <f ca="1">IFERROR(INDEX('FEOR kodok'!$A$2:$J$1126,MATCH(Bérköltség!AB254,'FEOR kodok'!$B$2:$B$1126,0),10),"NA")</f>
        <v>42</v>
      </c>
      <c r="J254" s="442" t="str">
        <f t="shared" ca="1" si="568"/>
        <v>40–49 éves</v>
      </c>
      <c r="K254" s="436" t="str">
        <f>IFERROR(INDEX(admin_feor[#All],MATCH(Bérköltség!H254,admin_feor[[#All],[Foglalkozás]],0),2),"NA")</f>
        <v>Egyéb természettudományi foglalkozású</v>
      </c>
      <c r="L254" s="438">
        <f ca="1">IFERROR(
INDEX('Admin - FEOR'!$A$4:$F$465,MATCH(Bérköltség!H254,'Admin - FEOR'!$A$4:$A$465,0),
IF(J254="30 év alatt",3,
IF(J254="30–39 éves",4,
IF(J254="40–49 éves",5,
IF(J254="50 év és afelett",6
)))))*1,"NA")</f>
        <v>758214</v>
      </c>
      <c r="M254" s="438">
        <f t="shared" si="569"/>
        <v>700000</v>
      </c>
      <c r="N254" s="443">
        <f t="shared" ca="1" si="570"/>
        <v>0.92322220375777819</v>
      </c>
      <c r="O254" s="438">
        <f ca="1">IFERROR(
INDEX('Admin - FEOR'!$A$4:$F$465,MATCH(Bérköltség!H254,'Admin - FEOR'!$A$4:$A$465,0),
IF(J254="30 év alatt",3,
IF(J254="30–39 éves",4,
IF(J254="40–49 éves",5,
IF(J254="50 év és afelett",6
)))))*1.5,"NA")</f>
        <v>1137321</v>
      </c>
      <c r="P254" s="438">
        <f t="shared" ca="1" si="571"/>
        <v>1137321</v>
      </c>
      <c r="Q254" s="438">
        <f t="shared" si="572"/>
        <v>700000</v>
      </c>
      <c r="R254" s="444">
        <f t="shared" si="573"/>
        <v>1</v>
      </c>
      <c r="S254" s="438">
        <f t="shared" ca="1" si="574"/>
        <v>0</v>
      </c>
      <c r="T254" s="438">
        <f t="shared" ca="1" si="575"/>
        <v>0</v>
      </c>
      <c r="U254" s="445">
        <f t="shared" ca="1" si="576"/>
        <v>0</v>
      </c>
      <c r="V254" s="446">
        <f t="shared" ca="1" si="577"/>
        <v>791000</v>
      </c>
      <c r="W254" s="447" t="str">
        <f t="shared" ca="1" si="578"/>
        <v>Nem szükséges indoklás.</v>
      </c>
      <c r="X254" s="571">
        <f t="shared" ca="1" si="579"/>
        <v>0</v>
      </c>
      <c r="Y254" s="554">
        <f t="shared" ca="1" si="580"/>
        <v>700000</v>
      </c>
      <c r="Z254" s="554">
        <f t="shared" ca="1" si="581"/>
        <v>91000</v>
      </c>
      <c r="AA254" s="573">
        <v>2</v>
      </c>
      <c r="AB254" s="448">
        <v>8417671102</v>
      </c>
      <c r="AC254" s="449" t="s">
        <v>156</v>
      </c>
      <c r="AD254" s="483" t="s">
        <v>45</v>
      </c>
      <c r="AE254" s="450" t="s">
        <v>158</v>
      </c>
      <c r="AF254" s="99" t="s">
        <v>119</v>
      </c>
      <c r="AG254" s="99" t="s">
        <v>157</v>
      </c>
      <c r="AH254" s="451" t="s">
        <v>131</v>
      </c>
      <c r="AI254" s="154">
        <v>44866</v>
      </c>
      <c r="AJ254" s="100" t="str">
        <f>IF(AI254&gt;0,
(IF(AI254&lt;Hónapok!$A$10,Admin!$A$28,
(IF(AI254&lt;Hónapok!$A$22,Admin!$B$28,
(IF(AI254&lt;Hónapok!$A$34,Admin!$C$28,
(IF(AI254&lt;Hónapok!$A$46,Admin!$D$28,"")))))))),"")</f>
        <v>2. mérföldkő</v>
      </c>
      <c r="AK254" s="469" t="s">
        <v>7</v>
      </c>
      <c r="AL254" s="101" t="s">
        <v>26</v>
      </c>
      <c r="AM254" s="900">
        <v>700000</v>
      </c>
      <c r="AN254" s="860">
        <f t="shared" si="582"/>
        <v>91000</v>
      </c>
      <c r="AO254" s="101">
        <v>174</v>
      </c>
      <c r="AP254" s="111">
        <v>174</v>
      </c>
      <c r="AQ254" s="454">
        <f t="shared" si="534"/>
        <v>1</v>
      </c>
      <c r="AR254" s="455">
        <f t="shared" si="535"/>
        <v>700000</v>
      </c>
      <c r="AS254" s="455">
        <f t="shared" si="536"/>
        <v>91000</v>
      </c>
      <c r="AT254" s="102">
        <f t="shared" si="537"/>
        <v>0</v>
      </c>
      <c r="AU254" s="116">
        <v>0.13</v>
      </c>
      <c r="AV254" s="565" t="str">
        <f>VLOOKUP(LEFT(AB254,10),Törzsszám!$A$1:$B$908,2,0)</f>
        <v>10000165</v>
      </c>
      <c r="AW254" s="681">
        <f t="shared" ca="1" si="538"/>
        <v>0</v>
      </c>
      <c r="AX254" s="468" t="s">
        <v>260</v>
      </c>
      <c r="AY254" s="486"/>
      <c r="AZ254" s="502" t="s">
        <v>4607</v>
      </c>
      <c r="BA254" s="671">
        <v>353982</v>
      </c>
      <c r="BB254" s="649">
        <v>46018</v>
      </c>
      <c r="BC254" s="649">
        <f t="shared" ca="1" si="607"/>
        <v>346018</v>
      </c>
      <c r="BD254" s="672">
        <f t="shared" ca="1" si="608"/>
        <v>44982</v>
      </c>
      <c r="BE254" s="450"/>
      <c r="BF254" s="487"/>
    </row>
    <row r="255" spans="1:59" s="457" customFormat="1" ht="31.5" x14ac:dyDescent="0.25">
      <c r="A255" s="694" t="str">
        <f ca="1">Bérköltség!$B255</f>
        <v>FEOR</v>
      </c>
      <c r="B255" s="694" t="str">
        <f ca="1">IFERROR(
IF(AND(Bérköltség!$F255="",H255="NA"),"HIÁNYOS ADATOK",
IF(Bérköltség!$F255&lt;Bérköltség!$U255,Admin!$B$18,Admin!$B$17)),
"")</f>
        <v>FEOR</v>
      </c>
      <c r="C255" s="437">
        <f>IFERROR(INDEX('Historikus berek_2021-2'!$A$1:$F$903,MATCH(AB255,'Historikus berek_2021-2'!$A$1:$A$903,0),4),"")</f>
        <v>586333.33333333337</v>
      </c>
      <c r="D255" s="438">
        <f t="shared" si="564"/>
        <v>586333.33333333337</v>
      </c>
      <c r="E255" s="437">
        <f t="shared" si="565"/>
        <v>700000</v>
      </c>
      <c r="F255" s="439">
        <f t="shared" si="566"/>
        <v>128443.33333333326</v>
      </c>
      <c r="G255" s="440">
        <f t="shared" si="567"/>
        <v>662556.66666666663</v>
      </c>
      <c r="H255" s="441">
        <f>IFERROR(INDEX('FEOR kodok'!$A$2:$J$1126,MATCH(Bérköltség!AB255,'FEOR kodok'!$B$2:$B$1126,0),8),"NA")</f>
        <v>2169</v>
      </c>
      <c r="I255" s="436">
        <f ca="1">IFERROR(INDEX('FEOR kodok'!$A$2:$J$1126,MATCH(Bérköltség!AB255,'FEOR kodok'!$B$2:$B$1126,0),10),"NA")</f>
        <v>42</v>
      </c>
      <c r="J255" s="442" t="str">
        <f t="shared" ca="1" si="568"/>
        <v>40–49 éves</v>
      </c>
      <c r="K255" s="436" t="str">
        <f>IFERROR(INDEX(admin_feor[#All],MATCH(Bérköltség!H255,admin_feor[[#All],[Foglalkozás]],0),2),"NA")</f>
        <v>Egyéb természettudományi foglalkozású</v>
      </c>
      <c r="L255" s="438">
        <f ca="1">IFERROR(
INDEX('Admin - FEOR'!$A$4:$F$465,MATCH(Bérköltség!H255,'Admin - FEOR'!$A$4:$A$465,0),
IF(J255="30 év alatt",3,
IF(J255="30–39 éves",4,
IF(J255="40–49 éves",5,
IF(J255="50 év és afelett",6
)))))*1,"NA")</f>
        <v>758214</v>
      </c>
      <c r="M255" s="438">
        <f t="shared" si="569"/>
        <v>700000</v>
      </c>
      <c r="N255" s="443">
        <f t="shared" ca="1" si="570"/>
        <v>0.92322220375777819</v>
      </c>
      <c r="O255" s="438">
        <f ca="1">IFERROR(
INDEX('Admin - FEOR'!$A$4:$F$465,MATCH(Bérköltség!H255,'Admin - FEOR'!$A$4:$A$465,0),
IF(J255="30 év alatt",3,
IF(J255="30–39 éves",4,
IF(J255="40–49 éves",5,
IF(J255="50 év és afelett",6
)))))*1.5,"NA")</f>
        <v>1137321</v>
      </c>
      <c r="P255" s="438">
        <f t="shared" ca="1" si="571"/>
        <v>1137321</v>
      </c>
      <c r="Q255" s="438">
        <f t="shared" si="572"/>
        <v>700000</v>
      </c>
      <c r="R255" s="444">
        <f t="shared" si="573"/>
        <v>1</v>
      </c>
      <c r="S255" s="438">
        <f t="shared" ca="1" si="574"/>
        <v>0</v>
      </c>
      <c r="T255" s="438">
        <f t="shared" ca="1" si="575"/>
        <v>0</v>
      </c>
      <c r="U255" s="445">
        <f t="shared" ca="1" si="576"/>
        <v>0</v>
      </c>
      <c r="V255" s="446">
        <f t="shared" ca="1" si="577"/>
        <v>791000</v>
      </c>
      <c r="W255" s="447" t="str">
        <f t="shared" ca="1" si="578"/>
        <v>Nem szükséges indoklás.</v>
      </c>
      <c r="X255" s="571">
        <f t="shared" ca="1" si="579"/>
        <v>0</v>
      </c>
      <c r="Y255" s="554">
        <f t="shared" ca="1" si="580"/>
        <v>700000</v>
      </c>
      <c r="Z255" s="554">
        <f t="shared" ca="1" si="581"/>
        <v>91000</v>
      </c>
      <c r="AA255" s="573">
        <v>2</v>
      </c>
      <c r="AB255" s="448">
        <v>8417671102</v>
      </c>
      <c r="AC255" s="449" t="s">
        <v>156</v>
      </c>
      <c r="AD255" s="483" t="s">
        <v>45</v>
      </c>
      <c r="AE255" s="450" t="s">
        <v>158</v>
      </c>
      <c r="AF255" s="99" t="s">
        <v>119</v>
      </c>
      <c r="AG255" s="99" t="s">
        <v>157</v>
      </c>
      <c r="AH255" s="451" t="s">
        <v>131</v>
      </c>
      <c r="AI255" s="154">
        <v>44896</v>
      </c>
      <c r="AJ255" s="100" t="str">
        <f>IF(AI255&gt;0,
(IF(AI255&lt;Hónapok!$A$10,Admin!$A$28,
(IF(AI255&lt;Hónapok!$A$22,Admin!$B$28,
(IF(AI255&lt;Hónapok!$A$34,Admin!$C$28,
(IF(AI255&lt;Hónapok!$A$46,Admin!$D$28,"")))))))),"")</f>
        <v>2. mérföldkő</v>
      </c>
      <c r="AK255" s="469" t="s">
        <v>7</v>
      </c>
      <c r="AL255" s="101" t="s">
        <v>26</v>
      </c>
      <c r="AM255" s="900">
        <v>700000</v>
      </c>
      <c r="AN255" s="860">
        <f t="shared" si="582"/>
        <v>91000</v>
      </c>
      <c r="AO255" s="101">
        <v>174</v>
      </c>
      <c r="AP255" s="111">
        <v>174</v>
      </c>
      <c r="AQ255" s="454">
        <f t="shared" si="534"/>
        <v>1</v>
      </c>
      <c r="AR255" s="455">
        <f t="shared" si="535"/>
        <v>700000</v>
      </c>
      <c r="AS255" s="455">
        <f t="shared" si="536"/>
        <v>91000</v>
      </c>
      <c r="AT255" s="102">
        <f t="shared" si="537"/>
        <v>0</v>
      </c>
      <c r="AU255" s="116">
        <v>0.13</v>
      </c>
      <c r="AV255" s="565" t="str">
        <f>VLOOKUP(LEFT(AB255,10),Törzsszám!$A$1:$B$908,2,0)</f>
        <v>10000165</v>
      </c>
      <c r="AW255" s="681">
        <f t="shared" ca="1" si="538"/>
        <v>0</v>
      </c>
      <c r="AX255" s="471" t="s">
        <v>262</v>
      </c>
      <c r="AY255" s="486"/>
      <c r="AZ255" s="502" t="s">
        <v>4607</v>
      </c>
      <c r="BA255" s="671">
        <v>353982</v>
      </c>
      <c r="BB255" s="649">
        <v>46018</v>
      </c>
      <c r="BC255" s="649">
        <f t="shared" ca="1" si="607"/>
        <v>346018</v>
      </c>
      <c r="BD255" s="672">
        <f t="shared" ca="1" si="608"/>
        <v>44982</v>
      </c>
      <c r="BE255" s="450"/>
      <c r="BF255" s="487"/>
    </row>
    <row r="256" spans="1:59" s="492" customFormat="1" ht="31.5" x14ac:dyDescent="0.25">
      <c r="A256" s="694" t="str">
        <f ca="1">Bérköltség!$B256</f>
        <v>FEOR</v>
      </c>
      <c r="B256" s="694" t="str">
        <f ca="1">IFERROR(
IF(AND(Bérköltség!$F256="",H256="NA"),"HIÁNYOS ADATOK",
IF(Bérköltség!$F256&lt;Bérköltség!$U256,Admin!$B$18,Admin!$B$17)),
"")</f>
        <v>FEOR</v>
      </c>
      <c r="C256" s="437">
        <f>IFERROR(INDEX('Historikus berek_2021-2'!$A$1:$F$903,MATCH(AB256,'Historikus berek_2021-2'!$A$1:$A$903,0),4),"")</f>
        <v>586333.33333333337</v>
      </c>
      <c r="D256" s="438">
        <f t="shared" si="564"/>
        <v>586333.33333333337</v>
      </c>
      <c r="E256" s="437">
        <f t="shared" si="565"/>
        <v>699999</v>
      </c>
      <c r="F256" s="439">
        <f t="shared" si="566"/>
        <v>128442.20333333325</v>
      </c>
      <c r="G256" s="440">
        <f t="shared" si="567"/>
        <v>662556.66666666663</v>
      </c>
      <c r="H256" s="441">
        <f>IFERROR(INDEX('FEOR kodok'!$A$2:$J$1126,MATCH(Bérköltség!AB256,'FEOR kodok'!$B$2:$B$1126,0),8),"NA")</f>
        <v>2169</v>
      </c>
      <c r="I256" s="436">
        <f ca="1">IFERROR(INDEX('FEOR kodok'!$A$2:$J$1126,MATCH(Bérköltség!AB256,'FEOR kodok'!$B$2:$B$1126,0),10),"NA")</f>
        <v>42</v>
      </c>
      <c r="J256" s="442" t="str">
        <f t="shared" ca="1" si="568"/>
        <v>40–49 éves</v>
      </c>
      <c r="K256" s="436" t="str">
        <f>IFERROR(INDEX(admin_feor[#All],MATCH(Bérköltség!H256,admin_feor[[#All],[Foglalkozás]],0),2),"NA")</f>
        <v>Egyéb természettudományi foglalkozású</v>
      </c>
      <c r="L256" s="438">
        <f ca="1">IFERROR(
INDEX('Admin - FEOR'!$A$4:$F$465,MATCH(Bérköltség!H256,'Admin - FEOR'!$A$4:$A$465,0),
IF(J256="30 év alatt",3,
IF(J256="30–39 éves",4,
IF(J256="40–49 éves",5,
IF(J256="50 év és afelett",6
)))))*1,"NA")</f>
        <v>758214</v>
      </c>
      <c r="M256" s="438">
        <f t="shared" si="569"/>
        <v>699999</v>
      </c>
      <c r="N256" s="443">
        <f t="shared" ca="1" si="570"/>
        <v>0.92322088486891563</v>
      </c>
      <c r="O256" s="438">
        <f ca="1">IFERROR(
INDEX('Admin - FEOR'!$A$4:$F$465,MATCH(Bérköltség!H256,'Admin - FEOR'!$A$4:$A$465,0),
IF(J256="30 év alatt",3,
IF(J256="30–39 éves",4,
IF(J256="40–49 éves",5,
IF(J256="50 év és afelett",6
)))))*1.5,"NA")</f>
        <v>1137321</v>
      </c>
      <c r="P256" s="438">
        <f t="shared" ca="1" si="571"/>
        <v>1137321</v>
      </c>
      <c r="Q256" s="438">
        <f t="shared" si="572"/>
        <v>699999</v>
      </c>
      <c r="R256" s="444">
        <f t="shared" si="573"/>
        <v>1</v>
      </c>
      <c r="S256" s="438">
        <f t="shared" ca="1" si="574"/>
        <v>0</v>
      </c>
      <c r="T256" s="438">
        <f t="shared" ca="1" si="575"/>
        <v>0</v>
      </c>
      <c r="U256" s="445">
        <f t="shared" ca="1" si="576"/>
        <v>0</v>
      </c>
      <c r="V256" s="446">
        <f t="shared" ca="1" si="577"/>
        <v>790999</v>
      </c>
      <c r="W256" s="447" t="str">
        <f t="shared" ca="1" si="578"/>
        <v>Nem szükséges indoklás.</v>
      </c>
      <c r="X256" s="571">
        <f t="shared" ca="1" si="579"/>
        <v>0</v>
      </c>
      <c r="Y256" s="554">
        <f t="shared" ca="1" si="580"/>
        <v>699999</v>
      </c>
      <c r="Z256" s="554">
        <f t="shared" ca="1" si="581"/>
        <v>91000</v>
      </c>
      <c r="AA256" s="573">
        <v>2</v>
      </c>
      <c r="AB256" s="448">
        <v>8417671102</v>
      </c>
      <c r="AC256" s="449" t="s">
        <v>156</v>
      </c>
      <c r="AD256" s="483" t="s">
        <v>45</v>
      </c>
      <c r="AE256" s="450" t="s">
        <v>158</v>
      </c>
      <c r="AF256" s="99" t="s">
        <v>119</v>
      </c>
      <c r="AG256" s="99" t="s">
        <v>157</v>
      </c>
      <c r="AH256" s="451" t="s">
        <v>131</v>
      </c>
      <c r="AI256" s="154">
        <v>44927</v>
      </c>
      <c r="AJ256" s="100" t="str">
        <f>IF(AI256&gt;0,
(IF(AI256&lt;Hónapok!$A$10,Admin!$A$28,
(IF(AI256&lt;Hónapok!$A$22,Admin!$B$28,
(IF(AI256&lt;Hónapok!$A$34,Admin!$C$28,
(IF(AI256&lt;Hónapok!$A$46,Admin!$D$28,"")))))))),"")</f>
        <v>2. mérföldkő</v>
      </c>
      <c r="AK256" s="469" t="s">
        <v>7</v>
      </c>
      <c r="AL256" s="101" t="s">
        <v>26</v>
      </c>
      <c r="AM256" s="900">
        <v>699999</v>
      </c>
      <c r="AN256" s="860">
        <f t="shared" si="582"/>
        <v>91000</v>
      </c>
      <c r="AO256" s="101">
        <v>174</v>
      </c>
      <c r="AP256" s="111">
        <v>174</v>
      </c>
      <c r="AQ256" s="454">
        <f t="shared" si="534"/>
        <v>1</v>
      </c>
      <c r="AR256" s="455">
        <f t="shared" si="535"/>
        <v>699999</v>
      </c>
      <c r="AS256" s="455">
        <f t="shared" si="536"/>
        <v>91000</v>
      </c>
      <c r="AT256" s="102">
        <f t="shared" si="537"/>
        <v>0</v>
      </c>
      <c r="AU256" s="116">
        <v>0.13</v>
      </c>
      <c r="AV256" s="565" t="str">
        <f>VLOOKUP(LEFT(AB256,10),Törzsszám!$A$1:$B$908,2,0)</f>
        <v>10000165</v>
      </c>
      <c r="AW256" s="615">
        <f t="shared" ca="1" si="538"/>
        <v>0</v>
      </c>
      <c r="AX256" s="471" t="s">
        <v>2518</v>
      </c>
      <c r="AY256" s="486"/>
      <c r="AZ256" s="502" t="s">
        <v>4607</v>
      </c>
      <c r="BA256" s="671">
        <v>353982</v>
      </c>
      <c r="BB256" s="649">
        <v>46018</v>
      </c>
      <c r="BC256" s="649">
        <f t="shared" ca="1" si="607"/>
        <v>346017</v>
      </c>
      <c r="BD256" s="672">
        <f t="shared" ca="1" si="608"/>
        <v>44982</v>
      </c>
      <c r="BE256" s="450"/>
    </row>
    <row r="257" spans="1:57" s="492" customFormat="1" ht="31.5" x14ac:dyDescent="0.25">
      <c r="A257" s="694" t="str">
        <f ca="1">Bérköltség!$B257</f>
        <v>FEOR</v>
      </c>
      <c r="B257" s="694" t="str">
        <f ca="1">IFERROR(
IF(AND(Bérköltség!$F257="",H257="NA"),"HIÁNYOS ADATOK",
IF(Bérköltség!$F257&lt;Bérköltség!$U257,Admin!$B$18,Admin!$B$17)),
"")</f>
        <v>FEOR</v>
      </c>
      <c r="C257" s="437">
        <f>IFERROR(INDEX('Historikus berek_2021-2'!$A$1:$F$903,MATCH(AB257,'Historikus berek_2021-2'!$A$1:$A$903,0),4),"")</f>
        <v>586333.33333333337</v>
      </c>
      <c r="D257" s="438">
        <f t="shared" si="564"/>
        <v>586333.33333333337</v>
      </c>
      <c r="E257" s="437">
        <f t="shared" si="565"/>
        <v>700000</v>
      </c>
      <c r="F257" s="439">
        <f t="shared" si="566"/>
        <v>128443.33333333326</v>
      </c>
      <c r="G257" s="440">
        <f t="shared" si="567"/>
        <v>662556.66666666663</v>
      </c>
      <c r="H257" s="441">
        <f>IFERROR(INDEX('FEOR kodok'!$A$2:$J$1126,MATCH(Bérköltség!AB257,'FEOR kodok'!$B$2:$B$1126,0),8),"NA")</f>
        <v>2169</v>
      </c>
      <c r="I257" s="436">
        <f ca="1">IFERROR(INDEX('FEOR kodok'!$A$2:$J$1126,MATCH(Bérköltség!AB257,'FEOR kodok'!$B$2:$B$1126,0),10),"NA")</f>
        <v>42</v>
      </c>
      <c r="J257" s="442" t="str">
        <f t="shared" ca="1" si="568"/>
        <v>40–49 éves</v>
      </c>
      <c r="K257" s="436" t="str">
        <f>IFERROR(INDEX(admin_feor[#All],MATCH(Bérköltség!H257,admin_feor[[#All],[Foglalkozás]],0),2),"NA")</f>
        <v>Egyéb természettudományi foglalkozású</v>
      </c>
      <c r="L257" s="438">
        <f ca="1">IFERROR(
INDEX('Admin - FEOR'!$A$4:$F$465,MATCH(Bérköltség!H257,'Admin - FEOR'!$A$4:$A$465,0),
IF(J257="30 év alatt",3,
IF(J257="30–39 éves",4,
IF(J257="40–49 éves",5,
IF(J257="50 év és afelett",6
)))))*1,"NA")</f>
        <v>758214</v>
      </c>
      <c r="M257" s="438">
        <f t="shared" si="569"/>
        <v>700000</v>
      </c>
      <c r="N257" s="443">
        <f t="shared" ca="1" si="570"/>
        <v>0.92322220375777819</v>
      </c>
      <c r="O257" s="438">
        <f ca="1">IFERROR(
INDEX('Admin - FEOR'!$A$4:$F$465,MATCH(Bérköltség!H257,'Admin - FEOR'!$A$4:$A$465,0),
IF(J257="30 év alatt",3,
IF(J257="30–39 éves",4,
IF(J257="40–49 éves",5,
IF(J257="50 év és afelett",6
)))))*1.5,"NA")</f>
        <v>1137321</v>
      </c>
      <c r="P257" s="438">
        <f t="shared" ca="1" si="571"/>
        <v>1137321</v>
      </c>
      <c r="Q257" s="438">
        <f t="shared" si="572"/>
        <v>700000</v>
      </c>
      <c r="R257" s="444">
        <f t="shared" si="573"/>
        <v>1</v>
      </c>
      <c r="S257" s="438">
        <f t="shared" ca="1" si="574"/>
        <v>0</v>
      </c>
      <c r="T257" s="438">
        <f t="shared" ca="1" si="575"/>
        <v>0</v>
      </c>
      <c r="U257" s="445">
        <f t="shared" ca="1" si="576"/>
        <v>0</v>
      </c>
      <c r="V257" s="446">
        <f t="shared" ca="1" si="577"/>
        <v>791000</v>
      </c>
      <c r="W257" s="447" t="str">
        <f t="shared" ca="1" si="578"/>
        <v>Nem szükséges indoklás.</v>
      </c>
      <c r="X257" s="571">
        <f t="shared" ca="1" si="579"/>
        <v>0</v>
      </c>
      <c r="Y257" s="554">
        <f t="shared" ca="1" si="580"/>
        <v>700000</v>
      </c>
      <c r="Z257" s="554">
        <f t="shared" ca="1" si="581"/>
        <v>91000</v>
      </c>
      <c r="AA257" s="101"/>
      <c r="AB257" s="448">
        <v>8417671102</v>
      </c>
      <c r="AC257" s="449" t="s">
        <v>156</v>
      </c>
      <c r="AD257" s="482" t="s">
        <v>45</v>
      </c>
      <c r="AE257" s="450" t="s">
        <v>158</v>
      </c>
      <c r="AF257" s="99" t="s">
        <v>119</v>
      </c>
      <c r="AG257" s="99" t="s">
        <v>157</v>
      </c>
      <c r="AH257" s="451" t="s">
        <v>131</v>
      </c>
      <c r="AI257" s="154">
        <v>44958</v>
      </c>
      <c r="AJ257" s="100" t="str">
        <f>IF(AI257&gt;0,
(IF(AI257&lt;Hónapok!$A$10,Admin!$A$28,
(IF(AI257&lt;Hónapok!$A$22,Admin!$B$28,
(IF(AI257&lt;Hónapok!$A$34,Admin!$C$28,
(IF(AI257&lt;Hónapok!$A$46,Admin!$D$28,"")))))))),"")</f>
        <v>2. mérföldkő</v>
      </c>
      <c r="AK257" s="469" t="s">
        <v>7</v>
      </c>
      <c r="AL257" s="101" t="s">
        <v>26</v>
      </c>
      <c r="AM257" s="900">
        <v>700000</v>
      </c>
      <c r="AN257" s="860">
        <f t="shared" si="582"/>
        <v>91000</v>
      </c>
      <c r="AO257" s="101">
        <v>174</v>
      </c>
      <c r="AP257" s="111">
        <v>174</v>
      </c>
      <c r="AQ257" s="454">
        <f t="shared" si="534"/>
        <v>1</v>
      </c>
      <c r="AR257" s="455">
        <f t="shared" si="535"/>
        <v>700000</v>
      </c>
      <c r="AS257" s="455">
        <f t="shared" si="536"/>
        <v>91000</v>
      </c>
      <c r="AT257" s="102">
        <f t="shared" si="537"/>
        <v>0</v>
      </c>
      <c r="AU257" s="116">
        <v>0.13</v>
      </c>
      <c r="AV257" s="565" t="str">
        <f>VLOOKUP(LEFT(AB257,10),Törzsszám!$A$1:$B$908,2,0)</f>
        <v>10000165</v>
      </c>
      <c r="AW257" s="615">
        <f t="shared" ca="1" si="538"/>
        <v>0</v>
      </c>
      <c r="AX257" s="537" t="s">
        <v>4557</v>
      </c>
      <c r="AY257" s="486"/>
      <c r="AZ257" s="502"/>
      <c r="BA257" s="671"/>
      <c r="BB257" s="649"/>
      <c r="BC257" s="649"/>
      <c r="BD257" s="672"/>
      <c r="BE257" s="450"/>
    </row>
    <row r="258" spans="1:57" s="492" customFormat="1" ht="47.25" x14ac:dyDescent="0.25">
      <c r="A258" s="694" t="str">
        <f ca="1">Bérköltség!$B258</f>
        <v>FEOR</v>
      </c>
      <c r="B258" s="694" t="str">
        <f ca="1">IFERROR(
IF(AND(Bérköltség!$F258="",H258="NA"),"HIÁNYOS ADATOK",
IF(Bérköltség!$F258&lt;Bérköltség!$U258,Admin!$B$18,Admin!$B$17)),
"")</f>
        <v>FEOR</v>
      </c>
      <c r="C258" s="437">
        <f>IFERROR(INDEX('Historikus berek_2021-2'!$A$1:$F$903,MATCH(AB258,'Historikus berek_2021-2'!$A$1:$A$903,0),4),"")</f>
        <v>586333.33333333337</v>
      </c>
      <c r="D258" s="438">
        <f t="shared" si="564"/>
        <v>586333.33333333337</v>
      </c>
      <c r="E258" s="437">
        <f t="shared" si="565"/>
        <v>784000</v>
      </c>
      <c r="F258" s="439">
        <f t="shared" si="566"/>
        <v>223363.33333333326</v>
      </c>
      <c r="G258" s="440">
        <f t="shared" si="567"/>
        <v>662556.66666666663</v>
      </c>
      <c r="H258" s="441">
        <f>IFERROR(INDEX('FEOR kodok'!$A$2:$J$1126,MATCH(Bérköltség!AB258,'FEOR kodok'!$B$2:$B$1126,0),8),"NA")</f>
        <v>2169</v>
      </c>
      <c r="I258" s="436">
        <f ca="1">IFERROR(INDEX('FEOR kodok'!$A$2:$J$1126,MATCH(Bérköltség!AB258,'FEOR kodok'!$B$2:$B$1126,0),10),"NA")</f>
        <v>42</v>
      </c>
      <c r="J258" s="442" t="str">
        <f t="shared" ca="1" si="568"/>
        <v>40–49 éves</v>
      </c>
      <c r="K258" s="436" t="str">
        <f>IFERROR(INDEX(admin_feor[#All],MATCH(Bérköltség!H258,admin_feor[[#All],[Foglalkozás]],0),2),"NA")</f>
        <v>Egyéb természettudományi foglalkozású</v>
      </c>
      <c r="L258" s="438">
        <f ca="1">IFERROR(
INDEX('Admin - FEOR'!$A$4:$F$465,MATCH(Bérköltség!H258,'Admin - FEOR'!$A$4:$A$465,0),
IF(J258="30 év alatt",3,
IF(J258="30–39 éves",4,
IF(J258="40–49 éves",5,
IF(J258="50 év és afelett",6
)))))*1,"NA")</f>
        <v>758214</v>
      </c>
      <c r="M258" s="438">
        <f t="shared" si="569"/>
        <v>784000</v>
      </c>
      <c r="N258" s="443">
        <f t="shared" ca="1" si="570"/>
        <v>1.0340088682087116</v>
      </c>
      <c r="O258" s="438">
        <f ca="1">IFERROR(
INDEX('Admin - FEOR'!$A$4:$F$465,MATCH(Bérköltség!H258,'Admin - FEOR'!$A$4:$A$465,0),
IF(J258="30 év alatt",3,
IF(J258="30–39 éves",4,
IF(J258="40–49 éves",5,
IF(J258="50 év és afelett",6
)))))*1.5,"NA")</f>
        <v>1137321</v>
      </c>
      <c r="P258" s="438">
        <f t="shared" ca="1" si="571"/>
        <v>1137321</v>
      </c>
      <c r="Q258" s="438">
        <f t="shared" si="572"/>
        <v>784000</v>
      </c>
      <c r="R258" s="444">
        <f t="shared" si="573"/>
        <v>1</v>
      </c>
      <c r="S258" s="438">
        <f t="shared" ca="1" si="574"/>
        <v>0</v>
      </c>
      <c r="T258" s="438">
        <f t="shared" ca="1" si="575"/>
        <v>0</v>
      </c>
      <c r="U258" s="445">
        <f t="shared" ca="1" si="576"/>
        <v>0</v>
      </c>
      <c r="V258" s="446">
        <f t="shared" ca="1" si="577"/>
        <v>885920</v>
      </c>
      <c r="W258" s="447" t="str">
        <f t="shared" ca="1" si="578"/>
        <v>Indoklás szükséges mivel a FEOR: 103,4%</v>
      </c>
      <c r="X258" s="571">
        <f t="shared" ca="1" si="579"/>
        <v>0</v>
      </c>
      <c r="Y258" s="554">
        <f t="shared" ca="1" si="580"/>
        <v>784000</v>
      </c>
      <c r="Z258" s="554">
        <f t="shared" ca="1" si="581"/>
        <v>101920</v>
      </c>
      <c r="AA258" s="101"/>
      <c r="AB258" s="448">
        <v>8417671102</v>
      </c>
      <c r="AC258" s="449" t="s">
        <v>156</v>
      </c>
      <c r="AD258" s="482" t="s">
        <v>45</v>
      </c>
      <c r="AE258" s="450" t="s">
        <v>158</v>
      </c>
      <c r="AF258" s="99" t="s">
        <v>119</v>
      </c>
      <c r="AG258" s="99" t="s">
        <v>157</v>
      </c>
      <c r="AH258" s="451" t="s">
        <v>131</v>
      </c>
      <c r="AI258" s="154">
        <v>44986</v>
      </c>
      <c r="AJ258" s="100" t="str">
        <f>IF(AI258&gt;0,
(IF(AI258&lt;Hónapok!$A$10,Admin!$A$28,
(IF(AI258&lt;Hónapok!$A$22,Admin!$B$28,
(IF(AI258&lt;Hónapok!$A$34,Admin!$C$28,
(IF(AI258&lt;Hónapok!$A$46,Admin!$D$28,"")))))))),"")</f>
        <v>3. mérföldkő</v>
      </c>
      <c r="AK258" s="470" t="s">
        <v>7</v>
      </c>
      <c r="AL258" s="101" t="s">
        <v>26</v>
      </c>
      <c r="AM258" s="900">
        <v>784000</v>
      </c>
      <c r="AN258" s="860">
        <f t="shared" si="582"/>
        <v>101920</v>
      </c>
      <c r="AO258" s="101">
        <v>174</v>
      </c>
      <c r="AP258" s="111">
        <v>174</v>
      </c>
      <c r="AQ258" s="454">
        <f t="shared" si="534"/>
        <v>1</v>
      </c>
      <c r="AR258" s="455">
        <f t="shared" si="535"/>
        <v>784000</v>
      </c>
      <c r="AS258" s="455">
        <f t="shared" si="536"/>
        <v>101920</v>
      </c>
      <c r="AT258" s="102">
        <f t="shared" si="537"/>
        <v>0</v>
      </c>
      <c r="AU258" s="116">
        <v>0.13</v>
      </c>
      <c r="AV258" s="565" t="str">
        <f>VLOOKUP(LEFT(AB258,10),Törzsszám!$A$1:$B$908,2,0)</f>
        <v>10000165</v>
      </c>
      <c r="AW258" s="681">
        <f t="shared" ca="1" si="538"/>
        <v>0</v>
      </c>
      <c r="AX258" s="468" t="s">
        <v>4561</v>
      </c>
      <c r="AY258" s="502"/>
      <c r="AZ258" s="502"/>
      <c r="BA258" s="671"/>
      <c r="BB258" s="649"/>
      <c r="BC258" s="649"/>
      <c r="BD258" s="672"/>
      <c r="BE258" s="450" t="s">
        <v>2519</v>
      </c>
    </row>
    <row r="259" spans="1:57" s="492" customFormat="1" ht="47.25" x14ac:dyDescent="0.25">
      <c r="A259" s="694" t="str">
        <f ca="1">Bérköltség!$B259</f>
        <v>FEOR</v>
      </c>
      <c r="B259" s="694" t="str">
        <f ca="1">IFERROR(
IF(AND(Bérköltség!$F259="",H259="NA"),"HIÁNYOS ADATOK",
IF(Bérköltség!$F259&lt;Bérköltség!$U259,Admin!$B$18,Admin!$B$17)),
"")</f>
        <v>FEOR</v>
      </c>
      <c r="C259" s="437">
        <f>IFERROR(INDEX('Historikus berek_2021-2'!$A$1:$F$903,MATCH(AB259,'Historikus berek_2021-2'!$A$1:$A$903,0),4),"")</f>
        <v>586333.33333333337</v>
      </c>
      <c r="D259" s="438">
        <f t="shared" si="564"/>
        <v>586333.33333333337</v>
      </c>
      <c r="E259" s="437">
        <f t="shared" si="565"/>
        <v>784000</v>
      </c>
      <c r="F259" s="439">
        <f t="shared" si="566"/>
        <v>223363.33333333326</v>
      </c>
      <c r="G259" s="440">
        <f t="shared" si="567"/>
        <v>662556.66666666663</v>
      </c>
      <c r="H259" s="441">
        <f>IFERROR(INDEX('FEOR kodok'!$A$2:$J$1126,MATCH(Bérköltség!AB259,'FEOR kodok'!$B$2:$B$1126,0),8),"NA")</f>
        <v>2169</v>
      </c>
      <c r="I259" s="436">
        <f ca="1">IFERROR(INDEX('FEOR kodok'!$A$2:$J$1126,MATCH(Bérköltség!AB259,'FEOR kodok'!$B$2:$B$1126,0),10),"NA")</f>
        <v>42</v>
      </c>
      <c r="J259" s="442" t="str">
        <f t="shared" ca="1" si="568"/>
        <v>40–49 éves</v>
      </c>
      <c r="K259" s="436" t="str">
        <f>IFERROR(INDEX(admin_feor[#All],MATCH(Bérköltség!H259,admin_feor[[#All],[Foglalkozás]],0),2),"NA")</f>
        <v>Egyéb természettudományi foglalkozású</v>
      </c>
      <c r="L259" s="438">
        <f ca="1">IFERROR(
INDEX('Admin - FEOR'!$A$4:$F$465,MATCH(Bérköltség!H259,'Admin - FEOR'!$A$4:$A$465,0),
IF(J259="30 év alatt",3,
IF(J259="30–39 éves",4,
IF(J259="40–49 éves",5,
IF(J259="50 év és afelett",6
)))))*1,"NA")</f>
        <v>758214</v>
      </c>
      <c r="M259" s="438">
        <f t="shared" si="569"/>
        <v>784000</v>
      </c>
      <c r="N259" s="443">
        <f t="shared" ca="1" si="570"/>
        <v>1.0340088682087116</v>
      </c>
      <c r="O259" s="438">
        <f ca="1">IFERROR(
INDEX('Admin - FEOR'!$A$4:$F$465,MATCH(Bérköltség!H259,'Admin - FEOR'!$A$4:$A$465,0),
IF(J259="30 év alatt",3,
IF(J259="30–39 éves",4,
IF(J259="40–49 éves",5,
IF(J259="50 év és afelett",6
)))))*1.5,"NA")</f>
        <v>1137321</v>
      </c>
      <c r="P259" s="438">
        <f t="shared" ca="1" si="571"/>
        <v>1137321</v>
      </c>
      <c r="Q259" s="438">
        <f t="shared" si="572"/>
        <v>784000</v>
      </c>
      <c r="R259" s="444">
        <f t="shared" si="573"/>
        <v>1</v>
      </c>
      <c r="S259" s="438">
        <f t="shared" ca="1" si="574"/>
        <v>0</v>
      </c>
      <c r="T259" s="438">
        <f t="shared" ca="1" si="575"/>
        <v>0</v>
      </c>
      <c r="U259" s="445">
        <f t="shared" ca="1" si="576"/>
        <v>0</v>
      </c>
      <c r="V259" s="446">
        <f t="shared" ca="1" si="577"/>
        <v>885920</v>
      </c>
      <c r="W259" s="447" t="str">
        <f t="shared" ca="1" si="578"/>
        <v>Indoklás szükséges mivel a FEOR: 103,4%</v>
      </c>
      <c r="X259" s="571">
        <f t="shared" ca="1" si="579"/>
        <v>0</v>
      </c>
      <c r="Y259" s="554">
        <f t="shared" ca="1" si="580"/>
        <v>784000</v>
      </c>
      <c r="Z259" s="554">
        <f t="shared" ca="1" si="581"/>
        <v>101920</v>
      </c>
      <c r="AA259" s="101"/>
      <c r="AB259" s="448">
        <v>8417671102</v>
      </c>
      <c r="AC259" s="449" t="s">
        <v>156</v>
      </c>
      <c r="AD259" s="482" t="s">
        <v>45</v>
      </c>
      <c r="AE259" s="450" t="s">
        <v>158</v>
      </c>
      <c r="AF259" s="99" t="s">
        <v>119</v>
      </c>
      <c r="AG259" s="99" t="s">
        <v>157</v>
      </c>
      <c r="AH259" s="451" t="s">
        <v>131</v>
      </c>
      <c r="AI259" s="154">
        <v>45017</v>
      </c>
      <c r="AJ259" s="100" t="str">
        <f>IF(AI259&gt;0,
(IF(AI259&lt;Hónapok!$A$10,Admin!$A$28,
(IF(AI259&lt;Hónapok!$A$22,Admin!$B$28,
(IF(AI259&lt;Hónapok!$A$34,Admin!$C$28,
(IF(AI259&lt;Hónapok!$A$46,Admin!$D$28,"")))))))),"")</f>
        <v>3. mérföldkő</v>
      </c>
      <c r="AK259" s="469" t="s">
        <v>7</v>
      </c>
      <c r="AL259" s="101" t="s">
        <v>26</v>
      </c>
      <c r="AM259" s="900">
        <v>784000</v>
      </c>
      <c r="AN259" s="860">
        <f t="shared" si="582"/>
        <v>101920</v>
      </c>
      <c r="AO259" s="101">
        <v>174</v>
      </c>
      <c r="AP259" s="111">
        <v>174</v>
      </c>
      <c r="AQ259" s="454">
        <f t="shared" si="534"/>
        <v>1</v>
      </c>
      <c r="AR259" s="455">
        <f t="shared" si="535"/>
        <v>784000</v>
      </c>
      <c r="AS259" s="455">
        <f t="shared" si="536"/>
        <v>101920</v>
      </c>
      <c r="AT259" s="102">
        <f t="shared" si="537"/>
        <v>0</v>
      </c>
      <c r="AU259" s="116">
        <v>0.13</v>
      </c>
      <c r="AV259" s="565" t="str">
        <f>VLOOKUP(LEFT(AB259,10),Törzsszám!$A$1:$B$908,2,0)</f>
        <v>10000165</v>
      </c>
      <c r="AW259" s="681">
        <f t="shared" ca="1" si="538"/>
        <v>0</v>
      </c>
      <c r="AX259" s="471" t="s">
        <v>4581</v>
      </c>
      <c r="AY259" s="486"/>
      <c r="AZ259" s="502"/>
      <c r="BA259" s="671"/>
      <c r="BB259" s="649"/>
      <c r="BC259" s="649"/>
      <c r="BD259" s="672"/>
      <c r="BE259" s="450" t="s">
        <v>2519</v>
      </c>
    </row>
    <row r="260" spans="1:57" s="492" customFormat="1" ht="47.25" x14ac:dyDescent="0.25">
      <c r="A260" s="694" t="str">
        <f ca="1">Bérköltség!$B260</f>
        <v>FEOR</v>
      </c>
      <c r="B260" s="694" t="str">
        <f ca="1">IFERROR(
IF(AND(Bérköltség!$F260="",H260="NA"),"HIÁNYOS ADATOK",
IF(Bérköltség!$F260&lt;Bérköltség!$U260,Admin!$B$18,Admin!$B$17)),
"")</f>
        <v>FEOR</v>
      </c>
      <c r="C260" s="437">
        <f>IFERROR(INDEX('Historikus berek_2021-2'!$A$1:$F$903,MATCH(AB260,'Historikus berek_2021-2'!$A$1:$A$903,0),4),"")</f>
        <v>586333.33333333337</v>
      </c>
      <c r="D260" s="438">
        <f t="shared" si="564"/>
        <v>586333.33333333337</v>
      </c>
      <c r="E260" s="437">
        <f t="shared" si="565"/>
        <v>784000</v>
      </c>
      <c r="F260" s="439">
        <f t="shared" si="566"/>
        <v>223363.33333333326</v>
      </c>
      <c r="G260" s="440">
        <f t="shared" si="567"/>
        <v>662556.66666666663</v>
      </c>
      <c r="H260" s="441">
        <f>IFERROR(INDEX('FEOR kodok'!$A$2:$J$1126,MATCH(Bérköltség!AB260,'FEOR kodok'!$B$2:$B$1126,0),8),"NA")</f>
        <v>2169</v>
      </c>
      <c r="I260" s="436">
        <f ca="1">IFERROR(INDEX('FEOR kodok'!$A$2:$J$1126,MATCH(Bérköltség!AB260,'FEOR kodok'!$B$2:$B$1126,0),10),"NA")</f>
        <v>42</v>
      </c>
      <c r="J260" s="442" t="str">
        <f t="shared" ca="1" si="568"/>
        <v>40–49 éves</v>
      </c>
      <c r="K260" s="436" t="str">
        <f>IFERROR(INDEX(admin_feor[#All],MATCH(Bérköltség!H260,admin_feor[[#All],[Foglalkozás]],0),2),"NA")</f>
        <v>Egyéb természettudományi foglalkozású</v>
      </c>
      <c r="L260" s="438">
        <f ca="1">IFERROR(
INDEX('Admin - FEOR'!$A$4:$F$465,MATCH(Bérköltség!H260,'Admin - FEOR'!$A$4:$A$465,0),
IF(J260="30 év alatt",3,
IF(J260="30–39 éves",4,
IF(J260="40–49 éves",5,
IF(J260="50 év és afelett",6
)))))*1,"NA")</f>
        <v>758214</v>
      </c>
      <c r="M260" s="438">
        <f t="shared" si="569"/>
        <v>784000</v>
      </c>
      <c r="N260" s="443">
        <f t="shared" ca="1" si="570"/>
        <v>1.0340088682087116</v>
      </c>
      <c r="O260" s="438">
        <f ca="1">IFERROR(
INDEX('Admin - FEOR'!$A$4:$F$465,MATCH(Bérköltség!H260,'Admin - FEOR'!$A$4:$A$465,0),
IF(J260="30 év alatt",3,
IF(J260="30–39 éves",4,
IF(J260="40–49 éves",5,
IF(J260="50 év és afelett",6
)))))*1.5,"NA")</f>
        <v>1137321</v>
      </c>
      <c r="P260" s="438">
        <f t="shared" ca="1" si="571"/>
        <v>1137321</v>
      </c>
      <c r="Q260" s="438">
        <f t="shared" si="572"/>
        <v>784000</v>
      </c>
      <c r="R260" s="444">
        <f t="shared" si="573"/>
        <v>1</v>
      </c>
      <c r="S260" s="438">
        <f t="shared" ca="1" si="574"/>
        <v>0</v>
      </c>
      <c r="T260" s="438">
        <f t="shared" ca="1" si="575"/>
        <v>0</v>
      </c>
      <c r="U260" s="445">
        <f t="shared" ca="1" si="576"/>
        <v>0</v>
      </c>
      <c r="V260" s="446">
        <f t="shared" ca="1" si="577"/>
        <v>885920</v>
      </c>
      <c r="W260" s="447" t="str">
        <f t="shared" ca="1" si="578"/>
        <v>Indoklás szükséges mivel a FEOR: 103,4%</v>
      </c>
      <c r="X260" s="571">
        <f t="shared" ca="1" si="579"/>
        <v>0</v>
      </c>
      <c r="Y260" s="554">
        <f t="shared" ca="1" si="580"/>
        <v>784000</v>
      </c>
      <c r="Z260" s="554">
        <f t="shared" ca="1" si="581"/>
        <v>101920</v>
      </c>
      <c r="AA260" s="101"/>
      <c r="AB260" s="448">
        <v>8417671102</v>
      </c>
      <c r="AC260" s="449" t="s">
        <v>156</v>
      </c>
      <c r="AD260" s="482" t="s">
        <v>45</v>
      </c>
      <c r="AE260" s="450" t="s">
        <v>158</v>
      </c>
      <c r="AF260" s="99" t="s">
        <v>119</v>
      </c>
      <c r="AG260" s="99" t="s">
        <v>157</v>
      </c>
      <c r="AH260" s="451" t="s">
        <v>131</v>
      </c>
      <c r="AI260" s="154">
        <v>45047</v>
      </c>
      <c r="AJ260" s="100" t="str">
        <f>IF(AI260&gt;0,
(IF(AI260&lt;Hónapok!$A$10,Admin!$A$28,
(IF(AI260&lt;Hónapok!$A$22,Admin!$B$28,
(IF(AI260&lt;Hónapok!$A$34,Admin!$C$28,
(IF(AI260&lt;Hónapok!$A$46,Admin!$D$28,"")))))))),"")</f>
        <v>3. mérföldkő</v>
      </c>
      <c r="AK260" s="469" t="s">
        <v>7</v>
      </c>
      <c r="AL260" s="101" t="s">
        <v>26</v>
      </c>
      <c r="AM260" s="900">
        <v>784000</v>
      </c>
      <c r="AN260" s="860">
        <f t="shared" si="582"/>
        <v>101920</v>
      </c>
      <c r="AO260" s="101">
        <v>174</v>
      </c>
      <c r="AP260" s="111">
        <v>174</v>
      </c>
      <c r="AQ260" s="454">
        <f t="shared" si="534"/>
        <v>1</v>
      </c>
      <c r="AR260" s="455">
        <f t="shared" si="535"/>
        <v>784000</v>
      </c>
      <c r="AS260" s="455">
        <f t="shared" si="536"/>
        <v>101920</v>
      </c>
      <c r="AT260" s="102">
        <f t="shared" si="537"/>
        <v>0</v>
      </c>
      <c r="AU260" s="116">
        <v>0.13</v>
      </c>
      <c r="AV260" s="565" t="str">
        <f>VLOOKUP(LEFT(AB260,10),Törzsszám!$A$1:$B$908,2,0)</f>
        <v>10000165</v>
      </c>
      <c r="AW260" s="681">
        <f t="shared" ca="1" si="538"/>
        <v>0</v>
      </c>
      <c r="AX260" s="471" t="s">
        <v>4596</v>
      </c>
      <c r="AY260" s="486"/>
      <c r="AZ260" s="502"/>
      <c r="BA260" s="671"/>
      <c r="BB260" s="649"/>
      <c r="BC260" s="649"/>
      <c r="BD260" s="672"/>
      <c r="BE260" s="450" t="s">
        <v>2519</v>
      </c>
    </row>
    <row r="261" spans="1:57" s="457" customFormat="1" ht="47.25" x14ac:dyDescent="0.25">
      <c r="A261" s="694" t="str">
        <f ca="1">Bérköltség!$B261</f>
        <v>FEOR</v>
      </c>
      <c r="B261" s="694" t="str">
        <f ca="1">IFERROR(
IF(AND(Bérköltség!$F261="",H261="NA"),"HIÁNYOS ADATOK",
IF(Bérköltség!$F261&lt;Bérköltség!$U261,Admin!$B$18,Admin!$B$17)),
"")</f>
        <v>FEOR</v>
      </c>
      <c r="C261" s="437">
        <f>IFERROR(INDEX('Historikus berek_2021-2'!$A$1:$F$903,MATCH(AB261,'Historikus berek_2021-2'!$A$1:$A$903,0),4),"")</f>
        <v>586333.33333333337</v>
      </c>
      <c r="D261" s="438">
        <f t="shared" si="564"/>
        <v>586333.33333333337</v>
      </c>
      <c r="E261" s="437">
        <f t="shared" si="565"/>
        <v>784000</v>
      </c>
      <c r="F261" s="439">
        <f t="shared" si="566"/>
        <v>223363.33333333326</v>
      </c>
      <c r="G261" s="440">
        <f t="shared" si="567"/>
        <v>662556.66666666663</v>
      </c>
      <c r="H261" s="441">
        <f>IFERROR(INDEX('FEOR kodok'!$A$2:$J$1126,MATCH(Bérköltség!AB261,'FEOR kodok'!$B$2:$B$1126,0),8),"NA")</f>
        <v>2169</v>
      </c>
      <c r="I261" s="436">
        <f ca="1">IFERROR(INDEX('FEOR kodok'!$A$2:$J$1126,MATCH(Bérköltség!AB261,'FEOR kodok'!$B$2:$B$1126,0),10),"NA")</f>
        <v>42</v>
      </c>
      <c r="J261" s="442" t="str">
        <f t="shared" ca="1" si="568"/>
        <v>40–49 éves</v>
      </c>
      <c r="K261" s="436" t="str">
        <f>IFERROR(INDEX(admin_feor[#All],MATCH(Bérköltség!H261,admin_feor[[#All],[Foglalkozás]],0),2),"NA")</f>
        <v>Egyéb természettudományi foglalkozású</v>
      </c>
      <c r="L261" s="438">
        <f ca="1">IFERROR(
INDEX('Admin - FEOR'!$A$4:$F$465,MATCH(Bérköltség!H261,'Admin - FEOR'!$A$4:$A$465,0),
IF(J261="30 év alatt",3,
IF(J261="30–39 éves",4,
IF(J261="40–49 éves",5,
IF(J261="50 év és afelett",6
)))))*1,"NA")</f>
        <v>758214</v>
      </c>
      <c r="M261" s="438">
        <f t="shared" si="569"/>
        <v>784000</v>
      </c>
      <c r="N261" s="443">
        <f t="shared" ca="1" si="570"/>
        <v>1.0340088682087116</v>
      </c>
      <c r="O261" s="438">
        <f ca="1">IFERROR(
INDEX('Admin - FEOR'!$A$4:$F$465,MATCH(Bérköltség!H261,'Admin - FEOR'!$A$4:$A$465,0),
IF(J261="30 év alatt",3,
IF(J261="30–39 éves",4,
IF(J261="40–49 éves",5,
IF(J261="50 év és afelett",6
)))))*1.5,"NA")</f>
        <v>1137321</v>
      </c>
      <c r="P261" s="438">
        <f t="shared" ca="1" si="571"/>
        <v>1137321</v>
      </c>
      <c r="Q261" s="438">
        <f t="shared" si="572"/>
        <v>784000</v>
      </c>
      <c r="R261" s="444">
        <f t="shared" si="573"/>
        <v>1</v>
      </c>
      <c r="S261" s="438">
        <f t="shared" ca="1" si="574"/>
        <v>0</v>
      </c>
      <c r="T261" s="438">
        <f t="shared" ca="1" si="575"/>
        <v>0</v>
      </c>
      <c r="U261" s="445">
        <f t="shared" ca="1" si="576"/>
        <v>0</v>
      </c>
      <c r="V261" s="446">
        <f t="shared" ca="1" si="577"/>
        <v>885920</v>
      </c>
      <c r="W261" s="447" t="str">
        <f t="shared" ca="1" si="578"/>
        <v>Indoklás szükséges mivel a FEOR: 103,4%</v>
      </c>
      <c r="X261" s="571">
        <f t="shared" ca="1" si="579"/>
        <v>0</v>
      </c>
      <c r="Y261" s="554">
        <f t="shared" ca="1" si="580"/>
        <v>784000</v>
      </c>
      <c r="Z261" s="554">
        <f t="shared" ca="1" si="581"/>
        <v>101920</v>
      </c>
      <c r="AA261" s="101"/>
      <c r="AB261" s="448">
        <v>8417671102</v>
      </c>
      <c r="AC261" s="449" t="s">
        <v>156</v>
      </c>
      <c r="AD261" s="482" t="s">
        <v>45</v>
      </c>
      <c r="AE261" s="450" t="s">
        <v>158</v>
      </c>
      <c r="AF261" s="99" t="s">
        <v>119</v>
      </c>
      <c r="AG261" s="99" t="s">
        <v>157</v>
      </c>
      <c r="AH261" s="451" t="s">
        <v>131</v>
      </c>
      <c r="AI261" s="154">
        <v>45078</v>
      </c>
      <c r="AJ261" s="100" t="str">
        <f>IF(AI261&gt;0,
(IF(AI261&lt;Hónapok!$A$10,Admin!$A$28,
(IF(AI261&lt;Hónapok!$A$22,Admin!$B$28,
(IF(AI261&lt;Hónapok!$A$34,Admin!$C$28,
(IF(AI261&lt;Hónapok!$A$46,Admin!$D$28,"")))))))),"")</f>
        <v>3. mérföldkő</v>
      </c>
      <c r="AK261" s="469" t="s">
        <v>7</v>
      </c>
      <c r="AL261" s="101" t="s">
        <v>26</v>
      </c>
      <c r="AM261" s="900">
        <v>784000</v>
      </c>
      <c r="AN261" s="860">
        <f t="shared" si="582"/>
        <v>101920</v>
      </c>
      <c r="AO261" s="101">
        <v>174</v>
      </c>
      <c r="AP261" s="111">
        <v>174</v>
      </c>
      <c r="AQ261" s="843">
        <f t="shared" si="534"/>
        <v>1</v>
      </c>
      <c r="AR261" s="455">
        <f t="shared" si="535"/>
        <v>784000</v>
      </c>
      <c r="AS261" s="455">
        <f t="shared" si="536"/>
        <v>101920</v>
      </c>
      <c r="AT261" s="102">
        <f t="shared" si="537"/>
        <v>0</v>
      </c>
      <c r="AU261" s="116">
        <v>0.13</v>
      </c>
      <c r="AV261" s="565" t="str">
        <f>VLOOKUP(LEFT(AB261,10),Törzsszám!$A$1:$B$908,2,0)</f>
        <v>10000165</v>
      </c>
      <c r="AW261" s="681">
        <f t="shared" ca="1" si="538"/>
        <v>0</v>
      </c>
      <c r="AX261" s="471" t="s">
        <v>4606</v>
      </c>
      <c r="AY261" s="486"/>
      <c r="AZ261" s="502"/>
      <c r="BA261" s="671"/>
      <c r="BB261" s="649"/>
      <c r="BC261" s="649"/>
      <c r="BD261" s="672"/>
      <c r="BE261" s="450" t="s">
        <v>2519</v>
      </c>
    </row>
    <row r="262" spans="1:57" s="457" customFormat="1" ht="47.25" x14ac:dyDescent="0.25">
      <c r="A262" s="694" t="str">
        <f ca="1">Bérköltség!$B262</f>
        <v>FEOR</v>
      </c>
      <c r="B262" s="694" t="str">
        <f ca="1">IFERROR(
IF(AND(Bérköltség!$F262="",H262="NA"),"HIÁNYOS ADATOK",
IF(Bérköltség!$F262&lt;Bérköltség!$U262,Admin!$B$18,Admin!$B$17)),
"")</f>
        <v>FEOR</v>
      </c>
      <c r="C262" s="437">
        <f>IFERROR(INDEX('Historikus berek_2021-2'!$A$1:$F$903,MATCH(AB262,'Historikus berek_2021-2'!$A$1:$A$903,0),4),"")</f>
        <v>586333.33333333337</v>
      </c>
      <c r="D262" s="438">
        <f t="shared" si="564"/>
        <v>586333.33333333337</v>
      </c>
      <c r="E262" s="437">
        <f t="shared" si="565"/>
        <v>784000</v>
      </c>
      <c r="F262" s="439">
        <f t="shared" si="566"/>
        <v>223363.33333333326</v>
      </c>
      <c r="G262" s="440">
        <f t="shared" si="567"/>
        <v>662556.66666666663</v>
      </c>
      <c r="H262" s="441">
        <f>IFERROR(INDEX('FEOR kodok'!$A$2:$J$1126,MATCH(Bérköltség!AB262,'FEOR kodok'!$B$2:$B$1126,0),8),"NA")</f>
        <v>2169</v>
      </c>
      <c r="I262" s="436">
        <f ca="1">IFERROR(INDEX('FEOR kodok'!$A$2:$J$1126,MATCH(Bérköltség!AB262,'FEOR kodok'!$B$2:$B$1126,0),10),"NA")</f>
        <v>42</v>
      </c>
      <c r="J262" s="442" t="str">
        <f t="shared" ca="1" si="568"/>
        <v>40–49 éves</v>
      </c>
      <c r="K262" s="436" t="str">
        <f>IFERROR(INDEX(admin_feor[#All],MATCH(Bérköltség!H262,admin_feor[[#All],[Foglalkozás]],0),2),"NA")</f>
        <v>Egyéb természettudományi foglalkozású</v>
      </c>
      <c r="L262" s="438">
        <f ca="1">IFERROR(
INDEX('Admin - FEOR'!$A$4:$F$465,MATCH(Bérköltség!H262,'Admin - FEOR'!$A$4:$A$465,0),
IF(J262="30 év alatt",3,
IF(J262="30–39 éves",4,
IF(J262="40–49 éves",5,
IF(J262="50 év és afelett",6
)))))*1,"NA")</f>
        <v>758214</v>
      </c>
      <c r="M262" s="438">
        <f t="shared" si="569"/>
        <v>784000</v>
      </c>
      <c r="N262" s="443">
        <f t="shared" ca="1" si="570"/>
        <v>1.0340088682087116</v>
      </c>
      <c r="O262" s="438">
        <f ca="1">IFERROR(
INDEX('Admin - FEOR'!$A$4:$F$465,MATCH(Bérköltség!H262,'Admin - FEOR'!$A$4:$A$465,0),
IF(J262="30 év alatt",3,
IF(J262="30–39 éves",4,
IF(J262="40–49 éves",5,
IF(J262="50 év és afelett",6
)))))*1.5,"NA")</f>
        <v>1137321</v>
      </c>
      <c r="P262" s="438">
        <f t="shared" ca="1" si="571"/>
        <v>1137321</v>
      </c>
      <c r="Q262" s="438">
        <f t="shared" si="572"/>
        <v>784000</v>
      </c>
      <c r="R262" s="444">
        <f t="shared" si="573"/>
        <v>1</v>
      </c>
      <c r="S262" s="438">
        <f t="shared" ca="1" si="574"/>
        <v>0</v>
      </c>
      <c r="T262" s="438">
        <f t="shared" ca="1" si="575"/>
        <v>0</v>
      </c>
      <c r="U262" s="445">
        <f t="shared" ca="1" si="576"/>
        <v>0</v>
      </c>
      <c r="V262" s="446">
        <f t="shared" ca="1" si="577"/>
        <v>885920</v>
      </c>
      <c r="W262" s="447" t="str">
        <f t="shared" ca="1" si="578"/>
        <v>Indoklás szükséges mivel a FEOR: 103,4%</v>
      </c>
      <c r="X262" s="571">
        <f t="shared" ca="1" si="579"/>
        <v>0</v>
      </c>
      <c r="Y262" s="554">
        <f t="shared" ca="1" si="580"/>
        <v>784000</v>
      </c>
      <c r="Z262" s="554">
        <f t="shared" ca="1" si="581"/>
        <v>101920</v>
      </c>
      <c r="AA262" s="101"/>
      <c r="AB262" s="448">
        <v>8417671102</v>
      </c>
      <c r="AC262" s="449" t="s">
        <v>156</v>
      </c>
      <c r="AD262" s="482" t="s">
        <v>45</v>
      </c>
      <c r="AE262" s="450" t="s">
        <v>158</v>
      </c>
      <c r="AF262" s="99" t="s">
        <v>119</v>
      </c>
      <c r="AG262" s="99" t="s">
        <v>157</v>
      </c>
      <c r="AH262" s="451" t="s">
        <v>131</v>
      </c>
      <c r="AI262" s="154">
        <v>45108</v>
      </c>
      <c r="AJ262" s="100" t="str">
        <f>IF(AI262&gt;0,
(IF(AI262&lt;Hónapok!$A$10,Admin!$A$28,
(IF(AI262&lt;Hónapok!$A$22,Admin!$B$28,
(IF(AI262&lt;Hónapok!$A$34,Admin!$C$28,
(IF(AI262&lt;Hónapok!$A$46,Admin!$D$28,"")))))))),"")</f>
        <v>3. mérföldkő</v>
      </c>
      <c r="AK262" s="469" t="s">
        <v>7</v>
      </c>
      <c r="AL262" s="101" t="s">
        <v>26</v>
      </c>
      <c r="AM262" s="900">
        <v>784000</v>
      </c>
      <c r="AN262" s="860">
        <f t="shared" si="582"/>
        <v>101920</v>
      </c>
      <c r="AO262" s="101">
        <v>174</v>
      </c>
      <c r="AP262" s="111">
        <v>174</v>
      </c>
      <c r="AQ262" s="682">
        <f t="shared" si="534"/>
        <v>1</v>
      </c>
      <c r="AR262" s="455">
        <f t="shared" si="535"/>
        <v>784000</v>
      </c>
      <c r="AS262" s="455">
        <f t="shared" si="536"/>
        <v>101920</v>
      </c>
      <c r="AT262" s="102">
        <f t="shared" si="537"/>
        <v>0</v>
      </c>
      <c r="AU262" s="116">
        <v>0.13</v>
      </c>
      <c r="AV262" s="565" t="str">
        <f>VLOOKUP(LEFT(AB262,10),Törzsszám!$A$1:$B$908,2,0)</f>
        <v>10000165</v>
      </c>
      <c r="AW262" s="681">
        <f t="shared" ca="1" si="538"/>
        <v>0</v>
      </c>
      <c r="AX262" s="471" t="s">
        <v>4610</v>
      </c>
      <c r="AY262" s="502"/>
      <c r="AZ262" s="502"/>
      <c r="BA262" s="671"/>
      <c r="BB262" s="649"/>
      <c r="BC262" s="649"/>
      <c r="BD262" s="672"/>
      <c r="BE262" s="450" t="s">
        <v>2519</v>
      </c>
    </row>
    <row r="263" spans="1:57" s="457" customFormat="1" ht="47.25" x14ac:dyDescent="0.25">
      <c r="A263" s="694" t="str">
        <f ca="1">Bérköltség!$B263</f>
        <v>FEOR</v>
      </c>
      <c r="B263" s="694" t="str">
        <f ca="1">IFERROR(
IF(AND(Bérköltség!$F263="",H263="NA"),"HIÁNYOS ADATOK",
IF(Bérköltség!$F263&lt;Bérköltség!$U263,Admin!$B$18,Admin!$B$17)),
"")</f>
        <v>FEOR</v>
      </c>
      <c r="C263" s="437">
        <f>IFERROR(INDEX('Historikus berek_2021-2'!$A$1:$F$903,MATCH(AB263,'Historikus berek_2021-2'!$A$1:$A$903,0),4),"")</f>
        <v>586333.33333333337</v>
      </c>
      <c r="D263" s="438">
        <f t="shared" si="564"/>
        <v>586333.33333333337</v>
      </c>
      <c r="E263" s="437">
        <f t="shared" si="565"/>
        <v>784000</v>
      </c>
      <c r="F263" s="439">
        <f t="shared" si="566"/>
        <v>223363.33333333326</v>
      </c>
      <c r="G263" s="440">
        <f t="shared" si="567"/>
        <v>662556.66666666663</v>
      </c>
      <c r="H263" s="441">
        <f>IFERROR(INDEX('FEOR kodok'!$A$2:$J$1126,MATCH(Bérköltség!AB263,'FEOR kodok'!$B$2:$B$1126,0),8),"NA")</f>
        <v>2169</v>
      </c>
      <c r="I263" s="436">
        <f ca="1">IFERROR(INDEX('FEOR kodok'!$A$2:$J$1126,MATCH(Bérköltség!AB263,'FEOR kodok'!$B$2:$B$1126,0),10),"NA")</f>
        <v>42</v>
      </c>
      <c r="J263" s="442" t="str">
        <f t="shared" ca="1" si="568"/>
        <v>40–49 éves</v>
      </c>
      <c r="K263" s="436" t="str">
        <f>IFERROR(INDEX(admin_feor[#All],MATCH(Bérköltség!H263,admin_feor[[#All],[Foglalkozás]],0),2),"NA")</f>
        <v>Egyéb természettudományi foglalkozású</v>
      </c>
      <c r="L263" s="438">
        <f ca="1">IFERROR(
INDEX('Admin - FEOR'!$A$4:$F$465,MATCH(Bérköltség!H263,'Admin - FEOR'!$A$4:$A$465,0),
IF(J263="30 év alatt",3,
IF(J263="30–39 éves",4,
IF(J263="40–49 éves",5,
IF(J263="50 év és afelett",6
)))))*1,"NA")</f>
        <v>758214</v>
      </c>
      <c r="M263" s="438">
        <f t="shared" si="569"/>
        <v>784000</v>
      </c>
      <c r="N263" s="443">
        <f t="shared" ca="1" si="570"/>
        <v>1.0340088682087116</v>
      </c>
      <c r="O263" s="438">
        <f ca="1">IFERROR(
INDEX('Admin - FEOR'!$A$4:$F$465,MATCH(Bérköltség!H263,'Admin - FEOR'!$A$4:$A$465,0),
IF(J263="30 év alatt",3,
IF(J263="30–39 éves",4,
IF(J263="40–49 éves",5,
IF(J263="50 év és afelett",6
)))))*1.5,"NA")</f>
        <v>1137321</v>
      </c>
      <c r="P263" s="438">
        <f t="shared" ca="1" si="571"/>
        <v>1137321</v>
      </c>
      <c r="Q263" s="438">
        <f t="shared" si="572"/>
        <v>784000</v>
      </c>
      <c r="R263" s="444">
        <f t="shared" si="573"/>
        <v>1</v>
      </c>
      <c r="S263" s="438">
        <f t="shared" ca="1" si="574"/>
        <v>0</v>
      </c>
      <c r="T263" s="438">
        <f t="shared" ca="1" si="575"/>
        <v>0</v>
      </c>
      <c r="U263" s="445">
        <f t="shared" ca="1" si="576"/>
        <v>0</v>
      </c>
      <c r="V263" s="446">
        <f t="shared" ca="1" si="577"/>
        <v>885920</v>
      </c>
      <c r="W263" s="447" t="str">
        <f t="shared" ca="1" si="578"/>
        <v>Indoklás szükséges mivel a FEOR: 103,4%</v>
      </c>
      <c r="X263" s="571">
        <f t="shared" ca="1" si="579"/>
        <v>0</v>
      </c>
      <c r="Y263" s="554">
        <f t="shared" ca="1" si="580"/>
        <v>784000</v>
      </c>
      <c r="Z263" s="554">
        <f t="shared" ca="1" si="581"/>
        <v>101920</v>
      </c>
      <c r="AA263" s="101"/>
      <c r="AB263" s="448">
        <v>8417671102</v>
      </c>
      <c r="AC263" s="449" t="s">
        <v>156</v>
      </c>
      <c r="AD263" s="482" t="s">
        <v>45</v>
      </c>
      <c r="AE263" s="450" t="s">
        <v>158</v>
      </c>
      <c r="AF263" s="99" t="s">
        <v>119</v>
      </c>
      <c r="AG263" s="99" t="s">
        <v>157</v>
      </c>
      <c r="AH263" s="451" t="s">
        <v>131</v>
      </c>
      <c r="AI263" s="154">
        <v>45139</v>
      </c>
      <c r="AJ263" s="100" t="str">
        <f>IF(AI263&gt;0,
(IF(AI263&lt;Hónapok!$A$10,Admin!$A$28,
(IF(AI263&lt;Hónapok!$A$22,Admin!$B$28,
(IF(AI263&lt;Hónapok!$A$34,Admin!$C$28,
(IF(AI263&lt;Hónapok!$A$46,Admin!$D$28,"")))))))),"")</f>
        <v>3. mérföldkő</v>
      </c>
      <c r="AK263" s="469" t="s">
        <v>7</v>
      </c>
      <c r="AL263" s="101" t="s">
        <v>26</v>
      </c>
      <c r="AM263" s="900">
        <v>784000</v>
      </c>
      <c r="AN263" s="860">
        <f t="shared" si="582"/>
        <v>101920</v>
      </c>
      <c r="AO263" s="101">
        <v>174</v>
      </c>
      <c r="AP263" s="111">
        <v>174</v>
      </c>
      <c r="AQ263" s="454">
        <f t="shared" si="534"/>
        <v>1</v>
      </c>
      <c r="AR263" s="455">
        <f t="shared" si="535"/>
        <v>784000</v>
      </c>
      <c r="AS263" s="455">
        <f t="shared" si="536"/>
        <v>101920</v>
      </c>
      <c r="AT263" s="102">
        <f t="shared" si="537"/>
        <v>0</v>
      </c>
      <c r="AU263" s="116">
        <v>0.13</v>
      </c>
      <c r="AV263" s="565" t="str">
        <f>VLOOKUP(LEFT(AB263,10),Törzsszám!$A$1:$B$908,2,0)</f>
        <v>10000165</v>
      </c>
      <c r="AW263" s="681">
        <f t="shared" ca="1" si="538"/>
        <v>0</v>
      </c>
      <c r="AX263" s="471" t="s">
        <v>4613</v>
      </c>
      <c r="AY263" s="486"/>
      <c r="AZ263" s="502"/>
      <c r="BA263" s="671"/>
      <c r="BB263" s="649"/>
      <c r="BC263" s="649"/>
      <c r="BD263" s="672"/>
      <c r="BE263" s="450" t="s">
        <v>2519</v>
      </c>
    </row>
    <row r="264" spans="1:57" s="457" customFormat="1" ht="47.25" x14ac:dyDescent="0.25">
      <c r="A264" s="694" t="str">
        <f ca="1">Bérköltség!$B264</f>
        <v>FEOR</v>
      </c>
      <c r="B264" s="694" t="str">
        <f ca="1">IFERROR(
IF(AND(Bérköltség!$F264="",H264="NA"),"HIÁNYOS ADATOK",
IF(Bérköltség!$F264&lt;Bérköltség!$U264,Admin!$B$18,Admin!$B$17)),
"")</f>
        <v>FEOR</v>
      </c>
      <c r="C264" s="437">
        <f>IFERROR(INDEX('Historikus berek_2021-2'!$A$1:$F$903,MATCH(AB264,'Historikus berek_2021-2'!$A$1:$A$903,0),4),"")</f>
        <v>586333.33333333337</v>
      </c>
      <c r="D264" s="438">
        <f t="shared" ref="D264:D266" si="631">IFERROR(C264*AQ264,"NA")</f>
        <v>586333.33333333337</v>
      </c>
      <c r="E264" s="437">
        <f t="shared" ref="E264:E266" si="632">AR264</f>
        <v>784000</v>
      </c>
      <c r="F264" s="439">
        <f t="shared" ref="F264:F266" si="633">IFERROR(IF((E264*(1+AU264)-D264*(1+AU264))&lt;0,0,(E264*(1+AU264)-D264*(1+AU264))),"")</f>
        <v>223363.33333333326</v>
      </c>
      <c r="G264" s="440">
        <f t="shared" ref="G264:G266" si="634">IFERROR((E264*(1+AU264)-F264),"")</f>
        <v>662556.66666666663</v>
      </c>
      <c r="H264" s="441">
        <f>IFERROR(INDEX('FEOR kodok'!$A$2:$J$1126,MATCH(Bérköltség!AB264,'FEOR kodok'!$B$2:$B$1126,0),8),"NA")</f>
        <v>2169</v>
      </c>
      <c r="I264" s="436">
        <f ca="1">IFERROR(INDEX('FEOR kodok'!$A$2:$J$1126,MATCH(Bérköltség!AB264,'FEOR kodok'!$B$2:$B$1126,0),10),"NA")</f>
        <v>42</v>
      </c>
      <c r="J264" s="442" t="str">
        <f t="shared" ref="J264:J266" ca="1" si="635">IF(I264="NA","NA",
IF(I264&lt;30,"30 év alatt",
IF(AND(I264&gt;=30,I264&lt;=39),"30–39 éves",
IF(AND(I264&gt;=40,I264&lt;=49),"40–49 éves",
IF(I264&gt;=50,"50 év és afelett",
"")))))</f>
        <v>40–49 éves</v>
      </c>
      <c r="K264" s="436" t="str">
        <f>IFERROR(INDEX(admin_feor[#All],MATCH(Bérköltség!H264,admin_feor[[#All],[Foglalkozás]],0),2),"NA")</f>
        <v>Egyéb természettudományi foglalkozású</v>
      </c>
      <c r="L264" s="438">
        <f ca="1">IFERROR(
INDEX('Admin - FEOR'!$A$4:$F$465,MATCH(Bérköltség!H264,'Admin - FEOR'!$A$4:$A$465,0),
IF(J264="30 év alatt",3,
IF(J264="30–39 éves",4,
IF(J264="40–49 éves",5,
IF(J264="50 év és afelett",6
)))))*1,"NA")</f>
        <v>758214</v>
      </c>
      <c r="M264" s="438">
        <f t="shared" ref="M264:M266" si="636">AM264</f>
        <v>784000</v>
      </c>
      <c r="N264" s="443">
        <f t="shared" ref="N264:N266" ca="1" si="637">IFERROR(
M264/L264,"NA")</f>
        <v>1.0340088682087116</v>
      </c>
      <c r="O264" s="438">
        <f ca="1">IFERROR(
INDEX('Admin - FEOR'!$A$4:$F$465,MATCH(Bérköltség!H264,'Admin - FEOR'!$A$4:$A$465,0),
IF(J264="30 év alatt",3,
IF(J264="30–39 éves",4,
IF(J264="40–49 éves",5,
IF(J264="50 év és afelett",6
)))))*1.5,"NA")</f>
        <v>1137321</v>
      </c>
      <c r="P264" s="438">
        <f t="shared" ref="P264:P266" ca="1" si="638">IFERROR(
AQ264*O264,"NA")</f>
        <v>1137321</v>
      </c>
      <c r="Q264" s="438">
        <f t="shared" ref="Q264:Q266" si="639">IFERROR(AR264,"")</f>
        <v>784000</v>
      </c>
      <c r="R264" s="444">
        <f t="shared" ref="R264:R266" si="640">IFERROR(AQ264,"")</f>
        <v>1</v>
      </c>
      <c r="S264" s="438">
        <f t="shared" ref="S264:S266" ca="1" si="641">IFERROR(
IF(AR264-P264&lt;0,0,AR264-P264),"NA")</f>
        <v>0</v>
      </c>
      <c r="T264" s="438">
        <f t="shared" ref="T264:T266" ca="1" si="642">IFERROR(
S264*AU264,"NA")</f>
        <v>0</v>
      </c>
      <c r="U264" s="445">
        <f t="shared" ref="U264:U266" ca="1" si="643">IFERROR(
S264+T264,"NA")</f>
        <v>0</v>
      </c>
      <c r="V264" s="446">
        <f t="shared" ref="V264:V266" ca="1" si="644">IFERROR(
IF(U264&gt;0,AR264+AS264-U264,AR264+AS264),"NA")</f>
        <v>885920</v>
      </c>
      <c r="W264" s="447" t="str">
        <f t="shared" ref="W264:W266" ca="1" si="645">IF(P264="NA","FEOR hiányzik",
IF(AND(N264&gt;1,A264="FEOR"),CONCATENATE("Indoklás szükséges mivel a FEOR: ",ROUND(N264*100,1),"%"),"Nem szükséges indoklás.")
)</f>
        <v>Indoklás szükséges mivel a FEOR: 103,4%</v>
      </c>
      <c r="X264" s="571">
        <f t="shared" ref="X264:X266" ca="1" si="646">IF(A264="FEOR",U264,IF(A264="HIÁNYOS ADATOK","HIÁNYOS ADATOK",F264))</f>
        <v>0</v>
      </c>
      <c r="Y264" s="554">
        <f t="shared" ref="Y264:Y266" ca="1" si="647">IF(A264="FEOR",ROUND(V264/(1+AU264),0),IF(A264="HIÁNYOS ADATOK","HIÁNYOS ADATOK",ROUND(G264/(1+AU264),0)))</f>
        <v>784000</v>
      </c>
      <c r="Z264" s="554">
        <f t="shared" ref="Z264:Z266" ca="1" si="648">IF(A264="FEOR",ROUND(V264-Y264,0),IF(A264="HIÁNYOS ADATOK","HIÁNYOS ADATOK",ROUND(G264-Y264,0)))</f>
        <v>101920</v>
      </c>
      <c r="AA264" s="101"/>
      <c r="AB264" s="448">
        <v>8417671102</v>
      </c>
      <c r="AC264" s="449" t="s">
        <v>156</v>
      </c>
      <c r="AD264" s="482" t="s">
        <v>45</v>
      </c>
      <c r="AE264" s="450" t="s">
        <v>158</v>
      </c>
      <c r="AF264" s="99" t="s">
        <v>119</v>
      </c>
      <c r="AG264" s="99" t="s">
        <v>157</v>
      </c>
      <c r="AH264" s="451" t="s">
        <v>131</v>
      </c>
      <c r="AI264" s="154">
        <v>45170</v>
      </c>
      <c r="AJ264" s="100" t="str">
        <f>IF(AI264&gt;0,
(IF(AI264&lt;Hónapok!$A$10,Admin!$A$28,
(IF(AI264&lt;Hónapok!$A$22,Admin!$B$28,
(IF(AI264&lt;Hónapok!$A$34,Admin!$C$28,
(IF(AI264&lt;Hónapok!$A$46,Admin!$D$28,"")))))))),"")</f>
        <v>3. mérföldkő</v>
      </c>
      <c r="AK264" s="469" t="s">
        <v>7</v>
      </c>
      <c r="AL264" s="101" t="s">
        <v>26</v>
      </c>
      <c r="AM264" s="900">
        <v>784000</v>
      </c>
      <c r="AN264" s="860">
        <f t="shared" ref="AN264:AN266" si="649">IFERROR(ROUND(AM264*AU264,0),"")</f>
        <v>101920</v>
      </c>
      <c r="AO264" s="101">
        <v>174</v>
      </c>
      <c r="AP264" s="111">
        <v>174</v>
      </c>
      <c r="AQ264" s="454">
        <f t="shared" ref="AQ264:AQ266" si="650">IFERROR(AP264/AO264,"")</f>
        <v>1</v>
      </c>
      <c r="AR264" s="455">
        <f t="shared" ref="AR264:AR266" si="651">IFERROR(ROUND(AM264*AP264/AO264,0),"")</f>
        <v>784000</v>
      </c>
      <c r="AS264" s="455">
        <f t="shared" ref="AS264:AS266" si="652">IFERROR(ROUND(AR264*AU264,0),"")</f>
        <v>101920</v>
      </c>
      <c r="AT264" s="102">
        <f t="shared" ref="AT264:AT266" si="653">IFERROR(AP264/AO264-AR264/AM264,"")</f>
        <v>0</v>
      </c>
      <c r="AU264" s="116">
        <v>0.13</v>
      </c>
      <c r="AV264" s="565" t="str">
        <f>VLOOKUP(LEFT(AB264,10),Törzsszám!$A$1:$B$908,2,0)</f>
        <v>10000165</v>
      </c>
      <c r="AW264" s="681">
        <f t="shared" ref="AW264:AW266" ca="1" si="654">(Y264+Z264)-(AR264+AS264)</f>
        <v>0</v>
      </c>
      <c r="AX264" s="471" t="s">
        <v>4618</v>
      </c>
      <c r="AY264" s="486"/>
      <c r="AZ264" s="502"/>
      <c r="BA264" s="671"/>
      <c r="BB264" s="649"/>
      <c r="BC264" s="649"/>
      <c r="BD264" s="672"/>
      <c r="BE264" s="450" t="s">
        <v>2519</v>
      </c>
    </row>
    <row r="265" spans="1:57" s="457" customFormat="1" ht="47.25" x14ac:dyDescent="0.25">
      <c r="A265" s="694" t="str">
        <f ca="1">Bérköltség!$B265</f>
        <v>FEOR</v>
      </c>
      <c r="B265" s="694" t="str">
        <f ca="1">IFERROR(
IF(AND(Bérköltség!$F265="",H265="NA"),"HIÁNYOS ADATOK",
IF(Bérköltség!$F265&lt;Bérköltség!$U265,Admin!$B$18,Admin!$B$17)),
"")</f>
        <v>FEOR</v>
      </c>
      <c r="C265" s="437">
        <f>IFERROR(INDEX('Historikus berek_2021-2'!$A$1:$F$903,MATCH(AB265,'Historikus berek_2021-2'!$A$1:$A$903,0),4),"")</f>
        <v>586333.33333333337</v>
      </c>
      <c r="D265" s="438">
        <f t="shared" si="631"/>
        <v>586333.33333333337</v>
      </c>
      <c r="E265" s="437">
        <f t="shared" si="632"/>
        <v>784000</v>
      </c>
      <c r="F265" s="439">
        <f t="shared" si="633"/>
        <v>223363.33333333326</v>
      </c>
      <c r="G265" s="440">
        <f t="shared" si="634"/>
        <v>662556.66666666663</v>
      </c>
      <c r="H265" s="441">
        <f>IFERROR(INDEX('FEOR kodok'!$A$2:$J$1126,MATCH(Bérköltség!AB265,'FEOR kodok'!$B$2:$B$1126,0),8),"NA")</f>
        <v>2169</v>
      </c>
      <c r="I265" s="436">
        <f ca="1">IFERROR(INDEX('FEOR kodok'!$A$2:$J$1126,MATCH(Bérköltség!AB265,'FEOR kodok'!$B$2:$B$1126,0),10),"NA")</f>
        <v>42</v>
      </c>
      <c r="J265" s="442" t="str">
        <f t="shared" ca="1" si="635"/>
        <v>40–49 éves</v>
      </c>
      <c r="K265" s="436" t="str">
        <f>IFERROR(INDEX(admin_feor[#All],MATCH(Bérköltség!H265,admin_feor[[#All],[Foglalkozás]],0),2),"NA")</f>
        <v>Egyéb természettudományi foglalkozású</v>
      </c>
      <c r="L265" s="438">
        <f ca="1">IFERROR(
INDEX('Admin - FEOR'!$A$4:$F$465,MATCH(Bérköltség!H265,'Admin - FEOR'!$A$4:$A$465,0),
IF(J265="30 év alatt",3,
IF(J265="30–39 éves",4,
IF(J265="40–49 éves",5,
IF(J265="50 év és afelett",6
)))))*1,"NA")</f>
        <v>758214</v>
      </c>
      <c r="M265" s="438">
        <f t="shared" si="636"/>
        <v>784000</v>
      </c>
      <c r="N265" s="443">
        <f t="shared" ca="1" si="637"/>
        <v>1.0340088682087116</v>
      </c>
      <c r="O265" s="438">
        <f ca="1">IFERROR(
INDEX('Admin - FEOR'!$A$4:$F$465,MATCH(Bérköltség!H265,'Admin - FEOR'!$A$4:$A$465,0),
IF(J265="30 év alatt",3,
IF(J265="30–39 éves",4,
IF(J265="40–49 éves",5,
IF(J265="50 év és afelett",6
)))))*1.5,"NA")</f>
        <v>1137321</v>
      </c>
      <c r="P265" s="438">
        <f t="shared" ca="1" si="638"/>
        <v>1137321</v>
      </c>
      <c r="Q265" s="438">
        <f t="shared" si="639"/>
        <v>784000</v>
      </c>
      <c r="R265" s="444">
        <f t="shared" si="640"/>
        <v>1</v>
      </c>
      <c r="S265" s="438">
        <f t="shared" ca="1" si="641"/>
        <v>0</v>
      </c>
      <c r="T265" s="438">
        <f t="shared" ca="1" si="642"/>
        <v>0</v>
      </c>
      <c r="U265" s="445">
        <f t="shared" ca="1" si="643"/>
        <v>0</v>
      </c>
      <c r="V265" s="446">
        <f t="shared" ca="1" si="644"/>
        <v>885920</v>
      </c>
      <c r="W265" s="447" t="str">
        <f t="shared" ca="1" si="645"/>
        <v>Indoklás szükséges mivel a FEOR: 103,4%</v>
      </c>
      <c r="X265" s="571">
        <f t="shared" ca="1" si="646"/>
        <v>0</v>
      </c>
      <c r="Y265" s="554">
        <f t="shared" ca="1" si="647"/>
        <v>784000</v>
      </c>
      <c r="Z265" s="554">
        <f t="shared" ca="1" si="648"/>
        <v>101920</v>
      </c>
      <c r="AA265" s="101"/>
      <c r="AB265" s="448">
        <v>8417671102</v>
      </c>
      <c r="AC265" s="449" t="s">
        <v>156</v>
      </c>
      <c r="AD265" s="482" t="s">
        <v>45</v>
      </c>
      <c r="AE265" s="450" t="s">
        <v>158</v>
      </c>
      <c r="AF265" s="99" t="s">
        <v>119</v>
      </c>
      <c r="AG265" s="99" t="s">
        <v>157</v>
      </c>
      <c r="AH265" s="451" t="s">
        <v>131</v>
      </c>
      <c r="AI265" s="154">
        <v>45200</v>
      </c>
      <c r="AJ265" s="100" t="str">
        <f>IF(AI265&gt;0,
(IF(AI265&lt;Hónapok!$A$10,Admin!$A$28,
(IF(AI265&lt;Hónapok!$A$22,Admin!$B$28,
(IF(AI265&lt;Hónapok!$A$34,Admin!$C$28,
(IF(AI265&lt;Hónapok!$A$46,Admin!$D$28,"")))))))),"")</f>
        <v>3. mérföldkő</v>
      </c>
      <c r="AK265" s="469" t="s">
        <v>8</v>
      </c>
      <c r="AL265" s="101" t="s">
        <v>26</v>
      </c>
      <c r="AM265" s="900">
        <v>784000</v>
      </c>
      <c r="AN265" s="860">
        <f t="shared" si="649"/>
        <v>101920</v>
      </c>
      <c r="AO265" s="101">
        <v>174</v>
      </c>
      <c r="AP265" s="111">
        <v>174</v>
      </c>
      <c r="AQ265" s="454">
        <f t="shared" si="650"/>
        <v>1</v>
      </c>
      <c r="AR265" s="455">
        <f t="shared" si="651"/>
        <v>784000</v>
      </c>
      <c r="AS265" s="455">
        <f t="shared" si="652"/>
        <v>101920</v>
      </c>
      <c r="AT265" s="102">
        <f t="shared" si="653"/>
        <v>0</v>
      </c>
      <c r="AU265" s="116">
        <v>0.13</v>
      </c>
      <c r="AV265" s="565" t="str">
        <f>VLOOKUP(LEFT(AB265,10),Törzsszám!$A$1:$B$908,2,0)</f>
        <v>10000165</v>
      </c>
      <c r="AW265" s="681">
        <f t="shared" ca="1" si="654"/>
        <v>0</v>
      </c>
      <c r="AX265" s="479"/>
      <c r="AY265" s="486"/>
      <c r="AZ265" s="502"/>
      <c r="BA265" s="671"/>
      <c r="BB265" s="649"/>
      <c r="BC265" s="649"/>
      <c r="BD265" s="672"/>
      <c r="BE265" s="450" t="s">
        <v>2519</v>
      </c>
    </row>
    <row r="266" spans="1:57" s="457" customFormat="1" ht="47.25" x14ac:dyDescent="0.25">
      <c r="A266" s="694" t="str">
        <f ca="1">Bérköltség!$B266</f>
        <v>FEOR</v>
      </c>
      <c r="B266" s="694" t="str">
        <f ca="1">IFERROR(
IF(AND(Bérköltség!$F266="",H266="NA"),"HIÁNYOS ADATOK",
IF(Bérköltség!$F266&lt;Bérköltség!$U266,Admin!$B$18,Admin!$B$17)),
"")</f>
        <v>FEOR</v>
      </c>
      <c r="C266" s="437">
        <f>IFERROR(INDEX('Historikus berek_2021-2'!$A$1:$F$903,MATCH(AB266,'Historikus berek_2021-2'!$A$1:$A$903,0),4),"")</f>
        <v>586333.33333333337</v>
      </c>
      <c r="D266" s="438">
        <f t="shared" si="631"/>
        <v>586333.33333333337</v>
      </c>
      <c r="E266" s="437">
        <f t="shared" si="632"/>
        <v>784000</v>
      </c>
      <c r="F266" s="439">
        <f t="shared" si="633"/>
        <v>223363.33333333326</v>
      </c>
      <c r="G266" s="440">
        <f t="shared" si="634"/>
        <v>662556.66666666663</v>
      </c>
      <c r="H266" s="441">
        <f>IFERROR(INDEX('FEOR kodok'!$A$2:$J$1126,MATCH(Bérköltség!AB266,'FEOR kodok'!$B$2:$B$1126,0),8),"NA")</f>
        <v>2169</v>
      </c>
      <c r="I266" s="436">
        <f ca="1">IFERROR(INDEX('FEOR kodok'!$A$2:$J$1126,MATCH(Bérköltség!AB266,'FEOR kodok'!$B$2:$B$1126,0),10),"NA")</f>
        <v>42</v>
      </c>
      <c r="J266" s="442" t="str">
        <f t="shared" ca="1" si="635"/>
        <v>40–49 éves</v>
      </c>
      <c r="K266" s="436" t="str">
        <f>IFERROR(INDEX(admin_feor[#All],MATCH(Bérköltség!H266,admin_feor[[#All],[Foglalkozás]],0),2),"NA")</f>
        <v>Egyéb természettudományi foglalkozású</v>
      </c>
      <c r="L266" s="438">
        <f ca="1">IFERROR(
INDEX('Admin - FEOR'!$A$4:$F$465,MATCH(Bérköltség!H266,'Admin - FEOR'!$A$4:$A$465,0),
IF(J266="30 év alatt",3,
IF(J266="30–39 éves",4,
IF(J266="40–49 éves",5,
IF(J266="50 év és afelett",6
)))))*1,"NA")</f>
        <v>758214</v>
      </c>
      <c r="M266" s="438">
        <f t="shared" si="636"/>
        <v>784000</v>
      </c>
      <c r="N266" s="443">
        <f t="shared" ca="1" si="637"/>
        <v>1.0340088682087116</v>
      </c>
      <c r="O266" s="438">
        <f ca="1">IFERROR(
INDEX('Admin - FEOR'!$A$4:$F$465,MATCH(Bérköltség!H266,'Admin - FEOR'!$A$4:$A$465,0),
IF(J266="30 év alatt",3,
IF(J266="30–39 éves",4,
IF(J266="40–49 éves",5,
IF(J266="50 év és afelett",6
)))))*1.5,"NA")</f>
        <v>1137321</v>
      </c>
      <c r="P266" s="438">
        <f t="shared" ca="1" si="638"/>
        <v>1137321</v>
      </c>
      <c r="Q266" s="438">
        <f t="shared" si="639"/>
        <v>784000</v>
      </c>
      <c r="R266" s="444">
        <f t="shared" si="640"/>
        <v>1</v>
      </c>
      <c r="S266" s="438">
        <f t="shared" ca="1" si="641"/>
        <v>0</v>
      </c>
      <c r="T266" s="438">
        <f t="shared" ca="1" si="642"/>
        <v>0</v>
      </c>
      <c r="U266" s="445">
        <f t="shared" ca="1" si="643"/>
        <v>0</v>
      </c>
      <c r="V266" s="446">
        <f t="shared" ca="1" si="644"/>
        <v>885920</v>
      </c>
      <c r="W266" s="447" t="str">
        <f t="shared" ca="1" si="645"/>
        <v>Indoklás szükséges mivel a FEOR: 103,4%</v>
      </c>
      <c r="X266" s="571">
        <f t="shared" ca="1" si="646"/>
        <v>0</v>
      </c>
      <c r="Y266" s="554">
        <f t="shared" ca="1" si="647"/>
        <v>784000</v>
      </c>
      <c r="Z266" s="554">
        <f t="shared" ca="1" si="648"/>
        <v>101920</v>
      </c>
      <c r="AA266" s="101"/>
      <c r="AB266" s="448">
        <v>8417671102</v>
      </c>
      <c r="AC266" s="449" t="s">
        <v>156</v>
      </c>
      <c r="AD266" s="482" t="s">
        <v>45</v>
      </c>
      <c r="AE266" s="450" t="s">
        <v>158</v>
      </c>
      <c r="AF266" s="99" t="s">
        <v>119</v>
      </c>
      <c r="AG266" s="99" t="s">
        <v>157</v>
      </c>
      <c r="AH266" s="451" t="s">
        <v>131</v>
      </c>
      <c r="AI266" s="154">
        <v>45231</v>
      </c>
      <c r="AJ266" s="100" t="str">
        <f>IF(AI266&gt;0,
(IF(AI266&lt;Hónapok!$A$10,Admin!$A$28,
(IF(AI266&lt;Hónapok!$A$22,Admin!$B$28,
(IF(AI266&lt;Hónapok!$A$34,Admin!$C$28,
(IF(AI266&lt;Hónapok!$A$46,Admin!$D$28,"")))))))),"")</f>
        <v>3. mérföldkő</v>
      </c>
      <c r="AK266" s="469" t="s">
        <v>8</v>
      </c>
      <c r="AL266" s="101" t="s">
        <v>26</v>
      </c>
      <c r="AM266" s="900">
        <v>784000</v>
      </c>
      <c r="AN266" s="860">
        <f t="shared" si="649"/>
        <v>101920</v>
      </c>
      <c r="AO266" s="101">
        <v>174</v>
      </c>
      <c r="AP266" s="111">
        <v>174</v>
      </c>
      <c r="AQ266" s="454">
        <f t="shared" si="650"/>
        <v>1</v>
      </c>
      <c r="AR266" s="455">
        <f t="shared" si="651"/>
        <v>784000</v>
      </c>
      <c r="AS266" s="455">
        <f t="shared" si="652"/>
        <v>101920</v>
      </c>
      <c r="AT266" s="102">
        <f t="shared" si="653"/>
        <v>0</v>
      </c>
      <c r="AU266" s="116">
        <v>0.13</v>
      </c>
      <c r="AV266" s="565" t="str">
        <f>VLOOKUP(LEFT(AB266,10),Törzsszám!$A$1:$B$908,2,0)</f>
        <v>10000165</v>
      </c>
      <c r="AW266" s="681">
        <f t="shared" ca="1" si="654"/>
        <v>0</v>
      </c>
      <c r="AX266" s="479"/>
      <c r="AY266" s="486"/>
      <c r="AZ266" s="502"/>
      <c r="BA266" s="671"/>
      <c r="BB266" s="649"/>
      <c r="BC266" s="649"/>
      <c r="BD266" s="672"/>
      <c r="BE266" s="450" t="s">
        <v>2519</v>
      </c>
    </row>
    <row r="267" spans="1:57" s="457" customFormat="1" ht="31.5" x14ac:dyDescent="0.25">
      <c r="A267" s="694" t="str">
        <f ca="1">Bérköltség!$B267</f>
        <v>FEOR</v>
      </c>
      <c r="B267" s="694" t="str">
        <f ca="1">IFERROR(
IF(AND(Bérköltség!$F267="",H267="NA"),"HIÁNYOS ADATOK",
IF(Bérköltség!$F267&lt;Bérköltség!$U267,Admin!$B$18,Admin!$B$17)),
"")</f>
        <v>FEOR</v>
      </c>
      <c r="C267" s="437">
        <f>IFERROR(INDEX('Historikus berek_2021-2'!$A$1:$F$903,MATCH(AB267,'Historikus berek_2021-2'!$A$1:$A$903,0),4),"")</f>
        <v>511600</v>
      </c>
      <c r="D267" s="438">
        <f t="shared" si="564"/>
        <v>167593.10344827586</v>
      </c>
      <c r="E267" s="437">
        <f t="shared" si="565"/>
        <v>180172</v>
      </c>
      <c r="F267" s="439">
        <f t="shared" si="566"/>
        <v>14214.153103448276</v>
      </c>
      <c r="G267" s="440">
        <f t="shared" si="567"/>
        <v>189380.20689655171</v>
      </c>
      <c r="H267" s="441">
        <f>IFERROR(INDEX('FEOR kodok'!$A$2:$J$1126,MATCH(Bérköltség!AB267,'FEOR kodok'!$B$2:$B$1126,0),8),"NA")</f>
        <v>2139</v>
      </c>
      <c r="I267" s="436">
        <f ca="1">IFERROR(INDEX('FEOR kodok'!$A$2:$J$1126,MATCH(Bérköltség!AB267,'FEOR kodok'!$B$2:$B$1126,0),10),"NA")</f>
        <v>40</v>
      </c>
      <c r="J267" s="442" t="str">
        <f t="shared" ca="1" si="568"/>
        <v>40–49 éves</v>
      </c>
      <c r="K267" s="436" t="str">
        <f>IFERROR(INDEX(admin_feor[#All],MATCH(Bérköltség!H267,admin_feor[[#All],[Foglalkozás]],0),2),"NA")</f>
        <v>Egyéb, máshova nem sorolható mérnök</v>
      </c>
      <c r="L267" s="438">
        <f ca="1">IFERROR(
INDEX('Admin - FEOR'!$A$4:$F$465,MATCH(Bérköltség!H267,'Admin - FEOR'!$A$4:$A$465,0),
IF(J267="30 év alatt",3,
IF(J267="30–39 éves",4,
IF(J267="40–49 éves",5,
IF(J267="50 év és afelett",6
)))))*1,"NA")</f>
        <v>916594</v>
      </c>
      <c r="M267" s="438">
        <f t="shared" si="569"/>
        <v>550000</v>
      </c>
      <c r="N267" s="443">
        <f t="shared" ca="1" si="570"/>
        <v>0.6000475674071617</v>
      </c>
      <c r="O267" s="438">
        <f ca="1">IFERROR(
INDEX('Admin - FEOR'!$A$4:$F$465,MATCH(Bérköltség!H267,'Admin - FEOR'!$A$4:$A$465,0),
IF(J267="30 év alatt",3,
IF(J267="30–39 éves",4,
IF(J267="40–49 éves",5,
IF(J267="50 év és afelett",6
)))))*1.5,"NA")</f>
        <v>1374891</v>
      </c>
      <c r="P267" s="438">
        <f t="shared" ca="1" si="571"/>
        <v>450395.3275862069</v>
      </c>
      <c r="Q267" s="438">
        <f t="shared" si="572"/>
        <v>180172</v>
      </c>
      <c r="R267" s="444">
        <f t="shared" si="573"/>
        <v>0.32758620689655171</v>
      </c>
      <c r="S267" s="438">
        <f t="shared" ca="1" si="574"/>
        <v>0</v>
      </c>
      <c r="T267" s="438">
        <f t="shared" ca="1" si="575"/>
        <v>0</v>
      </c>
      <c r="U267" s="445">
        <f t="shared" ca="1" si="576"/>
        <v>0</v>
      </c>
      <c r="V267" s="446">
        <f t="shared" ca="1" si="577"/>
        <v>203594</v>
      </c>
      <c r="W267" s="447" t="str">
        <f t="shared" ca="1" si="578"/>
        <v>Nem szükséges indoklás.</v>
      </c>
      <c r="X267" s="571">
        <f t="shared" ca="1" si="579"/>
        <v>0</v>
      </c>
      <c r="Y267" s="554">
        <f t="shared" ca="1" si="580"/>
        <v>180172</v>
      </c>
      <c r="Z267" s="554">
        <f t="shared" ca="1" si="581"/>
        <v>23422</v>
      </c>
      <c r="AA267" s="573">
        <v>2</v>
      </c>
      <c r="AB267" s="315">
        <v>8425661145</v>
      </c>
      <c r="AC267" s="489" t="s">
        <v>196</v>
      </c>
      <c r="AD267" s="483" t="s">
        <v>45</v>
      </c>
      <c r="AE267" s="485" t="s">
        <v>22</v>
      </c>
      <c r="AF267" s="364" t="s">
        <v>119</v>
      </c>
      <c r="AG267" s="364" t="s">
        <v>194</v>
      </c>
      <c r="AH267" s="490" t="s">
        <v>131</v>
      </c>
      <c r="AI267" s="365">
        <v>44774</v>
      </c>
      <c r="AJ267" s="100" t="str">
        <f>IF(AI267&gt;0,
(IF(AI267&lt;Hónapok!$A$10,Admin!$A$28,
(IF(AI267&lt;Hónapok!$A$22,Admin!$B$28,
(IF(AI267&lt;Hónapok!$A$34,Admin!$C$28,
(IF(AI267&lt;Hónapok!$A$46,Admin!$D$28,"")))))))),"")</f>
        <v>2. mérföldkő</v>
      </c>
      <c r="AK267" s="469" t="s">
        <v>7</v>
      </c>
      <c r="AL267" s="333" t="s">
        <v>26</v>
      </c>
      <c r="AM267" s="907">
        <v>550000</v>
      </c>
      <c r="AN267" s="860">
        <f t="shared" si="582"/>
        <v>71500</v>
      </c>
      <c r="AO267" s="333">
        <v>174</v>
      </c>
      <c r="AP267" s="491">
        <v>57</v>
      </c>
      <c r="AQ267" s="454">
        <f t="shared" si="534"/>
        <v>0.32758620689655171</v>
      </c>
      <c r="AR267" s="455">
        <f t="shared" si="535"/>
        <v>180172</v>
      </c>
      <c r="AS267" s="455">
        <f t="shared" si="536"/>
        <v>23422</v>
      </c>
      <c r="AT267" s="102">
        <f t="shared" si="537"/>
        <v>7.5235109714411053E-7</v>
      </c>
      <c r="AU267" s="116">
        <v>0.13</v>
      </c>
      <c r="AV267" s="565" t="str">
        <f>VLOOKUP(LEFT(AB267,10),Törzsszám!$A$1:$B$908,2,0)</f>
        <v>10001905</v>
      </c>
      <c r="AW267" s="615">
        <f t="shared" ca="1" si="538"/>
        <v>0</v>
      </c>
      <c r="AX267" s="539" t="s">
        <v>218</v>
      </c>
      <c r="AY267" s="495"/>
      <c r="AZ267" s="551"/>
      <c r="BA267" s="675">
        <v>180172</v>
      </c>
      <c r="BB267" s="652">
        <v>23422</v>
      </c>
      <c r="BC267" s="649">
        <f t="shared" ref="BC267:BD272" ca="1" si="655">Y267-BA267</f>
        <v>0</v>
      </c>
      <c r="BD267" s="672">
        <f t="shared" ca="1" si="655"/>
        <v>0</v>
      </c>
      <c r="BE267" s="485" t="s">
        <v>197</v>
      </c>
    </row>
    <row r="268" spans="1:57" s="457" customFormat="1" ht="31.5" x14ac:dyDescent="0.25">
      <c r="A268" s="694" t="str">
        <f ca="1">Bérköltség!$B268</f>
        <v>FEOR</v>
      </c>
      <c r="B268" s="694" t="str">
        <f ca="1">IFERROR(
IF(AND(Bérköltség!$F268="",H268="NA"),"HIÁNYOS ADATOK",
IF(Bérköltség!$F268&lt;Bérköltség!$U268,Admin!$B$18,Admin!$B$17)),
"")</f>
        <v>FEOR</v>
      </c>
      <c r="C268" s="437">
        <f>IFERROR(INDEX('Historikus berek_2021-2'!$A$1:$F$903,MATCH(AB268,'Historikus berek_2021-2'!$A$1:$A$903,0),4),"")</f>
        <v>511600</v>
      </c>
      <c r="D268" s="438">
        <f t="shared" si="564"/>
        <v>167593.10344827586</v>
      </c>
      <c r="E268" s="437">
        <f t="shared" si="565"/>
        <v>180172</v>
      </c>
      <c r="F268" s="439">
        <f t="shared" si="566"/>
        <v>14214.153103448276</v>
      </c>
      <c r="G268" s="440">
        <f t="shared" si="567"/>
        <v>189380.20689655171</v>
      </c>
      <c r="H268" s="441">
        <f>IFERROR(INDEX('FEOR kodok'!$A$2:$J$1126,MATCH(Bérköltség!AB268,'FEOR kodok'!$B$2:$B$1126,0),8),"NA")</f>
        <v>2139</v>
      </c>
      <c r="I268" s="436">
        <f ca="1">IFERROR(INDEX('FEOR kodok'!$A$2:$J$1126,MATCH(Bérköltség!AB268,'FEOR kodok'!$B$2:$B$1126,0),10),"NA")</f>
        <v>40</v>
      </c>
      <c r="J268" s="442" t="str">
        <f t="shared" ca="1" si="568"/>
        <v>40–49 éves</v>
      </c>
      <c r="K268" s="436" t="str">
        <f>IFERROR(INDEX(admin_feor[#All],MATCH(Bérköltség!H268,admin_feor[[#All],[Foglalkozás]],0),2),"NA")</f>
        <v>Egyéb, máshova nem sorolható mérnök</v>
      </c>
      <c r="L268" s="438">
        <f ca="1">IFERROR(
INDEX('Admin - FEOR'!$A$4:$F$465,MATCH(Bérköltség!H268,'Admin - FEOR'!$A$4:$A$465,0),
IF(J268="30 év alatt",3,
IF(J268="30–39 éves",4,
IF(J268="40–49 éves",5,
IF(J268="50 év és afelett",6
)))))*1,"NA")</f>
        <v>916594</v>
      </c>
      <c r="M268" s="438">
        <f t="shared" si="569"/>
        <v>550000</v>
      </c>
      <c r="N268" s="443">
        <f t="shared" ca="1" si="570"/>
        <v>0.6000475674071617</v>
      </c>
      <c r="O268" s="438">
        <f ca="1">IFERROR(
INDEX('Admin - FEOR'!$A$4:$F$465,MATCH(Bérköltség!H268,'Admin - FEOR'!$A$4:$A$465,0),
IF(J268="30 év alatt",3,
IF(J268="30–39 éves",4,
IF(J268="40–49 éves",5,
IF(J268="50 év és afelett",6
)))))*1.5,"NA")</f>
        <v>1374891</v>
      </c>
      <c r="P268" s="438">
        <f t="shared" ca="1" si="571"/>
        <v>450395.3275862069</v>
      </c>
      <c r="Q268" s="438">
        <f t="shared" si="572"/>
        <v>180172</v>
      </c>
      <c r="R268" s="444">
        <f t="shared" si="573"/>
        <v>0.32758620689655171</v>
      </c>
      <c r="S268" s="438">
        <f t="shared" ca="1" si="574"/>
        <v>0</v>
      </c>
      <c r="T268" s="438">
        <f t="shared" ca="1" si="575"/>
        <v>0</v>
      </c>
      <c r="U268" s="445">
        <f t="shared" ca="1" si="576"/>
        <v>0</v>
      </c>
      <c r="V268" s="446">
        <f t="shared" ca="1" si="577"/>
        <v>203594</v>
      </c>
      <c r="W268" s="447" t="str">
        <f t="shared" ca="1" si="578"/>
        <v>Nem szükséges indoklás.</v>
      </c>
      <c r="X268" s="571">
        <f t="shared" ca="1" si="579"/>
        <v>0</v>
      </c>
      <c r="Y268" s="554">
        <f t="shared" ca="1" si="580"/>
        <v>180172</v>
      </c>
      <c r="Z268" s="554">
        <f t="shared" ca="1" si="581"/>
        <v>23422</v>
      </c>
      <c r="AA268" s="573">
        <v>2</v>
      </c>
      <c r="AB268" s="315">
        <v>8425661145</v>
      </c>
      <c r="AC268" s="489" t="s">
        <v>196</v>
      </c>
      <c r="AD268" s="483" t="s">
        <v>45</v>
      </c>
      <c r="AE268" s="485" t="s">
        <v>22</v>
      </c>
      <c r="AF268" s="364" t="s">
        <v>119</v>
      </c>
      <c r="AG268" s="364" t="s">
        <v>194</v>
      </c>
      <c r="AH268" s="490" t="s">
        <v>131</v>
      </c>
      <c r="AI268" s="365">
        <v>44805</v>
      </c>
      <c r="AJ268" s="100" t="str">
        <f>IF(AI268&gt;0,
(IF(AI268&lt;Hónapok!$A$10,Admin!$A$28,
(IF(AI268&lt;Hónapok!$A$22,Admin!$B$28,
(IF(AI268&lt;Hónapok!$A$34,Admin!$C$28,
(IF(AI268&lt;Hónapok!$A$46,Admin!$D$28,"")))))))),"")</f>
        <v>2. mérföldkő</v>
      </c>
      <c r="AK268" s="469" t="s">
        <v>7</v>
      </c>
      <c r="AL268" s="333" t="s">
        <v>26</v>
      </c>
      <c r="AM268" s="907">
        <v>550000</v>
      </c>
      <c r="AN268" s="860">
        <f t="shared" si="582"/>
        <v>71500</v>
      </c>
      <c r="AO268" s="333">
        <v>174</v>
      </c>
      <c r="AP268" s="491">
        <v>57</v>
      </c>
      <c r="AQ268" s="454">
        <f t="shared" si="534"/>
        <v>0.32758620689655171</v>
      </c>
      <c r="AR268" s="455">
        <f t="shared" si="535"/>
        <v>180172</v>
      </c>
      <c r="AS268" s="455">
        <f t="shared" si="536"/>
        <v>23422</v>
      </c>
      <c r="AT268" s="102">
        <f t="shared" si="537"/>
        <v>7.5235109714411053E-7</v>
      </c>
      <c r="AU268" s="116">
        <v>0.13</v>
      </c>
      <c r="AV268" s="565" t="str">
        <f>VLOOKUP(LEFT(AB268,10),Törzsszám!$A$1:$B$908,2,0)</f>
        <v>10001905</v>
      </c>
      <c r="AW268" s="615">
        <f t="shared" ca="1" si="538"/>
        <v>0</v>
      </c>
      <c r="AX268" s="539" t="s">
        <v>228</v>
      </c>
      <c r="AY268" s="495"/>
      <c r="AZ268" s="551"/>
      <c r="BA268" s="675">
        <v>180172</v>
      </c>
      <c r="BB268" s="652">
        <v>23422</v>
      </c>
      <c r="BC268" s="649">
        <f t="shared" ca="1" si="655"/>
        <v>0</v>
      </c>
      <c r="BD268" s="672">
        <f t="shared" ca="1" si="655"/>
        <v>0</v>
      </c>
      <c r="BE268" s="485" t="s">
        <v>197</v>
      </c>
    </row>
    <row r="269" spans="1:57" s="457" customFormat="1" ht="31.5" x14ac:dyDescent="0.25">
      <c r="A269" s="694" t="str">
        <f ca="1">Bérköltség!$B269</f>
        <v>FEOR</v>
      </c>
      <c r="B269" s="694" t="str">
        <f ca="1">IFERROR(
IF(AND(Bérköltség!$F269="",H269="NA"),"HIÁNYOS ADATOK",
IF(Bérköltség!$F269&lt;Bérköltség!$U269,Admin!$B$18,Admin!$B$17)),
"")</f>
        <v>FEOR</v>
      </c>
      <c r="C269" s="437">
        <f>IFERROR(INDEX('Historikus berek_2021-2'!$A$1:$F$903,MATCH(AB269,'Historikus berek_2021-2'!$A$1:$A$903,0),4),"")</f>
        <v>511600</v>
      </c>
      <c r="D269" s="438">
        <f t="shared" si="564"/>
        <v>167593.10344827586</v>
      </c>
      <c r="E269" s="437">
        <f t="shared" si="565"/>
        <v>180172</v>
      </c>
      <c r="F269" s="439">
        <f t="shared" si="566"/>
        <v>14214.153103448276</v>
      </c>
      <c r="G269" s="440">
        <f t="shared" si="567"/>
        <v>189380.20689655171</v>
      </c>
      <c r="H269" s="441">
        <f>IFERROR(INDEX('FEOR kodok'!$A$2:$J$1126,MATCH(Bérköltség!AB269,'FEOR kodok'!$B$2:$B$1126,0),8),"NA")</f>
        <v>2139</v>
      </c>
      <c r="I269" s="436">
        <f ca="1">IFERROR(INDEX('FEOR kodok'!$A$2:$J$1126,MATCH(Bérköltség!AB269,'FEOR kodok'!$B$2:$B$1126,0),10),"NA")</f>
        <v>40</v>
      </c>
      <c r="J269" s="442" t="str">
        <f t="shared" ca="1" si="568"/>
        <v>40–49 éves</v>
      </c>
      <c r="K269" s="436" t="str">
        <f>IFERROR(INDEX(admin_feor[#All],MATCH(Bérköltség!H269,admin_feor[[#All],[Foglalkozás]],0),2),"NA")</f>
        <v>Egyéb, máshova nem sorolható mérnök</v>
      </c>
      <c r="L269" s="438">
        <f ca="1">IFERROR(
INDEX('Admin - FEOR'!$A$4:$F$465,MATCH(Bérköltség!H269,'Admin - FEOR'!$A$4:$A$465,0),
IF(J269="30 év alatt",3,
IF(J269="30–39 éves",4,
IF(J269="40–49 éves",5,
IF(J269="50 év és afelett",6
)))))*1,"NA")</f>
        <v>916594</v>
      </c>
      <c r="M269" s="438">
        <f t="shared" si="569"/>
        <v>549999</v>
      </c>
      <c r="N269" s="443">
        <f t="shared" ca="1" si="570"/>
        <v>0.6000464764115846</v>
      </c>
      <c r="O269" s="438">
        <f ca="1">IFERROR(
INDEX('Admin - FEOR'!$A$4:$F$465,MATCH(Bérköltség!H269,'Admin - FEOR'!$A$4:$A$465,0),
IF(J269="30 év alatt",3,
IF(J269="30–39 éves",4,
IF(J269="40–49 éves",5,
IF(J269="50 év és afelett",6
)))))*1.5,"NA")</f>
        <v>1374891</v>
      </c>
      <c r="P269" s="438">
        <f t="shared" ca="1" si="571"/>
        <v>450395.3275862069</v>
      </c>
      <c r="Q269" s="438">
        <f t="shared" si="572"/>
        <v>180172</v>
      </c>
      <c r="R269" s="444">
        <f t="shared" si="573"/>
        <v>0.32758620689655171</v>
      </c>
      <c r="S269" s="438">
        <f t="shared" ca="1" si="574"/>
        <v>0</v>
      </c>
      <c r="T269" s="438">
        <f t="shared" ca="1" si="575"/>
        <v>0</v>
      </c>
      <c r="U269" s="445">
        <f t="shared" ca="1" si="576"/>
        <v>0</v>
      </c>
      <c r="V269" s="446">
        <f t="shared" ca="1" si="577"/>
        <v>203594</v>
      </c>
      <c r="W269" s="447" t="str">
        <f t="shared" ca="1" si="578"/>
        <v>Nem szükséges indoklás.</v>
      </c>
      <c r="X269" s="571">
        <f t="shared" ca="1" si="579"/>
        <v>0</v>
      </c>
      <c r="Y269" s="554">
        <f t="shared" ca="1" si="580"/>
        <v>180172</v>
      </c>
      <c r="Z269" s="554">
        <f t="shared" ca="1" si="581"/>
        <v>23422</v>
      </c>
      <c r="AA269" s="573">
        <v>2</v>
      </c>
      <c r="AB269" s="315">
        <v>8425661145</v>
      </c>
      <c r="AC269" s="489" t="s">
        <v>196</v>
      </c>
      <c r="AD269" s="483" t="s">
        <v>45</v>
      </c>
      <c r="AE269" s="485" t="s">
        <v>22</v>
      </c>
      <c r="AF269" s="364" t="s">
        <v>119</v>
      </c>
      <c r="AG269" s="364" t="s">
        <v>194</v>
      </c>
      <c r="AH269" s="490" t="s">
        <v>131</v>
      </c>
      <c r="AI269" s="365">
        <v>44835</v>
      </c>
      <c r="AJ269" s="100" t="str">
        <f>IF(AI269&gt;0,
(IF(AI269&lt;Hónapok!$A$10,Admin!$A$28,
(IF(AI269&lt;Hónapok!$A$22,Admin!$B$28,
(IF(AI269&lt;Hónapok!$A$34,Admin!$C$28,
(IF(AI269&lt;Hónapok!$A$46,Admin!$D$28,"")))))))),"")</f>
        <v>2. mérföldkő</v>
      </c>
      <c r="AK269" s="469" t="s">
        <v>7</v>
      </c>
      <c r="AL269" s="333" t="s">
        <v>26</v>
      </c>
      <c r="AM269" s="907">
        <v>549999</v>
      </c>
      <c r="AN269" s="860">
        <f t="shared" si="582"/>
        <v>71500</v>
      </c>
      <c r="AO269" s="333">
        <v>174</v>
      </c>
      <c r="AP269" s="491">
        <v>57</v>
      </c>
      <c r="AQ269" s="454">
        <f t="shared" si="534"/>
        <v>0.32758620689655171</v>
      </c>
      <c r="AR269" s="455">
        <f t="shared" si="535"/>
        <v>180172</v>
      </c>
      <c r="AS269" s="455">
        <f t="shared" si="536"/>
        <v>23422</v>
      </c>
      <c r="AT269" s="102">
        <f t="shared" si="537"/>
        <v>1.5674009690158641E-7</v>
      </c>
      <c r="AU269" s="116">
        <v>0.13</v>
      </c>
      <c r="AV269" s="565" t="str">
        <f>VLOOKUP(LEFT(AB269,10),Törzsszám!$A$1:$B$908,2,0)</f>
        <v>10001905</v>
      </c>
      <c r="AW269" s="615">
        <f t="shared" ca="1" si="538"/>
        <v>0</v>
      </c>
      <c r="AX269" s="494" t="s">
        <v>251</v>
      </c>
      <c r="AY269" s="495"/>
      <c r="AZ269" s="551"/>
      <c r="BA269" s="675">
        <v>180172</v>
      </c>
      <c r="BB269" s="652">
        <v>23422</v>
      </c>
      <c r="BC269" s="649">
        <f t="shared" ca="1" si="655"/>
        <v>0</v>
      </c>
      <c r="BD269" s="672">
        <f t="shared" ca="1" si="655"/>
        <v>0</v>
      </c>
      <c r="BE269" s="485" t="s">
        <v>197</v>
      </c>
    </row>
    <row r="270" spans="1:57" s="457" customFormat="1" ht="31.5" x14ac:dyDescent="0.25">
      <c r="A270" s="694" t="str">
        <f ca="1">Bérköltség!$B270</f>
        <v>FEOR</v>
      </c>
      <c r="B270" s="694" t="str">
        <f ca="1">IFERROR(
IF(AND(Bérköltség!$F270="",H270="NA"),"HIÁNYOS ADATOK",
IF(Bérköltség!$F270&lt;Bérköltség!$U270,Admin!$B$18,Admin!$B$17)),
"")</f>
        <v>FEOR</v>
      </c>
      <c r="C270" s="437">
        <f>IFERROR(INDEX('Historikus berek_2021-2'!$A$1:$F$903,MATCH(AB270,'Historikus berek_2021-2'!$A$1:$A$903,0),4),"")</f>
        <v>511600</v>
      </c>
      <c r="D270" s="438">
        <f t="shared" si="564"/>
        <v>167593.10344827586</v>
      </c>
      <c r="E270" s="437">
        <f t="shared" si="565"/>
        <v>180172</v>
      </c>
      <c r="F270" s="439">
        <f t="shared" si="566"/>
        <v>14214.153103448276</v>
      </c>
      <c r="G270" s="440">
        <f t="shared" si="567"/>
        <v>189380.20689655171</v>
      </c>
      <c r="H270" s="441">
        <f>IFERROR(INDEX('FEOR kodok'!$A$2:$J$1126,MATCH(Bérköltség!AB270,'FEOR kodok'!$B$2:$B$1126,0),8),"NA")</f>
        <v>2139</v>
      </c>
      <c r="I270" s="436">
        <f ca="1">IFERROR(INDEX('FEOR kodok'!$A$2:$J$1126,MATCH(Bérköltség!AB270,'FEOR kodok'!$B$2:$B$1126,0),10),"NA")</f>
        <v>40</v>
      </c>
      <c r="J270" s="442" t="str">
        <f t="shared" ca="1" si="568"/>
        <v>40–49 éves</v>
      </c>
      <c r="K270" s="436" t="str">
        <f>IFERROR(INDEX(admin_feor[#All],MATCH(Bérköltség!H270,admin_feor[[#All],[Foglalkozás]],0),2),"NA")</f>
        <v>Egyéb, máshova nem sorolható mérnök</v>
      </c>
      <c r="L270" s="438">
        <f ca="1">IFERROR(
INDEX('Admin - FEOR'!$A$4:$F$465,MATCH(Bérköltség!H270,'Admin - FEOR'!$A$4:$A$465,0),
IF(J270="30 év alatt",3,
IF(J270="30–39 éves",4,
IF(J270="40–49 éves",5,
IF(J270="50 év és afelett",6
)))))*1,"NA")</f>
        <v>916594</v>
      </c>
      <c r="M270" s="438">
        <f t="shared" si="569"/>
        <v>550000</v>
      </c>
      <c r="N270" s="443">
        <f t="shared" ca="1" si="570"/>
        <v>0.6000475674071617</v>
      </c>
      <c r="O270" s="438">
        <f ca="1">IFERROR(
INDEX('Admin - FEOR'!$A$4:$F$465,MATCH(Bérköltség!H270,'Admin - FEOR'!$A$4:$A$465,0),
IF(J270="30 év alatt",3,
IF(J270="30–39 éves",4,
IF(J270="40–49 éves",5,
IF(J270="50 év és afelett",6
)))))*1.5,"NA")</f>
        <v>1374891</v>
      </c>
      <c r="P270" s="438">
        <f t="shared" ca="1" si="571"/>
        <v>450395.3275862069</v>
      </c>
      <c r="Q270" s="438">
        <f t="shared" si="572"/>
        <v>180172</v>
      </c>
      <c r="R270" s="444">
        <f t="shared" si="573"/>
        <v>0.32758620689655171</v>
      </c>
      <c r="S270" s="438">
        <f t="shared" ca="1" si="574"/>
        <v>0</v>
      </c>
      <c r="T270" s="438">
        <f t="shared" ca="1" si="575"/>
        <v>0</v>
      </c>
      <c r="U270" s="445">
        <f t="shared" ca="1" si="576"/>
        <v>0</v>
      </c>
      <c r="V270" s="446">
        <f t="shared" ca="1" si="577"/>
        <v>203594</v>
      </c>
      <c r="W270" s="447" t="str">
        <f t="shared" ca="1" si="578"/>
        <v>Nem szükséges indoklás.</v>
      </c>
      <c r="X270" s="571">
        <f t="shared" ca="1" si="579"/>
        <v>0</v>
      </c>
      <c r="Y270" s="554">
        <f t="shared" ca="1" si="580"/>
        <v>180172</v>
      </c>
      <c r="Z270" s="554">
        <f t="shared" ca="1" si="581"/>
        <v>23422</v>
      </c>
      <c r="AA270" s="573">
        <v>2</v>
      </c>
      <c r="AB270" s="315">
        <v>8425661145</v>
      </c>
      <c r="AC270" s="489" t="s">
        <v>196</v>
      </c>
      <c r="AD270" s="483" t="s">
        <v>45</v>
      </c>
      <c r="AE270" s="485" t="s">
        <v>22</v>
      </c>
      <c r="AF270" s="364" t="s">
        <v>119</v>
      </c>
      <c r="AG270" s="364" t="s">
        <v>194</v>
      </c>
      <c r="AH270" s="490" t="s">
        <v>131</v>
      </c>
      <c r="AI270" s="365">
        <v>44866</v>
      </c>
      <c r="AJ270" s="100" t="str">
        <f>IF(AI270&gt;0,
(IF(AI270&lt;Hónapok!$A$10,Admin!$A$28,
(IF(AI270&lt;Hónapok!$A$22,Admin!$B$28,
(IF(AI270&lt;Hónapok!$A$34,Admin!$C$28,
(IF(AI270&lt;Hónapok!$A$46,Admin!$D$28,"")))))))),"")</f>
        <v>2. mérföldkő</v>
      </c>
      <c r="AK270" s="469" t="s">
        <v>7</v>
      </c>
      <c r="AL270" s="333" t="s">
        <v>26</v>
      </c>
      <c r="AM270" s="907">
        <v>550000</v>
      </c>
      <c r="AN270" s="860">
        <f t="shared" si="582"/>
        <v>71500</v>
      </c>
      <c r="AO270" s="333">
        <v>174</v>
      </c>
      <c r="AP270" s="491">
        <v>57</v>
      </c>
      <c r="AQ270" s="454">
        <f t="shared" si="534"/>
        <v>0.32758620689655171</v>
      </c>
      <c r="AR270" s="455">
        <f t="shared" si="535"/>
        <v>180172</v>
      </c>
      <c r="AS270" s="455">
        <f t="shared" si="536"/>
        <v>23422</v>
      </c>
      <c r="AT270" s="102">
        <f t="shared" si="537"/>
        <v>7.5235109714411053E-7</v>
      </c>
      <c r="AU270" s="116">
        <v>0.13</v>
      </c>
      <c r="AV270" s="565" t="str">
        <f>VLOOKUP(LEFT(AB270,10),Törzsszám!$A$1:$B$908,2,0)</f>
        <v>10001905</v>
      </c>
      <c r="AW270" s="615">
        <f t="shared" ca="1" si="538"/>
        <v>0</v>
      </c>
      <c r="AX270" s="550" t="s">
        <v>260</v>
      </c>
      <c r="AY270" s="495"/>
      <c r="AZ270" s="551"/>
      <c r="BA270" s="675">
        <v>180172</v>
      </c>
      <c r="BB270" s="652">
        <v>23422</v>
      </c>
      <c r="BC270" s="649">
        <f t="shared" ca="1" si="655"/>
        <v>0</v>
      </c>
      <c r="BD270" s="672">
        <f t="shared" ca="1" si="655"/>
        <v>0</v>
      </c>
      <c r="BE270" s="485" t="s">
        <v>197</v>
      </c>
    </row>
    <row r="271" spans="1:57" s="457" customFormat="1" ht="31.5" x14ac:dyDescent="0.25">
      <c r="A271" s="694" t="str">
        <f ca="1">Bérköltség!$B271</f>
        <v>FEOR</v>
      </c>
      <c r="B271" s="694" t="str">
        <f ca="1">IFERROR(
IF(AND(Bérköltség!$F271="",H271="NA"),"HIÁNYOS ADATOK",
IF(Bérköltség!$F271&lt;Bérköltség!$U271,Admin!$B$18,Admin!$B$17)),
"")</f>
        <v>FEOR</v>
      </c>
      <c r="C271" s="437">
        <f>IFERROR(INDEX('Historikus berek_2021-2'!$A$1:$F$903,MATCH(AB271,'Historikus berek_2021-2'!$A$1:$A$903,0),4),"")</f>
        <v>511600</v>
      </c>
      <c r="D271" s="438">
        <f t="shared" si="564"/>
        <v>167593.10344827586</v>
      </c>
      <c r="E271" s="437">
        <f t="shared" si="565"/>
        <v>180172</v>
      </c>
      <c r="F271" s="439">
        <f t="shared" si="566"/>
        <v>14214.153103448276</v>
      </c>
      <c r="G271" s="440">
        <f t="shared" si="567"/>
        <v>189380.20689655171</v>
      </c>
      <c r="H271" s="441">
        <f>IFERROR(INDEX('FEOR kodok'!$A$2:$J$1126,MATCH(Bérköltség!AB271,'FEOR kodok'!$B$2:$B$1126,0),8),"NA")</f>
        <v>2139</v>
      </c>
      <c r="I271" s="436">
        <f ca="1">IFERROR(INDEX('FEOR kodok'!$A$2:$J$1126,MATCH(Bérköltség!AB271,'FEOR kodok'!$B$2:$B$1126,0),10),"NA")</f>
        <v>40</v>
      </c>
      <c r="J271" s="442" t="str">
        <f t="shared" ca="1" si="568"/>
        <v>40–49 éves</v>
      </c>
      <c r="K271" s="436" t="str">
        <f>IFERROR(INDEX(admin_feor[#All],MATCH(Bérköltség!H271,admin_feor[[#All],[Foglalkozás]],0),2),"NA")</f>
        <v>Egyéb, máshova nem sorolható mérnök</v>
      </c>
      <c r="L271" s="438">
        <f ca="1">IFERROR(
INDEX('Admin - FEOR'!$A$4:$F$465,MATCH(Bérköltség!H271,'Admin - FEOR'!$A$4:$A$465,0),
IF(J271="30 év alatt",3,
IF(J271="30–39 éves",4,
IF(J271="40–49 éves",5,
IF(J271="50 év és afelett",6
)))))*1,"NA")</f>
        <v>916594</v>
      </c>
      <c r="M271" s="438">
        <f t="shared" si="569"/>
        <v>550000</v>
      </c>
      <c r="N271" s="443">
        <f t="shared" ca="1" si="570"/>
        <v>0.6000475674071617</v>
      </c>
      <c r="O271" s="438">
        <f ca="1">IFERROR(
INDEX('Admin - FEOR'!$A$4:$F$465,MATCH(Bérköltség!H271,'Admin - FEOR'!$A$4:$A$465,0),
IF(J271="30 év alatt",3,
IF(J271="30–39 éves",4,
IF(J271="40–49 éves",5,
IF(J271="50 év és afelett",6
)))))*1.5,"NA")</f>
        <v>1374891</v>
      </c>
      <c r="P271" s="438">
        <f t="shared" ca="1" si="571"/>
        <v>450395.3275862069</v>
      </c>
      <c r="Q271" s="438">
        <f t="shared" si="572"/>
        <v>180172</v>
      </c>
      <c r="R271" s="444">
        <f t="shared" si="573"/>
        <v>0.32758620689655171</v>
      </c>
      <c r="S271" s="438">
        <f t="shared" ca="1" si="574"/>
        <v>0</v>
      </c>
      <c r="T271" s="438">
        <f t="shared" ca="1" si="575"/>
        <v>0</v>
      </c>
      <c r="U271" s="445">
        <f t="shared" ca="1" si="576"/>
        <v>0</v>
      </c>
      <c r="V271" s="446">
        <f t="shared" ca="1" si="577"/>
        <v>203594</v>
      </c>
      <c r="W271" s="447" t="str">
        <f t="shared" ca="1" si="578"/>
        <v>Nem szükséges indoklás.</v>
      </c>
      <c r="X271" s="571">
        <f t="shared" ca="1" si="579"/>
        <v>0</v>
      </c>
      <c r="Y271" s="554">
        <f t="shared" ca="1" si="580"/>
        <v>180172</v>
      </c>
      <c r="Z271" s="554">
        <f t="shared" ca="1" si="581"/>
        <v>23422</v>
      </c>
      <c r="AA271" s="573">
        <v>2</v>
      </c>
      <c r="AB271" s="315">
        <v>8425661145</v>
      </c>
      <c r="AC271" s="489" t="s">
        <v>196</v>
      </c>
      <c r="AD271" s="483" t="s">
        <v>45</v>
      </c>
      <c r="AE271" s="485" t="s">
        <v>22</v>
      </c>
      <c r="AF271" s="364" t="s">
        <v>119</v>
      </c>
      <c r="AG271" s="364" t="s">
        <v>194</v>
      </c>
      <c r="AH271" s="490" t="s">
        <v>131</v>
      </c>
      <c r="AI271" s="365">
        <v>44896</v>
      </c>
      <c r="AJ271" s="100" t="str">
        <f>IF(AI271&gt;0,
(IF(AI271&lt;Hónapok!$A$10,Admin!$A$28,
(IF(AI271&lt;Hónapok!$A$22,Admin!$B$28,
(IF(AI271&lt;Hónapok!$A$34,Admin!$C$28,
(IF(AI271&lt;Hónapok!$A$46,Admin!$D$28,"")))))))),"")</f>
        <v>2. mérföldkő</v>
      </c>
      <c r="AK271" s="469" t="s">
        <v>7</v>
      </c>
      <c r="AL271" s="333" t="s">
        <v>26</v>
      </c>
      <c r="AM271" s="907">
        <v>550000</v>
      </c>
      <c r="AN271" s="860">
        <f t="shared" si="582"/>
        <v>71500</v>
      </c>
      <c r="AO271" s="333">
        <v>174</v>
      </c>
      <c r="AP271" s="491">
        <v>57</v>
      </c>
      <c r="AQ271" s="454">
        <f t="shared" si="534"/>
        <v>0.32758620689655171</v>
      </c>
      <c r="AR271" s="455">
        <f t="shared" si="535"/>
        <v>180172</v>
      </c>
      <c r="AS271" s="455">
        <f t="shared" si="536"/>
        <v>23422</v>
      </c>
      <c r="AT271" s="102">
        <f t="shared" si="537"/>
        <v>7.5235109714411053E-7</v>
      </c>
      <c r="AU271" s="116">
        <v>0.13</v>
      </c>
      <c r="AV271" s="565" t="str">
        <f>VLOOKUP(LEFT(AB271,10),Törzsszám!$A$1:$B$908,2,0)</f>
        <v>10001905</v>
      </c>
      <c r="AW271" s="615">
        <f t="shared" ca="1" si="538"/>
        <v>0</v>
      </c>
      <c r="AX271" s="550" t="s">
        <v>262</v>
      </c>
      <c r="AY271" s="495"/>
      <c r="AZ271" s="551"/>
      <c r="BA271" s="675">
        <v>180172</v>
      </c>
      <c r="BB271" s="652">
        <v>23422</v>
      </c>
      <c r="BC271" s="649">
        <f t="shared" ca="1" si="655"/>
        <v>0</v>
      </c>
      <c r="BD271" s="672">
        <f t="shared" ca="1" si="655"/>
        <v>0</v>
      </c>
      <c r="BE271" s="485" t="s">
        <v>197</v>
      </c>
    </row>
    <row r="272" spans="1:57" s="457" customFormat="1" ht="31.5" x14ac:dyDescent="0.25">
      <c r="A272" s="694" t="str">
        <f ca="1">Bérköltség!$B272</f>
        <v>FEOR</v>
      </c>
      <c r="B272" s="694" t="str">
        <f ca="1">IFERROR(
IF(AND(Bérköltség!$F272="",H272="NA"),"HIÁNYOS ADATOK",
IF(Bérköltség!$F272&lt;Bérköltség!$U272,Admin!$B$18,Admin!$B$17)),
"")</f>
        <v>FEOR</v>
      </c>
      <c r="C272" s="437">
        <f>IFERROR(INDEX('Historikus berek_2021-2'!$A$1:$F$903,MATCH(AB272,'Historikus berek_2021-2'!$A$1:$A$903,0),4),"")</f>
        <v>511600</v>
      </c>
      <c r="D272" s="438">
        <f t="shared" si="564"/>
        <v>173473.5632183908</v>
      </c>
      <c r="E272" s="437">
        <f t="shared" si="565"/>
        <v>189885</v>
      </c>
      <c r="F272" s="439">
        <f t="shared" si="566"/>
        <v>18544.923563218414</v>
      </c>
      <c r="G272" s="440">
        <f t="shared" si="567"/>
        <v>196025.12643678157</v>
      </c>
      <c r="H272" s="441">
        <f>IFERROR(INDEX('FEOR kodok'!$A$2:$J$1126,MATCH(Bérköltség!AB272,'FEOR kodok'!$B$2:$B$1126,0),8),"NA")</f>
        <v>2139</v>
      </c>
      <c r="I272" s="436">
        <f ca="1">IFERROR(INDEX('FEOR kodok'!$A$2:$J$1126,MATCH(Bérköltség!AB272,'FEOR kodok'!$B$2:$B$1126,0),10),"NA")</f>
        <v>40</v>
      </c>
      <c r="J272" s="442" t="str">
        <f t="shared" ca="1" si="568"/>
        <v>40–49 éves</v>
      </c>
      <c r="K272" s="436" t="str">
        <f>IFERROR(INDEX(admin_feor[#All],MATCH(Bérköltség!H272,admin_feor[[#All],[Foglalkozás]],0),2),"NA")</f>
        <v>Egyéb, máshova nem sorolható mérnök</v>
      </c>
      <c r="L272" s="438">
        <f ca="1">IFERROR(
INDEX('Admin - FEOR'!$A$4:$F$465,MATCH(Bérköltség!H272,'Admin - FEOR'!$A$4:$A$465,0),
IF(J272="30 év alatt",3,
IF(J272="30–39 éves",4,
IF(J272="40–49 éves",5,
IF(J272="50 év és afelett",6
)))))*1,"NA")</f>
        <v>916594</v>
      </c>
      <c r="M272" s="438">
        <f t="shared" si="569"/>
        <v>560000</v>
      </c>
      <c r="N272" s="443">
        <f t="shared" ca="1" si="570"/>
        <v>0.61095752317820107</v>
      </c>
      <c r="O272" s="438">
        <f ca="1">IFERROR(
INDEX('Admin - FEOR'!$A$4:$F$465,MATCH(Bérköltség!H272,'Admin - FEOR'!$A$4:$A$465,0),
IF(J272="30 év alatt",3,
IF(J272="30–39 éves",4,
IF(J272="40–49 éves",5,
IF(J272="50 év és afelett",6
)))))*1.5,"NA")</f>
        <v>1374891</v>
      </c>
      <c r="P272" s="438">
        <f t="shared" ca="1" si="571"/>
        <v>466198.67241379304</v>
      </c>
      <c r="Q272" s="438">
        <f t="shared" si="572"/>
        <v>189885</v>
      </c>
      <c r="R272" s="444">
        <f t="shared" si="573"/>
        <v>0.33908045977011492</v>
      </c>
      <c r="S272" s="438">
        <f t="shared" ca="1" si="574"/>
        <v>0</v>
      </c>
      <c r="T272" s="438">
        <f t="shared" ca="1" si="575"/>
        <v>0</v>
      </c>
      <c r="U272" s="445">
        <f t="shared" ca="1" si="576"/>
        <v>0</v>
      </c>
      <c r="V272" s="446">
        <f t="shared" ca="1" si="577"/>
        <v>214570</v>
      </c>
      <c r="W272" s="447" t="str">
        <f t="shared" ca="1" si="578"/>
        <v>Nem szükséges indoklás.</v>
      </c>
      <c r="X272" s="571">
        <f t="shared" ca="1" si="579"/>
        <v>0</v>
      </c>
      <c r="Y272" s="554">
        <f t="shared" ca="1" si="580"/>
        <v>189885</v>
      </c>
      <c r="Z272" s="554">
        <f t="shared" ca="1" si="581"/>
        <v>24685</v>
      </c>
      <c r="AA272" s="573">
        <v>2</v>
      </c>
      <c r="AB272" s="448">
        <v>8425661145</v>
      </c>
      <c r="AC272" s="449" t="s">
        <v>196</v>
      </c>
      <c r="AD272" s="483" t="s">
        <v>45</v>
      </c>
      <c r="AE272" s="450" t="s">
        <v>22</v>
      </c>
      <c r="AF272" s="99" t="s">
        <v>119</v>
      </c>
      <c r="AG272" s="99" t="s">
        <v>194</v>
      </c>
      <c r="AH272" s="451" t="s">
        <v>131</v>
      </c>
      <c r="AI272" s="154">
        <v>44927</v>
      </c>
      <c r="AJ272" s="100" t="str">
        <f>IF(AI272&gt;0,
(IF(AI272&lt;Hónapok!$A$10,Admin!$A$28,
(IF(AI272&lt;Hónapok!$A$22,Admin!$B$28,
(IF(AI272&lt;Hónapok!$A$34,Admin!$C$28,
(IF(AI272&lt;Hónapok!$A$46,Admin!$D$28,"")))))))),"")</f>
        <v>2. mérföldkő</v>
      </c>
      <c r="AK272" s="467" t="s">
        <v>7</v>
      </c>
      <c r="AL272" s="101" t="s">
        <v>26</v>
      </c>
      <c r="AM272" s="900">
        <v>560000</v>
      </c>
      <c r="AN272" s="860">
        <f t="shared" si="582"/>
        <v>72800</v>
      </c>
      <c r="AO272" s="101">
        <v>174</v>
      </c>
      <c r="AP272" s="111">
        <v>59</v>
      </c>
      <c r="AQ272" s="454">
        <f t="shared" si="534"/>
        <v>0.33908045977011492</v>
      </c>
      <c r="AR272" s="455">
        <f t="shared" si="535"/>
        <v>189885</v>
      </c>
      <c r="AS272" s="455">
        <f t="shared" si="536"/>
        <v>24685</v>
      </c>
      <c r="AT272" s="102">
        <f t="shared" si="537"/>
        <v>1.0262725774756731E-7</v>
      </c>
      <c r="AU272" s="116">
        <v>0.13</v>
      </c>
      <c r="AV272" s="565" t="str">
        <f>VLOOKUP(LEFT(AB272,10),Törzsszám!$A$1:$B$908,2,0)</f>
        <v>10001905</v>
      </c>
      <c r="AW272" s="615">
        <f t="shared" ca="1" si="538"/>
        <v>0</v>
      </c>
      <c r="AX272" s="456" t="s">
        <v>2518</v>
      </c>
      <c r="AY272" s="486"/>
      <c r="AZ272" s="502"/>
      <c r="BA272" s="671">
        <v>189885</v>
      </c>
      <c r="BB272" s="649">
        <v>24685</v>
      </c>
      <c r="BC272" s="649">
        <f t="shared" ca="1" si="655"/>
        <v>0</v>
      </c>
      <c r="BD272" s="672">
        <f t="shared" ca="1" si="655"/>
        <v>0</v>
      </c>
      <c r="BE272" s="450" t="s">
        <v>197</v>
      </c>
    </row>
    <row r="273" spans="1:57" s="457" customFormat="1" ht="31.5" x14ac:dyDescent="0.25">
      <c r="A273" s="694" t="str">
        <f ca="1">Bérköltség!$B273</f>
        <v>FEOR</v>
      </c>
      <c r="B273" s="694" t="str">
        <f ca="1">IFERROR(
IF(AND(Bérköltség!$F273="",H273="NA"),"HIÁNYOS ADATOK",
IF(Bérköltség!$F273&lt;Bérköltség!$U273,Admin!$B$18,Admin!$B$17)),
"")</f>
        <v>FEOR</v>
      </c>
      <c r="C273" s="437">
        <f>IFERROR(INDEX('Historikus berek_2021-2'!$A$1:$F$903,MATCH(AB273,'Historikus berek_2021-2'!$A$1:$A$903,0),4),"")</f>
        <v>511600</v>
      </c>
      <c r="D273" s="438">
        <f t="shared" si="564"/>
        <v>173473.5632183908</v>
      </c>
      <c r="E273" s="437">
        <f t="shared" si="565"/>
        <v>189885</v>
      </c>
      <c r="F273" s="439">
        <f t="shared" si="566"/>
        <v>18544.923563218414</v>
      </c>
      <c r="G273" s="440">
        <f t="shared" si="567"/>
        <v>196025.12643678157</v>
      </c>
      <c r="H273" s="441">
        <f>IFERROR(INDEX('FEOR kodok'!$A$2:$J$1126,MATCH(Bérköltség!AB273,'FEOR kodok'!$B$2:$B$1126,0),8),"NA")</f>
        <v>2139</v>
      </c>
      <c r="I273" s="436">
        <f ca="1">IFERROR(INDEX('FEOR kodok'!$A$2:$J$1126,MATCH(Bérköltség!AB273,'FEOR kodok'!$B$2:$B$1126,0),10),"NA")</f>
        <v>40</v>
      </c>
      <c r="J273" s="442" t="str">
        <f t="shared" ca="1" si="568"/>
        <v>40–49 éves</v>
      </c>
      <c r="K273" s="436" t="str">
        <f>IFERROR(INDEX(admin_feor[#All],MATCH(Bérköltség!H273,admin_feor[[#All],[Foglalkozás]],0),2),"NA")</f>
        <v>Egyéb, máshova nem sorolható mérnök</v>
      </c>
      <c r="L273" s="438">
        <f ca="1">IFERROR(
INDEX('Admin - FEOR'!$A$4:$F$465,MATCH(Bérköltség!H273,'Admin - FEOR'!$A$4:$A$465,0),
IF(J273="30 év alatt",3,
IF(J273="30–39 éves",4,
IF(J273="40–49 éves",5,
IF(J273="50 év és afelett",6
)))))*1,"NA")</f>
        <v>916594</v>
      </c>
      <c r="M273" s="438">
        <f t="shared" si="569"/>
        <v>560000</v>
      </c>
      <c r="N273" s="443">
        <f t="shared" ca="1" si="570"/>
        <v>0.61095752317820107</v>
      </c>
      <c r="O273" s="438">
        <f ca="1">IFERROR(
INDEX('Admin - FEOR'!$A$4:$F$465,MATCH(Bérköltség!H273,'Admin - FEOR'!$A$4:$A$465,0),
IF(J273="30 év alatt",3,
IF(J273="30–39 éves",4,
IF(J273="40–49 éves",5,
IF(J273="50 év és afelett",6
)))))*1.5,"NA")</f>
        <v>1374891</v>
      </c>
      <c r="P273" s="438">
        <f t="shared" ca="1" si="571"/>
        <v>466198.67241379304</v>
      </c>
      <c r="Q273" s="438">
        <f t="shared" si="572"/>
        <v>189885</v>
      </c>
      <c r="R273" s="444">
        <f t="shared" si="573"/>
        <v>0.33908045977011492</v>
      </c>
      <c r="S273" s="438">
        <f t="shared" ca="1" si="574"/>
        <v>0</v>
      </c>
      <c r="T273" s="438">
        <f t="shared" ca="1" si="575"/>
        <v>0</v>
      </c>
      <c r="U273" s="445">
        <f t="shared" ca="1" si="576"/>
        <v>0</v>
      </c>
      <c r="V273" s="446">
        <f t="shared" ca="1" si="577"/>
        <v>214570</v>
      </c>
      <c r="W273" s="447" t="str">
        <f t="shared" ca="1" si="578"/>
        <v>Nem szükséges indoklás.</v>
      </c>
      <c r="X273" s="571">
        <f t="shared" ca="1" si="579"/>
        <v>0</v>
      </c>
      <c r="Y273" s="554">
        <f t="shared" ca="1" si="580"/>
        <v>189885</v>
      </c>
      <c r="Z273" s="554">
        <f t="shared" ca="1" si="581"/>
        <v>24685</v>
      </c>
      <c r="AA273" s="101"/>
      <c r="AB273" s="448">
        <v>8425661145</v>
      </c>
      <c r="AC273" s="449" t="s">
        <v>196</v>
      </c>
      <c r="AD273" s="482" t="s">
        <v>45</v>
      </c>
      <c r="AE273" s="450" t="s">
        <v>22</v>
      </c>
      <c r="AF273" s="99" t="s">
        <v>119</v>
      </c>
      <c r="AG273" s="99" t="s">
        <v>194</v>
      </c>
      <c r="AH273" s="451" t="s">
        <v>131</v>
      </c>
      <c r="AI273" s="154">
        <v>44958</v>
      </c>
      <c r="AJ273" s="100" t="str">
        <f>IF(AI273&gt;0,
(IF(AI273&lt;Hónapok!$A$10,Admin!$A$28,
(IF(AI273&lt;Hónapok!$A$22,Admin!$B$28,
(IF(AI273&lt;Hónapok!$A$34,Admin!$C$28,
(IF(AI273&lt;Hónapok!$A$46,Admin!$D$28,"")))))))),"")</f>
        <v>2. mérföldkő</v>
      </c>
      <c r="AK273" s="467" t="s">
        <v>7</v>
      </c>
      <c r="AL273" s="101" t="s">
        <v>26</v>
      </c>
      <c r="AM273" s="900">
        <v>560000</v>
      </c>
      <c r="AN273" s="860">
        <f t="shared" si="582"/>
        <v>72800</v>
      </c>
      <c r="AO273" s="101">
        <v>174</v>
      </c>
      <c r="AP273" s="111">
        <v>59</v>
      </c>
      <c r="AQ273" s="454">
        <f t="shared" si="534"/>
        <v>0.33908045977011492</v>
      </c>
      <c r="AR273" s="455">
        <f t="shared" si="535"/>
        <v>189885</v>
      </c>
      <c r="AS273" s="455">
        <f t="shared" si="536"/>
        <v>24685</v>
      </c>
      <c r="AT273" s="102">
        <f t="shared" si="537"/>
        <v>1.0262725774756731E-7</v>
      </c>
      <c r="AU273" s="116">
        <v>0.13</v>
      </c>
      <c r="AV273" s="565" t="str">
        <f>VLOOKUP(LEFT(AB273,10),Törzsszám!$A$1:$B$908,2,0)</f>
        <v>10001905</v>
      </c>
      <c r="AW273" s="615">
        <f t="shared" ca="1" si="538"/>
        <v>0</v>
      </c>
      <c r="AX273" s="537" t="s">
        <v>4557</v>
      </c>
      <c r="AY273" s="486"/>
      <c r="AZ273" s="502"/>
      <c r="BA273" s="671"/>
      <c r="BB273" s="649"/>
      <c r="BC273" s="649"/>
      <c r="BD273" s="672"/>
      <c r="BE273" s="450" t="s">
        <v>197</v>
      </c>
    </row>
    <row r="274" spans="1:57" s="457" customFormat="1" ht="31.5" x14ac:dyDescent="0.25">
      <c r="A274" s="694" t="str">
        <f ca="1">Bérköltség!$B274</f>
        <v>FEOR</v>
      </c>
      <c r="B274" s="694" t="str">
        <f ca="1">IFERROR(
IF(AND(Bérköltség!$F274="",H274="NA"),"HIÁNYOS ADATOK",
IF(Bérköltség!$F274&lt;Bérköltség!$U274,Admin!$B$18,Admin!$B$17)),
"")</f>
        <v>FEOR</v>
      </c>
      <c r="C274" s="437">
        <f>IFERROR(INDEX('Historikus berek_2021-2'!$A$1:$F$903,MATCH(AB274,'Historikus berek_2021-2'!$A$1:$A$903,0),4),"")</f>
        <v>319000</v>
      </c>
      <c r="D274" s="438">
        <f t="shared" si="564"/>
        <v>95333.333333333343</v>
      </c>
      <c r="E274" s="437">
        <f t="shared" si="565"/>
        <v>119540</v>
      </c>
      <c r="F274" s="439">
        <f t="shared" si="566"/>
        <v>27353.533333333311</v>
      </c>
      <c r="G274" s="440">
        <f t="shared" si="567"/>
        <v>107726.66666666667</v>
      </c>
      <c r="H274" s="441">
        <f>IFERROR(INDEX('FEOR kodok'!$A$2:$J$1126,MATCH(Bérköltség!AB274,'FEOR kodok'!$B$2:$B$1126,0),8),"NA")</f>
        <v>3134</v>
      </c>
      <c r="I274" s="436">
        <f ca="1">IFERROR(INDEX('FEOR kodok'!$A$2:$J$1126,MATCH(Bérköltség!AB274,'FEOR kodok'!$B$2:$B$1126,0),10),"NA")</f>
        <v>25</v>
      </c>
      <c r="J274" s="442" t="str">
        <f t="shared" ca="1" si="568"/>
        <v>30 év alatt</v>
      </c>
      <c r="K274" s="436" t="str">
        <f>IFERROR(INDEX(admin_feor[#All],MATCH(Bérköltség!H274,admin_feor[[#All],[Foglalkozás]],0),2),"NA")</f>
        <v>Környezetvédelmi technikus</v>
      </c>
      <c r="L274" s="438">
        <f ca="1">IFERROR(
INDEX('Admin - FEOR'!$A$4:$F$465,MATCH(Bérköltség!H274,'Admin - FEOR'!$A$4:$A$465,0),
IF(J274="30 év alatt",3,
IF(J274="30–39 éves",4,
IF(J274="40–49 éves",5,
IF(J274="50 év és afelett",6
)))))*1,"NA")</f>
        <v>361327</v>
      </c>
      <c r="M274" s="438">
        <f t="shared" si="569"/>
        <v>400000</v>
      </c>
      <c r="N274" s="443">
        <f t="shared" ca="1" si="570"/>
        <v>1.107030473781367</v>
      </c>
      <c r="O274" s="438">
        <f ca="1">IFERROR(
INDEX('Admin - FEOR'!$A$4:$F$465,MATCH(Bérköltség!H274,'Admin - FEOR'!$A$4:$A$465,0),
IF(J274="30 év alatt",3,
IF(J274="30–39 éves",4,
IF(J274="40–49 éves",5,
IF(J274="50 év és afelett",6
)))))*1.5,"NA")</f>
        <v>541990.5</v>
      </c>
      <c r="P274" s="438">
        <f t="shared" ca="1" si="571"/>
        <v>161974.17241379313</v>
      </c>
      <c r="Q274" s="438">
        <f t="shared" si="572"/>
        <v>119540</v>
      </c>
      <c r="R274" s="444">
        <f t="shared" si="573"/>
        <v>0.2988505747126437</v>
      </c>
      <c r="S274" s="438">
        <f t="shared" ca="1" si="574"/>
        <v>0</v>
      </c>
      <c r="T274" s="438">
        <f t="shared" ca="1" si="575"/>
        <v>0</v>
      </c>
      <c r="U274" s="445">
        <f t="shared" ca="1" si="576"/>
        <v>0</v>
      </c>
      <c r="V274" s="446">
        <f t="shared" ca="1" si="577"/>
        <v>135080</v>
      </c>
      <c r="W274" s="447" t="str">
        <f t="shared" ca="1" si="578"/>
        <v>Indoklás szükséges mivel a FEOR: 110,7%</v>
      </c>
      <c r="X274" s="571">
        <f t="shared" ca="1" si="579"/>
        <v>0</v>
      </c>
      <c r="Y274" s="554">
        <f t="shared" ca="1" si="580"/>
        <v>119540</v>
      </c>
      <c r="Z274" s="554">
        <f t="shared" ca="1" si="581"/>
        <v>15540</v>
      </c>
      <c r="AA274" s="573">
        <v>2</v>
      </c>
      <c r="AB274" s="448">
        <v>8479172010</v>
      </c>
      <c r="AC274" s="449" t="s">
        <v>261</v>
      </c>
      <c r="AD274" s="483" t="s">
        <v>45</v>
      </c>
      <c r="AE274" s="450" t="s">
        <v>24</v>
      </c>
      <c r="AF274" s="99" t="s">
        <v>119</v>
      </c>
      <c r="AG274" s="99" t="s">
        <v>224</v>
      </c>
      <c r="AH274" s="451" t="s">
        <v>131</v>
      </c>
      <c r="AI274" s="154">
        <v>44927</v>
      </c>
      <c r="AJ274" s="100" t="str">
        <f>IF(AI274&gt;0,
(IF(AI274&lt;Hónapok!$A$10,Admin!$A$28,
(IF(AI274&lt;Hónapok!$A$22,Admin!$B$28,
(IF(AI274&lt;Hónapok!$A$34,Admin!$C$28,
(IF(AI274&lt;Hónapok!$A$46,Admin!$D$28,"")))))))),"")</f>
        <v>2. mérföldkő</v>
      </c>
      <c r="AK274" s="467" t="s">
        <v>7</v>
      </c>
      <c r="AL274" s="101" t="s">
        <v>26</v>
      </c>
      <c r="AM274" s="900">
        <v>400000</v>
      </c>
      <c r="AN274" s="860">
        <f t="shared" ref="AN274:AN308" si="656">IFERROR(ROUND(AM274*AU274,0),"")</f>
        <v>52000</v>
      </c>
      <c r="AO274" s="101">
        <v>174</v>
      </c>
      <c r="AP274" s="111">
        <v>52</v>
      </c>
      <c r="AQ274" s="454">
        <f t="shared" si="534"/>
        <v>0.2988505747126437</v>
      </c>
      <c r="AR274" s="455">
        <f t="shared" si="535"/>
        <v>119540</v>
      </c>
      <c r="AS274" s="455">
        <f t="shared" si="536"/>
        <v>15540</v>
      </c>
      <c r="AT274" s="102">
        <f t="shared" si="537"/>
        <v>5.747126436972394E-7</v>
      </c>
      <c r="AU274" s="116">
        <v>0.13</v>
      </c>
      <c r="AV274" s="565" t="str">
        <f>VLOOKUP(LEFT(AB274,10),Törzsszám!$A$1:$B$908,2,0)</f>
        <v>10000960</v>
      </c>
      <c r="AW274" s="615">
        <f t="shared" ca="1" si="538"/>
        <v>0</v>
      </c>
      <c r="AX274" s="537" t="s">
        <v>2518</v>
      </c>
      <c r="AY274" s="486"/>
      <c r="AZ274" s="502"/>
      <c r="BA274" s="671">
        <v>92564</v>
      </c>
      <c r="BB274" s="649">
        <v>12033</v>
      </c>
      <c r="BC274" s="649">
        <f ca="1">Y274-BA274</f>
        <v>26976</v>
      </c>
      <c r="BD274" s="672">
        <f ca="1">Z274-BB274</f>
        <v>3507</v>
      </c>
      <c r="BE274" s="450" t="s">
        <v>197</v>
      </c>
    </row>
    <row r="275" spans="1:57" s="457" customFormat="1" ht="31.5" x14ac:dyDescent="0.25">
      <c r="A275" s="694" t="str">
        <f ca="1">Bérköltség!$B275</f>
        <v>FEOR</v>
      </c>
      <c r="B275" s="694" t="str">
        <f ca="1">IFERROR(
IF(AND(Bérköltség!$F275="",H275="NA"),"HIÁNYOS ADATOK",
IF(Bérköltség!$F275&lt;Bérköltség!$U275,Admin!$B$18,Admin!$B$17)),
"")</f>
        <v>FEOR</v>
      </c>
      <c r="C275" s="437">
        <f>IFERROR(INDEX('Historikus berek_2021-2'!$A$1:$F$903,MATCH(AB275,'Historikus berek_2021-2'!$A$1:$A$903,0),4),"")</f>
        <v>319000</v>
      </c>
      <c r="D275" s="438">
        <f t="shared" si="564"/>
        <v>95333.333333333343</v>
      </c>
      <c r="E275" s="437">
        <f t="shared" si="565"/>
        <v>119540</v>
      </c>
      <c r="F275" s="439">
        <f t="shared" si="566"/>
        <v>27353.533333333311</v>
      </c>
      <c r="G275" s="440">
        <f t="shared" si="567"/>
        <v>107726.66666666667</v>
      </c>
      <c r="H275" s="441">
        <f>IFERROR(INDEX('FEOR kodok'!$A$2:$J$1126,MATCH(Bérköltség!AB275,'FEOR kodok'!$B$2:$B$1126,0),8),"NA")</f>
        <v>3134</v>
      </c>
      <c r="I275" s="436">
        <f ca="1">IFERROR(INDEX('FEOR kodok'!$A$2:$J$1126,MATCH(Bérköltség!AB275,'FEOR kodok'!$B$2:$B$1126,0),10),"NA")</f>
        <v>25</v>
      </c>
      <c r="J275" s="442" t="str">
        <f t="shared" ca="1" si="568"/>
        <v>30 év alatt</v>
      </c>
      <c r="K275" s="436" t="str">
        <f>IFERROR(INDEX(admin_feor[#All],MATCH(Bérköltség!H275,admin_feor[[#All],[Foglalkozás]],0),2),"NA")</f>
        <v>Környezetvédelmi technikus</v>
      </c>
      <c r="L275" s="438">
        <f ca="1">IFERROR(
INDEX('Admin - FEOR'!$A$4:$F$465,MATCH(Bérköltség!H275,'Admin - FEOR'!$A$4:$A$465,0),
IF(J275="30 év alatt",3,
IF(J275="30–39 éves",4,
IF(J275="40–49 éves",5,
IF(J275="50 év és afelett",6
)))))*1,"NA")</f>
        <v>361327</v>
      </c>
      <c r="M275" s="438">
        <f t="shared" si="569"/>
        <v>400000</v>
      </c>
      <c r="N275" s="443">
        <f t="shared" ca="1" si="570"/>
        <v>1.107030473781367</v>
      </c>
      <c r="O275" s="438">
        <f ca="1">IFERROR(
INDEX('Admin - FEOR'!$A$4:$F$465,MATCH(Bérköltség!H275,'Admin - FEOR'!$A$4:$A$465,0),
IF(J275="30 év alatt",3,
IF(J275="30–39 éves",4,
IF(J275="40–49 éves",5,
IF(J275="50 év és afelett",6
)))))*1.5,"NA")</f>
        <v>541990.5</v>
      </c>
      <c r="P275" s="438">
        <f t="shared" ca="1" si="571"/>
        <v>161974.17241379313</v>
      </c>
      <c r="Q275" s="438">
        <f t="shared" si="572"/>
        <v>119540</v>
      </c>
      <c r="R275" s="444">
        <f t="shared" si="573"/>
        <v>0.2988505747126437</v>
      </c>
      <c r="S275" s="438">
        <f t="shared" ca="1" si="574"/>
        <v>0</v>
      </c>
      <c r="T275" s="438">
        <f t="shared" ca="1" si="575"/>
        <v>0</v>
      </c>
      <c r="U275" s="445">
        <f t="shared" ca="1" si="576"/>
        <v>0</v>
      </c>
      <c r="V275" s="446">
        <f t="shared" ca="1" si="577"/>
        <v>135080</v>
      </c>
      <c r="W275" s="447" t="str">
        <f t="shared" ca="1" si="578"/>
        <v>Indoklás szükséges mivel a FEOR: 110,7%</v>
      </c>
      <c r="X275" s="571">
        <f t="shared" ca="1" si="579"/>
        <v>0</v>
      </c>
      <c r="Y275" s="554">
        <f t="shared" ca="1" si="580"/>
        <v>119540</v>
      </c>
      <c r="Z275" s="554">
        <f t="shared" ca="1" si="581"/>
        <v>15540</v>
      </c>
      <c r="AA275" s="101"/>
      <c r="AB275" s="448">
        <v>8479172010</v>
      </c>
      <c r="AC275" s="449" t="s">
        <v>261</v>
      </c>
      <c r="AD275" s="483" t="s">
        <v>45</v>
      </c>
      <c r="AE275" s="450" t="s">
        <v>24</v>
      </c>
      <c r="AF275" s="99" t="s">
        <v>119</v>
      </c>
      <c r="AG275" s="99" t="s">
        <v>224</v>
      </c>
      <c r="AH275" s="451" t="s">
        <v>131</v>
      </c>
      <c r="AI275" s="154">
        <v>44958</v>
      </c>
      <c r="AJ275" s="100" t="str">
        <f>IF(AI275&gt;0,
(IF(AI275&lt;Hónapok!$A$10,Admin!$A$28,
(IF(AI275&lt;Hónapok!$A$22,Admin!$B$28,
(IF(AI275&lt;Hónapok!$A$34,Admin!$C$28,
(IF(AI275&lt;Hónapok!$A$46,Admin!$D$28,"")))))))),"")</f>
        <v>2. mérföldkő</v>
      </c>
      <c r="AK275" s="469" t="s">
        <v>7</v>
      </c>
      <c r="AL275" s="101" t="s">
        <v>26</v>
      </c>
      <c r="AM275" s="900">
        <v>400000</v>
      </c>
      <c r="AN275" s="860">
        <f t="shared" si="656"/>
        <v>52000</v>
      </c>
      <c r="AO275" s="101">
        <v>174</v>
      </c>
      <c r="AP275" s="111">
        <v>52</v>
      </c>
      <c r="AQ275" s="454">
        <f t="shared" si="534"/>
        <v>0.2988505747126437</v>
      </c>
      <c r="AR275" s="455">
        <f t="shared" si="535"/>
        <v>119540</v>
      </c>
      <c r="AS275" s="455">
        <f t="shared" si="536"/>
        <v>15540</v>
      </c>
      <c r="AT275" s="102">
        <f t="shared" si="537"/>
        <v>5.747126436972394E-7</v>
      </c>
      <c r="AU275" s="116">
        <v>0.13</v>
      </c>
      <c r="AV275" s="565" t="str">
        <f>VLOOKUP(LEFT(AB275,10),Törzsszám!$A$1:$B$908,2,0)</f>
        <v>10000960</v>
      </c>
      <c r="AW275" s="615">
        <f t="shared" ca="1" si="538"/>
        <v>0</v>
      </c>
      <c r="AX275" s="537" t="s">
        <v>4557</v>
      </c>
      <c r="AY275" s="486"/>
      <c r="AZ275" s="502"/>
      <c r="BA275" s="671"/>
      <c r="BB275" s="649"/>
      <c r="BC275" s="649"/>
      <c r="BD275" s="672"/>
      <c r="BE275" s="450" t="s">
        <v>197</v>
      </c>
    </row>
    <row r="276" spans="1:57" s="457" customFormat="1" ht="31.5" x14ac:dyDescent="0.25">
      <c r="A276" s="694" t="str">
        <f ca="1">Bérköltség!$B276</f>
        <v>FEOR</v>
      </c>
      <c r="B276" s="694" t="str">
        <f ca="1">IFERROR(
IF(AND(Bérköltség!$F276="",H276="NA"),"HIÁNYOS ADATOK",
IF(Bérköltség!$F276&lt;Bérköltség!$U276,Admin!$B$18,Admin!$B$17)),
"")</f>
        <v>FEOR</v>
      </c>
      <c r="C276" s="437">
        <f>IFERROR(INDEX('Historikus berek_2021-2'!$A$1:$F$903,MATCH(AB276,'Historikus berek_2021-2'!$A$1:$A$903,0),4),"")</f>
        <v>319000</v>
      </c>
      <c r="D276" s="438">
        <f t="shared" si="564"/>
        <v>95333.333333333343</v>
      </c>
      <c r="E276" s="437">
        <f t="shared" si="565"/>
        <v>119540</v>
      </c>
      <c r="F276" s="439">
        <f t="shared" si="566"/>
        <v>27353.533333333311</v>
      </c>
      <c r="G276" s="440">
        <f t="shared" si="567"/>
        <v>107726.66666666667</v>
      </c>
      <c r="H276" s="441">
        <f>IFERROR(INDEX('FEOR kodok'!$A$2:$J$1126,MATCH(Bérköltség!AB276,'FEOR kodok'!$B$2:$B$1126,0),8),"NA")</f>
        <v>3134</v>
      </c>
      <c r="I276" s="436">
        <f ca="1">IFERROR(INDEX('FEOR kodok'!$A$2:$J$1126,MATCH(Bérköltség!AB276,'FEOR kodok'!$B$2:$B$1126,0),10),"NA")</f>
        <v>25</v>
      </c>
      <c r="J276" s="442" t="str">
        <f t="shared" ca="1" si="568"/>
        <v>30 év alatt</v>
      </c>
      <c r="K276" s="436" t="str">
        <f>IFERROR(INDEX(admin_feor[#All],MATCH(Bérköltség!H276,admin_feor[[#All],[Foglalkozás]],0),2),"NA")</f>
        <v>Környezetvédelmi technikus</v>
      </c>
      <c r="L276" s="438">
        <f ca="1">IFERROR(
INDEX('Admin - FEOR'!$A$4:$F$465,MATCH(Bérköltség!H276,'Admin - FEOR'!$A$4:$A$465,0),
IF(J276="30 év alatt",3,
IF(J276="30–39 éves",4,
IF(J276="40–49 éves",5,
IF(J276="50 év és afelett",6
)))))*1,"NA")</f>
        <v>361327</v>
      </c>
      <c r="M276" s="438">
        <f t="shared" si="569"/>
        <v>400000</v>
      </c>
      <c r="N276" s="443">
        <f t="shared" ca="1" si="570"/>
        <v>1.107030473781367</v>
      </c>
      <c r="O276" s="438">
        <f ca="1">IFERROR(
INDEX('Admin - FEOR'!$A$4:$F$465,MATCH(Bérköltség!H276,'Admin - FEOR'!$A$4:$A$465,0),
IF(J276="30 év alatt",3,
IF(J276="30–39 éves",4,
IF(J276="40–49 éves",5,
IF(J276="50 év és afelett",6
)))))*1.5,"NA")</f>
        <v>541990.5</v>
      </c>
      <c r="P276" s="438">
        <f t="shared" ca="1" si="571"/>
        <v>161974.17241379313</v>
      </c>
      <c r="Q276" s="438">
        <f t="shared" si="572"/>
        <v>119540</v>
      </c>
      <c r="R276" s="444">
        <f t="shared" si="573"/>
        <v>0.2988505747126437</v>
      </c>
      <c r="S276" s="438">
        <f t="shared" ca="1" si="574"/>
        <v>0</v>
      </c>
      <c r="T276" s="438">
        <f t="shared" ca="1" si="575"/>
        <v>0</v>
      </c>
      <c r="U276" s="445">
        <f t="shared" ca="1" si="576"/>
        <v>0</v>
      </c>
      <c r="V276" s="446">
        <f t="shared" ca="1" si="577"/>
        <v>135080</v>
      </c>
      <c r="W276" s="447" t="str">
        <f t="shared" ca="1" si="578"/>
        <v>Indoklás szükséges mivel a FEOR: 110,7%</v>
      </c>
      <c r="X276" s="571">
        <f t="shared" ca="1" si="579"/>
        <v>0</v>
      </c>
      <c r="Y276" s="554">
        <f t="shared" ca="1" si="580"/>
        <v>119540</v>
      </c>
      <c r="Z276" s="554">
        <f t="shared" ca="1" si="581"/>
        <v>15540</v>
      </c>
      <c r="AA276" s="101"/>
      <c r="AB276" s="448">
        <v>8479172010</v>
      </c>
      <c r="AC276" s="449" t="s">
        <v>261</v>
      </c>
      <c r="AD276" s="483" t="s">
        <v>45</v>
      </c>
      <c r="AE276" s="450" t="s">
        <v>24</v>
      </c>
      <c r="AF276" s="99" t="s">
        <v>119</v>
      </c>
      <c r="AG276" s="99" t="s">
        <v>224</v>
      </c>
      <c r="AH276" s="451" t="s">
        <v>131</v>
      </c>
      <c r="AI276" s="154">
        <v>44986</v>
      </c>
      <c r="AJ276" s="100" t="str">
        <f>IF(AI276&gt;0,
(IF(AI276&lt;Hónapok!$A$10,Admin!$A$28,
(IF(AI276&lt;Hónapok!$A$22,Admin!$B$28,
(IF(AI276&lt;Hónapok!$A$34,Admin!$C$28,
(IF(AI276&lt;Hónapok!$A$46,Admin!$D$28,"")))))))),"")</f>
        <v>3. mérföldkő</v>
      </c>
      <c r="AK276" s="470" t="s">
        <v>7</v>
      </c>
      <c r="AL276" s="101" t="s">
        <v>26</v>
      </c>
      <c r="AM276" s="900">
        <v>400000</v>
      </c>
      <c r="AN276" s="860">
        <f t="shared" si="656"/>
        <v>52000</v>
      </c>
      <c r="AO276" s="101">
        <v>174</v>
      </c>
      <c r="AP276" s="111">
        <v>52</v>
      </c>
      <c r="AQ276" s="454">
        <f t="shared" si="534"/>
        <v>0.2988505747126437</v>
      </c>
      <c r="AR276" s="455">
        <f t="shared" si="535"/>
        <v>119540</v>
      </c>
      <c r="AS276" s="455">
        <f t="shared" si="536"/>
        <v>15540</v>
      </c>
      <c r="AT276" s="102">
        <f t="shared" si="537"/>
        <v>5.747126436972394E-7</v>
      </c>
      <c r="AU276" s="116">
        <v>0.13</v>
      </c>
      <c r="AV276" s="565" t="str">
        <f>VLOOKUP(LEFT(AB276,10),Törzsszám!$A$1:$B$908,2,0)</f>
        <v>10000960</v>
      </c>
      <c r="AW276" s="615">
        <f t="shared" ca="1" si="538"/>
        <v>0</v>
      </c>
      <c r="AX276" s="471" t="s">
        <v>4561</v>
      </c>
      <c r="AY276" s="486"/>
      <c r="AZ276" s="502"/>
      <c r="BA276" s="671"/>
      <c r="BB276" s="649"/>
      <c r="BC276" s="649"/>
      <c r="BD276" s="672"/>
      <c r="BE276" s="450" t="s">
        <v>197</v>
      </c>
    </row>
    <row r="277" spans="1:57" s="457" customFormat="1" ht="31.5" x14ac:dyDescent="0.25">
      <c r="A277" s="694" t="str">
        <f ca="1">Bérköltség!$B277</f>
        <v>FEOR</v>
      </c>
      <c r="B277" s="694" t="str">
        <f ca="1">IFERROR(
IF(AND(Bérköltség!$F277="",H277="NA"),"HIÁNYOS ADATOK",
IF(Bérköltség!$F277&lt;Bérköltség!$U277,Admin!$B$18,Admin!$B$17)),
"")</f>
        <v>FEOR</v>
      </c>
      <c r="C277" s="437">
        <f>IFERROR(INDEX('Historikus berek_2021-2'!$A$1:$F$903,MATCH(AB277,'Historikus berek_2021-2'!$A$1:$A$903,0),4),"")</f>
        <v>319000</v>
      </c>
      <c r="D277" s="438">
        <f t="shared" ref="D277:D278" si="657">IFERROR(C277*AQ277,"NA")</f>
        <v>95333.333333333343</v>
      </c>
      <c r="E277" s="437">
        <f t="shared" ref="E277:E278" si="658">AR277</f>
        <v>119540</v>
      </c>
      <c r="F277" s="439">
        <f t="shared" ref="F277:F278" si="659">IFERROR(IF((E277*(1+AU277)-D277*(1+AU277))&lt;0,0,(E277*(1+AU277)-D277*(1+AU277))),"")</f>
        <v>27353.533333333311</v>
      </c>
      <c r="G277" s="440">
        <f t="shared" ref="G277:G278" si="660">IFERROR((E277*(1+AU277)-F277),"")</f>
        <v>107726.66666666667</v>
      </c>
      <c r="H277" s="441">
        <f>IFERROR(INDEX('FEOR kodok'!$A$2:$J$1126,MATCH(Bérköltség!AB277,'FEOR kodok'!$B$2:$B$1126,0),8),"NA")</f>
        <v>3134</v>
      </c>
      <c r="I277" s="436">
        <f ca="1">IFERROR(INDEX('FEOR kodok'!$A$2:$J$1126,MATCH(Bérköltség!AB277,'FEOR kodok'!$B$2:$B$1126,0),10),"NA")</f>
        <v>25</v>
      </c>
      <c r="J277" s="442" t="str">
        <f t="shared" ref="J277:J278" ca="1" si="661">IF(I277="NA","NA",
IF(I277&lt;30,"30 év alatt",
IF(AND(I277&gt;=30,I277&lt;=39),"30–39 éves",
IF(AND(I277&gt;=40,I277&lt;=49),"40–49 éves",
IF(I277&gt;=50,"50 év és afelett",
"")))))</f>
        <v>30 év alatt</v>
      </c>
      <c r="K277" s="436" t="str">
        <f>IFERROR(INDEX(admin_feor[#All],MATCH(Bérköltség!H277,admin_feor[[#All],[Foglalkozás]],0),2),"NA")</f>
        <v>Környezetvédelmi technikus</v>
      </c>
      <c r="L277" s="438">
        <f ca="1">IFERROR(
INDEX('Admin - FEOR'!$A$4:$F$465,MATCH(Bérköltség!H277,'Admin - FEOR'!$A$4:$A$465,0),
IF(J277="30 év alatt",3,
IF(J277="30–39 éves",4,
IF(J277="40–49 éves",5,
IF(J277="50 év és afelett",6
)))))*1,"NA")</f>
        <v>361327</v>
      </c>
      <c r="M277" s="438">
        <f t="shared" ref="M277:M278" si="662">AM277</f>
        <v>400000</v>
      </c>
      <c r="N277" s="443">
        <f t="shared" ref="N277:N278" ca="1" si="663">IFERROR(
M277/L277,"NA")</f>
        <v>1.107030473781367</v>
      </c>
      <c r="O277" s="438">
        <f ca="1">IFERROR(
INDEX('Admin - FEOR'!$A$4:$F$465,MATCH(Bérköltség!H277,'Admin - FEOR'!$A$4:$A$465,0),
IF(J277="30 év alatt",3,
IF(J277="30–39 éves",4,
IF(J277="40–49 éves",5,
IF(J277="50 év és afelett",6
)))))*1.5,"NA")</f>
        <v>541990.5</v>
      </c>
      <c r="P277" s="438">
        <f t="shared" ref="P277:P278" ca="1" si="664">IFERROR(
AQ277*O277,"NA")</f>
        <v>161974.17241379313</v>
      </c>
      <c r="Q277" s="438">
        <f t="shared" ref="Q277:Q278" si="665">IFERROR(AR277,"")</f>
        <v>119540</v>
      </c>
      <c r="R277" s="444">
        <f t="shared" ref="R277:R278" si="666">IFERROR(AQ277,"")</f>
        <v>0.2988505747126437</v>
      </c>
      <c r="S277" s="438">
        <f t="shared" ref="S277:S278" ca="1" si="667">IFERROR(
IF(AR277-P277&lt;0,0,AR277-P277),"NA")</f>
        <v>0</v>
      </c>
      <c r="T277" s="438">
        <f t="shared" ref="T277:T278" ca="1" si="668">IFERROR(
S277*AU277,"NA")</f>
        <v>0</v>
      </c>
      <c r="U277" s="445">
        <f t="shared" ref="U277:U278" ca="1" si="669">IFERROR(
S277+T277,"NA")</f>
        <v>0</v>
      </c>
      <c r="V277" s="446">
        <f t="shared" ref="V277:V278" ca="1" si="670">IFERROR(
IF(U277&gt;0,AR277+AS277-U277,AR277+AS277),"NA")</f>
        <v>135080</v>
      </c>
      <c r="W277" s="447" t="str">
        <f t="shared" ref="W277:W278" ca="1" si="671">IF(P277="NA","FEOR hiányzik",
IF(AND(N277&gt;1,A277="FEOR"),CONCATENATE("Indoklás szükséges mivel a FEOR: ",ROUND(N277*100,1),"%"),"Nem szükséges indoklás.")
)</f>
        <v>Indoklás szükséges mivel a FEOR: 110,7%</v>
      </c>
      <c r="X277" s="571">
        <f t="shared" ref="X277:X278" ca="1" si="672">IF(A277="FEOR",U277,IF(A277="HIÁNYOS ADATOK","HIÁNYOS ADATOK",F277))</f>
        <v>0</v>
      </c>
      <c r="Y277" s="554">
        <f t="shared" ref="Y277:Y278" ca="1" si="673">IF(A277="FEOR",ROUND(V277/(1+AU277),0),IF(A277="HIÁNYOS ADATOK","HIÁNYOS ADATOK",ROUND(G277/(1+AU277),0)))</f>
        <v>119540</v>
      </c>
      <c r="Z277" s="554">
        <f t="shared" ref="Z277:Z278" ca="1" si="674">IF(A277="FEOR",ROUND(V277-Y277,0),IF(A277="HIÁNYOS ADATOK","HIÁNYOS ADATOK",ROUND(G277-Y277,0)))</f>
        <v>15540</v>
      </c>
      <c r="AA277" s="101"/>
      <c r="AB277" s="448">
        <v>8479172010</v>
      </c>
      <c r="AC277" s="449" t="s">
        <v>261</v>
      </c>
      <c r="AD277" s="483" t="s">
        <v>45</v>
      </c>
      <c r="AE277" s="450" t="s">
        <v>24</v>
      </c>
      <c r="AF277" s="99" t="s">
        <v>119</v>
      </c>
      <c r="AG277" s="99" t="s">
        <v>224</v>
      </c>
      <c r="AH277" s="451" t="s">
        <v>131</v>
      </c>
      <c r="AI277" s="154">
        <v>45017</v>
      </c>
      <c r="AJ277" s="100" t="str">
        <f>IF(AI277&gt;0,
(IF(AI277&lt;Hónapok!$A$10,Admin!$A$28,
(IF(AI277&lt;Hónapok!$A$22,Admin!$B$28,
(IF(AI277&lt;Hónapok!$A$34,Admin!$C$28,
(IF(AI277&lt;Hónapok!$A$46,Admin!$D$28,"")))))))),"")</f>
        <v>3. mérföldkő</v>
      </c>
      <c r="AK277" s="469" t="s">
        <v>7</v>
      </c>
      <c r="AL277" s="101" t="s">
        <v>26</v>
      </c>
      <c r="AM277" s="900">
        <v>400000</v>
      </c>
      <c r="AN277" s="860">
        <f t="shared" ref="AN277:AN278" si="675">IFERROR(ROUND(AM277*AU277,0),"")</f>
        <v>52000</v>
      </c>
      <c r="AO277" s="101">
        <v>174</v>
      </c>
      <c r="AP277" s="111">
        <v>52</v>
      </c>
      <c r="AQ277" s="454">
        <f t="shared" ref="AQ277:AQ278" si="676">IFERROR(AP277/AO277,"")</f>
        <v>0.2988505747126437</v>
      </c>
      <c r="AR277" s="455">
        <f t="shared" ref="AR277:AR278" si="677">IFERROR(ROUND(AM277*AP277/AO277,0),"")</f>
        <v>119540</v>
      </c>
      <c r="AS277" s="455">
        <f t="shared" ref="AS277:AS278" si="678">IFERROR(ROUND(AR277*AU277,0),"")</f>
        <v>15540</v>
      </c>
      <c r="AT277" s="102">
        <f t="shared" ref="AT277:AT278" si="679">IFERROR(AP277/AO277-AR277/AM277,"")</f>
        <v>5.747126436972394E-7</v>
      </c>
      <c r="AU277" s="116">
        <v>0.13</v>
      </c>
      <c r="AV277" s="565" t="str">
        <f>VLOOKUP(LEFT(AB277,10),Törzsszám!$A$1:$B$908,2,0)</f>
        <v>10000960</v>
      </c>
      <c r="AW277" s="681">
        <f t="shared" ref="AW277:AW278" ca="1" si="680">(Y277+Z277)-(AR277+AS277)</f>
        <v>0</v>
      </c>
      <c r="AX277" s="471" t="s">
        <v>4581</v>
      </c>
      <c r="AY277" s="486"/>
      <c r="AZ277" s="502"/>
      <c r="BA277" s="671"/>
      <c r="BB277" s="649"/>
      <c r="BC277" s="649"/>
      <c r="BD277" s="672"/>
      <c r="BE277" s="450" t="s">
        <v>197</v>
      </c>
    </row>
    <row r="278" spans="1:57" s="457" customFormat="1" ht="31.5" x14ac:dyDescent="0.25">
      <c r="A278" s="694" t="str">
        <f ca="1">Bérköltség!$B278</f>
        <v>FEOR</v>
      </c>
      <c r="B278" s="694" t="str">
        <f ca="1">IFERROR(
IF(AND(Bérköltség!$F278="",H278="NA"),"HIÁNYOS ADATOK",
IF(Bérköltség!$F278&lt;Bérköltség!$U278,Admin!$B$18,Admin!$B$17)),
"")</f>
        <v>FEOR</v>
      </c>
      <c r="C278" s="437">
        <f>IFERROR(INDEX('Historikus berek_2021-2'!$A$1:$F$903,MATCH(AB278,'Historikus berek_2021-2'!$A$1:$A$903,0),4),"")</f>
        <v>319000</v>
      </c>
      <c r="D278" s="438">
        <f t="shared" si="657"/>
        <v>95333.333333333343</v>
      </c>
      <c r="E278" s="437">
        <f t="shared" si="658"/>
        <v>114417</v>
      </c>
      <c r="F278" s="439">
        <f t="shared" si="659"/>
        <v>21564.54333333332</v>
      </c>
      <c r="G278" s="440">
        <f t="shared" si="660"/>
        <v>107726.66666666667</v>
      </c>
      <c r="H278" s="441">
        <f>IFERROR(INDEX('FEOR kodok'!$A$2:$J$1126,MATCH(Bérköltség!AB278,'FEOR kodok'!$B$2:$B$1126,0),8),"NA")</f>
        <v>3134</v>
      </c>
      <c r="I278" s="436">
        <f ca="1">IFERROR(INDEX('FEOR kodok'!$A$2:$J$1126,MATCH(Bérköltség!AB278,'FEOR kodok'!$B$2:$B$1126,0),10),"NA")</f>
        <v>25</v>
      </c>
      <c r="J278" s="442" t="str">
        <f t="shared" ca="1" si="661"/>
        <v>30 év alatt</v>
      </c>
      <c r="K278" s="436" t="str">
        <f>IFERROR(INDEX(admin_feor[#All],MATCH(Bérköltség!H278,admin_feor[[#All],[Foglalkozás]],0),2),"NA")</f>
        <v>Környezetvédelmi technikus</v>
      </c>
      <c r="L278" s="438">
        <f ca="1">IFERROR(
INDEX('Admin - FEOR'!$A$4:$F$465,MATCH(Bérköltség!H278,'Admin - FEOR'!$A$4:$A$465,0),
IF(J278="30 év alatt",3,
IF(J278="30–39 éves",4,
IF(J278="40–49 éves",5,
IF(J278="50 év és afelett",6
)))))*1,"NA")</f>
        <v>361327</v>
      </c>
      <c r="M278" s="438">
        <f t="shared" si="662"/>
        <v>382857</v>
      </c>
      <c r="N278" s="443">
        <f t="shared" ca="1" si="663"/>
        <v>1.0595859152512821</v>
      </c>
      <c r="O278" s="438">
        <f ca="1">IFERROR(
INDEX('Admin - FEOR'!$A$4:$F$465,MATCH(Bérköltség!H278,'Admin - FEOR'!$A$4:$A$465,0),
IF(J278="30 év alatt",3,
IF(J278="30–39 éves",4,
IF(J278="40–49 éves",5,
IF(J278="50 év és afelett",6
)))))*1.5,"NA")</f>
        <v>541990.5</v>
      </c>
      <c r="P278" s="438">
        <f t="shared" ca="1" si="664"/>
        <v>161974.17241379313</v>
      </c>
      <c r="Q278" s="438">
        <f t="shared" si="665"/>
        <v>114417</v>
      </c>
      <c r="R278" s="444">
        <f t="shared" si="666"/>
        <v>0.2988505747126437</v>
      </c>
      <c r="S278" s="438">
        <f t="shared" ca="1" si="667"/>
        <v>0</v>
      </c>
      <c r="T278" s="438">
        <f t="shared" ca="1" si="668"/>
        <v>0</v>
      </c>
      <c r="U278" s="445">
        <f t="shared" ca="1" si="669"/>
        <v>0</v>
      </c>
      <c r="V278" s="446">
        <f t="shared" ca="1" si="670"/>
        <v>129291</v>
      </c>
      <c r="W278" s="447" t="str">
        <f t="shared" ca="1" si="671"/>
        <v>Indoklás szükséges mivel a FEOR: 106%</v>
      </c>
      <c r="X278" s="571">
        <f t="shared" ca="1" si="672"/>
        <v>0</v>
      </c>
      <c r="Y278" s="554">
        <f t="shared" ca="1" si="673"/>
        <v>114417</v>
      </c>
      <c r="Z278" s="554">
        <f t="shared" ca="1" si="674"/>
        <v>14874</v>
      </c>
      <c r="AA278" s="101"/>
      <c r="AB278" s="448">
        <v>8479172010</v>
      </c>
      <c r="AC278" s="449" t="s">
        <v>261</v>
      </c>
      <c r="AD278" s="483" t="s">
        <v>45</v>
      </c>
      <c r="AE278" s="450" t="s">
        <v>24</v>
      </c>
      <c r="AF278" s="99" t="s">
        <v>119</v>
      </c>
      <c r="AG278" s="99" t="s">
        <v>224</v>
      </c>
      <c r="AH278" s="451" t="s">
        <v>131</v>
      </c>
      <c r="AI278" s="154">
        <v>45047</v>
      </c>
      <c r="AJ278" s="100" t="str">
        <f>IF(AI278&gt;0,
(IF(AI278&lt;Hónapok!$A$10,Admin!$A$28,
(IF(AI278&lt;Hónapok!$A$22,Admin!$B$28,
(IF(AI278&lt;Hónapok!$A$34,Admin!$C$28,
(IF(AI278&lt;Hónapok!$A$46,Admin!$D$28,"")))))))),"")</f>
        <v>3. mérföldkő</v>
      </c>
      <c r="AK278" s="469" t="s">
        <v>7</v>
      </c>
      <c r="AL278" s="101" t="s">
        <v>26</v>
      </c>
      <c r="AM278" s="900">
        <v>382857</v>
      </c>
      <c r="AN278" s="860">
        <f t="shared" si="675"/>
        <v>49771</v>
      </c>
      <c r="AO278" s="101">
        <v>174</v>
      </c>
      <c r="AP278" s="111">
        <v>52</v>
      </c>
      <c r="AQ278" s="454">
        <f t="shared" si="676"/>
        <v>0.2988505747126437</v>
      </c>
      <c r="AR278" s="455">
        <f t="shared" si="677"/>
        <v>114417</v>
      </c>
      <c r="AS278" s="455">
        <f t="shared" si="678"/>
        <v>14874</v>
      </c>
      <c r="AT278" s="102">
        <f t="shared" si="679"/>
        <v>9.0066940461319689E-8</v>
      </c>
      <c r="AU278" s="116">
        <v>0.13</v>
      </c>
      <c r="AV278" s="565" t="str">
        <f>VLOOKUP(LEFT(AB278,10),Törzsszám!$A$1:$B$908,2,0)</f>
        <v>10000960</v>
      </c>
      <c r="AW278" s="681">
        <f t="shared" ca="1" si="680"/>
        <v>0</v>
      </c>
      <c r="AX278" s="471" t="s">
        <v>4596</v>
      </c>
      <c r="AY278" s="486"/>
      <c r="AZ278" s="502"/>
      <c r="BA278" s="671"/>
      <c r="BB278" s="649"/>
      <c r="BC278" s="649"/>
      <c r="BD278" s="672"/>
      <c r="BE278" s="450" t="s">
        <v>197</v>
      </c>
    </row>
    <row r="279" spans="1:57" s="457" customFormat="1" ht="31.5" x14ac:dyDescent="0.25">
      <c r="A279" s="694" t="str">
        <f ca="1">Bérköltség!$B279</f>
        <v>FEOR</v>
      </c>
      <c r="B279" s="694" t="str">
        <f ca="1">IFERROR(
IF(AND(Bérköltség!$F279="",H279="NA"),"HIÁNYOS ADATOK",
IF(Bérköltség!$F279&lt;Bérköltség!$U279,Admin!$B$18,Admin!$B$17)),
"")</f>
        <v>FEOR</v>
      </c>
      <c r="C279" s="437">
        <f>IFERROR(INDEX('Historikus berek_2021-2'!$A$1:$F$903,MATCH(AB279,'Historikus berek_2021-2'!$A$1:$A$903,0),4),"")</f>
        <v>319000</v>
      </c>
      <c r="D279" s="438">
        <f t="shared" ref="D279:D284" si="681">IFERROR(C279*AQ279,"NA")</f>
        <v>319000</v>
      </c>
      <c r="E279" s="437">
        <f t="shared" ref="E279:E284" si="682">AR279</f>
        <v>400000</v>
      </c>
      <c r="F279" s="439">
        <f t="shared" ref="F279:F284" si="683">IFERROR(IF((E279*(1+AU279)-D279*(1+AU279))&lt;0,0,(E279*(1+AU279)-D279*(1+AU279))),"")</f>
        <v>91530</v>
      </c>
      <c r="G279" s="440">
        <f t="shared" ref="G279:G284" si="684">IFERROR((E279*(1+AU279)-F279),"")</f>
        <v>360469.99999999994</v>
      </c>
      <c r="H279" s="441">
        <f>IFERROR(INDEX('FEOR kodok'!$A$2:$J$1126,MATCH(Bérköltség!AB279,'FEOR kodok'!$B$2:$B$1126,0),8),"NA")</f>
        <v>3134</v>
      </c>
      <c r="I279" s="436">
        <f ca="1">IFERROR(INDEX('FEOR kodok'!$A$2:$J$1126,MATCH(Bérköltség!AB279,'FEOR kodok'!$B$2:$B$1126,0),10),"NA")</f>
        <v>25</v>
      </c>
      <c r="J279" s="442" t="str">
        <f t="shared" ref="J279:J284" ca="1" si="685">IF(I279="NA","NA",
IF(I279&lt;30,"30 év alatt",
IF(AND(I279&gt;=30,I279&lt;=39),"30–39 éves",
IF(AND(I279&gt;=40,I279&lt;=49),"40–49 éves",
IF(I279&gt;=50,"50 év és afelett",
"")))))</f>
        <v>30 év alatt</v>
      </c>
      <c r="K279" s="436" t="str">
        <f>IFERROR(INDEX(admin_feor[#All],MATCH(Bérköltség!H279,admin_feor[[#All],[Foglalkozás]],0),2),"NA")</f>
        <v>Környezetvédelmi technikus</v>
      </c>
      <c r="L279" s="438">
        <f ca="1">IFERROR(
INDEX('Admin - FEOR'!$A$4:$F$465,MATCH(Bérköltség!H279,'Admin - FEOR'!$A$4:$A$465,0),
IF(J279="30 év alatt",3,
IF(J279="30–39 éves",4,
IF(J279="40–49 éves",5,
IF(J279="50 év és afelett",6
)))))*1,"NA")</f>
        <v>361327</v>
      </c>
      <c r="M279" s="438">
        <f t="shared" ref="M279:M284" si="686">AM279</f>
        <v>400000</v>
      </c>
      <c r="N279" s="443">
        <f t="shared" ref="N279:N284" ca="1" si="687">IFERROR(
M279/L279,"NA")</f>
        <v>1.107030473781367</v>
      </c>
      <c r="O279" s="438">
        <f ca="1">IFERROR(
INDEX('Admin - FEOR'!$A$4:$F$465,MATCH(Bérköltség!H279,'Admin - FEOR'!$A$4:$A$465,0),
IF(J279="30 év alatt",3,
IF(J279="30–39 éves",4,
IF(J279="40–49 éves",5,
IF(J279="50 év és afelett",6
)))))*1.5,"NA")</f>
        <v>541990.5</v>
      </c>
      <c r="P279" s="438">
        <f t="shared" ref="P279:P284" ca="1" si="688">IFERROR(
AQ279*O279,"NA")</f>
        <v>541990.5</v>
      </c>
      <c r="Q279" s="438">
        <f t="shared" ref="Q279:Q284" si="689">IFERROR(AR279,"")</f>
        <v>400000</v>
      </c>
      <c r="R279" s="444">
        <f t="shared" ref="R279:R284" si="690">IFERROR(AQ279,"")</f>
        <v>1</v>
      </c>
      <c r="S279" s="438">
        <f t="shared" ref="S279:S284" ca="1" si="691">IFERROR(
IF(AR279-P279&lt;0,0,AR279-P279),"NA")</f>
        <v>0</v>
      </c>
      <c r="T279" s="438">
        <f t="shared" ref="T279:T284" ca="1" si="692">IFERROR(
S279*AU279,"NA")</f>
        <v>0</v>
      </c>
      <c r="U279" s="445">
        <f t="shared" ref="U279:U284" ca="1" si="693">IFERROR(
S279+T279,"NA")</f>
        <v>0</v>
      </c>
      <c r="V279" s="446">
        <f t="shared" ref="V279:V284" ca="1" si="694">IFERROR(
IF(U279&gt;0,AR279+AS279-U279,AR279+AS279),"NA")</f>
        <v>452000</v>
      </c>
      <c r="W279" s="447" t="str">
        <f t="shared" ref="W279:W284" ca="1" si="695">IF(P279="NA","FEOR hiányzik",
IF(AND(N279&gt;1,A279="FEOR"),CONCATENATE("Indoklás szükséges mivel a FEOR: ",ROUND(N279*100,1),"%"),"Nem szükséges indoklás.")
)</f>
        <v>Indoklás szükséges mivel a FEOR: 110,7%</v>
      </c>
      <c r="X279" s="571">
        <f t="shared" ref="X279:X284" ca="1" si="696">IF(A279="FEOR",U279,IF(A279="HIÁNYOS ADATOK","HIÁNYOS ADATOK",F279))</f>
        <v>0</v>
      </c>
      <c r="Y279" s="554">
        <f t="shared" ref="Y279:Y284" ca="1" si="697">IF(A279="FEOR",ROUND(V279/(1+AU279),0),IF(A279="HIÁNYOS ADATOK","HIÁNYOS ADATOK",ROUND(G279/(1+AU279),0)))</f>
        <v>400000</v>
      </c>
      <c r="Z279" s="554">
        <f t="shared" ref="Z279:Z284" ca="1" si="698">IF(A279="FEOR",ROUND(V279-Y279,0),IF(A279="HIÁNYOS ADATOK","HIÁNYOS ADATOK",ROUND(G279-Y279,0)))</f>
        <v>52000</v>
      </c>
      <c r="AA279" s="101"/>
      <c r="AB279" s="448">
        <v>8479172010</v>
      </c>
      <c r="AC279" s="449" t="s">
        <v>261</v>
      </c>
      <c r="AD279" s="483" t="s">
        <v>45</v>
      </c>
      <c r="AE279" s="450" t="s">
        <v>24</v>
      </c>
      <c r="AF279" s="99" t="s">
        <v>119</v>
      </c>
      <c r="AG279" s="99" t="s">
        <v>224</v>
      </c>
      <c r="AH279" s="451" t="s">
        <v>131</v>
      </c>
      <c r="AI279" s="154">
        <v>45078</v>
      </c>
      <c r="AJ279" s="100" t="str">
        <f>IF(AI279&gt;0,
(IF(AI279&lt;Hónapok!$A$10,Admin!$A$28,
(IF(AI279&lt;Hónapok!$A$22,Admin!$B$28,
(IF(AI279&lt;Hónapok!$A$34,Admin!$C$28,
(IF(AI279&lt;Hónapok!$A$46,Admin!$D$28,"")))))))),"")</f>
        <v>3. mérföldkő</v>
      </c>
      <c r="AK279" s="469" t="s">
        <v>7</v>
      </c>
      <c r="AL279" s="101" t="s">
        <v>26</v>
      </c>
      <c r="AM279" s="900">
        <v>400000</v>
      </c>
      <c r="AN279" s="860">
        <f t="shared" ref="AN279:AN284" si="699">IFERROR(ROUND(AM279*AU279,0),"")</f>
        <v>52000</v>
      </c>
      <c r="AO279" s="101">
        <v>174</v>
      </c>
      <c r="AP279" s="111">
        <v>174</v>
      </c>
      <c r="AQ279" s="102">
        <f t="shared" ref="AQ279:AQ284" si="700">IFERROR(AP279/AO279,"")</f>
        <v>1</v>
      </c>
      <c r="AR279" s="455">
        <f t="shared" ref="AR279:AR284" si="701">IFERROR(ROUND(AM279*AP279/AO279,0),"")</f>
        <v>400000</v>
      </c>
      <c r="AS279" s="455">
        <f t="shared" ref="AS279:AS284" si="702">IFERROR(ROUND(AR279*AU279,0),"")</f>
        <v>52000</v>
      </c>
      <c r="AT279" s="102">
        <f t="shared" ref="AT279:AT284" si="703">IFERROR(AP279/AO279-AR279/AM279,"")</f>
        <v>0</v>
      </c>
      <c r="AU279" s="116">
        <v>0.13</v>
      </c>
      <c r="AV279" s="565" t="str">
        <f>VLOOKUP(LEFT(AB279,10),Törzsszám!$A$1:$B$908,2,0)</f>
        <v>10000960</v>
      </c>
      <c r="AW279" s="681"/>
      <c r="AX279" s="471" t="s">
        <v>4606</v>
      </c>
      <c r="AY279" s="486"/>
      <c r="AZ279" s="502"/>
      <c r="BA279" s="671"/>
      <c r="BB279" s="649"/>
      <c r="BC279" s="649"/>
      <c r="BD279" s="672"/>
      <c r="BE279" s="450"/>
    </row>
    <row r="280" spans="1:57" s="457" customFormat="1" ht="31.5" x14ac:dyDescent="0.25">
      <c r="A280" s="694" t="str">
        <f ca="1">Bérköltség!$B280</f>
        <v>FEOR</v>
      </c>
      <c r="B280" s="694" t="str">
        <f ca="1">IFERROR(
IF(AND(Bérköltség!$F280="",H280="NA"),"HIÁNYOS ADATOK",
IF(Bérköltség!$F280&lt;Bérköltség!$U280,Admin!$B$18,Admin!$B$17)),
"")</f>
        <v>FEOR</v>
      </c>
      <c r="C280" s="437">
        <f>IFERROR(INDEX('Historikus berek_2021-2'!$A$1:$F$903,MATCH(AB280,'Historikus berek_2021-2'!$A$1:$A$903,0),4),"")</f>
        <v>319000</v>
      </c>
      <c r="D280" s="438">
        <f t="shared" si="681"/>
        <v>275000</v>
      </c>
      <c r="E280" s="437">
        <f t="shared" si="682"/>
        <v>387931</v>
      </c>
      <c r="F280" s="439">
        <f t="shared" si="683"/>
        <v>127612.03000000003</v>
      </c>
      <c r="G280" s="440">
        <f t="shared" si="684"/>
        <v>310749.99999999994</v>
      </c>
      <c r="H280" s="441">
        <f>IFERROR(INDEX('FEOR kodok'!$A$2:$J$1126,MATCH(Bérköltség!AB280,'FEOR kodok'!$B$2:$B$1126,0),8),"NA")</f>
        <v>3134</v>
      </c>
      <c r="I280" s="436">
        <f ca="1">IFERROR(INDEX('FEOR kodok'!$A$2:$J$1126,MATCH(Bérköltség!AB280,'FEOR kodok'!$B$2:$B$1126,0),10),"NA")</f>
        <v>25</v>
      </c>
      <c r="J280" s="442" t="str">
        <f t="shared" ca="1" si="685"/>
        <v>30 év alatt</v>
      </c>
      <c r="K280" s="436" t="str">
        <f>IFERROR(INDEX(admin_feor[#All],MATCH(Bérköltség!H280,admin_feor[[#All],[Foglalkozás]],0),2),"NA")</f>
        <v>Környezetvédelmi technikus</v>
      </c>
      <c r="L280" s="438">
        <f ca="1">IFERROR(
INDEX('Admin - FEOR'!$A$4:$F$465,MATCH(Bérköltség!H280,'Admin - FEOR'!$A$4:$A$465,0),
IF(J280="30 év alatt",3,
IF(J280="30–39 éves",4,
IF(J280="40–49 éves",5,
IF(J280="50 év és afelett",6
)))))*1,"NA")</f>
        <v>361327</v>
      </c>
      <c r="M280" s="438">
        <f t="shared" si="686"/>
        <v>450000</v>
      </c>
      <c r="N280" s="443">
        <f t="shared" ca="1" si="687"/>
        <v>1.245409283004038</v>
      </c>
      <c r="O280" s="438">
        <f ca="1">IFERROR(
INDEX('Admin - FEOR'!$A$4:$F$465,MATCH(Bérköltség!H280,'Admin - FEOR'!$A$4:$A$465,0),
IF(J280="30 év alatt",3,
IF(J280="30–39 éves",4,
IF(J280="40–49 éves",5,
IF(J280="50 év és afelett",6
)))))*1.5,"NA")</f>
        <v>541990.5</v>
      </c>
      <c r="P280" s="438">
        <f t="shared" ca="1" si="688"/>
        <v>467233.18965517241</v>
      </c>
      <c r="Q280" s="438">
        <f t="shared" si="689"/>
        <v>387931</v>
      </c>
      <c r="R280" s="444">
        <f t="shared" si="690"/>
        <v>0.86206896551724133</v>
      </c>
      <c r="S280" s="438">
        <f t="shared" ca="1" si="691"/>
        <v>0</v>
      </c>
      <c r="T280" s="438">
        <f t="shared" ca="1" si="692"/>
        <v>0</v>
      </c>
      <c r="U280" s="445">
        <f t="shared" ca="1" si="693"/>
        <v>0</v>
      </c>
      <c r="V280" s="446">
        <f t="shared" ca="1" si="694"/>
        <v>438362</v>
      </c>
      <c r="W280" s="447" t="str">
        <f t="shared" ca="1" si="695"/>
        <v>Indoklás szükséges mivel a FEOR: 124,5%</v>
      </c>
      <c r="X280" s="571">
        <f t="shared" ca="1" si="696"/>
        <v>0</v>
      </c>
      <c r="Y280" s="554">
        <f t="shared" ca="1" si="697"/>
        <v>387931</v>
      </c>
      <c r="Z280" s="554">
        <f t="shared" ca="1" si="698"/>
        <v>50431</v>
      </c>
      <c r="AA280" s="101"/>
      <c r="AB280" s="448">
        <v>8479172010</v>
      </c>
      <c r="AC280" s="449" t="s">
        <v>261</v>
      </c>
      <c r="AD280" s="483" t="s">
        <v>45</v>
      </c>
      <c r="AE280" s="450" t="s">
        <v>24</v>
      </c>
      <c r="AF280" s="99" t="s">
        <v>119</v>
      </c>
      <c r="AG280" s="99" t="s">
        <v>224</v>
      </c>
      <c r="AH280" s="451" t="s">
        <v>131</v>
      </c>
      <c r="AI280" s="154">
        <v>45108</v>
      </c>
      <c r="AJ280" s="100" t="str">
        <f>IF(AI280&gt;0,
(IF(AI280&lt;Hónapok!$A$10,Admin!$A$28,
(IF(AI280&lt;Hónapok!$A$22,Admin!$B$28,
(IF(AI280&lt;Hónapok!$A$34,Admin!$C$28,
(IF(AI280&lt;Hónapok!$A$46,Admin!$D$28,"")))))))),"")</f>
        <v>3. mérföldkő</v>
      </c>
      <c r="AK280" s="469" t="s">
        <v>7</v>
      </c>
      <c r="AL280" s="101" t="s">
        <v>26</v>
      </c>
      <c r="AM280" s="900">
        <v>450000</v>
      </c>
      <c r="AN280" s="860">
        <f>IFERROR(ROUND(AM280*AU280,0),"")</f>
        <v>58500</v>
      </c>
      <c r="AO280" s="101">
        <v>174</v>
      </c>
      <c r="AP280" s="111">
        <v>150</v>
      </c>
      <c r="AQ280" s="682">
        <f t="shared" si="700"/>
        <v>0.86206896551724133</v>
      </c>
      <c r="AR280" s="455">
        <f t="shared" si="701"/>
        <v>387931</v>
      </c>
      <c r="AS280" s="455">
        <f t="shared" si="702"/>
        <v>50431</v>
      </c>
      <c r="AT280" s="102">
        <f t="shared" si="703"/>
        <v>7.6628352441154846E-8</v>
      </c>
      <c r="AU280" s="116">
        <v>0.13</v>
      </c>
      <c r="AV280" s="565" t="str">
        <f>VLOOKUP(LEFT(AB280,10),Törzsszám!$A$1:$B$908,2,0)</f>
        <v>10000960</v>
      </c>
      <c r="AW280" s="681"/>
      <c r="AX280" s="471" t="s">
        <v>4610</v>
      </c>
      <c r="AY280" s="486"/>
      <c r="AZ280" s="502"/>
      <c r="BA280" s="671"/>
      <c r="BB280" s="649"/>
      <c r="BC280" s="649"/>
      <c r="BD280" s="672"/>
      <c r="BE280" s="450"/>
    </row>
    <row r="281" spans="1:57" s="457" customFormat="1" ht="31.5" x14ac:dyDescent="0.25">
      <c r="A281" s="694" t="str">
        <f ca="1">Bérköltség!$B281</f>
        <v>FEOR</v>
      </c>
      <c r="B281" s="694" t="str">
        <f ca="1">IFERROR(
IF(AND(Bérköltség!$F281="",H281="NA"),"HIÁNYOS ADATOK",
IF(Bérköltség!$F281&lt;Bérköltség!$U281,Admin!$B$18,Admin!$B$17)),
"")</f>
        <v>FEOR</v>
      </c>
      <c r="C281" s="437">
        <f>IFERROR(INDEX('Historikus berek_2021-2'!$A$1:$F$903,MATCH(AB281,'Historikus berek_2021-2'!$A$1:$A$903,0),4),"")</f>
        <v>319000</v>
      </c>
      <c r="D281" s="438">
        <f t="shared" si="681"/>
        <v>275000</v>
      </c>
      <c r="E281" s="437">
        <f t="shared" si="682"/>
        <v>387931</v>
      </c>
      <c r="F281" s="439">
        <f t="shared" si="683"/>
        <v>127612.03000000003</v>
      </c>
      <c r="G281" s="440">
        <f t="shared" si="684"/>
        <v>310749.99999999994</v>
      </c>
      <c r="H281" s="441">
        <f>IFERROR(INDEX('FEOR kodok'!$A$2:$J$1126,MATCH(Bérköltség!AB281,'FEOR kodok'!$B$2:$B$1126,0),8),"NA")</f>
        <v>3134</v>
      </c>
      <c r="I281" s="436">
        <f ca="1">IFERROR(INDEX('FEOR kodok'!$A$2:$J$1126,MATCH(Bérköltség!AB281,'FEOR kodok'!$B$2:$B$1126,0),10),"NA")</f>
        <v>25</v>
      </c>
      <c r="J281" s="442" t="str">
        <f t="shared" ca="1" si="685"/>
        <v>30 év alatt</v>
      </c>
      <c r="K281" s="436" t="str">
        <f>IFERROR(INDEX(admin_feor[#All],MATCH(Bérköltség!H281,admin_feor[[#All],[Foglalkozás]],0),2),"NA")</f>
        <v>Környezetvédelmi technikus</v>
      </c>
      <c r="L281" s="438">
        <f ca="1">IFERROR(
INDEX('Admin - FEOR'!$A$4:$F$465,MATCH(Bérköltség!H281,'Admin - FEOR'!$A$4:$A$465,0),
IF(J281="30 év alatt",3,
IF(J281="30–39 éves",4,
IF(J281="40–49 éves",5,
IF(J281="50 év és afelett",6
)))))*1,"NA")</f>
        <v>361327</v>
      </c>
      <c r="M281" s="438">
        <f t="shared" si="686"/>
        <v>450000</v>
      </c>
      <c r="N281" s="443">
        <f t="shared" ca="1" si="687"/>
        <v>1.245409283004038</v>
      </c>
      <c r="O281" s="438">
        <f ca="1">IFERROR(
INDEX('Admin - FEOR'!$A$4:$F$465,MATCH(Bérköltség!H281,'Admin - FEOR'!$A$4:$A$465,0),
IF(J281="30 év alatt",3,
IF(J281="30–39 éves",4,
IF(J281="40–49 éves",5,
IF(J281="50 év és afelett",6
)))))*1.5,"NA")</f>
        <v>541990.5</v>
      </c>
      <c r="P281" s="438">
        <f t="shared" ca="1" si="688"/>
        <v>467233.18965517241</v>
      </c>
      <c r="Q281" s="438">
        <f t="shared" si="689"/>
        <v>387931</v>
      </c>
      <c r="R281" s="444">
        <f t="shared" si="690"/>
        <v>0.86206896551724133</v>
      </c>
      <c r="S281" s="438">
        <f t="shared" ca="1" si="691"/>
        <v>0</v>
      </c>
      <c r="T281" s="438">
        <f t="shared" ca="1" si="692"/>
        <v>0</v>
      </c>
      <c r="U281" s="445">
        <f t="shared" ca="1" si="693"/>
        <v>0</v>
      </c>
      <c r="V281" s="446">
        <f t="shared" ca="1" si="694"/>
        <v>438362</v>
      </c>
      <c r="W281" s="447" t="str">
        <f t="shared" ca="1" si="695"/>
        <v>Indoklás szükséges mivel a FEOR: 124,5%</v>
      </c>
      <c r="X281" s="571">
        <f t="shared" ca="1" si="696"/>
        <v>0</v>
      </c>
      <c r="Y281" s="554">
        <f t="shared" ca="1" si="697"/>
        <v>387931</v>
      </c>
      <c r="Z281" s="554">
        <f t="shared" ca="1" si="698"/>
        <v>50431</v>
      </c>
      <c r="AA281" s="101"/>
      <c r="AB281" s="448">
        <v>8479172010</v>
      </c>
      <c r="AC281" s="449" t="s">
        <v>261</v>
      </c>
      <c r="AD281" s="483" t="s">
        <v>45</v>
      </c>
      <c r="AE281" s="450" t="s">
        <v>24</v>
      </c>
      <c r="AF281" s="99" t="s">
        <v>119</v>
      </c>
      <c r="AG281" s="99" t="s">
        <v>224</v>
      </c>
      <c r="AH281" s="451" t="s">
        <v>131</v>
      </c>
      <c r="AI281" s="154">
        <v>45139</v>
      </c>
      <c r="AJ281" s="100" t="str">
        <f>IF(AI281&gt;0,
(IF(AI281&lt;Hónapok!$A$10,Admin!$A$28,
(IF(AI281&lt;Hónapok!$A$22,Admin!$B$28,
(IF(AI281&lt;Hónapok!$A$34,Admin!$C$28,
(IF(AI281&lt;Hónapok!$A$46,Admin!$D$28,"")))))))),"")</f>
        <v>3. mérföldkő</v>
      </c>
      <c r="AK281" s="469" t="s">
        <v>7</v>
      </c>
      <c r="AL281" s="101" t="s">
        <v>26</v>
      </c>
      <c r="AM281" s="900">
        <v>450000</v>
      </c>
      <c r="AN281" s="860">
        <f t="shared" si="699"/>
        <v>58500</v>
      </c>
      <c r="AO281" s="101">
        <v>174</v>
      </c>
      <c r="AP281" s="111">
        <v>150</v>
      </c>
      <c r="AQ281" s="454">
        <f t="shared" si="700"/>
        <v>0.86206896551724133</v>
      </c>
      <c r="AR281" s="455">
        <f t="shared" si="701"/>
        <v>387931</v>
      </c>
      <c r="AS281" s="455">
        <f t="shared" si="702"/>
        <v>50431</v>
      </c>
      <c r="AT281" s="102">
        <f t="shared" si="703"/>
        <v>7.6628352441154846E-8</v>
      </c>
      <c r="AU281" s="116">
        <v>0.13</v>
      </c>
      <c r="AV281" s="565" t="str">
        <f>VLOOKUP(LEFT(AB281,10),Törzsszám!$A$1:$B$908,2,0)</f>
        <v>10000960</v>
      </c>
      <c r="AW281" s="681"/>
      <c r="AX281" s="471" t="s">
        <v>4613</v>
      </c>
      <c r="AY281" s="486"/>
      <c r="AZ281" s="502"/>
      <c r="BA281" s="671"/>
      <c r="BB281" s="649"/>
      <c r="BC281" s="649"/>
      <c r="BD281" s="672"/>
      <c r="BE281" s="450"/>
    </row>
    <row r="282" spans="1:57" s="457" customFormat="1" ht="31.5" x14ac:dyDescent="0.25">
      <c r="A282" s="694" t="str">
        <f ca="1">Bérköltség!$B282</f>
        <v>FEOR</v>
      </c>
      <c r="B282" s="694" t="str">
        <f ca="1">IFERROR(
IF(AND(Bérköltség!$F282="",H282="NA"),"HIÁNYOS ADATOK",
IF(Bérköltség!$F282&lt;Bérköltség!$U282,Admin!$B$18,Admin!$B$17)),
"")</f>
        <v>FEOR</v>
      </c>
      <c r="C282" s="437">
        <f>IFERROR(INDEX('Historikus berek_2021-2'!$A$1:$F$903,MATCH(AB282,'Historikus berek_2021-2'!$A$1:$A$903,0),4),"")</f>
        <v>319000</v>
      </c>
      <c r="D282" s="438">
        <f t="shared" si="681"/>
        <v>275000</v>
      </c>
      <c r="E282" s="437">
        <f t="shared" si="682"/>
        <v>387931</v>
      </c>
      <c r="F282" s="439">
        <f t="shared" si="683"/>
        <v>127612.03000000003</v>
      </c>
      <c r="G282" s="440">
        <f t="shared" si="684"/>
        <v>310749.99999999994</v>
      </c>
      <c r="H282" s="441">
        <f>IFERROR(INDEX('FEOR kodok'!$A$2:$J$1126,MATCH(Bérköltség!AB282,'FEOR kodok'!$B$2:$B$1126,0),8),"NA")</f>
        <v>3134</v>
      </c>
      <c r="I282" s="436">
        <f ca="1">IFERROR(INDEX('FEOR kodok'!$A$2:$J$1126,MATCH(Bérköltség!AB282,'FEOR kodok'!$B$2:$B$1126,0),10),"NA")</f>
        <v>25</v>
      </c>
      <c r="J282" s="442" t="str">
        <f t="shared" ca="1" si="685"/>
        <v>30 év alatt</v>
      </c>
      <c r="K282" s="436" t="str">
        <f>IFERROR(INDEX(admin_feor[#All],MATCH(Bérköltség!H282,admin_feor[[#All],[Foglalkozás]],0),2),"NA")</f>
        <v>Környezetvédelmi technikus</v>
      </c>
      <c r="L282" s="438">
        <f ca="1">IFERROR(
INDEX('Admin - FEOR'!$A$4:$F$465,MATCH(Bérköltség!H282,'Admin - FEOR'!$A$4:$A$465,0),
IF(J282="30 év alatt",3,
IF(J282="30–39 éves",4,
IF(J282="40–49 éves",5,
IF(J282="50 év és afelett",6
)))))*1,"NA")</f>
        <v>361327</v>
      </c>
      <c r="M282" s="438">
        <f t="shared" si="686"/>
        <v>450000</v>
      </c>
      <c r="N282" s="443">
        <f t="shared" ca="1" si="687"/>
        <v>1.245409283004038</v>
      </c>
      <c r="O282" s="438">
        <f ca="1">IFERROR(
INDEX('Admin - FEOR'!$A$4:$F$465,MATCH(Bérköltség!H282,'Admin - FEOR'!$A$4:$A$465,0),
IF(J282="30 év alatt",3,
IF(J282="30–39 éves",4,
IF(J282="40–49 éves",5,
IF(J282="50 év és afelett",6
)))))*1.5,"NA")</f>
        <v>541990.5</v>
      </c>
      <c r="P282" s="438">
        <f t="shared" ca="1" si="688"/>
        <v>467233.18965517241</v>
      </c>
      <c r="Q282" s="438">
        <f t="shared" si="689"/>
        <v>387931</v>
      </c>
      <c r="R282" s="444">
        <f t="shared" si="690"/>
        <v>0.86206896551724133</v>
      </c>
      <c r="S282" s="438">
        <f t="shared" ca="1" si="691"/>
        <v>0</v>
      </c>
      <c r="T282" s="438">
        <f t="shared" ca="1" si="692"/>
        <v>0</v>
      </c>
      <c r="U282" s="445">
        <f t="shared" ca="1" si="693"/>
        <v>0</v>
      </c>
      <c r="V282" s="446">
        <f t="shared" ca="1" si="694"/>
        <v>438362</v>
      </c>
      <c r="W282" s="447" t="str">
        <f t="shared" ca="1" si="695"/>
        <v>Indoklás szükséges mivel a FEOR: 124,5%</v>
      </c>
      <c r="X282" s="914">
        <f t="shared" ca="1" si="696"/>
        <v>0</v>
      </c>
      <c r="Y282" s="554">
        <f t="shared" ca="1" si="697"/>
        <v>387931</v>
      </c>
      <c r="Z282" s="554">
        <f t="shared" ca="1" si="698"/>
        <v>50431</v>
      </c>
      <c r="AA282" s="101"/>
      <c r="AB282" s="448">
        <v>8479172010</v>
      </c>
      <c r="AC282" s="449" t="s">
        <v>261</v>
      </c>
      <c r="AD282" s="482" t="s">
        <v>45</v>
      </c>
      <c r="AE282" s="450" t="s">
        <v>24</v>
      </c>
      <c r="AF282" s="99" t="s">
        <v>119</v>
      </c>
      <c r="AG282" s="99" t="s">
        <v>224</v>
      </c>
      <c r="AH282" s="451" t="s">
        <v>131</v>
      </c>
      <c r="AI282" s="154">
        <v>45170</v>
      </c>
      <c r="AJ282" s="100" t="str">
        <f>IF(AI282&gt;0,
(IF(AI282&lt;Hónapok!$A$10,Admin!$A$28,
(IF(AI282&lt;Hónapok!$A$22,Admin!$B$28,
(IF(AI282&lt;Hónapok!$A$34,Admin!$C$28,
(IF(AI282&lt;Hónapok!$A$46,Admin!$D$28,"")))))))),"")</f>
        <v>3. mérföldkő</v>
      </c>
      <c r="AK282" s="469" t="s">
        <v>7</v>
      </c>
      <c r="AL282" s="101" t="s">
        <v>26</v>
      </c>
      <c r="AM282" s="900">
        <v>450000</v>
      </c>
      <c r="AN282" s="860">
        <f t="shared" si="699"/>
        <v>58500</v>
      </c>
      <c r="AO282" s="101">
        <v>174</v>
      </c>
      <c r="AP282" s="111">
        <v>150</v>
      </c>
      <c r="AQ282" s="454">
        <f t="shared" si="700"/>
        <v>0.86206896551724133</v>
      </c>
      <c r="AR282" s="455">
        <f t="shared" si="701"/>
        <v>387931</v>
      </c>
      <c r="AS282" s="455">
        <f t="shared" si="702"/>
        <v>50431</v>
      </c>
      <c r="AT282" s="102">
        <f t="shared" si="703"/>
        <v>7.6628352441154846E-8</v>
      </c>
      <c r="AU282" s="116">
        <v>0.13</v>
      </c>
      <c r="AV282" s="565" t="str">
        <f>VLOOKUP(LEFT(AB282,10),Törzsszám!$A$1:$B$908,2,0)</f>
        <v>10000960</v>
      </c>
      <c r="AW282" s="681"/>
      <c r="AX282" s="471" t="s">
        <v>4618</v>
      </c>
      <c r="AY282" s="486"/>
      <c r="AZ282" s="502"/>
      <c r="BA282" s="671"/>
      <c r="BB282" s="649"/>
      <c r="BC282" s="649"/>
      <c r="BD282" s="672"/>
      <c r="BE282" s="450"/>
    </row>
    <row r="283" spans="1:57" s="457" customFormat="1" ht="31.5" x14ac:dyDescent="0.25">
      <c r="A283" s="694" t="str">
        <f ca="1">Bérköltség!$B283</f>
        <v>FEOR</v>
      </c>
      <c r="B283" s="694" t="str">
        <f ca="1">IFERROR(
IF(AND(Bérköltség!$F283="",H283="NA"),"HIÁNYOS ADATOK",
IF(Bérköltség!$F283&lt;Bérköltség!$U283,Admin!$B$18,Admin!$B$17)),
"")</f>
        <v>FEOR</v>
      </c>
      <c r="C283" s="437">
        <f>IFERROR(INDEX('Historikus berek_2021-2'!$A$1:$F$903,MATCH(AB283,'Historikus berek_2021-2'!$A$1:$A$903,0),4),"")</f>
        <v>319000</v>
      </c>
      <c r="D283" s="438">
        <f t="shared" si="681"/>
        <v>275000</v>
      </c>
      <c r="E283" s="437">
        <f t="shared" si="682"/>
        <v>387931</v>
      </c>
      <c r="F283" s="439">
        <f t="shared" si="683"/>
        <v>127612.03000000003</v>
      </c>
      <c r="G283" s="440">
        <f t="shared" si="684"/>
        <v>310749.99999999994</v>
      </c>
      <c r="H283" s="441">
        <f>IFERROR(INDEX('FEOR kodok'!$A$2:$J$1126,MATCH(Bérköltség!AB283,'FEOR kodok'!$B$2:$B$1126,0),8),"NA")</f>
        <v>3134</v>
      </c>
      <c r="I283" s="436">
        <f ca="1">IFERROR(INDEX('FEOR kodok'!$A$2:$J$1126,MATCH(Bérköltség!AB283,'FEOR kodok'!$B$2:$B$1126,0),10),"NA")</f>
        <v>25</v>
      </c>
      <c r="J283" s="442" t="str">
        <f t="shared" ca="1" si="685"/>
        <v>30 év alatt</v>
      </c>
      <c r="K283" s="436" t="str">
        <f>IFERROR(INDEX(admin_feor[#All],MATCH(Bérköltség!H283,admin_feor[[#All],[Foglalkozás]],0),2),"NA")</f>
        <v>Környezetvédelmi technikus</v>
      </c>
      <c r="L283" s="438">
        <f ca="1">IFERROR(
INDEX('Admin - FEOR'!$A$4:$F$465,MATCH(Bérköltség!H283,'Admin - FEOR'!$A$4:$A$465,0),
IF(J283="30 év alatt",3,
IF(J283="30–39 éves",4,
IF(J283="40–49 éves",5,
IF(J283="50 év és afelett",6
)))))*1,"NA")</f>
        <v>361327</v>
      </c>
      <c r="M283" s="438">
        <f t="shared" si="686"/>
        <v>450000</v>
      </c>
      <c r="N283" s="443">
        <f t="shared" ca="1" si="687"/>
        <v>1.245409283004038</v>
      </c>
      <c r="O283" s="438">
        <f ca="1">IFERROR(
INDEX('Admin - FEOR'!$A$4:$F$465,MATCH(Bérköltség!H283,'Admin - FEOR'!$A$4:$A$465,0),
IF(J283="30 év alatt",3,
IF(J283="30–39 éves",4,
IF(J283="40–49 éves",5,
IF(J283="50 év és afelett",6
)))))*1.5,"NA")</f>
        <v>541990.5</v>
      </c>
      <c r="P283" s="438">
        <f t="shared" ca="1" si="688"/>
        <v>467233.18965517241</v>
      </c>
      <c r="Q283" s="438">
        <f t="shared" si="689"/>
        <v>387931</v>
      </c>
      <c r="R283" s="444">
        <f t="shared" si="690"/>
        <v>0.86206896551724133</v>
      </c>
      <c r="S283" s="438">
        <f t="shared" ca="1" si="691"/>
        <v>0</v>
      </c>
      <c r="T283" s="438">
        <f t="shared" ca="1" si="692"/>
        <v>0</v>
      </c>
      <c r="U283" s="445">
        <f t="shared" ca="1" si="693"/>
        <v>0</v>
      </c>
      <c r="V283" s="446">
        <f t="shared" ca="1" si="694"/>
        <v>438362</v>
      </c>
      <c r="W283" s="447" t="str">
        <f t="shared" ca="1" si="695"/>
        <v>Indoklás szükséges mivel a FEOR: 124,5%</v>
      </c>
      <c r="X283" s="571">
        <f t="shared" ca="1" si="696"/>
        <v>0</v>
      </c>
      <c r="Y283" s="554">
        <f t="shared" ca="1" si="697"/>
        <v>387931</v>
      </c>
      <c r="Z283" s="554">
        <f t="shared" ca="1" si="698"/>
        <v>50431</v>
      </c>
      <c r="AA283" s="101"/>
      <c r="AB283" s="448">
        <v>8479172010</v>
      </c>
      <c r="AC283" s="449" t="s">
        <v>261</v>
      </c>
      <c r="AD283" s="483" t="s">
        <v>45</v>
      </c>
      <c r="AE283" s="450" t="s">
        <v>24</v>
      </c>
      <c r="AF283" s="99" t="s">
        <v>119</v>
      </c>
      <c r="AG283" s="99" t="s">
        <v>224</v>
      </c>
      <c r="AH283" s="451" t="s">
        <v>131</v>
      </c>
      <c r="AI283" s="154">
        <v>45200</v>
      </c>
      <c r="AJ283" s="100" t="str">
        <f>IF(AI283&gt;0,
(IF(AI283&lt;Hónapok!$A$10,Admin!$A$28,
(IF(AI283&lt;Hónapok!$A$22,Admin!$B$28,
(IF(AI283&lt;Hónapok!$A$34,Admin!$C$28,
(IF(AI283&lt;Hónapok!$A$46,Admin!$D$28,"")))))))),"")</f>
        <v>3. mérföldkő</v>
      </c>
      <c r="AK283" s="469" t="s">
        <v>8</v>
      </c>
      <c r="AL283" s="101" t="s">
        <v>26</v>
      </c>
      <c r="AM283" s="900">
        <v>450000</v>
      </c>
      <c r="AN283" s="860">
        <f t="shared" si="699"/>
        <v>58500</v>
      </c>
      <c r="AO283" s="101">
        <v>174</v>
      </c>
      <c r="AP283" s="111">
        <v>150</v>
      </c>
      <c r="AQ283" s="454">
        <f t="shared" si="700"/>
        <v>0.86206896551724133</v>
      </c>
      <c r="AR283" s="455">
        <f t="shared" si="701"/>
        <v>387931</v>
      </c>
      <c r="AS283" s="455">
        <f t="shared" si="702"/>
        <v>50431</v>
      </c>
      <c r="AT283" s="102">
        <f t="shared" si="703"/>
        <v>7.6628352441154846E-8</v>
      </c>
      <c r="AU283" s="116">
        <v>0.13</v>
      </c>
      <c r="AV283" s="565" t="str">
        <f>VLOOKUP(LEFT(AB283,10),Törzsszám!$A$1:$B$908,2,0)</f>
        <v>10000960</v>
      </c>
      <c r="AW283" s="681"/>
      <c r="AX283" s="468"/>
      <c r="AY283" s="486"/>
      <c r="AZ283" s="502"/>
      <c r="BA283" s="671"/>
      <c r="BB283" s="649"/>
      <c r="BC283" s="649"/>
      <c r="BD283" s="672"/>
      <c r="BE283" s="450"/>
    </row>
    <row r="284" spans="1:57" s="457" customFormat="1" ht="31.5" x14ac:dyDescent="0.25">
      <c r="A284" s="694" t="str">
        <f ca="1">Bérköltség!$B284</f>
        <v>FEOR</v>
      </c>
      <c r="B284" s="694" t="str">
        <f ca="1">IFERROR(
IF(AND(Bérköltség!$F284="",H284="NA"),"HIÁNYOS ADATOK",
IF(Bérköltség!$F284&lt;Bérköltség!$U284,Admin!$B$18,Admin!$B$17)),
"")</f>
        <v>FEOR</v>
      </c>
      <c r="C284" s="437">
        <f>IFERROR(INDEX('Historikus berek_2021-2'!$A$1:$F$903,MATCH(AB284,'Historikus berek_2021-2'!$A$1:$A$903,0),4),"")</f>
        <v>319000</v>
      </c>
      <c r="D284" s="438">
        <f t="shared" si="681"/>
        <v>275000</v>
      </c>
      <c r="E284" s="437">
        <f t="shared" si="682"/>
        <v>387931</v>
      </c>
      <c r="F284" s="439">
        <f t="shared" si="683"/>
        <v>127612.03000000003</v>
      </c>
      <c r="G284" s="440">
        <f t="shared" si="684"/>
        <v>310749.99999999994</v>
      </c>
      <c r="H284" s="441">
        <f>IFERROR(INDEX('FEOR kodok'!$A$2:$J$1126,MATCH(Bérköltség!AB284,'FEOR kodok'!$B$2:$B$1126,0),8),"NA")</f>
        <v>3134</v>
      </c>
      <c r="I284" s="436">
        <f ca="1">IFERROR(INDEX('FEOR kodok'!$A$2:$J$1126,MATCH(Bérköltség!AB284,'FEOR kodok'!$B$2:$B$1126,0),10),"NA")</f>
        <v>25</v>
      </c>
      <c r="J284" s="442" t="str">
        <f t="shared" ca="1" si="685"/>
        <v>30 év alatt</v>
      </c>
      <c r="K284" s="436" t="str">
        <f>IFERROR(INDEX(admin_feor[#All],MATCH(Bérköltség!H284,admin_feor[[#All],[Foglalkozás]],0),2),"NA")</f>
        <v>Környezetvédelmi technikus</v>
      </c>
      <c r="L284" s="438">
        <f ca="1">IFERROR(
INDEX('Admin - FEOR'!$A$4:$F$465,MATCH(Bérköltség!H284,'Admin - FEOR'!$A$4:$A$465,0),
IF(J284="30 év alatt",3,
IF(J284="30–39 éves",4,
IF(J284="40–49 éves",5,
IF(J284="50 év és afelett",6
)))))*1,"NA")</f>
        <v>361327</v>
      </c>
      <c r="M284" s="438">
        <f t="shared" si="686"/>
        <v>450000</v>
      </c>
      <c r="N284" s="443">
        <f t="shared" ca="1" si="687"/>
        <v>1.245409283004038</v>
      </c>
      <c r="O284" s="438">
        <f ca="1">IFERROR(
INDEX('Admin - FEOR'!$A$4:$F$465,MATCH(Bérköltség!H284,'Admin - FEOR'!$A$4:$A$465,0),
IF(J284="30 év alatt",3,
IF(J284="30–39 éves",4,
IF(J284="40–49 éves",5,
IF(J284="50 év és afelett",6
)))))*1.5,"NA")</f>
        <v>541990.5</v>
      </c>
      <c r="P284" s="438">
        <f t="shared" ca="1" si="688"/>
        <v>467233.18965517241</v>
      </c>
      <c r="Q284" s="438">
        <f t="shared" si="689"/>
        <v>387931</v>
      </c>
      <c r="R284" s="444">
        <f t="shared" si="690"/>
        <v>0.86206896551724133</v>
      </c>
      <c r="S284" s="438">
        <f t="shared" ca="1" si="691"/>
        <v>0</v>
      </c>
      <c r="T284" s="438">
        <f t="shared" ca="1" si="692"/>
        <v>0</v>
      </c>
      <c r="U284" s="445">
        <f t="shared" ca="1" si="693"/>
        <v>0</v>
      </c>
      <c r="V284" s="446">
        <f t="shared" ca="1" si="694"/>
        <v>438362</v>
      </c>
      <c r="W284" s="447" t="str">
        <f t="shared" ca="1" si="695"/>
        <v>Indoklás szükséges mivel a FEOR: 124,5%</v>
      </c>
      <c r="X284" s="571">
        <f t="shared" ca="1" si="696"/>
        <v>0</v>
      </c>
      <c r="Y284" s="554">
        <f t="shared" ca="1" si="697"/>
        <v>387931</v>
      </c>
      <c r="Z284" s="554">
        <f t="shared" ca="1" si="698"/>
        <v>50431</v>
      </c>
      <c r="AA284" s="101"/>
      <c r="AB284" s="448">
        <v>8479172010</v>
      </c>
      <c r="AC284" s="449" t="s">
        <v>261</v>
      </c>
      <c r="AD284" s="483" t="s">
        <v>45</v>
      </c>
      <c r="AE284" s="450" t="s">
        <v>24</v>
      </c>
      <c r="AF284" s="99" t="s">
        <v>119</v>
      </c>
      <c r="AG284" s="99" t="s">
        <v>224</v>
      </c>
      <c r="AH284" s="451" t="s">
        <v>131</v>
      </c>
      <c r="AI284" s="154">
        <v>45231</v>
      </c>
      <c r="AJ284" s="100" t="str">
        <f>IF(AI284&gt;0,
(IF(AI284&lt;Hónapok!$A$10,Admin!$A$28,
(IF(AI284&lt;Hónapok!$A$22,Admin!$B$28,
(IF(AI284&lt;Hónapok!$A$34,Admin!$C$28,
(IF(AI284&lt;Hónapok!$A$46,Admin!$D$28,"")))))))),"")</f>
        <v>3. mérföldkő</v>
      </c>
      <c r="AK284" s="469" t="s">
        <v>8</v>
      </c>
      <c r="AL284" s="101" t="s">
        <v>26</v>
      </c>
      <c r="AM284" s="900">
        <v>450000</v>
      </c>
      <c r="AN284" s="860">
        <f t="shared" si="699"/>
        <v>58500</v>
      </c>
      <c r="AO284" s="101">
        <v>174</v>
      </c>
      <c r="AP284" s="111">
        <v>150</v>
      </c>
      <c r="AQ284" s="454">
        <f t="shared" si="700"/>
        <v>0.86206896551724133</v>
      </c>
      <c r="AR284" s="455">
        <f t="shared" si="701"/>
        <v>387931</v>
      </c>
      <c r="AS284" s="455">
        <f t="shared" si="702"/>
        <v>50431</v>
      </c>
      <c r="AT284" s="102">
        <f t="shared" si="703"/>
        <v>7.6628352441154846E-8</v>
      </c>
      <c r="AU284" s="116">
        <v>0.13</v>
      </c>
      <c r="AV284" s="565" t="str">
        <f>VLOOKUP(LEFT(AB284,10),Törzsszám!$A$1:$B$908,2,0)</f>
        <v>10000960</v>
      </c>
      <c r="AW284" s="681"/>
      <c r="AX284" s="468"/>
      <c r="AY284" s="486"/>
      <c r="AZ284" s="502"/>
      <c r="BA284" s="671"/>
      <c r="BB284" s="649"/>
      <c r="BC284" s="649"/>
      <c r="BD284" s="672"/>
      <c r="BE284" s="450"/>
    </row>
    <row r="285" spans="1:57" s="457" customFormat="1" ht="31.5" x14ac:dyDescent="0.25">
      <c r="A285" s="694" t="str">
        <f ca="1">Bérköltség!$B285</f>
        <v>FEOR</v>
      </c>
      <c r="B285" s="694" t="str">
        <f ca="1">IFERROR(
IF(AND(Bérköltség!$F285="",H285="NA"),"HIÁNYOS ADATOK",
IF(Bérköltség!$F285&lt;Bérköltség!$U285,Admin!$B$18,Admin!$B$17)),
"")</f>
        <v>FEOR</v>
      </c>
      <c r="C285" s="437">
        <f>IFERROR(INDEX('Historikus berek_2021-2'!$A$1:$F$903,MATCH(AB285,'Historikus berek_2021-2'!$A$1:$A$903,0),4),"")</f>
        <v>304933.33333333331</v>
      </c>
      <c r="D285" s="438">
        <f t="shared" si="564"/>
        <v>304933.33333333331</v>
      </c>
      <c r="E285" s="437">
        <f t="shared" si="565"/>
        <v>280000</v>
      </c>
      <c r="F285" s="439">
        <f t="shared" si="566"/>
        <v>0</v>
      </c>
      <c r="G285" s="440">
        <f t="shared" si="567"/>
        <v>316399.99999999994</v>
      </c>
      <c r="H285" s="441">
        <f>IFERROR(INDEX('FEOR kodok'!$A$2:$J$1126,MATCH(Bérköltség!AB285,'FEOR kodok'!$B$2:$B$1126,0),8),"NA")</f>
        <v>2169</v>
      </c>
      <c r="I285" s="436">
        <f ca="1">IFERROR(INDEX('FEOR kodok'!$A$2:$J$1126,MATCH(Bérköltség!AB285,'FEOR kodok'!$B$2:$B$1126,0),10),"NA")</f>
        <v>38</v>
      </c>
      <c r="J285" s="442" t="str">
        <f t="shared" ca="1" si="568"/>
        <v>30–39 éves</v>
      </c>
      <c r="K285" s="436" t="str">
        <f>IFERROR(INDEX(admin_feor[#All],MATCH(Bérköltség!H285,admin_feor[[#All],[Foglalkozás]],0),2),"NA")</f>
        <v>Egyéb természettudományi foglalkozású</v>
      </c>
      <c r="L285" s="438">
        <f ca="1">IFERROR(
INDEX('Admin - FEOR'!$A$4:$F$465,MATCH(Bérköltség!H285,'Admin - FEOR'!$A$4:$A$465,0),
IF(J285="30 év alatt",3,
IF(J285="30–39 éves",4,
IF(J285="40–49 éves",5,
IF(J285="50 év és afelett",6
)))))*1,"NA")</f>
        <v>641245</v>
      </c>
      <c r="M285" s="438">
        <f t="shared" si="569"/>
        <v>280000</v>
      </c>
      <c r="N285" s="443">
        <f t="shared" ca="1" si="570"/>
        <v>0.43665057817214947</v>
      </c>
      <c r="O285" s="438">
        <f ca="1">IFERROR(
INDEX('Admin - FEOR'!$A$4:$F$465,MATCH(Bérköltség!H285,'Admin - FEOR'!$A$4:$A$465,0),
IF(J285="30 év alatt",3,
IF(J285="30–39 éves",4,
IF(J285="40–49 éves",5,
IF(J285="50 év és afelett",6
)))))*1.5,"NA")</f>
        <v>961867.5</v>
      </c>
      <c r="P285" s="438">
        <f t="shared" ca="1" si="571"/>
        <v>961867.5</v>
      </c>
      <c r="Q285" s="438">
        <f t="shared" si="572"/>
        <v>280000</v>
      </c>
      <c r="R285" s="444">
        <f t="shared" si="573"/>
        <v>1</v>
      </c>
      <c r="S285" s="438">
        <f t="shared" ca="1" si="574"/>
        <v>0</v>
      </c>
      <c r="T285" s="438">
        <f t="shared" ca="1" si="575"/>
        <v>0</v>
      </c>
      <c r="U285" s="445">
        <f t="shared" ca="1" si="576"/>
        <v>0</v>
      </c>
      <c r="V285" s="446">
        <f t="shared" ca="1" si="577"/>
        <v>316400</v>
      </c>
      <c r="W285" s="447" t="str">
        <f t="shared" ca="1" si="578"/>
        <v>Nem szükséges indoklás.</v>
      </c>
      <c r="X285" s="571">
        <f t="shared" ca="1" si="579"/>
        <v>0</v>
      </c>
      <c r="Y285" s="554">
        <f t="shared" ca="1" si="580"/>
        <v>280000</v>
      </c>
      <c r="Z285" s="554">
        <f t="shared" ca="1" si="581"/>
        <v>36400</v>
      </c>
      <c r="AA285" s="573">
        <v>2</v>
      </c>
      <c r="AB285" s="448">
        <v>8434153491</v>
      </c>
      <c r="AC285" s="449" t="s">
        <v>138</v>
      </c>
      <c r="AD285" s="483" t="s">
        <v>45</v>
      </c>
      <c r="AE285" s="450" t="s">
        <v>158</v>
      </c>
      <c r="AF285" s="99" t="s">
        <v>121</v>
      </c>
      <c r="AG285" s="99" t="s">
        <v>128</v>
      </c>
      <c r="AH285" s="451" t="s">
        <v>131</v>
      </c>
      <c r="AI285" s="154">
        <v>44743</v>
      </c>
      <c r="AJ285" s="100" t="str">
        <f>IF(AI285&gt;0,
(IF(AI285&lt;Hónapok!$A$10,Admin!$A$28,
(IF(AI285&lt;Hónapok!$A$22,Admin!$B$28,
(IF(AI285&lt;Hónapok!$A$34,Admin!$C$28,
(IF(AI285&lt;Hónapok!$A$46,Admin!$D$28,"")))))))),"")</f>
        <v>2. mérföldkő</v>
      </c>
      <c r="AK285" s="469" t="s">
        <v>7</v>
      </c>
      <c r="AL285" s="101" t="s">
        <v>26</v>
      </c>
      <c r="AM285" s="900">
        <v>280000</v>
      </c>
      <c r="AN285" s="860">
        <f t="shared" si="656"/>
        <v>36400</v>
      </c>
      <c r="AO285" s="101">
        <v>87</v>
      </c>
      <c r="AP285" s="111">
        <v>87</v>
      </c>
      <c r="AQ285" s="454">
        <f t="shared" si="534"/>
        <v>1</v>
      </c>
      <c r="AR285" s="455">
        <f t="shared" si="535"/>
        <v>280000</v>
      </c>
      <c r="AS285" s="455">
        <f t="shared" si="536"/>
        <v>36400</v>
      </c>
      <c r="AT285" s="102">
        <f t="shared" si="537"/>
        <v>0</v>
      </c>
      <c r="AU285" s="116">
        <v>0.13</v>
      </c>
      <c r="AV285" s="565" t="str">
        <f>VLOOKUP(LEFT(AB285,10),Törzsszám!$A$1:$B$908,2,0)</f>
        <v>10001417</v>
      </c>
      <c r="AW285" s="615">
        <f t="shared" ca="1" si="538"/>
        <v>0</v>
      </c>
      <c r="AX285" s="468" t="s">
        <v>209</v>
      </c>
      <c r="AY285" s="486"/>
      <c r="AZ285" s="502" t="s">
        <v>4607</v>
      </c>
      <c r="BA285" s="671">
        <v>176991</v>
      </c>
      <c r="BB285" s="649">
        <v>23009</v>
      </c>
      <c r="BC285" s="649">
        <f t="shared" ref="BC285:BD291" ca="1" si="704">Y285-BA285</f>
        <v>103009</v>
      </c>
      <c r="BD285" s="672">
        <f t="shared" ca="1" si="704"/>
        <v>13391</v>
      </c>
      <c r="BE285" s="450" t="s">
        <v>139</v>
      </c>
    </row>
    <row r="286" spans="1:57" s="457" customFormat="1" ht="31.5" x14ac:dyDescent="0.25">
      <c r="A286" s="694" t="str">
        <f ca="1">Bérköltség!$B286</f>
        <v>FEOR</v>
      </c>
      <c r="B286" s="694" t="str">
        <f ca="1">IFERROR(
IF(AND(Bérköltség!$F286="",H286="NA"),"HIÁNYOS ADATOK",
IF(Bérköltség!$F286&lt;Bérköltség!$U286,Admin!$B$18,Admin!$B$17)),
"")</f>
        <v>FEOR</v>
      </c>
      <c r="C286" s="437">
        <f>IFERROR(INDEX('Historikus berek_2021-2'!$A$1:$F$903,MATCH(AB286,'Historikus berek_2021-2'!$A$1:$A$903,0),4),"")</f>
        <v>304933.33333333331</v>
      </c>
      <c r="D286" s="438">
        <f t="shared" si="564"/>
        <v>304933.33333333331</v>
      </c>
      <c r="E286" s="437">
        <f t="shared" si="565"/>
        <v>280000</v>
      </c>
      <c r="F286" s="439">
        <f t="shared" si="566"/>
        <v>0</v>
      </c>
      <c r="G286" s="440">
        <f t="shared" si="567"/>
        <v>316399.99999999994</v>
      </c>
      <c r="H286" s="441">
        <f>IFERROR(INDEX('FEOR kodok'!$A$2:$J$1126,MATCH(Bérköltség!AB286,'FEOR kodok'!$B$2:$B$1126,0),8),"NA")</f>
        <v>2169</v>
      </c>
      <c r="I286" s="436">
        <f ca="1">IFERROR(INDEX('FEOR kodok'!$A$2:$J$1126,MATCH(Bérköltség!AB286,'FEOR kodok'!$B$2:$B$1126,0),10),"NA")</f>
        <v>38</v>
      </c>
      <c r="J286" s="442" t="str">
        <f t="shared" ca="1" si="568"/>
        <v>30–39 éves</v>
      </c>
      <c r="K286" s="436" t="str">
        <f>IFERROR(INDEX(admin_feor[#All],MATCH(Bérköltség!H286,admin_feor[[#All],[Foglalkozás]],0),2),"NA")</f>
        <v>Egyéb természettudományi foglalkozású</v>
      </c>
      <c r="L286" s="438">
        <f ca="1">IFERROR(
INDEX('Admin - FEOR'!$A$4:$F$465,MATCH(Bérköltség!H286,'Admin - FEOR'!$A$4:$A$465,0),
IF(J286="30 év alatt",3,
IF(J286="30–39 éves",4,
IF(J286="40–49 éves",5,
IF(J286="50 év és afelett",6
)))))*1,"NA")</f>
        <v>641245</v>
      </c>
      <c r="M286" s="438">
        <f t="shared" si="569"/>
        <v>280000</v>
      </c>
      <c r="N286" s="443">
        <f t="shared" ca="1" si="570"/>
        <v>0.43665057817214947</v>
      </c>
      <c r="O286" s="438">
        <f ca="1">IFERROR(
INDEX('Admin - FEOR'!$A$4:$F$465,MATCH(Bérköltség!H286,'Admin - FEOR'!$A$4:$A$465,0),
IF(J286="30 év alatt",3,
IF(J286="30–39 éves",4,
IF(J286="40–49 éves",5,
IF(J286="50 év és afelett",6
)))))*1.5,"NA")</f>
        <v>961867.5</v>
      </c>
      <c r="P286" s="438">
        <f t="shared" ca="1" si="571"/>
        <v>961867.5</v>
      </c>
      <c r="Q286" s="438">
        <f t="shared" si="572"/>
        <v>280000</v>
      </c>
      <c r="R286" s="444">
        <f t="shared" si="573"/>
        <v>1</v>
      </c>
      <c r="S286" s="438">
        <f t="shared" ca="1" si="574"/>
        <v>0</v>
      </c>
      <c r="T286" s="438">
        <f t="shared" ca="1" si="575"/>
        <v>0</v>
      </c>
      <c r="U286" s="445">
        <f t="shared" ca="1" si="576"/>
        <v>0</v>
      </c>
      <c r="V286" s="446">
        <f t="shared" ca="1" si="577"/>
        <v>316400</v>
      </c>
      <c r="W286" s="447" t="str">
        <f t="shared" ca="1" si="578"/>
        <v>Nem szükséges indoklás.</v>
      </c>
      <c r="X286" s="571">
        <f t="shared" ca="1" si="579"/>
        <v>0</v>
      </c>
      <c r="Y286" s="554">
        <f t="shared" ca="1" si="580"/>
        <v>280000</v>
      </c>
      <c r="Z286" s="554">
        <f t="shared" ca="1" si="581"/>
        <v>36400</v>
      </c>
      <c r="AA286" s="573">
        <v>2</v>
      </c>
      <c r="AB286" s="448">
        <v>8434153491</v>
      </c>
      <c r="AC286" s="449" t="s">
        <v>138</v>
      </c>
      <c r="AD286" s="483" t="s">
        <v>45</v>
      </c>
      <c r="AE286" s="450" t="s">
        <v>158</v>
      </c>
      <c r="AF286" s="99" t="s">
        <v>121</v>
      </c>
      <c r="AG286" s="99" t="s">
        <v>128</v>
      </c>
      <c r="AH286" s="451" t="s">
        <v>131</v>
      </c>
      <c r="AI286" s="154">
        <v>44774</v>
      </c>
      <c r="AJ286" s="100" t="str">
        <f>IF(AI286&gt;0,
(IF(AI286&lt;Hónapok!$A$10,Admin!$A$28,
(IF(AI286&lt;Hónapok!$A$22,Admin!$B$28,
(IF(AI286&lt;Hónapok!$A$34,Admin!$C$28,
(IF(AI286&lt;Hónapok!$A$46,Admin!$D$28,"")))))))),"")</f>
        <v>2. mérföldkő</v>
      </c>
      <c r="AK286" s="469" t="s">
        <v>7</v>
      </c>
      <c r="AL286" s="101" t="s">
        <v>26</v>
      </c>
      <c r="AM286" s="900">
        <v>280000</v>
      </c>
      <c r="AN286" s="860">
        <f t="shared" si="656"/>
        <v>36400</v>
      </c>
      <c r="AO286" s="101">
        <v>87</v>
      </c>
      <c r="AP286" s="111">
        <v>87</v>
      </c>
      <c r="AQ286" s="454">
        <f t="shared" si="534"/>
        <v>1</v>
      </c>
      <c r="AR286" s="455">
        <f t="shared" si="535"/>
        <v>280000</v>
      </c>
      <c r="AS286" s="455">
        <f t="shared" si="536"/>
        <v>36400</v>
      </c>
      <c r="AT286" s="102">
        <f t="shared" si="537"/>
        <v>0</v>
      </c>
      <c r="AU286" s="116">
        <v>0.13</v>
      </c>
      <c r="AV286" s="565" t="str">
        <f>VLOOKUP(LEFT(AB286,10),Törzsszám!$A$1:$B$908,2,0)</f>
        <v>10001417</v>
      </c>
      <c r="AW286" s="615">
        <f t="shared" ca="1" si="538"/>
        <v>0</v>
      </c>
      <c r="AX286" s="473" t="s">
        <v>218</v>
      </c>
      <c r="AY286" s="486"/>
      <c r="AZ286" s="502" t="s">
        <v>4607</v>
      </c>
      <c r="BA286" s="671">
        <v>176991</v>
      </c>
      <c r="BB286" s="649">
        <v>23009</v>
      </c>
      <c r="BC286" s="649">
        <f t="shared" ca="1" si="704"/>
        <v>103009</v>
      </c>
      <c r="BD286" s="672">
        <f t="shared" ca="1" si="704"/>
        <v>13391</v>
      </c>
      <c r="BE286" s="450" t="s">
        <v>139</v>
      </c>
    </row>
    <row r="287" spans="1:57" s="457" customFormat="1" ht="31.5" x14ac:dyDescent="0.25">
      <c r="A287" s="694" t="str">
        <f ca="1">Bérköltség!$B287</f>
        <v>FEOR</v>
      </c>
      <c r="B287" s="694" t="str">
        <f ca="1">IFERROR(
IF(AND(Bérköltség!$F287="",H287="NA"),"HIÁNYOS ADATOK",
IF(Bérköltség!$F287&lt;Bérköltség!$U287,Admin!$B$18,Admin!$B$17)),
"")</f>
        <v>FEOR</v>
      </c>
      <c r="C287" s="437">
        <f>IFERROR(INDEX('Historikus berek_2021-2'!$A$1:$F$903,MATCH(AB287,'Historikus berek_2021-2'!$A$1:$A$903,0),4),"")</f>
        <v>304933.33333333331</v>
      </c>
      <c r="D287" s="438">
        <f t="shared" si="564"/>
        <v>304933.33333333331</v>
      </c>
      <c r="E287" s="437">
        <f t="shared" si="565"/>
        <v>280000</v>
      </c>
      <c r="F287" s="439">
        <f t="shared" si="566"/>
        <v>0</v>
      </c>
      <c r="G287" s="440">
        <f t="shared" si="567"/>
        <v>316399.99999999994</v>
      </c>
      <c r="H287" s="441">
        <f>IFERROR(INDEX('FEOR kodok'!$A$2:$J$1126,MATCH(Bérköltség!AB287,'FEOR kodok'!$B$2:$B$1126,0),8),"NA")</f>
        <v>2169</v>
      </c>
      <c r="I287" s="436">
        <f ca="1">IFERROR(INDEX('FEOR kodok'!$A$2:$J$1126,MATCH(Bérköltség!AB287,'FEOR kodok'!$B$2:$B$1126,0),10),"NA")</f>
        <v>38</v>
      </c>
      <c r="J287" s="442" t="str">
        <f t="shared" ca="1" si="568"/>
        <v>30–39 éves</v>
      </c>
      <c r="K287" s="436" t="str">
        <f>IFERROR(INDEX(admin_feor[#All],MATCH(Bérköltség!H287,admin_feor[[#All],[Foglalkozás]],0),2),"NA")</f>
        <v>Egyéb természettudományi foglalkozású</v>
      </c>
      <c r="L287" s="438">
        <f ca="1">IFERROR(
INDEX('Admin - FEOR'!$A$4:$F$465,MATCH(Bérköltség!H287,'Admin - FEOR'!$A$4:$A$465,0),
IF(J287="30 év alatt",3,
IF(J287="30–39 éves",4,
IF(J287="40–49 éves",5,
IF(J287="50 év és afelett",6
)))))*1,"NA")</f>
        <v>641245</v>
      </c>
      <c r="M287" s="438">
        <f t="shared" si="569"/>
        <v>280000</v>
      </c>
      <c r="N287" s="443">
        <f t="shared" ca="1" si="570"/>
        <v>0.43665057817214947</v>
      </c>
      <c r="O287" s="438">
        <f ca="1">IFERROR(
INDEX('Admin - FEOR'!$A$4:$F$465,MATCH(Bérköltség!H287,'Admin - FEOR'!$A$4:$A$465,0),
IF(J287="30 év alatt",3,
IF(J287="30–39 éves",4,
IF(J287="40–49 éves",5,
IF(J287="50 év és afelett",6
)))))*1.5,"NA")</f>
        <v>961867.5</v>
      </c>
      <c r="P287" s="438">
        <f t="shared" ca="1" si="571"/>
        <v>961867.5</v>
      </c>
      <c r="Q287" s="438">
        <f t="shared" si="572"/>
        <v>280000</v>
      </c>
      <c r="R287" s="444">
        <f t="shared" si="573"/>
        <v>1</v>
      </c>
      <c r="S287" s="438">
        <f t="shared" ca="1" si="574"/>
        <v>0</v>
      </c>
      <c r="T287" s="438">
        <f t="shared" ca="1" si="575"/>
        <v>0</v>
      </c>
      <c r="U287" s="445">
        <f t="shared" ca="1" si="576"/>
        <v>0</v>
      </c>
      <c r="V287" s="446">
        <f t="shared" ca="1" si="577"/>
        <v>316400</v>
      </c>
      <c r="W287" s="447" t="str">
        <f t="shared" ca="1" si="578"/>
        <v>Nem szükséges indoklás.</v>
      </c>
      <c r="X287" s="571">
        <f t="shared" ca="1" si="579"/>
        <v>0</v>
      </c>
      <c r="Y287" s="554">
        <f t="shared" ca="1" si="580"/>
        <v>280000</v>
      </c>
      <c r="Z287" s="554">
        <f t="shared" ca="1" si="581"/>
        <v>36400</v>
      </c>
      <c r="AA287" s="573">
        <v>2</v>
      </c>
      <c r="AB287" s="448">
        <v>8434153491</v>
      </c>
      <c r="AC287" s="449" t="s">
        <v>138</v>
      </c>
      <c r="AD287" s="483" t="s">
        <v>45</v>
      </c>
      <c r="AE287" s="450" t="s">
        <v>158</v>
      </c>
      <c r="AF287" s="99" t="s">
        <v>121</v>
      </c>
      <c r="AG287" s="99" t="s">
        <v>128</v>
      </c>
      <c r="AH287" s="451" t="s">
        <v>131</v>
      </c>
      <c r="AI287" s="154">
        <v>44805</v>
      </c>
      <c r="AJ287" s="100" t="str">
        <f>IF(AI287&gt;0,
(IF(AI287&lt;Hónapok!$A$10,Admin!$A$28,
(IF(AI287&lt;Hónapok!$A$22,Admin!$B$28,
(IF(AI287&lt;Hónapok!$A$34,Admin!$C$28,
(IF(AI287&lt;Hónapok!$A$46,Admin!$D$28,"")))))))),"")</f>
        <v>2. mérföldkő</v>
      </c>
      <c r="AK287" s="469" t="s">
        <v>7</v>
      </c>
      <c r="AL287" s="101" t="s">
        <v>26</v>
      </c>
      <c r="AM287" s="900">
        <v>280000</v>
      </c>
      <c r="AN287" s="860">
        <f t="shared" si="656"/>
        <v>36400</v>
      </c>
      <c r="AO287" s="101">
        <v>87</v>
      </c>
      <c r="AP287" s="111">
        <v>87</v>
      </c>
      <c r="AQ287" s="454">
        <f t="shared" si="534"/>
        <v>1</v>
      </c>
      <c r="AR287" s="455">
        <f t="shared" si="535"/>
        <v>280000</v>
      </c>
      <c r="AS287" s="455">
        <f t="shared" si="536"/>
        <v>36400</v>
      </c>
      <c r="AT287" s="102">
        <f t="shared" si="537"/>
        <v>0</v>
      </c>
      <c r="AU287" s="116">
        <v>0.13</v>
      </c>
      <c r="AV287" s="565" t="str">
        <f>VLOOKUP(LEFT(AB287,10),Törzsszám!$A$1:$B$908,2,0)</f>
        <v>10001417</v>
      </c>
      <c r="AW287" s="615">
        <f t="shared" ca="1" si="538"/>
        <v>0</v>
      </c>
      <c r="AX287" s="473" t="s">
        <v>228</v>
      </c>
      <c r="AY287" s="486"/>
      <c r="AZ287" s="502" t="s">
        <v>4607</v>
      </c>
      <c r="BA287" s="671">
        <v>176991</v>
      </c>
      <c r="BB287" s="649">
        <v>23009</v>
      </c>
      <c r="BC287" s="649">
        <f t="shared" ca="1" si="704"/>
        <v>103009</v>
      </c>
      <c r="BD287" s="672">
        <f t="shared" ca="1" si="704"/>
        <v>13391</v>
      </c>
      <c r="BE287" s="450" t="s">
        <v>139</v>
      </c>
    </row>
    <row r="288" spans="1:57" s="457" customFormat="1" ht="31.5" x14ac:dyDescent="0.25">
      <c r="A288" s="694" t="str">
        <f ca="1">Bérköltség!$B288</f>
        <v>FEOR</v>
      </c>
      <c r="B288" s="694" t="str">
        <f ca="1">IFERROR(
IF(AND(Bérköltség!$F288="",H288="NA"),"HIÁNYOS ADATOK",
IF(Bérköltség!$F288&lt;Bérköltség!$U288,Admin!$B$18,Admin!$B$17)),
"")</f>
        <v>FEOR</v>
      </c>
      <c r="C288" s="437">
        <f>IFERROR(INDEX('Historikus berek_2021-2'!$A$1:$F$903,MATCH(AB288,'Historikus berek_2021-2'!$A$1:$A$903,0),4),"")</f>
        <v>304933.33333333331</v>
      </c>
      <c r="D288" s="438">
        <f t="shared" si="564"/>
        <v>304933.33333333331</v>
      </c>
      <c r="E288" s="437">
        <f t="shared" si="565"/>
        <v>280000</v>
      </c>
      <c r="F288" s="439">
        <f t="shared" si="566"/>
        <v>0</v>
      </c>
      <c r="G288" s="440">
        <f t="shared" si="567"/>
        <v>316399.99999999994</v>
      </c>
      <c r="H288" s="441">
        <f>IFERROR(INDEX('FEOR kodok'!$A$2:$J$1126,MATCH(Bérköltség!AB288,'FEOR kodok'!$B$2:$B$1126,0),8),"NA")</f>
        <v>2169</v>
      </c>
      <c r="I288" s="436">
        <f ca="1">IFERROR(INDEX('FEOR kodok'!$A$2:$J$1126,MATCH(Bérköltség!AB288,'FEOR kodok'!$B$2:$B$1126,0),10),"NA")</f>
        <v>38</v>
      </c>
      <c r="J288" s="442" t="str">
        <f t="shared" ca="1" si="568"/>
        <v>30–39 éves</v>
      </c>
      <c r="K288" s="436" t="str">
        <f>IFERROR(INDEX(admin_feor[#All],MATCH(Bérköltség!H288,admin_feor[[#All],[Foglalkozás]],0),2),"NA")</f>
        <v>Egyéb természettudományi foglalkozású</v>
      </c>
      <c r="L288" s="438">
        <f ca="1">IFERROR(
INDEX('Admin - FEOR'!$A$4:$F$465,MATCH(Bérköltség!H288,'Admin - FEOR'!$A$4:$A$465,0),
IF(J288="30 év alatt",3,
IF(J288="30–39 éves",4,
IF(J288="40–49 éves",5,
IF(J288="50 év és afelett",6
)))))*1,"NA")</f>
        <v>641245</v>
      </c>
      <c r="M288" s="438">
        <f t="shared" si="569"/>
        <v>280000</v>
      </c>
      <c r="N288" s="443">
        <f t="shared" ca="1" si="570"/>
        <v>0.43665057817214947</v>
      </c>
      <c r="O288" s="438">
        <f ca="1">IFERROR(
INDEX('Admin - FEOR'!$A$4:$F$465,MATCH(Bérköltség!H288,'Admin - FEOR'!$A$4:$A$465,0),
IF(J288="30 év alatt",3,
IF(J288="30–39 éves",4,
IF(J288="40–49 éves",5,
IF(J288="50 év és afelett",6
)))))*1.5,"NA")</f>
        <v>961867.5</v>
      </c>
      <c r="P288" s="438">
        <f t="shared" ca="1" si="571"/>
        <v>961867.5</v>
      </c>
      <c r="Q288" s="438">
        <f t="shared" si="572"/>
        <v>280000</v>
      </c>
      <c r="R288" s="444">
        <f t="shared" si="573"/>
        <v>1</v>
      </c>
      <c r="S288" s="438">
        <f t="shared" ca="1" si="574"/>
        <v>0</v>
      </c>
      <c r="T288" s="438">
        <f t="shared" ca="1" si="575"/>
        <v>0</v>
      </c>
      <c r="U288" s="445">
        <f t="shared" ca="1" si="576"/>
        <v>0</v>
      </c>
      <c r="V288" s="446">
        <f t="shared" ca="1" si="577"/>
        <v>316400</v>
      </c>
      <c r="W288" s="447" t="str">
        <f t="shared" ca="1" si="578"/>
        <v>Nem szükséges indoklás.</v>
      </c>
      <c r="X288" s="571">
        <f t="shared" ca="1" si="579"/>
        <v>0</v>
      </c>
      <c r="Y288" s="554">
        <f t="shared" ca="1" si="580"/>
        <v>280000</v>
      </c>
      <c r="Z288" s="554">
        <f t="shared" ca="1" si="581"/>
        <v>36400</v>
      </c>
      <c r="AA288" s="573">
        <v>2</v>
      </c>
      <c r="AB288" s="448">
        <v>8434153491</v>
      </c>
      <c r="AC288" s="449" t="s">
        <v>138</v>
      </c>
      <c r="AD288" s="483" t="s">
        <v>45</v>
      </c>
      <c r="AE288" s="450" t="s">
        <v>158</v>
      </c>
      <c r="AF288" s="99" t="s">
        <v>121</v>
      </c>
      <c r="AG288" s="99" t="s">
        <v>128</v>
      </c>
      <c r="AH288" s="451" t="s">
        <v>131</v>
      </c>
      <c r="AI288" s="154">
        <v>44835</v>
      </c>
      <c r="AJ288" s="100" t="str">
        <f>IF(AI288&gt;0,
(IF(AI288&lt;Hónapok!$A$10,Admin!$A$28,
(IF(AI288&lt;Hónapok!$A$22,Admin!$B$28,
(IF(AI288&lt;Hónapok!$A$34,Admin!$C$28,
(IF(AI288&lt;Hónapok!$A$46,Admin!$D$28,"")))))))),"")</f>
        <v>2. mérföldkő</v>
      </c>
      <c r="AK288" s="469" t="s">
        <v>7</v>
      </c>
      <c r="AL288" s="101" t="s">
        <v>26</v>
      </c>
      <c r="AM288" s="900">
        <v>280000</v>
      </c>
      <c r="AN288" s="860">
        <f t="shared" si="656"/>
        <v>36400</v>
      </c>
      <c r="AO288" s="101">
        <v>87</v>
      </c>
      <c r="AP288" s="111">
        <v>87</v>
      </c>
      <c r="AQ288" s="454">
        <f t="shared" si="534"/>
        <v>1</v>
      </c>
      <c r="AR288" s="455">
        <f t="shared" si="535"/>
        <v>280000</v>
      </c>
      <c r="AS288" s="455">
        <f t="shared" si="536"/>
        <v>36400</v>
      </c>
      <c r="AT288" s="102">
        <f t="shared" si="537"/>
        <v>0</v>
      </c>
      <c r="AU288" s="116">
        <v>0.13</v>
      </c>
      <c r="AV288" s="565" t="str">
        <f>VLOOKUP(LEFT(AB288,10),Törzsszám!$A$1:$B$908,2,0)</f>
        <v>10001417</v>
      </c>
      <c r="AW288" s="615">
        <f t="shared" ca="1" si="538"/>
        <v>0</v>
      </c>
      <c r="AX288" s="473" t="s">
        <v>251</v>
      </c>
      <c r="AY288" s="486"/>
      <c r="AZ288" s="502" t="s">
        <v>4607</v>
      </c>
      <c r="BA288" s="671">
        <v>176991</v>
      </c>
      <c r="BB288" s="649">
        <v>23009</v>
      </c>
      <c r="BC288" s="649">
        <f t="shared" ca="1" si="704"/>
        <v>103009</v>
      </c>
      <c r="BD288" s="672">
        <f t="shared" ca="1" si="704"/>
        <v>13391</v>
      </c>
      <c r="BE288" s="450" t="s">
        <v>139</v>
      </c>
    </row>
    <row r="289" spans="1:57" s="457" customFormat="1" ht="31.5" x14ac:dyDescent="0.25">
      <c r="A289" s="694" t="str">
        <f ca="1">Bérköltség!$B289</f>
        <v>FEOR</v>
      </c>
      <c r="B289" s="694" t="str">
        <f ca="1">IFERROR(
IF(AND(Bérköltség!$F289="",H289="NA"),"HIÁNYOS ADATOK",
IF(Bérköltség!$F289&lt;Bérköltség!$U289,Admin!$B$18,Admin!$B$17)),
"")</f>
        <v>FEOR</v>
      </c>
      <c r="C289" s="437">
        <f>IFERROR(INDEX('Historikus berek_2021-2'!$A$1:$F$903,MATCH(AB289,'Historikus berek_2021-2'!$A$1:$A$903,0),4),"")</f>
        <v>304933.33333333331</v>
      </c>
      <c r="D289" s="438">
        <f t="shared" si="564"/>
        <v>304933.33333333331</v>
      </c>
      <c r="E289" s="437">
        <f t="shared" si="565"/>
        <v>280000</v>
      </c>
      <c r="F289" s="439">
        <f t="shared" si="566"/>
        <v>0</v>
      </c>
      <c r="G289" s="440">
        <f t="shared" si="567"/>
        <v>316399.99999999994</v>
      </c>
      <c r="H289" s="441">
        <f>IFERROR(INDEX('FEOR kodok'!$A$2:$J$1126,MATCH(Bérköltség!AB289,'FEOR kodok'!$B$2:$B$1126,0),8),"NA")</f>
        <v>2169</v>
      </c>
      <c r="I289" s="436">
        <f ca="1">IFERROR(INDEX('FEOR kodok'!$A$2:$J$1126,MATCH(Bérköltség!AB289,'FEOR kodok'!$B$2:$B$1126,0),10),"NA")</f>
        <v>38</v>
      </c>
      <c r="J289" s="442" t="str">
        <f t="shared" ca="1" si="568"/>
        <v>30–39 éves</v>
      </c>
      <c r="K289" s="436" t="str">
        <f>IFERROR(INDEX(admin_feor[#All],MATCH(Bérköltség!H289,admin_feor[[#All],[Foglalkozás]],0),2),"NA")</f>
        <v>Egyéb természettudományi foglalkozású</v>
      </c>
      <c r="L289" s="438">
        <f ca="1">IFERROR(
INDEX('Admin - FEOR'!$A$4:$F$465,MATCH(Bérköltség!H289,'Admin - FEOR'!$A$4:$A$465,0),
IF(J289="30 év alatt",3,
IF(J289="30–39 éves",4,
IF(J289="40–49 éves",5,
IF(J289="50 év és afelett",6
)))))*1,"NA")</f>
        <v>641245</v>
      </c>
      <c r="M289" s="438">
        <f t="shared" si="569"/>
        <v>280000</v>
      </c>
      <c r="N289" s="443">
        <f t="shared" ca="1" si="570"/>
        <v>0.43665057817214947</v>
      </c>
      <c r="O289" s="438">
        <f ca="1">IFERROR(
INDEX('Admin - FEOR'!$A$4:$F$465,MATCH(Bérköltség!H289,'Admin - FEOR'!$A$4:$A$465,0),
IF(J289="30 év alatt",3,
IF(J289="30–39 éves",4,
IF(J289="40–49 éves",5,
IF(J289="50 év és afelett",6
)))))*1.5,"NA")</f>
        <v>961867.5</v>
      </c>
      <c r="P289" s="438">
        <f t="shared" ca="1" si="571"/>
        <v>961867.5</v>
      </c>
      <c r="Q289" s="438">
        <f t="shared" si="572"/>
        <v>280000</v>
      </c>
      <c r="R289" s="444">
        <f t="shared" si="573"/>
        <v>1</v>
      </c>
      <c r="S289" s="438">
        <f t="shared" ca="1" si="574"/>
        <v>0</v>
      </c>
      <c r="T289" s="438">
        <f t="shared" ca="1" si="575"/>
        <v>0</v>
      </c>
      <c r="U289" s="445">
        <f t="shared" ca="1" si="576"/>
        <v>0</v>
      </c>
      <c r="V289" s="446">
        <f t="shared" ca="1" si="577"/>
        <v>316400</v>
      </c>
      <c r="W289" s="447" t="str">
        <f t="shared" ca="1" si="578"/>
        <v>Nem szükséges indoklás.</v>
      </c>
      <c r="X289" s="571">
        <f t="shared" ca="1" si="579"/>
        <v>0</v>
      </c>
      <c r="Y289" s="554">
        <f t="shared" ca="1" si="580"/>
        <v>280000</v>
      </c>
      <c r="Z289" s="554">
        <f t="shared" ca="1" si="581"/>
        <v>36400</v>
      </c>
      <c r="AA289" s="573">
        <v>2</v>
      </c>
      <c r="AB289" s="448">
        <v>8434153491</v>
      </c>
      <c r="AC289" s="449" t="s">
        <v>138</v>
      </c>
      <c r="AD289" s="483" t="s">
        <v>45</v>
      </c>
      <c r="AE289" s="450" t="s">
        <v>158</v>
      </c>
      <c r="AF289" s="99" t="s">
        <v>121</v>
      </c>
      <c r="AG289" s="99" t="s">
        <v>128</v>
      </c>
      <c r="AH289" s="451" t="s">
        <v>131</v>
      </c>
      <c r="AI289" s="154">
        <v>44866</v>
      </c>
      <c r="AJ289" s="100" t="str">
        <f>IF(AI289&gt;0,
(IF(AI289&lt;Hónapok!$A$10,Admin!$A$28,
(IF(AI289&lt;Hónapok!$A$22,Admin!$B$28,
(IF(AI289&lt;Hónapok!$A$34,Admin!$C$28,
(IF(AI289&lt;Hónapok!$A$46,Admin!$D$28,"")))))))),"")</f>
        <v>2. mérföldkő</v>
      </c>
      <c r="AK289" s="469" t="s">
        <v>7</v>
      </c>
      <c r="AL289" s="101" t="s">
        <v>26</v>
      </c>
      <c r="AM289" s="900">
        <v>280000</v>
      </c>
      <c r="AN289" s="860">
        <f t="shared" si="656"/>
        <v>36400</v>
      </c>
      <c r="AO289" s="101">
        <v>87</v>
      </c>
      <c r="AP289" s="111">
        <v>87</v>
      </c>
      <c r="AQ289" s="454">
        <f t="shared" si="534"/>
        <v>1</v>
      </c>
      <c r="AR289" s="455">
        <f t="shared" si="535"/>
        <v>280000</v>
      </c>
      <c r="AS289" s="455">
        <f t="shared" si="536"/>
        <v>36400</v>
      </c>
      <c r="AT289" s="102">
        <f t="shared" si="537"/>
        <v>0</v>
      </c>
      <c r="AU289" s="116">
        <v>0.13</v>
      </c>
      <c r="AV289" s="565" t="str">
        <f>VLOOKUP(LEFT(AB289,10),Törzsszám!$A$1:$B$908,2,0)</f>
        <v>10001417</v>
      </c>
      <c r="AW289" s="615">
        <f t="shared" ca="1" si="538"/>
        <v>0</v>
      </c>
      <c r="AX289" s="473" t="s">
        <v>260</v>
      </c>
      <c r="AY289" s="486"/>
      <c r="AZ289" s="502" t="s">
        <v>4607</v>
      </c>
      <c r="BA289" s="671">
        <v>176991</v>
      </c>
      <c r="BB289" s="649">
        <v>23009</v>
      </c>
      <c r="BC289" s="649">
        <f t="shared" ca="1" si="704"/>
        <v>103009</v>
      </c>
      <c r="BD289" s="672">
        <f t="shared" ca="1" si="704"/>
        <v>13391</v>
      </c>
      <c r="BE289" s="450" t="s">
        <v>139</v>
      </c>
    </row>
    <row r="290" spans="1:57" s="457" customFormat="1" ht="31.5" x14ac:dyDescent="0.25">
      <c r="A290" s="694" t="str">
        <f ca="1">Bérköltség!$B290</f>
        <v>FEOR</v>
      </c>
      <c r="B290" s="694" t="str">
        <f ca="1">IFERROR(
IF(AND(Bérköltség!$F290="",H290="NA"),"HIÁNYOS ADATOK",
IF(Bérköltség!$F290&lt;Bérköltség!$U290,Admin!$B$18,Admin!$B$17)),
"")</f>
        <v>FEOR</v>
      </c>
      <c r="C290" s="437">
        <f>IFERROR(INDEX('Historikus berek_2021-2'!$A$1:$F$903,MATCH(AB290,'Historikus berek_2021-2'!$A$1:$A$903,0),4),"")</f>
        <v>304933.33333333331</v>
      </c>
      <c r="D290" s="438">
        <f t="shared" si="564"/>
        <v>304933.33333333331</v>
      </c>
      <c r="E290" s="437">
        <f t="shared" si="565"/>
        <v>280000</v>
      </c>
      <c r="F290" s="439">
        <f t="shared" si="566"/>
        <v>0</v>
      </c>
      <c r="G290" s="440">
        <f t="shared" si="567"/>
        <v>316399.99999999994</v>
      </c>
      <c r="H290" s="441">
        <f>IFERROR(INDEX('FEOR kodok'!$A$2:$J$1126,MATCH(Bérköltség!AB290,'FEOR kodok'!$B$2:$B$1126,0),8),"NA")</f>
        <v>2169</v>
      </c>
      <c r="I290" s="436">
        <f ca="1">IFERROR(INDEX('FEOR kodok'!$A$2:$J$1126,MATCH(Bérköltség!AB290,'FEOR kodok'!$B$2:$B$1126,0),10),"NA")</f>
        <v>38</v>
      </c>
      <c r="J290" s="442" t="str">
        <f t="shared" ca="1" si="568"/>
        <v>30–39 éves</v>
      </c>
      <c r="K290" s="436" t="str">
        <f>IFERROR(INDEX(admin_feor[#All],MATCH(Bérköltség!H290,admin_feor[[#All],[Foglalkozás]],0),2),"NA")</f>
        <v>Egyéb természettudományi foglalkozású</v>
      </c>
      <c r="L290" s="438">
        <f ca="1">IFERROR(
INDEX('Admin - FEOR'!$A$4:$F$465,MATCH(Bérköltség!H290,'Admin - FEOR'!$A$4:$A$465,0),
IF(J290="30 év alatt",3,
IF(J290="30–39 éves",4,
IF(J290="40–49 éves",5,
IF(J290="50 év és afelett",6
)))))*1,"NA")</f>
        <v>641245</v>
      </c>
      <c r="M290" s="438">
        <f t="shared" si="569"/>
        <v>280000</v>
      </c>
      <c r="N290" s="443">
        <f t="shared" ca="1" si="570"/>
        <v>0.43665057817214947</v>
      </c>
      <c r="O290" s="438">
        <f ca="1">IFERROR(
INDEX('Admin - FEOR'!$A$4:$F$465,MATCH(Bérköltség!H290,'Admin - FEOR'!$A$4:$A$465,0),
IF(J290="30 év alatt",3,
IF(J290="30–39 éves",4,
IF(J290="40–49 éves",5,
IF(J290="50 év és afelett",6
)))))*1.5,"NA")</f>
        <v>961867.5</v>
      </c>
      <c r="P290" s="438">
        <f t="shared" ca="1" si="571"/>
        <v>961867.5</v>
      </c>
      <c r="Q290" s="438">
        <f t="shared" si="572"/>
        <v>280000</v>
      </c>
      <c r="R290" s="444">
        <f t="shared" si="573"/>
        <v>1</v>
      </c>
      <c r="S290" s="438">
        <f t="shared" ca="1" si="574"/>
        <v>0</v>
      </c>
      <c r="T290" s="438">
        <f t="shared" ca="1" si="575"/>
        <v>0</v>
      </c>
      <c r="U290" s="445">
        <f t="shared" ca="1" si="576"/>
        <v>0</v>
      </c>
      <c r="V290" s="446">
        <f t="shared" ca="1" si="577"/>
        <v>316400</v>
      </c>
      <c r="W290" s="447" t="str">
        <f t="shared" ca="1" si="578"/>
        <v>Nem szükséges indoklás.</v>
      </c>
      <c r="X290" s="571">
        <f t="shared" ca="1" si="579"/>
        <v>0</v>
      </c>
      <c r="Y290" s="554">
        <f t="shared" ca="1" si="580"/>
        <v>280000</v>
      </c>
      <c r="Z290" s="554">
        <f t="shared" ca="1" si="581"/>
        <v>36400</v>
      </c>
      <c r="AA290" s="573">
        <v>2</v>
      </c>
      <c r="AB290" s="448">
        <v>8434153491</v>
      </c>
      <c r="AC290" s="449" t="s">
        <v>138</v>
      </c>
      <c r="AD290" s="482" t="s">
        <v>45</v>
      </c>
      <c r="AE290" s="450" t="s">
        <v>158</v>
      </c>
      <c r="AF290" s="99" t="s">
        <v>121</v>
      </c>
      <c r="AG290" s="99" t="s">
        <v>128</v>
      </c>
      <c r="AH290" s="451" t="s">
        <v>131</v>
      </c>
      <c r="AI290" s="154">
        <v>44896</v>
      </c>
      <c r="AJ290" s="100" t="str">
        <f>IF(AI290&gt;0,
(IF(AI290&lt;Hónapok!$A$10,Admin!$A$28,
(IF(AI290&lt;Hónapok!$A$22,Admin!$B$28,
(IF(AI290&lt;Hónapok!$A$34,Admin!$C$28,
(IF(AI290&lt;Hónapok!$A$46,Admin!$D$28,"")))))))),"")</f>
        <v>2. mérföldkő</v>
      </c>
      <c r="AK290" s="469" t="s">
        <v>7</v>
      </c>
      <c r="AL290" s="101" t="s">
        <v>26</v>
      </c>
      <c r="AM290" s="900">
        <v>280000</v>
      </c>
      <c r="AN290" s="860">
        <f t="shared" si="656"/>
        <v>36400</v>
      </c>
      <c r="AO290" s="101">
        <v>87</v>
      </c>
      <c r="AP290" s="111">
        <v>87</v>
      </c>
      <c r="AQ290" s="454">
        <f t="shared" si="534"/>
        <v>1</v>
      </c>
      <c r="AR290" s="455">
        <f t="shared" si="535"/>
        <v>280000</v>
      </c>
      <c r="AS290" s="455">
        <f t="shared" si="536"/>
        <v>36400</v>
      </c>
      <c r="AT290" s="102">
        <f t="shared" si="537"/>
        <v>0</v>
      </c>
      <c r="AU290" s="116">
        <v>0.13</v>
      </c>
      <c r="AV290" s="565" t="str">
        <f>VLOOKUP(LEFT(AB290,10),Törzsszám!$A$1:$B$908,2,0)</f>
        <v>10001417</v>
      </c>
      <c r="AW290" s="615">
        <f t="shared" ca="1" si="538"/>
        <v>0</v>
      </c>
      <c r="AX290" s="473" t="s">
        <v>262</v>
      </c>
      <c r="AY290" s="486"/>
      <c r="AZ290" s="502" t="s">
        <v>4607</v>
      </c>
      <c r="BA290" s="671">
        <v>176991</v>
      </c>
      <c r="BB290" s="649">
        <v>23009</v>
      </c>
      <c r="BC290" s="649">
        <f t="shared" ca="1" si="704"/>
        <v>103009</v>
      </c>
      <c r="BD290" s="672">
        <f t="shared" ca="1" si="704"/>
        <v>13391</v>
      </c>
      <c r="BE290" s="450" t="s">
        <v>139</v>
      </c>
    </row>
    <row r="291" spans="1:57" s="457" customFormat="1" ht="31.5" x14ac:dyDescent="0.25">
      <c r="A291" s="694" t="str">
        <f ca="1">Bérköltség!$B291</f>
        <v>FEOR</v>
      </c>
      <c r="B291" s="694" t="str">
        <f ca="1">IFERROR(
IF(AND(Bérköltség!$F291="",H291="NA"),"HIÁNYOS ADATOK",
IF(Bérköltség!$F291&lt;Bérköltség!$U291,Admin!$B$18,Admin!$B$17)),
"")</f>
        <v>FEOR</v>
      </c>
      <c r="C291" s="437">
        <f>IFERROR(INDEX('Historikus berek_2021-2'!$A$1:$F$903,MATCH(AB291,'Historikus berek_2021-2'!$A$1:$A$903,0),4),"")</f>
        <v>304933.33333333331</v>
      </c>
      <c r="D291" s="438">
        <f t="shared" si="564"/>
        <v>304933.33333333331</v>
      </c>
      <c r="E291" s="437">
        <f t="shared" si="565"/>
        <v>280000</v>
      </c>
      <c r="F291" s="439">
        <f t="shared" si="566"/>
        <v>0</v>
      </c>
      <c r="G291" s="440">
        <f t="shared" si="567"/>
        <v>316399.99999999994</v>
      </c>
      <c r="H291" s="441">
        <f>IFERROR(INDEX('FEOR kodok'!$A$2:$J$1126,MATCH(Bérköltség!AB291,'FEOR kodok'!$B$2:$B$1126,0),8),"NA")</f>
        <v>2169</v>
      </c>
      <c r="I291" s="436">
        <f ca="1">IFERROR(INDEX('FEOR kodok'!$A$2:$J$1126,MATCH(Bérköltség!AB291,'FEOR kodok'!$B$2:$B$1126,0),10),"NA")</f>
        <v>38</v>
      </c>
      <c r="J291" s="442" t="str">
        <f t="shared" ca="1" si="568"/>
        <v>30–39 éves</v>
      </c>
      <c r="K291" s="436" t="str">
        <f>IFERROR(INDEX(admin_feor[#All],MATCH(Bérköltség!H291,admin_feor[[#All],[Foglalkozás]],0),2),"NA")</f>
        <v>Egyéb természettudományi foglalkozású</v>
      </c>
      <c r="L291" s="438">
        <f ca="1">IFERROR(
INDEX('Admin - FEOR'!$A$4:$F$465,MATCH(Bérköltség!H291,'Admin - FEOR'!$A$4:$A$465,0),
IF(J291="30 év alatt",3,
IF(J291="30–39 éves",4,
IF(J291="40–49 éves",5,
IF(J291="50 év és afelett",6
)))))*1,"NA")</f>
        <v>641245</v>
      </c>
      <c r="M291" s="438">
        <f t="shared" si="569"/>
        <v>280000</v>
      </c>
      <c r="N291" s="443">
        <f t="shared" ca="1" si="570"/>
        <v>0.43665057817214947</v>
      </c>
      <c r="O291" s="438">
        <f ca="1">IFERROR(
INDEX('Admin - FEOR'!$A$4:$F$465,MATCH(Bérköltség!H291,'Admin - FEOR'!$A$4:$A$465,0),
IF(J291="30 év alatt",3,
IF(J291="30–39 éves",4,
IF(J291="40–49 éves",5,
IF(J291="50 év és afelett",6
)))))*1.5,"NA")</f>
        <v>961867.5</v>
      </c>
      <c r="P291" s="438">
        <f t="shared" ca="1" si="571"/>
        <v>961867.5</v>
      </c>
      <c r="Q291" s="438">
        <f t="shared" si="572"/>
        <v>280000</v>
      </c>
      <c r="R291" s="444">
        <f t="shared" si="573"/>
        <v>1</v>
      </c>
      <c r="S291" s="438">
        <f t="shared" ca="1" si="574"/>
        <v>0</v>
      </c>
      <c r="T291" s="438">
        <f t="shared" ca="1" si="575"/>
        <v>0</v>
      </c>
      <c r="U291" s="445">
        <f t="shared" ca="1" si="576"/>
        <v>0</v>
      </c>
      <c r="V291" s="446">
        <f t="shared" ca="1" si="577"/>
        <v>316400</v>
      </c>
      <c r="W291" s="447" t="str">
        <f t="shared" ca="1" si="578"/>
        <v>Nem szükséges indoklás.</v>
      </c>
      <c r="X291" s="571">
        <f t="shared" ca="1" si="579"/>
        <v>0</v>
      </c>
      <c r="Y291" s="554">
        <f t="shared" ca="1" si="580"/>
        <v>280000</v>
      </c>
      <c r="Z291" s="554">
        <f t="shared" ca="1" si="581"/>
        <v>36400</v>
      </c>
      <c r="AA291" s="573">
        <v>2</v>
      </c>
      <c r="AB291" s="448">
        <v>8434153491</v>
      </c>
      <c r="AC291" s="449" t="s">
        <v>138</v>
      </c>
      <c r="AD291" s="483" t="s">
        <v>45</v>
      </c>
      <c r="AE291" s="450" t="s">
        <v>158</v>
      </c>
      <c r="AF291" s="99" t="s">
        <v>121</v>
      </c>
      <c r="AG291" s="99" t="s">
        <v>128</v>
      </c>
      <c r="AH291" s="451" t="s">
        <v>131</v>
      </c>
      <c r="AI291" s="154">
        <v>44927</v>
      </c>
      <c r="AJ291" s="100" t="str">
        <f>IF(AI291&gt;0,
(IF(AI291&lt;Hónapok!$A$10,Admin!$A$28,
(IF(AI291&lt;Hónapok!$A$22,Admin!$B$28,
(IF(AI291&lt;Hónapok!$A$34,Admin!$C$28,
(IF(AI291&lt;Hónapok!$A$46,Admin!$D$28,"")))))))),"")</f>
        <v>2. mérföldkő</v>
      </c>
      <c r="AK291" s="467" t="s">
        <v>7</v>
      </c>
      <c r="AL291" s="101" t="s">
        <v>26</v>
      </c>
      <c r="AM291" s="900">
        <v>280000</v>
      </c>
      <c r="AN291" s="860">
        <f t="shared" si="656"/>
        <v>36400</v>
      </c>
      <c r="AO291" s="101">
        <v>87</v>
      </c>
      <c r="AP291" s="111">
        <v>87</v>
      </c>
      <c r="AQ291" s="454">
        <f t="shared" si="534"/>
        <v>1</v>
      </c>
      <c r="AR291" s="455">
        <f t="shared" si="535"/>
        <v>280000</v>
      </c>
      <c r="AS291" s="455">
        <f t="shared" si="536"/>
        <v>36400</v>
      </c>
      <c r="AT291" s="102">
        <f t="shared" si="537"/>
        <v>0</v>
      </c>
      <c r="AU291" s="116">
        <v>0.13</v>
      </c>
      <c r="AV291" s="565" t="str">
        <f>VLOOKUP(LEFT(AB291,10),Törzsszám!$A$1:$B$908,2,0)</f>
        <v>10001417</v>
      </c>
      <c r="AW291" s="615">
        <f t="shared" ca="1" si="538"/>
        <v>0</v>
      </c>
      <c r="AX291" s="468" t="s">
        <v>2518</v>
      </c>
      <c r="AY291" s="502"/>
      <c r="AZ291" s="502" t="s">
        <v>4607</v>
      </c>
      <c r="BA291" s="671">
        <v>176991</v>
      </c>
      <c r="BB291" s="649">
        <v>23009</v>
      </c>
      <c r="BC291" s="649">
        <f t="shared" ca="1" si="704"/>
        <v>103009</v>
      </c>
      <c r="BD291" s="672">
        <f t="shared" ca="1" si="704"/>
        <v>13391</v>
      </c>
      <c r="BE291" s="450" t="s">
        <v>139</v>
      </c>
    </row>
    <row r="292" spans="1:57" s="457" customFormat="1" ht="31.5" x14ac:dyDescent="0.25">
      <c r="A292" s="694" t="str">
        <f ca="1">Bérköltség!$B292</f>
        <v>FEOR</v>
      </c>
      <c r="B292" s="694" t="str">
        <f ca="1">IFERROR(
IF(AND(Bérköltség!$F292="",H292="NA"),"HIÁNYOS ADATOK",
IF(Bérköltség!$F292&lt;Bérköltség!$U292,Admin!$B$18,Admin!$B$17)),
"")</f>
        <v>FEOR</v>
      </c>
      <c r="C292" s="437">
        <f>IFERROR(INDEX('Historikus berek_2021-2'!$A$1:$F$903,MATCH(AB292,'Historikus berek_2021-2'!$A$1:$A$903,0),4),"")</f>
        <v>304933.33333333331</v>
      </c>
      <c r="D292" s="438">
        <f t="shared" si="564"/>
        <v>304933.33333333331</v>
      </c>
      <c r="E292" s="437">
        <f t="shared" si="565"/>
        <v>280000</v>
      </c>
      <c r="F292" s="439">
        <f t="shared" si="566"/>
        <v>0</v>
      </c>
      <c r="G292" s="440">
        <f t="shared" si="567"/>
        <v>316399.99999999994</v>
      </c>
      <c r="H292" s="441">
        <f>IFERROR(INDEX('FEOR kodok'!$A$2:$J$1126,MATCH(Bérköltség!AB292,'FEOR kodok'!$B$2:$B$1126,0),8),"NA")</f>
        <v>2169</v>
      </c>
      <c r="I292" s="436">
        <f ca="1">IFERROR(INDEX('FEOR kodok'!$A$2:$J$1126,MATCH(Bérköltség!AB292,'FEOR kodok'!$B$2:$B$1126,0),10),"NA")</f>
        <v>38</v>
      </c>
      <c r="J292" s="442" t="str">
        <f t="shared" ca="1" si="568"/>
        <v>30–39 éves</v>
      </c>
      <c r="K292" s="436" t="str">
        <f>IFERROR(INDEX(admin_feor[#All],MATCH(Bérköltség!H292,admin_feor[[#All],[Foglalkozás]],0),2),"NA")</f>
        <v>Egyéb természettudományi foglalkozású</v>
      </c>
      <c r="L292" s="438">
        <f ca="1">IFERROR(
INDEX('Admin - FEOR'!$A$4:$F$465,MATCH(Bérköltség!H292,'Admin - FEOR'!$A$4:$A$465,0),
IF(J292="30 év alatt",3,
IF(J292="30–39 éves",4,
IF(J292="40–49 éves",5,
IF(J292="50 év és afelett",6
)))))*1,"NA")</f>
        <v>641245</v>
      </c>
      <c r="M292" s="438">
        <f t="shared" si="569"/>
        <v>280000</v>
      </c>
      <c r="N292" s="443">
        <f t="shared" ca="1" si="570"/>
        <v>0.43665057817214947</v>
      </c>
      <c r="O292" s="438">
        <f ca="1">IFERROR(
INDEX('Admin - FEOR'!$A$4:$F$465,MATCH(Bérköltség!H292,'Admin - FEOR'!$A$4:$A$465,0),
IF(J292="30 év alatt",3,
IF(J292="30–39 éves",4,
IF(J292="40–49 éves",5,
IF(J292="50 év és afelett",6
)))))*1.5,"NA")</f>
        <v>961867.5</v>
      </c>
      <c r="P292" s="438">
        <f t="shared" ca="1" si="571"/>
        <v>961867.5</v>
      </c>
      <c r="Q292" s="438">
        <f t="shared" si="572"/>
        <v>280000</v>
      </c>
      <c r="R292" s="444">
        <f t="shared" si="573"/>
        <v>1</v>
      </c>
      <c r="S292" s="438">
        <f t="shared" ca="1" si="574"/>
        <v>0</v>
      </c>
      <c r="T292" s="438">
        <f t="shared" ca="1" si="575"/>
        <v>0</v>
      </c>
      <c r="U292" s="445">
        <f t="shared" ca="1" si="576"/>
        <v>0</v>
      </c>
      <c r="V292" s="446">
        <f t="shared" ca="1" si="577"/>
        <v>316400</v>
      </c>
      <c r="W292" s="447" t="str">
        <f t="shared" ca="1" si="578"/>
        <v>Nem szükséges indoklás.</v>
      </c>
      <c r="X292" s="571">
        <f t="shared" ca="1" si="579"/>
        <v>0</v>
      </c>
      <c r="Y292" s="554">
        <f t="shared" ca="1" si="580"/>
        <v>280000</v>
      </c>
      <c r="Z292" s="554">
        <f t="shared" ca="1" si="581"/>
        <v>36400</v>
      </c>
      <c r="AA292" s="101"/>
      <c r="AB292" s="448">
        <v>8434153491</v>
      </c>
      <c r="AC292" s="449" t="s">
        <v>138</v>
      </c>
      <c r="AD292" s="483" t="s">
        <v>45</v>
      </c>
      <c r="AE292" s="450" t="s">
        <v>158</v>
      </c>
      <c r="AF292" s="99" t="s">
        <v>121</v>
      </c>
      <c r="AG292" s="99" t="s">
        <v>128</v>
      </c>
      <c r="AH292" s="451" t="s">
        <v>131</v>
      </c>
      <c r="AI292" s="154">
        <v>44958</v>
      </c>
      <c r="AJ292" s="100" t="str">
        <f>IF(AI292&gt;0,
(IF(AI292&lt;Hónapok!$A$10,Admin!$A$28,
(IF(AI292&lt;Hónapok!$A$22,Admin!$B$28,
(IF(AI292&lt;Hónapok!$A$34,Admin!$C$28,
(IF(AI292&lt;Hónapok!$A$46,Admin!$D$28,"")))))))),"")</f>
        <v>2. mérföldkő</v>
      </c>
      <c r="AK292" s="469" t="s">
        <v>7</v>
      </c>
      <c r="AL292" s="101" t="s">
        <v>26</v>
      </c>
      <c r="AM292" s="900">
        <v>280000</v>
      </c>
      <c r="AN292" s="860">
        <f t="shared" si="656"/>
        <v>36400</v>
      </c>
      <c r="AO292" s="101">
        <v>87</v>
      </c>
      <c r="AP292" s="111">
        <v>87</v>
      </c>
      <c r="AQ292" s="454">
        <f t="shared" si="534"/>
        <v>1</v>
      </c>
      <c r="AR292" s="455">
        <f t="shared" si="535"/>
        <v>280000</v>
      </c>
      <c r="AS292" s="455">
        <f t="shared" si="536"/>
        <v>36400</v>
      </c>
      <c r="AT292" s="102">
        <f t="shared" si="537"/>
        <v>0</v>
      </c>
      <c r="AU292" s="116">
        <v>0.13</v>
      </c>
      <c r="AV292" s="565" t="str">
        <f>VLOOKUP(LEFT(AB292,10),Törzsszám!$A$1:$B$908,2,0)</f>
        <v>10001417</v>
      </c>
      <c r="AW292" s="615">
        <f t="shared" ca="1" si="538"/>
        <v>0</v>
      </c>
      <c r="AX292" s="537" t="s">
        <v>4557</v>
      </c>
      <c r="AY292" s="486"/>
      <c r="AZ292" s="502"/>
      <c r="BA292" s="671"/>
      <c r="BB292" s="649"/>
      <c r="BC292" s="649"/>
      <c r="BD292" s="672"/>
      <c r="BE292" s="450" t="s">
        <v>139</v>
      </c>
    </row>
    <row r="293" spans="1:57" s="457" customFormat="1" ht="31.5" x14ac:dyDescent="0.25">
      <c r="A293" s="694" t="str">
        <f ca="1">Bérköltség!$B293</f>
        <v>FEOR</v>
      </c>
      <c r="B293" s="694" t="str">
        <f ca="1">IFERROR(
IF(AND(Bérköltség!$F293="",H293="NA"),"HIÁNYOS ADATOK",
IF(Bérköltség!$F293&lt;Bérköltség!$U293,Admin!$B$18,Admin!$B$17)),
"")</f>
        <v>FEOR</v>
      </c>
      <c r="C293" s="437">
        <f>IFERROR(INDEX('Historikus berek_2021-2'!$A$1:$F$903,MATCH(AB293,'Historikus berek_2021-2'!$A$1:$A$903,0),4),"")</f>
        <v>304933.33333333331</v>
      </c>
      <c r="D293" s="438">
        <f t="shared" si="564"/>
        <v>304933.33333333331</v>
      </c>
      <c r="E293" s="437">
        <f t="shared" si="565"/>
        <v>280000</v>
      </c>
      <c r="F293" s="439">
        <f t="shared" si="566"/>
        <v>0</v>
      </c>
      <c r="G293" s="440">
        <f t="shared" si="567"/>
        <v>316399.99999999994</v>
      </c>
      <c r="H293" s="441">
        <f>IFERROR(INDEX('FEOR kodok'!$A$2:$J$1126,MATCH(Bérköltség!AB293,'FEOR kodok'!$B$2:$B$1126,0),8),"NA")</f>
        <v>2169</v>
      </c>
      <c r="I293" s="436">
        <f ca="1">IFERROR(INDEX('FEOR kodok'!$A$2:$J$1126,MATCH(Bérköltség!AB293,'FEOR kodok'!$B$2:$B$1126,0),10),"NA")</f>
        <v>38</v>
      </c>
      <c r="J293" s="442" t="str">
        <f t="shared" ca="1" si="568"/>
        <v>30–39 éves</v>
      </c>
      <c r="K293" s="436" t="str">
        <f>IFERROR(INDEX(admin_feor[#All],MATCH(Bérköltség!H293,admin_feor[[#All],[Foglalkozás]],0),2),"NA")</f>
        <v>Egyéb természettudományi foglalkozású</v>
      </c>
      <c r="L293" s="438">
        <f ca="1">IFERROR(
INDEX('Admin - FEOR'!$A$4:$F$465,MATCH(Bérköltség!H293,'Admin - FEOR'!$A$4:$A$465,0),
IF(J293="30 év alatt",3,
IF(J293="30–39 éves",4,
IF(J293="40–49 éves",5,
IF(J293="50 év és afelett",6
)))))*1,"NA")</f>
        <v>641245</v>
      </c>
      <c r="M293" s="438">
        <f t="shared" si="569"/>
        <v>280000</v>
      </c>
      <c r="N293" s="443">
        <f t="shared" ca="1" si="570"/>
        <v>0.43665057817214947</v>
      </c>
      <c r="O293" s="438">
        <f ca="1">IFERROR(
INDEX('Admin - FEOR'!$A$4:$F$465,MATCH(Bérköltség!H293,'Admin - FEOR'!$A$4:$A$465,0),
IF(J293="30 év alatt",3,
IF(J293="30–39 éves",4,
IF(J293="40–49 éves",5,
IF(J293="50 év és afelett",6
)))))*1.5,"NA")</f>
        <v>961867.5</v>
      </c>
      <c r="P293" s="438">
        <f t="shared" ca="1" si="571"/>
        <v>961867.5</v>
      </c>
      <c r="Q293" s="438">
        <f t="shared" si="572"/>
        <v>280000</v>
      </c>
      <c r="R293" s="444">
        <f t="shared" si="573"/>
        <v>1</v>
      </c>
      <c r="S293" s="438">
        <f t="shared" ca="1" si="574"/>
        <v>0</v>
      </c>
      <c r="T293" s="438">
        <f t="shared" ca="1" si="575"/>
        <v>0</v>
      </c>
      <c r="U293" s="445">
        <f t="shared" ca="1" si="576"/>
        <v>0</v>
      </c>
      <c r="V293" s="446">
        <f t="shared" ca="1" si="577"/>
        <v>316400</v>
      </c>
      <c r="W293" s="447" t="str">
        <f t="shared" ca="1" si="578"/>
        <v>Nem szükséges indoklás.</v>
      </c>
      <c r="X293" s="571">
        <f t="shared" ca="1" si="579"/>
        <v>0</v>
      </c>
      <c r="Y293" s="554">
        <f t="shared" ca="1" si="580"/>
        <v>280000</v>
      </c>
      <c r="Z293" s="554">
        <f t="shared" ca="1" si="581"/>
        <v>36400</v>
      </c>
      <c r="AA293" s="101"/>
      <c r="AB293" s="448">
        <v>8434153491</v>
      </c>
      <c r="AC293" s="449" t="s">
        <v>138</v>
      </c>
      <c r="AD293" s="483" t="s">
        <v>45</v>
      </c>
      <c r="AE293" s="450" t="s">
        <v>158</v>
      </c>
      <c r="AF293" s="99" t="s">
        <v>121</v>
      </c>
      <c r="AG293" s="99" t="s">
        <v>128</v>
      </c>
      <c r="AH293" s="451" t="s">
        <v>131</v>
      </c>
      <c r="AI293" s="154">
        <v>44986</v>
      </c>
      <c r="AJ293" s="100" t="str">
        <f>IF(AI293&gt;0,
(IF(AI293&lt;Hónapok!$A$10,Admin!$A$28,
(IF(AI293&lt;Hónapok!$A$22,Admin!$B$28,
(IF(AI293&lt;Hónapok!$A$34,Admin!$C$28,
(IF(AI293&lt;Hónapok!$A$46,Admin!$D$28,"")))))))),"")</f>
        <v>3. mérföldkő</v>
      </c>
      <c r="AK293" s="470" t="s">
        <v>7</v>
      </c>
      <c r="AL293" s="101" t="s">
        <v>26</v>
      </c>
      <c r="AM293" s="900">
        <v>280000</v>
      </c>
      <c r="AN293" s="860">
        <f t="shared" si="656"/>
        <v>36400</v>
      </c>
      <c r="AO293" s="101">
        <v>87</v>
      </c>
      <c r="AP293" s="111">
        <v>87</v>
      </c>
      <c r="AQ293" s="454">
        <f t="shared" si="534"/>
        <v>1</v>
      </c>
      <c r="AR293" s="455">
        <f t="shared" si="535"/>
        <v>280000</v>
      </c>
      <c r="AS293" s="455">
        <f t="shared" si="536"/>
        <v>36400</v>
      </c>
      <c r="AT293" s="102">
        <f t="shared" si="537"/>
        <v>0</v>
      </c>
      <c r="AU293" s="116">
        <v>0.13</v>
      </c>
      <c r="AV293" s="565" t="str">
        <f>VLOOKUP(LEFT(AB293,10),Törzsszám!$A$1:$B$908,2,0)</f>
        <v>10001417</v>
      </c>
      <c r="AW293" s="681">
        <f t="shared" ca="1" si="538"/>
        <v>0</v>
      </c>
      <c r="AX293" s="471" t="s">
        <v>4561</v>
      </c>
      <c r="AY293" s="486"/>
      <c r="AZ293" s="502"/>
      <c r="BA293" s="671"/>
      <c r="BB293" s="649"/>
      <c r="BC293" s="649"/>
      <c r="BD293" s="672"/>
      <c r="BE293" s="450" t="s">
        <v>139</v>
      </c>
    </row>
    <row r="294" spans="1:57" s="457" customFormat="1" ht="31.5" x14ac:dyDescent="0.25">
      <c r="A294" s="694" t="str">
        <f ca="1">Bérköltség!$B294</f>
        <v>FEOR</v>
      </c>
      <c r="B294" s="694" t="str">
        <f ca="1">IFERROR(
IF(AND(Bérköltség!$F294="",H294="NA"),"HIÁNYOS ADATOK",
IF(Bérköltség!$F294&lt;Bérköltség!$U294,Admin!$B$18,Admin!$B$17)),
"")</f>
        <v>FEOR</v>
      </c>
      <c r="C294" s="437">
        <f>IFERROR(INDEX('Historikus berek_2021-2'!$A$1:$F$903,MATCH(AB294,'Historikus berek_2021-2'!$A$1:$A$903,0),4),"")</f>
        <v>304933.33333333331</v>
      </c>
      <c r="D294" s="438">
        <f t="shared" si="564"/>
        <v>304933.33333333331</v>
      </c>
      <c r="E294" s="437">
        <f t="shared" si="565"/>
        <v>280000</v>
      </c>
      <c r="F294" s="439">
        <f t="shared" si="566"/>
        <v>0</v>
      </c>
      <c r="G294" s="440">
        <f t="shared" si="567"/>
        <v>316399.99999999994</v>
      </c>
      <c r="H294" s="441">
        <f>IFERROR(INDEX('FEOR kodok'!$A$2:$J$1126,MATCH(Bérköltség!AB294,'FEOR kodok'!$B$2:$B$1126,0),8),"NA")</f>
        <v>2169</v>
      </c>
      <c r="I294" s="436">
        <f ca="1">IFERROR(INDEX('FEOR kodok'!$A$2:$J$1126,MATCH(Bérköltség!AB294,'FEOR kodok'!$B$2:$B$1126,0),10),"NA")</f>
        <v>38</v>
      </c>
      <c r="J294" s="442" t="str">
        <f t="shared" ca="1" si="568"/>
        <v>30–39 éves</v>
      </c>
      <c r="K294" s="436" t="str">
        <f>IFERROR(INDEX(admin_feor[#All],MATCH(Bérköltség!H294,admin_feor[[#All],[Foglalkozás]],0),2),"NA")</f>
        <v>Egyéb természettudományi foglalkozású</v>
      </c>
      <c r="L294" s="438">
        <f ca="1">IFERROR(
INDEX('Admin - FEOR'!$A$4:$F$465,MATCH(Bérköltség!H294,'Admin - FEOR'!$A$4:$A$465,0),
IF(J294="30 év alatt",3,
IF(J294="30–39 éves",4,
IF(J294="40–49 éves",5,
IF(J294="50 év és afelett",6
)))))*1,"NA")</f>
        <v>641245</v>
      </c>
      <c r="M294" s="438">
        <f t="shared" si="569"/>
        <v>280000</v>
      </c>
      <c r="N294" s="443">
        <f t="shared" ca="1" si="570"/>
        <v>0.43665057817214947</v>
      </c>
      <c r="O294" s="438">
        <f ca="1">IFERROR(
INDEX('Admin - FEOR'!$A$4:$F$465,MATCH(Bérköltség!H294,'Admin - FEOR'!$A$4:$A$465,0),
IF(J294="30 év alatt",3,
IF(J294="30–39 éves",4,
IF(J294="40–49 éves",5,
IF(J294="50 év és afelett",6
)))))*1.5,"NA")</f>
        <v>961867.5</v>
      </c>
      <c r="P294" s="438">
        <f t="shared" ca="1" si="571"/>
        <v>961867.5</v>
      </c>
      <c r="Q294" s="438">
        <f t="shared" si="572"/>
        <v>280000</v>
      </c>
      <c r="R294" s="444">
        <f t="shared" si="573"/>
        <v>1</v>
      </c>
      <c r="S294" s="438">
        <f t="shared" ca="1" si="574"/>
        <v>0</v>
      </c>
      <c r="T294" s="438">
        <f t="shared" ca="1" si="575"/>
        <v>0</v>
      </c>
      <c r="U294" s="445">
        <f t="shared" ca="1" si="576"/>
        <v>0</v>
      </c>
      <c r="V294" s="446">
        <f t="shared" ca="1" si="577"/>
        <v>316400</v>
      </c>
      <c r="W294" s="447" t="str">
        <f t="shared" ca="1" si="578"/>
        <v>Nem szükséges indoklás.</v>
      </c>
      <c r="X294" s="571">
        <f t="shared" ca="1" si="579"/>
        <v>0</v>
      </c>
      <c r="Y294" s="554">
        <f t="shared" ca="1" si="580"/>
        <v>280000</v>
      </c>
      <c r="Z294" s="554">
        <f t="shared" ca="1" si="581"/>
        <v>36400</v>
      </c>
      <c r="AA294" s="101"/>
      <c r="AB294" s="448">
        <v>8434153491</v>
      </c>
      <c r="AC294" s="449" t="s">
        <v>138</v>
      </c>
      <c r="AD294" s="483" t="s">
        <v>45</v>
      </c>
      <c r="AE294" s="450" t="s">
        <v>158</v>
      </c>
      <c r="AF294" s="99" t="s">
        <v>121</v>
      </c>
      <c r="AG294" s="99" t="s">
        <v>128</v>
      </c>
      <c r="AH294" s="451" t="s">
        <v>131</v>
      </c>
      <c r="AI294" s="154">
        <v>45017</v>
      </c>
      <c r="AJ294" s="100" t="str">
        <f>IF(AI294&gt;0,
(IF(AI294&lt;Hónapok!$A$10,Admin!$A$28,
(IF(AI294&lt;Hónapok!$A$22,Admin!$B$28,
(IF(AI294&lt;Hónapok!$A$34,Admin!$C$28,
(IF(AI294&lt;Hónapok!$A$46,Admin!$D$28,"")))))))),"")</f>
        <v>3. mérföldkő</v>
      </c>
      <c r="AK294" s="467" t="s">
        <v>7</v>
      </c>
      <c r="AL294" s="101" t="s">
        <v>26</v>
      </c>
      <c r="AM294" s="900">
        <v>280000</v>
      </c>
      <c r="AN294" s="860">
        <f t="shared" si="656"/>
        <v>36400</v>
      </c>
      <c r="AO294" s="101">
        <v>87</v>
      </c>
      <c r="AP294" s="111">
        <v>87</v>
      </c>
      <c r="AQ294" s="454">
        <f t="shared" si="534"/>
        <v>1</v>
      </c>
      <c r="AR294" s="455">
        <f t="shared" si="535"/>
        <v>280000</v>
      </c>
      <c r="AS294" s="455">
        <f t="shared" si="536"/>
        <v>36400</v>
      </c>
      <c r="AT294" s="102">
        <f t="shared" si="537"/>
        <v>0</v>
      </c>
      <c r="AU294" s="116">
        <v>0.13</v>
      </c>
      <c r="AV294" s="565" t="str">
        <f>VLOOKUP(LEFT(AB294,10),Törzsszám!$A$1:$B$908,2,0)</f>
        <v>10001417</v>
      </c>
      <c r="AW294" s="681">
        <f t="shared" ca="1" si="538"/>
        <v>0</v>
      </c>
      <c r="AX294" s="471" t="s">
        <v>4581</v>
      </c>
      <c r="AY294" s="486"/>
      <c r="AZ294" s="502"/>
      <c r="BA294" s="671"/>
      <c r="BB294" s="649"/>
      <c r="BC294" s="649"/>
      <c r="BD294" s="672"/>
      <c r="BE294" s="450" t="s">
        <v>139</v>
      </c>
    </row>
    <row r="295" spans="1:57" s="457" customFormat="1" ht="31.5" x14ac:dyDescent="0.25">
      <c r="A295" s="694" t="str">
        <f ca="1">Bérköltség!$B295</f>
        <v>FEOR</v>
      </c>
      <c r="B295" s="694" t="str">
        <f ca="1">IFERROR(
IF(AND(Bérköltség!$F295="",H295="NA"),"HIÁNYOS ADATOK",
IF(Bérköltség!$F295&lt;Bérköltség!$U295,Admin!$B$18,Admin!$B$17)),
"")</f>
        <v>FEOR</v>
      </c>
      <c r="C295" s="437">
        <f>IFERROR(INDEX('Historikus berek_2021-2'!$A$1:$F$903,MATCH(AB295,'Historikus berek_2021-2'!$A$1:$A$903,0),4),"")</f>
        <v>304933.33333333331</v>
      </c>
      <c r="D295" s="438">
        <f t="shared" si="564"/>
        <v>304933.33333333331</v>
      </c>
      <c r="E295" s="437">
        <f t="shared" si="565"/>
        <v>280000</v>
      </c>
      <c r="F295" s="439">
        <f t="shared" si="566"/>
        <v>0</v>
      </c>
      <c r="G295" s="440">
        <f t="shared" si="567"/>
        <v>316399.99999999994</v>
      </c>
      <c r="H295" s="441">
        <f>IFERROR(INDEX('FEOR kodok'!$A$2:$J$1126,MATCH(Bérköltség!AB295,'FEOR kodok'!$B$2:$B$1126,0),8),"NA")</f>
        <v>2169</v>
      </c>
      <c r="I295" s="436">
        <f ca="1">IFERROR(INDEX('FEOR kodok'!$A$2:$J$1126,MATCH(Bérköltség!AB295,'FEOR kodok'!$B$2:$B$1126,0),10),"NA")</f>
        <v>38</v>
      </c>
      <c r="J295" s="442" t="str">
        <f t="shared" ca="1" si="568"/>
        <v>30–39 éves</v>
      </c>
      <c r="K295" s="436" t="str">
        <f>IFERROR(INDEX(admin_feor[#All],MATCH(Bérköltség!H295,admin_feor[[#All],[Foglalkozás]],0),2),"NA")</f>
        <v>Egyéb természettudományi foglalkozású</v>
      </c>
      <c r="L295" s="438">
        <f ca="1">IFERROR(
INDEX('Admin - FEOR'!$A$4:$F$465,MATCH(Bérköltség!H295,'Admin - FEOR'!$A$4:$A$465,0),
IF(J295="30 év alatt",3,
IF(J295="30–39 éves",4,
IF(J295="40–49 éves",5,
IF(J295="50 év és afelett",6
)))))*1,"NA")</f>
        <v>641245</v>
      </c>
      <c r="M295" s="438">
        <f t="shared" si="569"/>
        <v>280000</v>
      </c>
      <c r="N295" s="443">
        <f t="shared" ca="1" si="570"/>
        <v>0.43665057817214947</v>
      </c>
      <c r="O295" s="438">
        <f ca="1">IFERROR(
INDEX('Admin - FEOR'!$A$4:$F$465,MATCH(Bérköltség!H295,'Admin - FEOR'!$A$4:$A$465,0),
IF(J295="30 év alatt",3,
IF(J295="30–39 éves",4,
IF(J295="40–49 éves",5,
IF(J295="50 év és afelett",6
)))))*1.5,"NA")</f>
        <v>961867.5</v>
      </c>
      <c r="P295" s="438">
        <f t="shared" ca="1" si="571"/>
        <v>961867.5</v>
      </c>
      <c r="Q295" s="438">
        <f t="shared" si="572"/>
        <v>280000</v>
      </c>
      <c r="R295" s="444">
        <f t="shared" si="573"/>
        <v>1</v>
      </c>
      <c r="S295" s="438">
        <f t="shared" ca="1" si="574"/>
        <v>0</v>
      </c>
      <c r="T295" s="438">
        <f t="shared" ca="1" si="575"/>
        <v>0</v>
      </c>
      <c r="U295" s="445">
        <f t="shared" ca="1" si="576"/>
        <v>0</v>
      </c>
      <c r="V295" s="446">
        <f t="shared" ca="1" si="577"/>
        <v>316400</v>
      </c>
      <c r="W295" s="447" t="str">
        <f t="shared" ca="1" si="578"/>
        <v>Nem szükséges indoklás.</v>
      </c>
      <c r="X295" s="571">
        <f t="shared" ca="1" si="579"/>
        <v>0</v>
      </c>
      <c r="Y295" s="554">
        <f t="shared" ca="1" si="580"/>
        <v>280000</v>
      </c>
      <c r="Z295" s="554">
        <f t="shared" ca="1" si="581"/>
        <v>36400</v>
      </c>
      <c r="AA295" s="101"/>
      <c r="AB295" s="448">
        <v>8434153491</v>
      </c>
      <c r="AC295" s="449" t="s">
        <v>138</v>
      </c>
      <c r="AD295" s="483" t="s">
        <v>45</v>
      </c>
      <c r="AE295" s="450" t="s">
        <v>158</v>
      </c>
      <c r="AF295" s="99" t="s">
        <v>121</v>
      </c>
      <c r="AG295" s="99" t="s">
        <v>128</v>
      </c>
      <c r="AH295" s="451" t="s">
        <v>131</v>
      </c>
      <c r="AI295" s="154">
        <v>45047</v>
      </c>
      <c r="AJ295" s="100" t="str">
        <f>IF(AI295&gt;0,
(IF(AI295&lt;Hónapok!$A$10,Admin!$A$28,
(IF(AI295&lt;Hónapok!$A$22,Admin!$B$28,
(IF(AI295&lt;Hónapok!$A$34,Admin!$C$28,
(IF(AI295&lt;Hónapok!$A$46,Admin!$D$28,"")))))))),"")</f>
        <v>3. mérföldkő</v>
      </c>
      <c r="AK295" s="467" t="s">
        <v>7</v>
      </c>
      <c r="AL295" s="101" t="s">
        <v>26</v>
      </c>
      <c r="AM295" s="900">
        <v>280000</v>
      </c>
      <c r="AN295" s="860">
        <f t="shared" si="656"/>
        <v>36400</v>
      </c>
      <c r="AO295" s="101">
        <v>87</v>
      </c>
      <c r="AP295" s="111">
        <v>87</v>
      </c>
      <c r="AQ295" s="454">
        <f t="shared" si="534"/>
        <v>1</v>
      </c>
      <c r="AR295" s="455">
        <f t="shared" si="535"/>
        <v>280000</v>
      </c>
      <c r="AS295" s="455">
        <f t="shared" si="536"/>
        <v>36400</v>
      </c>
      <c r="AT295" s="102">
        <f t="shared" si="537"/>
        <v>0</v>
      </c>
      <c r="AU295" s="116">
        <v>0.13</v>
      </c>
      <c r="AV295" s="565" t="str">
        <f>VLOOKUP(LEFT(AB295,10),Törzsszám!$A$1:$B$908,2,0)</f>
        <v>10001417</v>
      </c>
      <c r="AW295" s="681">
        <f t="shared" ca="1" si="538"/>
        <v>0</v>
      </c>
      <c r="AX295" s="471" t="s">
        <v>4596</v>
      </c>
      <c r="AY295" s="486"/>
      <c r="AZ295" s="502"/>
      <c r="BA295" s="671"/>
      <c r="BB295" s="649"/>
      <c r="BC295" s="649"/>
      <c r="BD295" s="672"/>
      <c r="BE295" s="450" t="s">
        <v>139</v>
      </c>
    </row>
    <row r="296" spans="1:57" s="457" customFormat="1" ht="31.5" x14ac:dyDescent="0.25">
      <c r="A296" s="694" t="str">
        <f ca="1">Bérköltség!$B296</f>
        <v>FEOR</v>
      </c>
      <c r="B296" s="694" t="str">
        <f ca="1">IFERROR(
IF(AND(Bérköltség!$F296="",H296="NA"),"HIÁNYOS ADATOK",
IF(Bérköltség!$F296&lt;Bérköltség!$U296,Admin!$B$18,Admin!$B$17)),
"")</f>
        <v>FEOR</v>
      </c>
      <c r="C296" s="437">
        <f>IFERROR(INDEX('Historikus berek_2021-2'!$A$1:$F$903,MATCH(AB296,'Historikus berek_2021-2'!$A$1:$A$903,0),4),"")</f>
        <v>304933.33333333331</v>
      </c>
      <c r="D296" s="438">
        <f t="shared" ref="D296:D301" si="705">IFERROR(C296*AQ296,"NA")</f>
        <v>304933.33333333331</v>
      </c>
      <c r="E296" s="437">
        <f t="shared" ref="E296:E301" si="706">AR296</f>
        <v>279545</v>
      </c>
      <c r="F296" s="439">
        <f t="shared" ref="F296:F301" si="707">IFERROR(IF((E296*(1+AU296)-D296*(1+AU296))&lt;0,0,(E296*(1+AU296)-D296*(1+AU296))),"")</f>
        <v>0</v>
      </c>
      <c r="G296" s="440">
        <f t="shared" ref="G296:G301" si="708">IFERROR((E296*(1+AU296)-F296),"")</f>
        <v>315885.84999999998</v>
      </c>
      <c r="H296" s="441">
        <f>IFERROR(INDEX('FEOR kodok'!$A$2:$J$1126,MATCH(Bérköltség!AB296,'FEOR kodok'!$B$2:$B$1126,0),8),"NA")</f>
        <v>2169</v>
      </c>
      <c r="I296" s="436">
        <f ca="1">IFERROR(INDEX('FEOR kodok'!$A$2:$J$1126,MATCH(Bérköltség!AB296,'FEOR kodok'!$B$2:$B$1126,0),10),"NA")</f>
        <v>38</v>
      </c>
      <c r="J296" s="442" t="str">
        <f t="shared" ref="J296:J301" ca="1" si="709">IF(I296="NA","NA",
IF(I296&lt;30,"30 év alatt",
IF(AND(I296&gt;=30,I296&lt;=39),"30–39 éves",
IF(AND(I296&gt;=40,I296&lt;=49),"40–49 éves",
IF(I296&gt;=50,"50 év és afelett",
"")))))</f>
        <v>30–39 éves</v>
      </c>
      <c r="K296" s="436" t="str">
        <f>IFERROR(INDEX(admin_feor[#All],MATCH(Bérköltség!H296,admin_feor[[#All],[Foglalkozás]],0),2),"NA")</f>
        <v>Egyéb természettudományi foglalkozású</v>
      </c>
      <c r="L296" s="438">
        <f ca="1">IFERROR(
INDEX('Admin - FEOR'!$A$4:$F$465,MATCH(Bérköltség!H296,'Admin - FEOR'!$A$4:$A$465,0),
IF(J296="30 év alatt",3,
IF(J296="30–39 éves",4,
IF(J296="40–49 éves",5,
IF(J296="50 év és afelett",6
)))))*1,"NA")</f>
        <v>641245</v>
      </c>
      <c r="M296" s="438">
        <f t="shared" ref="M296:M301" si="710">AM296</f>
        <v>279545</v>
      </c>
      <c r="N296" s="443">
        <f t="shared" ref="N296:N301" ca="1" si="711">IFERROR(
M296/L296,"NA")</f>
        <v>0.43594102098261972</v>
      </c>
      <c r="O296" s="438">
        <f ca="1">IFERROR(
INDEX('Admin - FEOR'!$A$4:$F$465,MATCH(Bérköltség!H296,'Admin - FEOR'!$A$4:$A$465,0),
IF(J296="30 év alatt",3,
IF(J296="30–39 éves",4,
IF(J296="40–49 éves",5,
IF(J296="50 év és afelett",6
)))))*1.5,"NA")</f>
        <v>961867.5</v>
      </c>
      <c r="P296" s="438">
        <f t="shared" ref="P296:P301" ca="1" si="712">IFERROR(
AQ296*O296,"NA")</f>
        <v>961867.5</v>
      </c>
      <c r="Q296" s="438">
        <f t="shared" ref="Q296:Q301" si="713">IFERROR(AR296,"")</f>
        <v>279545</v>
      </c>
      <c r="R296" s="444">
        <f t="shared" ref="R296:R301" si="714">IFERROR(AQ296,"")</f>
        <v>1</v>
      </c>
      <c r="S296" s="438">
        <f t="shared" ref="S296:S301" ca="1" si="715">IFERROR(
IF(AR296-P296&lt;0,0,AR296-P296),"NA")</f>
        <v>0</v>
      </c>
      <c r="T296" s="438">
        <f t="shared" ref="T296:T301" ca="1" si="716">IFERROR(
S296*AU296,"NA")</f>
        <v>0</v>
      </c>
      <c r="U296" s="445">
        <f t="shared" ref="U296:U301" ca="1" si="717">IFERROR(
S296+T296,"NA")</f>
        <v>0</v>
      </c>
      <c r="V296" s="446">
        <f t="shared" ref="V296:V301" ca="1" si="718">IFERROR(
IF(U296&gt;0,AR296+AS296-U296,AR296+AS296),"NA")</f>
        <v>315886</v>
      </c>
      <c r="W296" s="447" t="str">
        <f t="shared" ref="W296:W301" ca="1" si="719">IF(P296="NA","FEOR hiányzik",
IF(AND(N296&gt;1,A296="FEOR"),CONCATENATE("Indoklás szükséges mivel a FEOR: ",ROUND(N296*100,1),"%"),"Nem szükséges indoklás.")
)</f>
        <v>Nem szükséges indoklás.</v>
      </c>
      <c r="X296" s="571">
        <f t="shared" ref="X296:X307" ca="1" si="720">IF(A296="FEOR",U296,IF(A296="HIÁNYOS ADATOK","HIÁNYOS ADATOK",F296))</f>
        <v>0</v>
      </c>
      <c r="Y296" s="554">
        <f t="shared" ref="Y296:Y301" ca="1" si="721">IF(A296="FEOR",ROUND(V296/(1+AU296),0),IF(A296="HIÁNYOS ADATOK","HIÁNYOS ADATOK",ROUND(G296/(1+AU296),0)))</f>
        <v>279545</v>
      </c>
      <c r="Z296" s="554">
        <f t="shared" ref="Z296:Z301" ca="1" si="722">IF(A296="FEOR",ROUND(V296-Y296,0),IF(A296="HIÁNYOS ADATOK","HIÁNYOS ADATOK",ROUND(G296-Y296,0)))</f>
        <v>36341</v>
      </c>
      <c r="AA296" s="101"/>
      <c r="AB296" s="448">
        <v>8434153491</v>
      </c>
      <c r="AC296" s="449" t="s">
        <v>138</v>
      </c>
      <c r="AD296" s="483" t="s">
        <v>45</v>
      </c>
      <c r="AE296" s="450" t="s">
        <v>158</v>
      </c>
      <c r="AF296" s="99" t="s">
        <v>121</v>
      </c>
      <c r="AG296" s="99" t="s">
        <v>128</v>
      </c>
      <c r="AH296" s="451" t="s">
        <v>131</v>
      </c>
      <c r="AI296" s="154">
        <v>45078</v>
      </c>
      <c r="AJ296" s="100" t="str">
        <f>IF(AI296&gt;0,
(IF(AI296&lt;Hónapok!$A$10,Admin!$A$28,
(IF(AI296&lt;Hónapok!$A$22,Admin!$B$28,
(IF(AI296&lt;Hónapok!$A$34,Admin!$C$28,
(IF(AI296&lt;Hónapok!$A$46,Admin!$D$28,"")))))))),"")</f>
        <v>3. mérföldkő</v>
      </c>
      <c r="AK296" s="467" t="s">
        <v>7</v>
      </c>
      <c r="AL296" s="101" t="s">
        <v>26</v>
      </c>
      <c r="AM296" s="900">
        <v>279545</v>
      </c>
      <c r="AN296" s="860">
        <f t="shared" ref="AN296:AN307" si="723">IFERROR(ROUND(AM296*AU296,0),"")</f>
        <v>36341</v>
      </c>
      <c r="AO296" s="101">
        <v>87</v>
      </c>
      <c r="AP296" s="111">
        <v>87</v>
      </c>
      <c r="AQ296" s="102">
        <f t="shared" ref="AQ296:AQ307" si="724">IFERROR(AP296/AO296,"")</f>
        <v>1</v>
      </c>
      <c r="AR296" s="455">
        <f t="shared" ref="AR296:AR301" si="725">IFERROR(ROUND(AM296*AP296/AO296,0),"")</f>
        <v>279545</v>
      </c>
      <c r="AS296" s="455">
        <f t="shared" ref="AS296:AS301" si="726">IFERROR(ROUND(AR296*AU296,0),"")</f>
        <v>36341</v>
      </c>
      <c r="AT296" s="102">
        <f t="shared" ref="AT296:AT301" si="727">IFERROR(AP296/AO296-AR296/AM296,"")</f>
        <v>0</v>
      </c>
      <c r="AU296" s="116">
        <v>0.13</v>
      </c>
      <c r="AV296" s="565" t="str">
        <f>VLOOKUP(LEFT(AB296,10),Törzsszám!$A$1:$B$908,2,0)</f>
        <v>10001417</v>
      </c>
      <c r="AW296" s="681">
        <f t="shared" ref="AW296:AW307" ca="1" si="728">(Y296+Z296)-(AR296+AS296)</f>
        <v>0</v>
      </c>
      <c r="AX296" s="471" t="s">
        <v>4606</v>
      </c>
      <c r="AY296" s="486"/>
      <c r="AZ296" s="502"/>
      <c r="BA296" s="671"/>
      <c r="BB296" s="649"/>
      <c r="BC296" s="649"/>
      <c r="BD296" s="672"/>
      <c r="BE296" s="450" t="s">
        <v>144</v>
      </c>
    </row>
    <row r="297" spans="1:57" s="457" customFormat="1" ht="31.5" x14ac:dyDescent="0.25">
      <c r="A297" s="694" t="str">
        <f ca="1">Bérköltség!$B297</f>
        <v>FEOR</v>
      </c>
      <c r="B297" s="694" t="str">
        <f ca="1">IFERROR(
IF(AND(Bérköltség!$F297="",H297="NA"),"HIÁNYOS ADATOK",
IF(Bérköltség!$F297&lt;Bérköltség!$U297,Admin!$B$18,Admin!$B$17)),
"")</f>
        <v>FEOR</v>
      </c>
      <c r="C297" s="437">
        <f>IFERROR(INDEX('Historikus berek_2021-2'!$A$1:$F$903,MATCH(AB297,'Historikus berek_2021-2'!$A$1:$A$903,0),4),"")</f>
        <v>304933.33333333331</v>
      </c>
      <c r="D297" s="438">
        <f t="shared" si="705"/>
        <v>304933.33333333331</v>
      </c>
      <c r="E297" s="437">
        <f t="shared" si="706"/>
        <v>300000</v>
      </c>
      <c r="F297" s="439">
        <f t="shared" si="707"/>
        <v>0</v>
      </c>
      <c r="G297" s="440">
        <f t="shared" si="708"/>
        <v>338999.99999999994</v>
      </c>
      <c r="H297" s="441">
        <f>IFERROR(INDEX('FEOR kodok'!$A$2:$J$1126,MATCH(Bérköltség!AB297,'FEOR kodok'!$B$2:$B$1126,0),8),"NA")</f>
        <v>2169</v>
      </c>
      <c r="I297" s="436">
        <f ca="1">IFERROR(INDEX('FEOR kodok'!$A$2:$J$1126,MATCH(Bérköltség!AB297,'FEOR kodok'!$B$2:$B$1126,0),10),"NA")</f>
        <v>38</v>
      </c>
      <c r="J297" s="442" t="str">
        <f t="shared" ca="1" si="709"/>
        <v>30–39 éves</v>
      </c>
      <c r="K297" s="436" t="str">
        <f>IFERROR(INDEX(admin_feor[#All],MATCH(Bérköltség!H297,admin_feor[[#All],[Foglalkozás]],0),2),"NA")</f>
        <v>Egyéb természettudományi foglalkozású</v>
      </c>
      <c r="L297" s="438">
        <f ca="1">IFERROR(
INDEX('Admin - FEOR'!$A$4:$F$465,MATCH(Bérköltség!H297,'Admin - FEOR'!$A$4:$A$465,0),
IF(J297="30 év alatt",3,
IF(J297="30–39 éves",4,
IF(J297="40–49 éves",5,
IF(J297="50 év és afelett",6
)))))*1,"NA")</f>
        <v>641245</v>
      </c>
      <c r="M297" s="438">
        <f t="shared" si="710"/>
        <v>300000</v>
      </c>
      <c r="N297" s="443">
        <f t="shared" ca="1" si="711"/>
        <v>0.4678399051844459</v>
      </c>
      <c r="O297" s="438">
        <f ca="1">IFERROR(
INDEX('Admin - FEOR'!$A$4:$F$465,MATCH(Bérköltség!H297,'Admin - FEOR'!$A$4:$A$465,0),
IF(J297="30 év alatt",3,
IF(J297="30–39 éves",4,
IF(J297="40–49 éves",5,
IF(J297="50 év és afelett",6
)))))*1.5,"NA")</f>
        <v>961867.5</v>
      </c>
      <c r="P297" s="438">
        <f t="shared" ca="1" si="712"/>
        <v>961867.5</v>
      </c>
      <c r="Q297" s="438">
        <f t="shared" si="713"/>
        <v>300000</v>
      </c>
      <c r="R297" s="444">
        <f t="shared" si="714"/>
        <v>1</v>
      </c>
      <c r="S297" s="438">
        <f t="shared" ca="1" si="715"/>
        <v>0</v>
      </c>
      <c r="T297" s="438">
        <f t="shared" ca="1" si="716"/>
        <v>0</v>
      </c>
      <c r="U297" s="445">
        <f t="shared" ca="1" si="717"/>
        <v>0</v>
      </c>
      <c r="V297" s="446">
        <f t="shared" ca="1" si="718"/>
        <v>339000</v>
      </c>
      <c r="W297" s="447" t="str">
        <f t="shared" ca="1" si="719"/>
        <v>Nem szükséges indoklás.</v>
      </c>
      <c r="X297" s="571">
        <f t="shared" ca="1" si="720"/>
        <v>0</v>
      </c>
      <c r="Y297" s="554">
        <f t="shared" ca="1" si="721"/>
        <v>300000</v>
      </c>
      <c r="Z297" s="554">
        <f t="shared" ca="1" si="722"/>
        <v>39000</v>
      </c>
      <c r="AA297" s="101"/>
      <c r="AB297" s="448">
        <v>8434153491</v>
      </c>
      <c r="AC297" s="449" t="s">
        <v>138</v>
      </c>
      <c r="AD297" s="483" t="s">
        <v>45</v>
      </c>
      <c r="AE297" s="450" t="s">
        <v>158</v>
      </c>
      <c r="AF297" s="99" t="s">
        <v>121</v>
      </c>
      <c r="AG297" s="99" t="s">
        <v>128</v>
      </c>
      <c r="AH297" s="451" t="s">
        <v>131</v>
      </c>
      <c r="AI297" s="154">
        <v>45108</v>
      </c>
      <c r="AJ297" s="100" t="str">
        <f>IF(AI297&gt;0,
(IF(AI297&lt;Hónapok!$A$10,Admin!$A$28,
(IF(AI297&lt;Hónapok!$A$22,Admin!$B$28,
(IF(AI297&lt;Hónapok!$A$34,Admin!$C$28,
(IF(AI297&lt;Hónapok!$A$46,Admin!$D$28,"")))))))),"")</f>
        <v>3. mérföldkő</v>
      </c>
      <c r="AK297" s="467" t="s">
        <v>7</v>
      </c>
      <c r="AL297" s="101" t="s">
        <v>26</v>
      </c>
      <c r="AM297" s="900">
        <v>300000</v>
      </c>
      <c r="AN297" s="860">
        <f t="shared" si="723"/>
        <v>39000</v>
      </c>
      <c r="AO297" s="101">
        <v>87</v>
      </c>
      <c r="AP297" s="111">
        <v>87</v>
      </c>
      <c r="AQ297" s="682">
        <f t="shared" si="724"/>
        <v>1</v>
      </c>
      <c r="AR297" s="455">
        <f t="shared" si="725"/>
        <v>300000</v>
      </c>
      <c r="AS297" s="455">
        <f t="shared" si="726"/>
        <v>39000</v>
      </c>
      <c r="AT297" s="102">
        <f t="shared" si="727"/>
        <v>0</v>
      </c>
      <c r="AU297" s="116">
        <v>0.13</v>
      </c>
      <c r="AV297" s="565" t="str">
        <f>VLOOKUP(LEFT(AB297,10),Törzsszám!$A$1:$B$908,2,0)</f>
        <v>10001417</v>
      </c>
      <c r="AW297" s="681">
        <f t="shared" ca="1" si="728"/>
        <v>0</v>
      </c>
      <c r="AX297" s="471" t="s">
        <v>4610</v>
      </c>
      <c r="AY297" s="486"/>
      <c r="AZ297" s="502"/>
      <c r="BA297" s="671"/>
      <c r="BB297" s="649"/>
      <c r="BC297" s="649"/>
      <c r="BD297" s="672"/>
      <c r="BE297" s="450" t="s">
        <v>144</v>
      </c>
    </row>
    <row r="298" spans="1:57" s="457" customFormat="1" ht="31.5" x14ac:dyDescent="0.25">
      <c r="A298" s="694" t="str">
        <f ca="1">Bérköltség!$B298</f>
        <v>FEOR</v>
      </c>
      <c r="B298" s="694" t="str">
        <f ca="1">IFERROR(
IF(AND(Bérköltség!$F298="",H298="NA"),"HIÁNYOS ADATOK",
IF(Bérköltség!$F298&lt;Bérköltség!$U298,Admin!$B$18,Admin!$B$17)),
"")</f>
        <v>FEOR</v>
      </c>
      <c r="C298" s="437">
        <f>IFERROR(INDEX('Historikus berek_2021-2'!$A$1:$F$903,MATCH(AB298,'Historikus berek_2021-2'!$A$1:$A$903,0),4),"")</f>
        <v>304933.33333333331</v>
      </c>
      <c r="D298" s="438">
        <f t="shared" si="705"/>
        <v>304933.33333333331</v>
      </c>
      <c r="E298" s="437">
        <f t="shared" si="706"/>
        <v>299999</v>
      </c>
      <c r="F298" s="439">
        <f t="shared" si="707"/>
        <v>0</v>
      </c>
      <c r="G298" s="440">
        <f t="shared" si="708"/>
        <v>338998.87</v>
      </c>
      <c r="H298" s="441">
        <f>IFERROR(INDEX('FEOR kodok'!$A$2:$J$1126,MATCH(Bérköltség!AB298,'FEOR kodok'!$B$2:$B$1126,0),8),"NA")</f>
        <v>2169</v>
      </c>
      <c r="I298" s="436">
        <f ca="1">IFERROR(INDEX('FEOR kodok'!$A$2:$J$1126,MATCH(Bérköltség!AB298,'FEOR kodok'!$B$2:$B$1126,0),10),"NA")</f>
        <v>38</v>
      </c>
      <c r="J298" s="442" t="str">
        <f t="shared" ca="1" si="709"/>
        <v>30–39 éves</v>
      </c>
      <c r="K298" s="436" t="str">
        <f>IFERROR(INDEX(admin_feor[#All],MATCH(Bérköltség!H298,admin_feor[[#All],[Foglalkozás]],0),2),"NA")</f>
        <v>Egyéb természettudományi foglalkozású</v>
      </c>
      <c r="L298" s="438">
        <f ca="1">IFERROR(
INDEX('Admin - FEOR'!$A$4:$F$465,MATCH(Bérköltség!H298,'Admin - FEOR'!$A$4:$A$465,0),
IF(J298="30 év alatt",3,
IF(J298="30–39 éves",4,
IF(J298="40–49 éves",5,
IF(J298="50 év és afelett",6
)))))*1,"NA")</f>
        <v>641245</v>
      </c>
      <c r="M298" s="438">
        <f t="shared" si="710"/>
        <v>299999</v>
      </c>
      <c r="N298" s="443">
        <f t="shared" ca="1" si="711"/>
        <v>0.46783834571809529</v>
      </c>
      <c r="O298" s="438">
        <f ca="1">IFERROR(
INDEX('Admin - FEOR'!$A$4:$F$465,MATCH(Bérköltség!H298,'Admin - FEOR'!$A$4:$A$465,0),
IF(J298="30 év alatt",3,
IF(J298="30–39 éves",4,
IF(J298="40–49 éves",5,
IF(J298="50 év és afelett",6
)))))*1.5,"NA")</f>
        <v>961867.5</v>
      </c>
      <c r="P298" s="438">
        <f t="shared" ca="1" si="712"/>
        <v>961867.5</v>
      </c>
      <c r="Q298" s="438">
        <f t="shared" si="713"/>
        <v>299999</v>
      </c>
      <c r="R298" s="444">
        <f t="shared" si="714"/>
        <v>1</v>
      </c>
      <c r="S298" s="438">
        <f t="shared" ca="1" si="715"/>
        <v>0</v>
      </c>
      <c r="T298" s="438">
        <f t="shared" ca="1" si="716"/>
        <v>0</v>
      </c>
      <c r="U298" s="445">
        <f t="shared" ca="1" si="717"/>
        <v>0</v>
      </c>
      <c r="V298" s="446">
        <f t="shared" ca="1" si="718"/>
        <v>338999</v>
      </c>
      <c r="W298" s="447" t="str">
        <f t="shared" ca="1" si="719"/>
        <v>Nem szükséges indoklás.</v>
      </c>
      <c r="X298" s="571">
        <f t="shared" ca="1" si="720"/>
        <v>0</v>
      </c>
      <c r="Y298" s="554">
        <f t="shared" ca="1" si="721"/>
        <v>299999</v>
      </c>
      <c r="Z298" s="554">
        <f t="shared" ca="1" si="722"/>
        <v>39000</v>
      </c>
      <c r="AA298" s="101"/>
      <c r="AB298" s="448">
        <v>8434153491</v>
      </c>
      <c r="AC298" s="449" t="s">
        <v>138</v>
      </c>
      <c r="AD298" s="483" t="s">
        <v>45</v>
      </c>
      <c r="AE298" s="450" t="s">
        <v>158</v>
      </c>
      <c r="AF298" s="99" t="s">
        <v>121</v>
      </c>
      <c r="AG298" s="99" t="s">
        <v>128</v>
      </c>
      <c r="AH298" s="451" t="s">
        <v>131</v>
      </c>
      <c r="AI298" s="154">
        <v>45139</v>
      </c>
      <c r="AJ298" s="100" t="str">
        <f>IF(AI298&gt;0,
(IF(AI298&lt;Hónapok!$A$10,Admin!$A$28,
(IF(AI298&lt;Hónapok!$A$22,Admin!$B$28,
(IF(AI298&lt;Hónapok!$A$34,Admin!$C$28,
(IF(AI298&lt;Hónapok!$A$46,Admin!$D$28,"")))))))),"")</f>
        <v>3. mérföldkő</v>
      </c>
      <c r="AK298" s="467" t="s">
        <v>7</v>
      </c>
      <c r="AL298" s="101" t="s">
        <v>26</v>
      </c>
      <c r="AM298" s="900">
        <f>300000-1</f>
        <v>299999</v>
      </c>
      <c r="AN298" s="860">
        <f t="shared" si="723"/>
        <v>39000</v>
      </c>
      <c r="AO298" s="101">
        <v>87</v>
      </c>
      <c r="AP298" s="111">
        <v>87</v>
      </c>
      <c r="AQ298" s="454">
        <f t="shared" si="724"/>
        <v>1</v>
      </c>
      <c r="AR298" s="455">
        <f t="shared" si="725"/>
        <v>299999</v>
      </c>
      <c r="AS298" s="455">
        <f t="shared" si="726"/>
        <v>39000</v>
      </c>
      <c r="AT298" s="102">
        <f t="shared" si="727"/>
        <v>0</v>
      </c>
      <c r="AU298" s="116">
        <v>0.13</v>
      </c>
      <c r="AV298" s="565" t="str">
        <f>VLOOKUP(LEFT(AB298,10),Törzsszám!$A$1:$B$908,2,0)</f>
        <v>10001417</v>
      </c>
      <c r="AW298" s="681">
        <f t="shared" ca="1" si="728"/>
        <v>0</v>
      </c>
      <c r="AX298" s="471" t="s">
        <v>4613</v>
      </c>
      <c r="AY298" s="486"/>
      <c r="AZ298" s="502"/>
      <c r="BA298" s="671"/>
      <c r="BB298" s="649"/>
      <c r="BC298" s="649"/>
      <c r="BD298" s="672"/>
      <c r="BE298" s="450" t="s">
        <v>144</v>
      </c>
    </row>
    <row r="299" spans="1:57" s="457" customFormat="1" ht="31.5" x14ac:dyDescent="0.25">
      <c r="A299" s="694" t="str">
        <f ca="1">Bérköltség!$B299</f>
        <v>FEOR</v>
      </c>
      <c r="B299" s="694" t="str">
        <f ca="1">IFERROR(
IF(AND(Bérköltség!$F299="",H299="NA"),"HIÁNYOS ADATOK",
IF(Bérköltség!$F299&lt;Bérköltség!$U299,Admin!$B$18,Admin!$B$17)),
"")</f>
        <v>FEOR</v>
      </c>
      <c r="C299" s="437">
        <f>IFERROR(INDEX('Historikus berek_2021-2'!$A$1:$F$903,MATCH(AB299,'Historikus berek_2021-2'!$A$1:$A$903,0),4),"")</f>
        <v>304933.33333333331</v>
      </c>
      <c r="D299" s="438">
        <f t="shared" si="705"/>
        <v>304933.33333333331</v>
      </c>
      <c r="E299" s="437">
        <f t="shared" si="706"/>
        <v>300000</v>
      </c>
      <c r="F299" s="439">
        <f t="shared" si="707"/>
        <v>0</v>
      </c>
      <c r="G299" s="440">
        <f t="shared" si="708"/>
        <v>338999.99999999994</v>
      </c>
      <c r="H299" s="441">
        <f>IFERROR(INDEX('FEOR kodok'!$A$2:$J$1126,MATCH(Bérköltség!AB299,'FEOR kodok'!$B$2:$B$1126,0),8),"NA")</f>
        <v>2169</v>
      </c>
      <c r="I299" s="436">
        <f ca="1">IFERROR(INDEX('FEOR kodok'!$A$2:$J$1126,MATCH(Bérköltség!AB299,'FEOR kodok'!$B$2:$B$1126,0),10),"NA")</f>
        <v>38</v>
      </c>
      <c r="J299" s="442" t="str">
        <f t="shared" ca="1" si="709"/>
        <v>30–39 éves</v>
      </c>
      <c r="K299" s="436" t="str">
        <f>IFERROR(INDEX(admin_feor[#All],MATCH(Bérköltség!H299,admin_feor[[#All],[Foglalkozás]],0),2),"NA")</f>
        <v>Egyéb természettudományi foglalkozású</v>
      </c>
      <c r="L299" s="438">
        <f ca="1">IFERROR(
INDEX('Admin - FEOR'!$A$4:$F$465,MATCH(Bérköltség!H299,'Admin - FEOR'!$A$4:$A$465,0),
IF(J299="30 év alatt",3,
IF(J299="30–39 éves",4,
IF(J299="40–49 éves",5,
IF(J299="50 év és afelett",6
)))))*1,"NA")</f>
        <v>641245</v>
      </c>
      <c r="M299" s="438">
        <f t="shared" si="710"/>
        <v>300000</v>
      </c>
      <c r="N299" s="443">
        <f t="shared" ca="1" si="711"/>
        <v>0.4678399051844459</v>
      </c>
      <c r="O299" s="438">
        <f ca="1">IFERROR(
INDEX('Admin - FEOR'!$A$4:$F$465,MATCH(Bérköltség!H299,'Admin - FEOR'!$A$4:$A$465,0),
IF(J299="30 év alatt",3,
IF(J299="30–39 éves",4,
IF(J299="40–49 éves",5,
IF(J299="50 év és afelett",6
)))))*1.5,"NA")</f>
        <v>961867.5</v>
      </c>
      <c r="P299" s="438">
        <f t="shared" ca="1" si="712"/>
        <v>961867.5</v>
      </c>
      <c r="Q299" s="438">
        <f t="shared" si="713"/>
        <v>300000</v>
      </c>
      <c r="R299" s="444">
        <f t="shared" si="714"/>
        <v>1</v>
      </c>
      <c r="S299" s="438">
        <f t="shared" ca="1" si="715"/>
        <v>0</v>
      </c>
      <c r="T299" s="438">
        <f t="shared" ca="1" si="716"/>
        <v>0</v>
      </c>
      <c r="U299" s="445">
        <f t="shared" ca="1" si="717"/>
        <v>0</v>
      </c>
      <c r="V299" s="446">
        <f t="shared" ca="1" si="718"/>
        <v>339000</v>
      </c>
      <c r="W299" s="447" t="str">
        <f t="shared" ca="1" si="719"/>
        <v>Nem szükséges indoklás.</v>
      </c>
      <c r="X299" s="571">
        <f t="shared" ca="1" si="720"/>
        <v>0</v>
      </c>
      <c r="Y299" s="554">
        <f t="shared" ca="1" si="721"/>
        <v>300000</v>
      </c>
      <c r="Z299" s="554">
        <f t="shared" ca="1" si="722"/>
        <v>39000</v>
      </c>
      <c r="AA299" s="101"/>
      <c r="AB299" s="448">
        <v>8434153491</v>
      </c>
      <c r="AC299" s="449" t="s">
        <v>138</v>
      </c>
      <c r="AD299" s="483" t="s">
        <v>45</v>
      </c>
      <c r="AE299" s="450" t="s">
        <v>158</v>
      </c>
      <c r="AF299" s="99" t="s">
        <v>121</v>
      </c>
      <c r="AG299" s="99" t="s">
        <v>128</v>
      </c>
      <c r="AH299" s="451" t="s">
        <v>131</v>
      </c>
      <c r="AI299" s="154">
        <v>45170</v>
      </c>
      <c r="AJ299" s="100" t="str">
        <f>IF(AI299&gt;0,
(IF(AI299&lt;Hónapok!$A$10,Admin!$A$28,
(IF(AI299&lt;Hónapok!$A$22,Admin!$B$28,
(IF(AI299&lt;Hónapok!$A$34,Admin!$C$28,
(IF(AI299&lt;Hónapok!$A$46,Admin!$D$28,"")))))))),"")</f>
        <v>3. mérföldkő</v>
      </c>
      <c r="AK299" s="467" t="s">
        <v>7</v>
      </c>
      <c r="AL299" s="101" t="s">
        <v>26</v>
      </c>
      <c r="AM299" s="900">
        <v>300000</v>
      </c>
      <c r="AN299" s="860">
        <f t="shared" si="723"/>
        <v>39000</v>
      </c>
      <c r="AO299" s="101">
        <v>87</v>
      </c>
      <c r="AP299" s="111">
        <v>87</v>
      </c>
      <c r="AQ299" s="454">
        <f t="shared" si="724"/>
        <v>1</v>
      </c>
      <c r="AR299" s="455">
        <f t="shared" si="725"/>
        <v>300000</v>
      </c>
      <c r="AS299" s="455">
        <f t="shared" si="726"/>
        <v>39000</v>
      </c>
      <c r="AT299" s="102">
        <f t="shared" si="727"/>
        <v>0</v>
      </c>
      <c r="AU299" s="116">
        <v>0.13</v>
      </c>
      <c r="AV299" s="565" t="str">
        <f>VLOOKUP(LEFT(AB299,10),Törzsszám!$A$1:$B$908,2,0)</f>
        <v>10001417</v>
      </c>
      <c r="AW299" s="681">
        <f t="shared" ca="1" si="728"/>
        <v>0</v>
      </c>
      <c r="AX299" s="471" t="s">
        <v>4618</v>
      </c>
      <c r="AY299" s="486"/>
      <c r="AZ299" s="502"/>
      <c r="BA299" s="671"/>
      <c r="BB299" s="649"/>
      <c r="BC299" s="649"/>
      <c r="BD299" s="672"/>
      <c r="BE299" s="450" t="s">
        <v>144</v>
      </c>
    </row>
    <row r="300" spans="1:57" s="457" customFormat="1" ht="31.5" x14ac:dyDescent="0.25">
      <c r="A300" s="694" t="str">
        <f ca="1">Bérköltség!$B300</f>
        <v>FEOR</v>
      </c>
      <c r="B300" s="694" t="str">
        <f ca="1">IFERROR(
IF(AND(Bérköltség!$F300="",H300="NA"),"HIÁNYOS ADATOK",
IF(Bérköltség!$F300&lt;Bérköltség!$U300,Admin!$B$18,Admin!$B$17)),
"")</f>
        <v>FEOR</v>
      </c>
      <c r="C300" s="437">
        <f>IFERROR(INDEX('Historikus berek_2021-2'!$A$1:$F$903,MATCH(AB300,'Historikus berek_2021-2'!$A$1:$A$903,0),4),"")</f>
        <v>304933.33333333331</v>
      </c>
      <c r="D300" s="438">
        <f t="shared" si="705"/>
        <v>304933.33333333331</v>
      </c>
      <c r="E300" s="437">
        <f t="shared" si="706"/>
        <v>300000</v>
      </c>
      <c r="F300" s="439">
        <f t="shared" si="707"/>
        <v>0</v>
      </c>
      <c r="G300" s="440">
        <f t="shared" si="708"/>
        <v>338999.99999999994</v>
      </c>
      <c r="H300" s="441">
        <f>IFERROR(INDEX('FEOR kodok'!$A$2:$J$1126,MATCH(Bérköltség!AB300,'FEOR kodok'!$B$2:$B$1126,0),8),"NA")</f>
        <v>2169</v>
      </c>
      <c r="I300" s="436">
        <f ca="1">IFERROR(INDEX('FEOR kodok'!$A$2:$J$1126,MATCH(Bérköltség!AB300,'FEOR kodok'!$B$2:$B$1126,0),10),"NA")</f>
        <v>38</v>
      </c>
      <c r="J300" s="442" t="str">
        <f t="shared" ca="1" si="709"/>
        <v>30–39 éves</v>
      </c>
      <c r="K300" s="436" t="str">
        <f>IFERROR(INDEX(admin_feor[#All],MATCH(Bérköltség!H300,admin_feor[[#All],[Foglalkozás]],0),2),"NA")</f>
        <v>Egyéb természettudományi foglalkozású</v>
      </c>
      <c r="L300" s="438">
        <f ca="1">IFERROR(
INDEX('Admin - FEOR'!$A$4:$F$465,MATCH(Bérköltség!H300,'Admin - FEOR'!$A$4:$A$465,0),
IF(J300="30 év alatt",3,
IF(J300="30–39 éves",4,
IF(J300="40–49 éves",5,
IF(J300="50 év és afelett",6
)))))*1,"NA")</f>
        <v>641245</v>
      </c>
      <c r="M300" s="438">
        <f t="shared" si="710"/>
        <v>300000</v>
      </c>
      <c r="N300" s="443">
        <f t="shared" ca="1" si="711"/>
        <v>0.4678399051844459</v>
      </c>
      <c r="O300" s="438">
        <f ca="1">IFERROR(
INDEX('Admin - FEOR'!$A$4:$F$465,MATCH(Bérköltség!H300,'Admin - FEOR'!$A$4:$A$465,0),
IF(J300="30 év alatt",3,
IF(J300="30–39 éves",4,
IF(J300="40–49 éves",5,
IF(J300="50 év és afelett",6
)))))*1.5,"NA")</f>
        <v>961867.5</v>
      </c>
      <c r="P300" s="438">
        <f t="shared" ca="1" si="712"/>
        <v>961867.5</v>
      </c>
      <c r="Q300" s="438">
        <f t="shared" si="713"/>
        <v>300000</v>
      </c>
      <c r="R300" s="444">
        <f t="shared" si="714"/>
        <v>1</v>
      </c>
      <c r="S300" s="438">
        <f t="shared" ca="1" si="715"/>
        <v>0</v>
      </c>
      <c r="T300" s="438">
        <f t="shared" ca="1" si="716"/>
        <v>0</v>
      </c>
      <c r="U300" s="445">
        <f t="shared" ca="1" si="717"/>
        <v>0</v>
      </c>
      <c r="V300" s="446">
        <f t="shared" ca="1" si="718"/>
        <v>339000</v>
      </c>
      <c r="W300" s="447" t="str">
        <f t="shared" ca="1" si="719"/>
        <v>Nem szükséges indoklás.</v>
      </c>
      <c r="X300" s="571">
        <f t="shared" ca="1" si="720"/>
        <v>0</v>
      </c>
      <c r="Y300" s="554">
        <f t="shared" ca="1" si="721"/>
        <v>300000</v>
      </c>
      <c r="Z300" s="554">
        <f t="shared" ca="1" si="722"/>
        <v>39000</v>
      </c>
      <c r="AA300" s="101"/>
      <c r="AB300" s="448">
        <v>8434153491</v>
      </c>
      <c r="AC300" s="449" t="s">
        <v>138</v>
      </c>
      <c r="AD300" s="483" t="s">
        <v>45</v>
      </c>
      <c r="AE300" s="450" t="s">
        <v>158</v>
      </c>
      <c r="AF300" s="99" t="s">
        <v>121</v>
      </c>
      <c r="AG300" s="99" t="s">
        <v>128</v>
      </c>
      <c r="AH300" s="451" t="s">
        <v>131</v>
      </c>
      <c r="AI300" s="154">
        <v>45200</v>
      </c>
      <c r="AJ300" s="100" t="str">
        <f>IF(AI300&gt;0,
(IF(AI300&lt;Hónapok!$A$10,Admin!$A$28,
(IF(AI300&lt;Hónapok!$A$22,Admin!$B$28,
(IF(AI300&lt;Hónapok!$A$34,Admin!$C$28,
(IF(AI300&lt;Hónapok!$A$46,Admin!$D$28,"")))))))),"")</f>
        <v>3. mérföldkő</v>
      </c>
      <c r="AK300" s="467" t="s">
        <v>8</v>
      </c>
      <c r="AL300" s="101" t="s">
        <v>26</v>
      </c>
      <c r="AM300" s="900">
        <v>300000</v>
      </c>
      <c r="AN300" s="860">
        <f t="shared" si="723"/>
        <v>39000</v>
      </c>
      <c r="AO300" s="101">
        <v>87</v>
      </c>
      <c r="AP300" s="111">
        <v>87</v>
      </c>
      <c r="AQ300" s="454">
        <f t="shared" si="724"/>
        <v>1</v>
      </c>
      <c r="AR300" s="455">
        <f t="shared" si="725"/>
        <v>300000</v>
      </c>
      <c r="AS300" s="455">
        <f t="shared" si="726"/>
        <v>39000</v>
      </c>
      <c r="AT300" s="102">
        <f t="shared" si="727"/>
        <v>0</v>
      </c>
      <c r="AU300" s="116">
        <v>0.13</v>
      </c>
      <c r="AV300" s="565" t="str">
        <f>VLOOKUP(LEFT(AB300,10),Törzsszám!$A$1:$B$908,2,0)</f>
        <v>10001417</v>
      </c>
      <c r="AW300" s="681">
        <f t="shared" ca="1" si="728"/>
        <v>0</v>
      </c>
      <c r="AX300" s="473"/>
      <c r="AY300" s="486"/>
      <c r="AZ300" s="502"/>
      <c r="BA300" s="671"/>
      <c r="BB300" s="649"/>
      <c r="BC300" s="649"/>
      <c r="BD300" s="672"/>
      <c r="BE300" s="450" t="s">
        <v>144</v>
      </c>
    </row>
    <row r="301" spans="1:57" s="457" customFormat="1" ht="31.5" x14ac:dyDescent="0.25">
      <c r="A301" s="694" t="str">
        <f ca="1">Bérköltség!$B301</f>
        <v>FEOR</v>
      </c>
      <c r="B301" s="694" t="str">
        <f ca="1">IFERROR(
IF(AND(Bérköltség!$F301="",H301="NA"),"HIÁNYOS ADATOK",
IF(Bérköltség!$F301&lt;Bérköltség!$U301,Admin!$B$18,Admin!$B$17)),
"")</f>
        <v>FEOR</v>
      </c>
      <c r="C301" s="437">
        <f>IFERROR(INDEX('Historikus berek_2021-2'!$A$1:$F$903,MATCH(AB301,'Historikus berek_2021-2'!$A$1:$A$903,0),4),"")</f>
        <v>304933.33333333331</v>
      </c>
      <c r="D301" s="438">
        <f t="shared" si="705"/>
        <v>304933.33333333331</v>
      </c>
      <c r="E301" s="437">
        <f t="shared" si="706"/>
        <v>300000</v>
      </c>
      <c r="F301" s="439">
        <f t="shared" si="707"/>
        <v>0</v>
      </c>
      <c r="G301" s="440">
        <f t="shared" si="708"/>
        <v>338999.99999999994</v>
      </c>
      <c r="H301" s="441">
        <f>IFERROR(INDEX('FEOR kodok'!$A$2:$J$1126,MATCH(Bérköltség!AB301,'FEOR kodok'!$B$2:$B$1126,0),8),"NA")</f>
        <v>2169</v>
      </c>
      <c r="I301" s="436">
        <f ca="1">IFERROR(INDEX('FEOR kodok'!$A$2:$J$1126,MATCH(Bérköltség!AB301,'FEOR kodok'!$B$2:$B$1126,0),10),"NA")</f>
        <v>38</v>
      </c>
      <c r="J301" s="442" t="str">
        <f t="shared" ca="1" si="709"/>
        <v>30–39 éves</v>
      </c>
      <c r="K301" s="436" t="str">
        <f>IFERROR(INDEX(admin_feor[#All],MATCH(Bérköltség!H301,admin_feor[[#All],[Foglalkozás]],0),2),"NA")</f>
        <v>Egyéb természettudományi foglalkozású</v>
      </c>
      <c r="L301" s="438">
        <f ca="1">IFERROR(
INDEX('Admin - FEOR'!$A$4:$F$465,MATCH(Bérköltség!H301,'Admin - FEOR'!$A$4:$A$465,0),
IF(J301="30 év alatt",3,
IF(J301="30–39 éves",4,
IF(J301="40–49 éves",5,
IF(J301="50 év és afelett",6
)))))*1,"NA")</f>
        <v>641245</v>
      </c>
      <c r="M301" s="438">
        <f t="shared" si="710"/>
        <v>300000</v>
      </c>
      <c r="N301" s="443">
        <f t="shared" ca="1" si="711"/>
        <v>0.4678399051844459</v>
      </c>
      <c r="O301" s="438">
        <f ca="1">IFERROR(
INDEX('Admin - FEOR'!$A$4:$F$465,MATCH(Bérköltség!H301,'Admin - FEOR'!$A$4:$A$465,0),
IF(J301="30 év alatt",3,
IF(J301="30–39 éves",4,
IF(J301="40–49 éves",5,
IF(J301="50 év és afelett",6
)))))*1.5,"NA")</f>
        <v>961867.5</v>
      </c>
      <c r="P301" s="438">
        <f t="shared" ca="1" si="712"/>
        <v>961867.5</v>
      </c>
      <c r="Q301" s="438">
        <f t="shared" si="713"/>
        <v>300000</v>
      </c>
      <c r="R301" s="444">
        <f t="shared" si="714"/>
        <v>1</v>
      </c>
      <c r="S301" s="438">
        <f t="shared" ca="1" si="715"/>
        <v>0</v>
      </c>
      <c r="T301" s="438">
        <f t="shared" ca="1" si="716"/>
        <v>0</v>
      </c>
      <c r="U301" s="445">
        <f t="shared" ca="1" si="717"/>
        <v>0</v>
      </c>
      <c r="V301" s="446">
        <f t="shared" ca="1" si="718"/>
        <v>339000</v>
      </c>
      <c r="W301" s="447" t="str">
        <f t="shared" ca="1" si="719"/>
        <v>Nem szükséges indoklás.</v>
      </c>
      <c r="X301" s="571">
        <f t="shared" ca="1" si="720"/>
        <v>0</v>
      </c>
      <c r="Y301" s="554">
        <f t="shared" ca="1" si="721"/>
        <v>300000</v>
      </c>
      <c r="Z301" s="554">
        <f t="shared" ca="1" si="722"/>
        <v>39000</v>
      </c>
      <c r="AA301" s="101"/>
      <c r="AB301" s="448">
        <v>8434153491</v>
      </c>
      <c r="AC301" s="449" t="s">
        <v>138</v>
      </c>
      <c r="AD301" s="483" t="s">
        <v>45</v>
      </c>
      <c r="AE301" s="450" t="s">
        <v>158</v>
      </c>
      <c r="AF301" s="99" t="s">
        <v>121</v>
      </c>
      <c r="AG301" s="99" t="s">
        <v>128</v>
      </c>
      <c r="AH301" s="451" t="s">
        <v>131</v>
      </c>
      <c r="AI301" s="154">
        <v>45231</v>
      </c>
      <c r="AJ301" s="100" t="str">
        <f>IF(AI301&gt;0,
(IF(AI301&lt;Hónapok!$A$10,Admin!$A$28,
(IF(AI301&lt;Hónapok!$A$22,Admin!$B$28,
(IF(AI301&lt;Hónapok!$A$34,Admin!$C$28,
(IF(AI301&lt;Hónapok!$A$46,Admin!$D$28,"")))))))),"")</f>
        <v>3. mérföldkő</v>
      </c>
      <c r="AK301" s="467" t="s">
        <v>8</v>
      </c>
      <c r="AL301" s="101" t="s">
        <v>26</v>
      </c>
      <c r="AM301" s="900">
        <v>300000</v>
      </c>
      <c r="AN301" s="860">
        <f t="shared" si="723"/>
        <v>39000</v>
      </c>
      <c r="AO301" s="101">
        <v>87</v>
      </c>
      <c r="AP301" s="111">
        <v>87</v>
      </c>
      <c r="AQ301" s="454">
        <f t="shared" si="724"/>
        <v>1</v>
      </c>
      <c r="AR301" s="455">
        <f t="shared" si="725"/>
        <v>300000</v>
      </c>
      <c r="AS301" s="455">
        <f t="shared" si="726"/>
        <v>39000</v>
      </c>
      <c r="AT301" s="102">
        <f t="shared" si="727"/>
        <v>0</v>
      </c>
      <c r="AU301" s="116">
        <v>0.13</v>
      </c>
      <c r="AV301" s="565" t="str">
        <f>VLOOKUP(LEFT(AB301,10),Törzsszám!$A$1:$B$908,2,0)</f>
        <v>10001417</v>
      </c>
      <c r="AW301" s="681">
        <f t="shared" ca="1" si="728"/>
        <v>0</v>
      </c>
      <c r="AX301" s="473"/>
      <c r="AY301" s="486"/>
      <c r="AZ301" s="502"/>
      <c r="BA301" s="671"/>
      <c r="BB301" s="649"/>
      <c r="BC301" s="649"/>
      <c r="BD301" s="672"/>
      <c r="BE301" s="450" t="s">
        <v>144</v>
      </c>
    </row>
    <row r="302" spans="1:57" s="457" customFormat="1" ht="31.5" x14ac:dyDescent="0.25">
      <c r="A302" s="694" t="str">
        <f ca="1">Bérköltség!$B302</f>
        <v>FEOR</v>
      </c>
      <c r="B302" s="694" t="str">
        <f ca="1">IFERROR(
IF(AND(Bérköltség!$F302="",H302="NA"),"HIÁNYOS ADATOK",
IF(Bérköltség!$F302&lt;Bérköltség!$U302,Admin!$B$18,Admin!$B$17)),
"")</f>
        <v>FEOR</v>
      </c>
      <c r="C302" s="437">
        <f>IFERROR(INDEX('Historikus berek_2021-2'!$A$1:$F$903,MATCH(AB302,'Historikus berek_2021-2'!$A$1:$A$903,0),4),"")</f>
        <v>379200</v>
      </c>
      <c r="D302" s="438">
        <f t="shared" ref="D302:D307" si="729">IFERROR(C302*AQ302,"NA")</f>
        <v>379200</v>
      </c>
      <c r="E302" s="437">
        <f t="shared" ref="E302:E307" si="730">AR302</f>
        <v>500000</v>
      </c>
      <c r="F302" s="439">
        <f t="shared" ref="F302:F307" si="731">IFERROR(IF((E302*(1+AU302)-D302*(1+AU302))&lt;0,0,(E302*(1+AU302)-D302*(1+AU302))),"")</f>
        <v>136504.00000000006</v>
      </c>
      <c r="G302" s="440">
        <f t="shared" ref="G302:G307" si="732">IFERROR((E302*(1+AU302)-F302),"")</f>
        <v>428495.99999999994</v>
      </c>
      <c r="H302" s="441">
        <f>IFERROR(INDEX('FEOR kodok'!$A$2:$J$1126,MATCH(Bérköltség!AB302,'FEOR kodok'!$B$2:$B$1126,0),8),"NA")</f>
        <v>2139</v>
      </c>
      <c r="I302" s="436">
        <f ca="1">IFERROR(INDEX('FEOR kodok'!$A$2:$J$1126,MATCH(Bérköltség!AB302,'FEOR kodok'!$B$2:$B$1126,0),10),"NA")</f>
        <v>35</v>
      </c>
      <c r="J302" s="442" t="str">
        <f t="shared" ref="J302:J307" ca="1" si="733">IF(I302="NA","NA",
IF(I302&lt;30,"30 év alatt",
IF(AND(I302&gt;=30,I302&lt;=39),"30–39 éves",
IF(AND(I302&gt;=40,I302&lt;=49),"40–49 éves",
IF(I302&gt;=50,"50 év és afelett",
"")))))</f>
        <v>30–39 éves</v>
      </c>
      <c r="K302" s="436" t="str">
        <f>IFERROR(INDEX(admin_feor[#All],MATCH(Bérköltség!H302,admin_feor[[#All],[Foglalkozás]],0),2),"NA")</f>
        <v>Egyéb, máshova nem sorolható mérnök</v>
      </c>
      <c r="L302" s="438">
        <f ca="1">IFERROR(
INDEX('Admin - FEOR'!$A$4:$F$465,MATCH(Bérköltség!H302,'Admin - FEOR'!$A$4:$A$465,0),
IF(J302="30 év alatt",3,
IF(J302="30–39 éves",4,
IF(J302="40–49 éves",5,
IF(J302="50 év és afelett",6
)))))*1,"NA")</f>
        <v>845378</v>
      </c>
      <c r="M302" s="438">
        <f t="shared" ref="M302:M307" si="734">AM302</f>
        <v>500000</v>
      </c>
      <c r="N302" s="443">
        <f t="shared" ref="N302:N307" ca="1" si="735">IFERROR(
M302/L302,"NA")</f>
        <v>0.59145139807281477</v>
      </c>
      <c r="O302" s="438">
        <f ca="1">IFERROR(
INDEX('Admin - FEOR'!$A$4:$F$465,MATCH(Bérköltség!H302,'Admin - FEOR'!$A$4:$A$465,0),
IF(J302="30 év alatt",3,
IF(J302="30–39 éves",4,
IF(J302="40–49 éves",5,
IF(J302="50 év és afelett",6
)))))*1.5,"NA")</f>
        <v>1268067</v>
      </c>
      <c r="P302" s="438">
        <f t="shared" ref="P302:P307" ca="1" si="736">IFERROR(
AQ302*O302,"NA")</f>
        <v>1268067</v>
      </c>
      <c r="Q302" s="438">
        <f t="shared" ref="Q302:Q307" si="737">IFERROR(AR302,"")</f>
        <v>500000</v>
      </c>
      <c r="R302" s="444">
        <f t="shared" ref="R302:R307" si="738">IFERROR(AQ302,"")</f>
        <v>1</v>
      </c>
      <c r="S302" s="438">
        <f t="shared" ref="S302:S307" ca="1" si="739">IFERROR(
IF(AR302-P302&lt;0,0,AR302-P302),"NA")</f>
        <v>0</v>
      </c>
      <c r="T302" s="438">
        <f t="shared" ref="T302:T307" ca="1" si="740">IFERROR(
S302*AU302,"NA")</f>
        <v>0</v>
      </c>
      <c r="U302" s="445">
        <f t="shared" ref="U302:U307" ca="1" si="741">IFERROR(
S302+T302,"NA")</f>
        <v>0</v>
      </c>
      <c r="V302" s="446">
        <f t="shared" ref="V302:V307" ca="1" si="742">IFERROR(
IF(U302&gt;0,AR302+AS302-U302,AR302+AS302),"NA")</f>
        <v>565000</v>
      </c>
      <c r="W302" s="447" t="str">
        <f t="shared" ref="W302:W307" ca="1" si="743">IF(P302="NA","FEOR hiányzik",
IF(AND(N302&gt;1,A302="FEOR"),CONCATENATE("Indoklás szükséges mivel a FEOR: ",ROUND(N302*100,1),"%"),"Nem szükséges indoklás.")
)</f>
        <v>Nem szükséges indoklás.</v>
      </c>
      <c r="X302" s="571">
        <f t="shared" ca="1" si="720"/>
        <v>0</v>
      </c>
      <c r="Y302" s="554">
        <f t="shared" ref="Y302:Y307" ca="1" si="744">IF(A302="FEOR",ROUND(V302/(1+AU302),0),IF(A302="HIÁNYOS ADATOK","HIÁNYOS ADATOK",ROUND(G302/(1+AU302),0)))</f>
        <v>500000</v>
      </c>
      <c r="Z302" s="554">
        <f t="shared" ref="Z302:Z307" ca="1" si="745">IF(A302="FEOR",ROUND(V302-Y302,0),IF(A302="HIÁNYOS ADATOK","HIÁNYOS ADATOK",ROUND(G302-Y302,0)))</f>
        <v>65000</v>
      </c>
      <c r="AA302" s="101"/>
      <c r="AB302" s="448">
        <v>8442082794</v>
      </c>
      <c r="AC302" s="886" t="s">
        <v>3944</v>
      </c>
      <c r="AD302" s="483" t="s">
        <v>45</v>
      </c>
      <c r="AE302" s="450" t="s">
        <v>22</v>
      </c>
      <c r="AF302" s="99" t="s">
        <v>125</v>
      </c>
      <c r="AG302" s="99" t="s">
        <v>194</v>
      </c>
      <c r="AH302" s="451" t="s">
        <v>131</v>
      </c>
      <c r="AI302" s="154">
        <v>45139</v>
      </c>
      <c r="AJ302" s="100" t="str">
        <f>IF(AI302&gt;0,
(IF(AI302&lt;Hónapok!$A$10,Admin!$A$28,
(IF(AI302&lt;Hónapok!$A$22,Admin!$B$28,
(IF(AI302&lt;Hónapok!$A$34,Admin!$C$28,
(IF(AI302&lt;Hónapok!$A$46,Admin!$D$28,"")))))))),"")</f>
        <v>3. mérföldkő</v>
      </c>
      <c r="AK302" s="467" t="s">
        <v>7</v>
      </c>
      <c r="AL302" s="101" t="s">
        <v>26</v>
      </c>
      <c r="AM302" s="900">
        <v>500000</v>
      </c>
      <c r="AN302" s="860">
        <f t="shared" si="723"/>
        <v>65000</v>
      </c>
      <c r="AO302" s="101">
        <v>174</v>
      </c>
      <c r="AP302" s="111">
        <v>174</v>
      </c>
      <c r="AQ302" s="454">
        <f t="shared" si="724"/>
        <v>1</v>
      </c>
      <c r="AR302" s="455">
        <f t="shared" ref="AR302" si="746">IFERROR(ROUND(AM302*AP302/AO302,0),"")</f>
        <v>500000</v>
      </c>
      <c r="AS302" s="455">
        <f t="shared" ref="AS302" si="747">IFERROR(ROUND(AR302*AU302,0),"")</f>
        <v>65000</v>
      </c>
      <c r="AT302" s="102">
        <f t="shared" ref="AT302" si="748">IFERROR(AP302/AO302-AR302/AM302,"")</f>
        <v>0</v>
      </c>
      <c r="AU302" s="116">
        <v>0.13</v>
      </c>
      <c r="AV302" s="565" t="str">
        <f>VLOOKUP(LEFT(AB302,10),Törzsszám!$A$1:$B$908,2,0)</f>
        <v>10001794</v>
      </c>
      <c r="AW302" s="849">
        <f t="shared" ca="1" si="728"/>
        <v>0</v>
      </c>
      <c r="AX302" s="471" t="s">
        <v>4613</v>
      </c>
      <c r="AY302" s="850"/>
      <c r="AZ302" s="851"/>
      <c r="BA302" s="852"/>
      <c r="BB302" s="853"/>
      <c r="BC302" s="853"/>
      <c r="BD302" s="854"/>
      <c r="BE302" s="450" t="s">
        <v>201</v>
      </c>
    </row>
    <row r="303" spans="1:57" s="457" customFormat="1" ht="31.5" x14ac:dyDescent="0.25">
      <c r="A303" s="694" t="str">
        <f ca="1">Bérköltség!$B303</f>
        <v>FEOR</v>
      </c>
      <c r="B303" s="694" t="str">
        <f ca="1">IFERROR(
IF(AND(Bérköltség!$F303="",H303="NA"),"HIÁNYOS ADATOK",
IF(Bérköltség!$F303&lt;Bérköltség!$U303,Admin!$B$18,Admin!$B$17)),
"")</f>
        <v>FEOR</v>
      </c>
      <c r="C303" s="437">
        <f>IFERROR(INDEX('Historikus berek_2021-2'!$A$1:$F$903,MATCH(AB303,'Historikus berek_2021-2'!$A$1:$A$903,0),4),"")</f>
        <v>379200</v>
      </c>
      <c r="D303" s="438">
        <f t="shared" si="729"/>
        <v>379200</v>
      </c>
      <c r="E303" s="437">
        <f t="shared" si="730"/>
        <v>500000</v>
      </c>
      <c r="F303" s="439">
        <f t="shared" si="731"/>
        <v>136504.00000000006</v>
      </c>
      <c r="G303" s="440">
        <f t="shared" si="732"/>
        <v>428495.99999999994</v>
      </c>
      <c r="H303" s="441">
        <f>IFERROR(INDEX('FEOR kodok'!$A$2:$J$1126,MATCH(Bérköltség!AB303,'FEOR kodok'!$B$2:$B$1126,0),8),"NA")</f>
        <v>2139</v>
      </c>
      <c r="I303" s="436">
        <f ca="1">IFERROR(INDEX('FEOR kodok'!$A$2:$J$1126,MATCH(Bérköltség!AB303,'FEOR kodok'!$B$2:$B$1126,0),10),"NA")</f>
        <v>35</v>
      </c>
      <c r="J303" s="442" t="str">
        <f t="shared" ca="1" si="733"/>
        <v>30–39 éves</v>
      </c>
      <c r="K303" s="436" t="str">
        <f>IFERROR(INDEX(admin_feor[#All],MATCH(Bérköltség!H303,admin_feor[[#All],[Foglalkozás]],0),2),"NA")</f>
        <v>Egyéb, máshova nem sorolható mérnök</v>
      </c>
      <c r="L303" s="438">
        <f ca="1">IFERROR(
INDEX('Admin - FEOR'!$A$4:$F$465,MATCH(Bérköltség!H303,'Admin - FEOR'!$A$4:$A$465,0),
IF(J303="30 év alatt",3,
IF(J303="30–39 éves",4,
IF(J303="40–49 éves",5,
IF(J303="50 év és afelett",6
)))))*1,"NA")</f>
        <v>845378</v>
      </c>
      <c r="M303" s="438">
        <f t="shared" si="734"/>
        <v>500000</v>
      </c>
      <c r="N303" s="443">
        <f t="shared" ca="1" si="735"/>
        <v>0.59145139807281477</v>
      </c>
      <c r="O303" s="438">
        <f ca="1">IFERROR(
INDEX('Admin - FEOR'!$A$4:$F$465,MATCH(Bérköltség!H303,'Admin - FEOR'!$A$4:$A$465,0),
IF(J303="30 év alatt",3,
IF(J303="30–39 éves",4,
IF(J303="40–49 éves",5,
IF(J303="50 év és afelett",6
)))))*1.5,"NA")</f>
        <v>1268067</v>
      </c>
      <c r="P303" s="438">
        <f t="shared" ca="1" si="736"/>
        <v>1268067</v>
      </c>
      <c r="Q303" s="438">
        <f t="shared" si="737"/>
        <v>500000</v>
      </c>
      <c r="R303" s="444">
        <f t="shared" si="738"/>
        <v>1</v>
      </c>
      <c r="S303" s="438">
        <f t="shared" ca="1" si="739"/>
        <v>0</v>
      </c>
      <c r="T303" s="438">
        <f t="shared" ca="1" si="740"/>
        <v>0</v>
      </c>
      <c r="U303" s="445">
        <f t="shared" ca="1" si="741"/>
        <v>0</v>
      </c>
      <c r="V303" s="446">
        <f t="shared" ca="1" si="742"/>
        <v>565000</v>
      </c>
      <c r="W303" s="447" t="str">
        <f t="shared" ca="1" si="743"/>
        <v>Nem szükséges indoklás.</v>
      </c>
      <c r="X303" s="571">
        <f t="shared" ca="1" si="720"/>
        <v>0</v>
      </c>
      <c r="Y303" s="554">
        <f t="shared" ca="1" si="744"/>
        <v>500000</v>
      </c>
      <c r="Z303" s="554">
        <f t="shared" ca="1" si="745"/>
        <v>65000</v>
      </c>
      <c r="AA303" s="101"/>
      <c r="AB303" s="448">
        <v>8442082794</v>
      </c>
      <c r="AC303" s="886" t="s">
        <v>3944</v>
      </c>
      <c r="AD303" s="483" t="s">
        <v>45</v>
      </c>
      <c r="AE303" s="450" t="s">
        <v>22</v>
      </c>
      <c r="AF303" s="99" t="s">
        <v>125</v>
      </c>
      <c r="AG303" s="99" t="s">
        <v>194</v>
      </c>
      <c r="AH303" s="451" t="s">
        <v>131</v>
      </c>
      <c r="AI303" s="154">
        <v>45170</v>
      </c>
      <c r="AJ303" s="100" t="str">
        <f>IF(AI303&gt;0,
(IF(AI303&lt;Hónapok!$A$10,Admin!$A$28,
(IF(AI303&lt;Hónapok!$A$22,Admin!$B$28,
(IF(AI303&lt;Hónapok!$A$34,Admin!$C$28,
(IF(AI303&lt;Hónapok!$A$46,Admin!$D$28,"")))))))),"")</f>
        <v>3. mérföldkő</v>
      </c>
      <c r="AK303" s="467" t="s">
        <v>7</v>
      </c>
      <c r="AL303" s="101" t="s">
        <v>26</v>
      </c>
      <c r="AM303" s="900">
        <v>500000</v>
      </c>
      <c r="AN303" s="860">
        <f t="shared" si="723"/>
        <v>65000</v>
      </c>
      <c r="AO303" s="101">
        <v>174</v>
      </c>
      <c r="AP303" s="111">
        <v>174</v>
      </c>
      <c r="AQ303" s="454">
        <f t="shared" si="724"/>
        <v>1</v>
      </c>
      <c r="AR303" s="455">
        <f t="shared" ref="AR303:AR307" si="749">IFERROR(ROUND(AM303*AP303/AO303,0),"")</f>
        <v>500000</v>
      </c>
      <c r="AS303" s="455">
        <f t="shared" ref="AS303:AS307" si="750">IFERROR(ROUND(AR303*AU303,0),"")</f>
        <v>65000</v>
      </c>
      <c r="AT303" s="102">
        <f t="shared" ref="AT303:AT307" si="751">IFERROR(AP303/AO303-AR303/AM303,"")</f>
        <v>0</v>
      </c>
      <c r="AU303" s="116">
        <v>0.13</v>
      </c>
      <c r="AV303" s="565" t="str">
        <f>VLOOKUP(LEFT(AB303,10),Törzsszám!$A$1:$B$908,2,0)</f>
        <v>10001794</v>
      </c>
      <c r="AW303" s="849">
        <f t="shared" ca="1" si="728"/>
        <v>0</v>
      </c>
      <c r="AX303" s="471" t="s">
        <v>4618</v>
      </c>
      <c r="AY303" s="850"/>
      <c r="AZ303" s="851"/>
      <c r="BA303" s="852"/>
      <c r="BB303" s="853"/>
      <c r="BC303" s="853"/>
      <c r="BD303" s="854"/>
      <c r="BE303" s="450" t="s">
        <v>201</v>
      </c>
    </row>
    <row r="304" spans="1:57" s="457" customFormat="1" ht="31.5" x14ac:dyDescent="0.25">
      <c r="A304" s="694" t="str">
        <f ca="1">Bérköltség!$B304</f>
        <v>FEOR</v>
      </c>
      <c r="B304" s="694" t="str">
        <f ca="1">IFERROR(
IF(AND(Bérköltség!$F304="",H304="NA"),"HIÁNYOS ADATOK",
IF(Bérköltség!$F304&lt;Bérköltség!$U304,Admin!$B$18,Admin!$B$17)),
"")</f>
        <v>FEOR</v>
      </c>
      <c r="C304" s="437">
        <f>IFERROR(INDEX('Historikus berek_2021-2'!$A$1:$F$903,MATCH(AB304,'Historikus berek_2021-2'!$A$1:$A$903,0),4),"")</f>
        <v>379200</v>
      </c>
      <c r="D304" s="438">
        <f t="shared" si="729"/>
        <v>379200</v>
      </c>
      <c r="E304" s="437">
        <f t="shared" si="730"/>
        <v>500000</v>
      </c>
      <c r="F304" s="439">
        <f t="shared" si="731"/>
        <v>136504.00000000006</v>
      </c>
      <c r="G304" s="440">
        <f t="shared" si="732"/>
        <v>428495.99999999994</v>
      </c>
      <c r="H304" s="441">
        <f>IFERROR(INDEX('FEOR kodok'!$A$2:$J$1126,MATCH(Bérköltség!AB304,'FEOR kodok'!$B$2:$B$1126,0),8),"NA")</f>
        <v>2139</v>
      </c>
      <c r="I304" s="436">
        <f ca="1">IFERROR(INDEX('FEOR kodok'!$A$2:$J$1126,MATCH(Bérköltség!AB304,'FEOR kodok'!$B$2:$B$1126,0),10),"NA")</f>
        <v>35</v>
      </c>
      <c r="J304" s="442" t="str">
        <f t="shared" ca="1" si="733"/>
        <v>30–39 éves</v>
      </c>
      <c r="K304" s="436" t="str">
        <f>IFERROR(INDEX(admin_feor[#All],MATCH(Bérköltség!H304,admin_feor[[#All],[Foglalkozás]],0),2),"NA")</f>
        <v>Egyéb, máshova nem sorolható mérnök</v>
      </c>
      <c r="L304" s="438">
        <f ca="1">IFERROR(
INDEX('Admin - FEOR'!$A$4:$F$465,MATCH(Bérköltség!H304,'Admin - FEOR'!$A$4:$A$465,0),
IF(J304="30 év alatt",3,
IF(J304="30–39 éves",4,
IF(J304="40–49 éves",5,
IF(J304="50 év és afelett",6
)))))*1,"NA")</f>
        <v>845378</v>
      </c>
      <c r="M304" s="438">
        <f t="shared" si="734"/>
        <v>500000</v>
      </c>
      <c r="N304" s="443">
        <f t="shared" ca="1" si="735"/>
        <v>0.59145139807281477</v>
      </c>
      <c r="O304" s="438">
        <f ca="1">IFERROR(
INDEX('Admin - FEOR'!$A$4:$F$465,MATCH(Bérköltség!H304,'Admin - FEOR'!$A$4:$A$465,0),
IF(J304="30 év alatt",3,
IF(J304="30–39 éves",4,
IF(J304="40–49 éves",5,
IF(J304="50 év és afelett",6
)))))*1.5,"NA")</f>
        <v>1268067</v>
      </c>
      <c r="P304" s="438">
        <f t="shared" ca="1" si="736"/>
        <v>1268067</v>
      </c>
      <c r="Q304" s="438">
        <f t="shared" si="737"/>
        <v>500000</v>
      </c>
      <c r="R304" s="444">
        <f t="shared" si="738"/>
        <v>1</v>
      </c>
      <c r="S304" s="438">
        <f t="shared" ca="1" si="739"/>
        <v>0</v>
      </c>
      <c r="T304" s="438">
        <f t="shared" ca="1" si="740"/>
        <v>0</v>
      </c>
      <c r="U304" s="445">
        <f t="shared" ca="1" si="741"/>
        <v>0</v>
      </c>
      <c r="V304" s="446">
        <f t="shared" ca="1" si="742"/>
        <v>565000</v>
      </c>
      <c r="W304" s="447" t="str">
        <f t="shared" ca="1" si="743"/>
        <v>Nem szükséges indoklás.</v>
      </c>
      <c r="X304" s="571">
        <f t="shared" ca="1" si="720"/>
        <v>0</v>
      </c>
      <c r="Y304" s="554">
        <f t="shared" ca="1" si="744"/>
        <v>500000</v>
      </c>
      <c r="Z304" s="554">
        <f t="shared" ca="1" si="745"/>
        <v>65000</v>
      </c>
      <c r="AA304" s="101"/>
      <c r="AB304" s="448">
        <v>8442082794</v>
      </c>
      <c r="AC304" s="886" t="s">
        <v>3944</v>
      </c>
      <c r="AD304" s="483" t="s">
        <v>45</v>
      </c>
      <c r="AE304" s="450" t="s">
        <v>22</v>
      </c>
      <c r="AF304" s="99" t="s">
        <v>125</v>
      </c>
      <c r="AG304" s="99" t="s">
        <v>194</v>
      </c>
      <c r="AH304" s="451" t="s">
        <v>131</v>
      </c>
      <c r="AI304" s="154">
        <v>45200</v>
      </c>
      <c r="AJ304" s="100" t="str">
        <f>IF(AI304&gt;0,
(IF(AI304&lt;Hónapok!$A$10,Admin!$A$28,
(IF(AI304&lt;Hónapok!$A$22,Admin!$B$28,
(IF(AI304&lt;Hónapok!$A$34,Admin!$C$28,
(IF(AI304&lt;Hónapok!$A$46,Admin!$D$28,"")))))))),"")</f>
        <v>3. mérföldkő</v>
      </c>
      <c r="AK304" s="467" t="s">
        <v>8</v>
      </c>
      <c r="AL304" s="101" t="s">
        <v>26</v>
      </c>
      <c r="AM304" s="900">
        <v>500000</v>
      </c>
      <c r="AN304" s="860">
        <f t="shared" si="723"/>
        <v>65000</v>
      </c>
      <c r="AO304" s="101">
        <v>174</v>
      </c>
      <c r="AP304" s="111">
        <v>174</v>
      </c>
      <c r="AQ304" s="454">
        <f t="shared" si="724"/>
        <v>1</v>
      </c>
      <c r="AR304" s="455">
        <f t="shared" si="749"/>
        <v>500000</v>
      </c>
      <c r="AS304" s="455">
        <f t="shared" si="750"/>
        <v>65000</v>
      </c>
      <c r="AT304" s="102">
        <f t="shared" si="751"/>
        <v>0</v>
      </c>
      <c r="AU304" s="116">
        <v>0.13</v>
      </c>
      <c r="AV304" s="565" t="str">
        <f>VLOOKUP(LEFT(AB304,10),Törzsszám!$A$1:$B$908,2,0)</f>
        <v>10001794</v>
      </c>
      <c r="AW304" s="849">
        <f t="shared" ca="1" si="728"/>
        <v>0</v>
      </c>
      <c r="AX304" s="473"/>
      <c r="AY304" s="850"/>
      <c r="AZ304" s="851"/>
      <c r="BA304" s="852"/>
      <c r="BB304" s="853"/>
      <c r="BC304" s="853"/>
      <c r="BD304" s="854"/>
      <c r="BE304" s="450" t="s">
        <v>201</v>
      </c>
    </row>
    <row r="305" spans="1:57" s="457" customFormat="1" ht="31.5" x14ac:dyDescent="0.25">
      <c r="A305" s="694" t="str">
        <f ca="1">Bérköltség!$B305</f>
        <v>FEOR</v>
      </c>
      <c r="B305" s="694" t="str">
        <f ca="1">IFERROR(
IF(AND(Bérköltség!$F305="",H305="NA"),"HIÁNYOS ADATOK",
IF(Bérköltség!$F305&lt;Bérköltség!$U305,Admin!$B$18,Admin!$B$17)),
"")</f>
        <v>FEOR</v>
      </c>
      <c r="C305" s="437">
        <f>IFERROR(INDEX('Historikus berek_2021-2'!$A$1:$F$903,MATCH(AB305,'Historikus berek_2021-2'!$A$1:$A$903,0),4),"")</f>
        <v>379200</v>
      </c>
      <c r="D305" s="438">
        <f t="shared" si="729"/>
        <v>379200</v>
      </c>
      <c r="E305" s="437">
        <f t="shared" si="730"/>
        <v>500000</v>
      </c>
      <c r="F305" s="439">
        <f t="shared" si="731"/>
        <v>136504.00000000006</v>
      </c>
      <c r="G305" s="440">
        <f t="shared" si="732"/>
        <v>428495.99999999994</v>
      </c>
      <c r="H305" s="441">
        <f>IFERROR(INDEX('FEOR kodok'!$A$2:$J$1126,MATCH(Bérköltség!AB305,'FEOR kodok'!$B$2:$B$1126,0),8),"NA")</f>
        <v>2139</v>
      </c>
      <c r="I305" s="436">
        <f ca="1">IFERROR(INDEX('FEOR kodok'!$A$2:$J$1126,MATCH(Bérköltség!AB305,'FEOR kodok'!$B$2:$B$1126,0),10),"NA")</f>
        <v>35</v>
      </c>
      <c r="J305" s="442" t="str">
        <f t="shared" ca="1" si="733"/>
        <v>30–39 éves</v>
      </c>
      <c r="K305" s="436" t="str">
        <f>IFERROR(INDEX(admin_feor[#All],MATCH(Bérköltség!H305,admin_feor[[#All],[Foglalkozás]],0),2),"NA")</f>
        <v>Egyéb, máshova nem sorolható mérnök</v>
      </c>
      <c r="L305" s="438">
        <f ca="1">IFERROR(
INDEX('Admin - FEOR'!$A$4:$F$465,MATCH(Bérköltség!H305,'Admin - FEOR'!$A$4:$A$465,0),
IF(J305="30 év alatt",3,
IF(J305="30–39 éves",4,
IF(J305="40–49 éves",5,
IF(J305="50 év és afelett",6
)))))*1,"NA")</f>
        <v>845378</v>
      </c>
      <c r="M305" s="438">
        <f t="shared" si="734"/>
        <v>500000</v>
      </c>
      <c r="N305" s="443">
        <f t="shared" ca="1" si="735"/>
        <v>0.59145139807281477</v>
      </c>
      <c r="O305" s="438">
        <f ca="1">IFERROR(
INDEX('Admin - FEOR'!$A$4:$F$465,MATCH(Bérköltség!H305,'Admin - FEOR'!$A$4:$A$465,0),
IF(J305="30 év alatt",3,
IF(J305="30–39 éves",4,
IF(J305="40–49 éves",5,
IF(J305="50 év és afelett",6
)))))*1.5,"NA")</f>
        <v>1268067</v>
      </c>
      <c r="P305" s="438">
        <f t="shared" ca="1" si="736"/>
        <v>1268067</v>
      </c>
      <c r="Q305" s="438">
        <f t="shared" si="737"/>
        <v>500000</v>
      </c>
      <c r="R305" s="444">
        <f t="shared" si="738"/>
        <v>1</v>
      </c>
      <c r="S305" s="438">
        <f t="shared" ca="1" si="739"/>
        <v>0</v>
      </c>
      <c r="T305" s="438">
        <f t="shared" ca="1" si="740"/>
        <v>0</v>
      </c>
      <c r="U305" s="445">
        <f t="shared" ca="1" si="741"/>
        <v>0</v>
      </c>
      <c r="V305" s="446">
        <f t="shared" ca="1" si="742"/>
        <v>565000</v>
      </c>
      <c r="W305" s="447" t="str">
        <f t="shared" ca="1" si="743"/>
        <v>Nem szükséges indoklás.</v>
      </c>
      <c r="X305" s="571">
        <f t="shared" ca="1" si="720"/>
        <v>0</v>
      </c>
      <c r="Y305" s="554">
        <f t="shared" ca="1" si="744"/>
        <v>500000</v>
      </c>
      <c r="Z305" s="554">
        <f t="shared" ca="1" si="745"/>
        <v>65000</v>
      </c>
      <c r="AA305" s="101"/>
      <c r="AB305" s="448">
        <v>8442082794</v>
      </c>
      <c r="AC305" s="886" t="s">
        <v>3944</v>
      </c>
      <c r="AD305" s="483" t="s">
        <v>45</v>
      </c>
      <c r="AE305" s="450" t="s">
        <v>22</v>
      </c>
      <c r="AF305" s="99" t="s">
        <v>125</v>
      </c>
      <c r="AG305" s="99" t="s">
        <v>194</v>
      </c>
      <c r="AH305" s="451" t="s">
        <v>131</v>
      </c>
      <c r="AI305" s="154">
        <v>45231</v>
      </c>
      <c r="AJ305" s="100" t="str">
        <f>IF(AI305&gt;0,
(IF(AI305&lt;Hónapok!$A$10,Admin!$A$28,
(IF(AI305&lt;Hónapok!$A$22,Admin!$B$28,
(IF(AI305&lt;Hónapok!$A$34,Admin!$C$28,
(IF(AI305&lt;Hónapok!$A$46,Admin!$D$28,"")))))))),"")</f>
        <v>3. mérföldkő</v>
      </c>
      <c r="AK305" s="467" t="s">
        <v>8</v>
      </c>
      <c r="AL305" s="101" t="s">
        <v>26</v>
      </c>
      <c r="AM305" s="900">
        <v>500000</v>
      </c>
      <c r="AN305" s="860">
        <f t="shared" si="723"/>
        <v>65000</v>
      </c>
      <c r="AO305" s="101">
        <v>174</v>
      </c>
      <c r="AP305" s="111">
        <v>174</v>
      </c>
      <c r="AQ305" s="454">
        <f t="shared" si="724"/>
        <v>1</v>
      </c>
      <c r="AR305" s="455">
        <f t="shared" si="749"/>
        <v>500000</v>
      </c>
      <c r="AS305" s="455">
        <f t="shared" si="750"/>
        <v>65000</v>
      </c>
      <c r="AT305" s="102">
        <f t="shared" si="751"/>
        <v>0</v>
      </c>
      <c r="AU305" s="116">
        <v>0.13</v>
      </c>
      <c r="AV305" s="565" t="str">
        <f>VLOOKUP(LEFT(AB305,10),Törzsszám!$A$1:$B$908,2,0)</f>
        <v>10001794</v>
      </c>
      <c r="AW305" s="849">
        <f t="shared" ca="1" si="728"/>
        <v>0</v>
      </c>
      <c r="AX305" s="473"/>
      <c r="AY305" s="850"/>
      <c r="AZ305" s="851"/>
      <c r="BA305" s="852"/>
      <c r="BB305" s="853"/>
      <c r="BC305" s="853"/>
      <c r="BD305" s="854"/>
      <c r="BE305" s="450" t="s">
        <v>201</v>
      </c>
    </row>
    <row r="306" spans="1:57" s="457" customFormat="1" ht="31.5" x14ac:dyDescent="0.25">
      <c r="A306" s="694" t="str">
        <f ca="1">Bérköltség!$B306</f>
        <v>FEOR</v>
      </c>
      <c r="B306" s="694" t="str">
        <f ca="1">IFERROR(
IF(AND(Bérköltség!$F306="",H306="NA"),"HIÁNYOS ADATOK",
IF(Bérköltség!$F306&lt;Bérköltség!$U306,Admin!$B$18,Admin!$B$17)),
"")</f>
        <v>FEOR</v>
      </c>
      <c r="C306" s="437">
        <f>IFERROR(INDEX('Historikus berek_2021-2'!$A$1:$F$903,MATCH(AB306,'Historikus berek_2021-2'!$A$1:$A$903,0),4),"")</f>
        <v>379200</v>
      </c>
      <c r="D306" s="438">
        <f t="shared" si="729"/>
        <v>379200</v>
      </c>
      <c r="E306" s="437">
        <f t="shared" si="730"/>
        <v>500000</v>
      </c>
      <c r="F306" s="439">
        <f t="shared" si="731"/>
        <v>136504.00000000006</v>
      </c>
      <c r="G306" s="440">
        <f t="shared" si="732"/>
        <v>428495.99999999994</v>
      </c>
      <c r="H306" s="441">
        <f>IFERROR(INDEX('FEOR kodok'!$A$2:$J$1126,MATCH(Bérköltség!AB306,'FEOR kodok'!$B$2:$B$1126,0),8),"NA")</f>
        <v>2139</v>
      </c>
      <c r="I306" s="436">
        <f ca="1">IFERROR(INDEX('FEOR kodok'!$A$2:$J$1126,MATCH(Bérköltség!AB306,'FEOR kodok'!$B$2:$B$1126,0),10),"NA")</f>
        <v>35</v>
      </c>
      <c r="J306" s="442" t="str">
        <f t="shared" ca="1" si="733"/>
        <v>30–39 éves</v>
      </c>
      <c r="K306" s="436" t="str">
        <f>IFERROR(INDEX(admin_feor[#All],MATCH(Bérköltség!H306,admin_feor[[#All],[Foglalkozás]],0),2),"NA")</f>
        <v>Egyéb, máshova nem sorolható mérnök</v>
      </c>
      <c r="L306" s="438">
        <f ca="1">IFERROR(
INDEX('Admin - FEOR'!$A$4:$F$465,MATCH(Bérköltség!H306,'Admin - FEOR'!$A$4:$A$465,0),
IF(J306="30 év alatt",3,
IF(J306="30–39 éves",4,
IF(J306="40–49 éves",5,
IF(J306="50 év és afelett",6
)))))*1,"NA")</f>
        <v>845378</v>
      </c>
      <c r="M306" s="438">
        <f t="shared" si="734"/>
        <v>500000</v>
      </c>
      <c r="N306" s="443">
        <f t="shared" ca="1" si="735"/>
        <v>0.59145139807281477</v>
      </c>
      <c r="O306" s="438">
        <f ca="1">IFERROR(
INDEX('Admin - FEOR'!$A$4:$F$465,MATCH(Bérköltség!H306,'Admin - FEOR'!$A$4:$A$465,0),
IF(J306="30 év alatt",3,
IF(J306="30–39 éves",4,
IF(J306="40–49 éves",5,
IF(J306="50 év és afelett",6
)))))*1.5,"NA")</f>
        <v>1268067</v>
      </c>
      <c r="P306" s="438">
        <f t="shared" ca="1" si="736"/>
        <v>1268067</v>
      </c>
      <c r="Q306" s="438">
        <f t="shared" si="737"/>
        <v>500000</v>
      </c>
      <c r="R306" s="444">
        <f t="shared" si="738"/>
        <v>1</v>
      </c>
      <c r="S306" s="438">
        <f t="shared" ca="1" si="739"/>
        <v>0</v>
      </c>
      <c r="T306" s="438">
        <f t="shared" ca="1" si="740"/>
        <v>0</v>
      </c>
      <c r="U306" s="445">
        <f t="shared" ca="1" si="741"/>
        <v>0</v>
      </c>
      <c r="V306" s="446">
        <f t="shared" ca="1" si="742"/>
        <v>565000</v>
      </c>
      <c r="W306" s="447" t="str">
        <f t="shared" ca="1" si="743"/>
        <v>Nem szükséges indoklás.</v>
      </c>
      <c r="X306" s="571">
        <f t="shared" ca="1" si="720"/>
        <v>0</v>
      </c>
      <c r="Y306" s="554">
        <f t="shared" ca="1" si="744"/>
        <v>500000</v>
      </c>
      <c r="Z306" s="554">
        <f t="shared" ca="1" si="745"/>
        <v>65000</v>
      </c>
      <c r="AA306" s="101"/>
      <c r="AB306" s="448">
        <v>8442082794</v>
      </c>
      <c r="AC306" s="886" t="s">
        <v>3944</v>
      </c>
      <c r="AD306" s="483" t="s">
        <v>45</v>
      </c>
      <c r="AE306" s="450" t="s">
        <v>22</v>
      </c>
      <c r="AF306" s="99" t="s">
        <v>125</v>
      </c>
      <c r="AG306" s="99" t="s">
        <v>194</v>
      </c>
      <c r="AH306" s="451" t="s">
        <v>131</v>
      </c>
      <c r="AI306" s="154">
        <v>45261</v>
      </c>
      <c r="AJ306" s="100" t="str">
        <f>IF(AI306&gt;0,
(IF(AI306&lt;Hónapok!$A$10,Admin!$A$28,
(IF(AI306&lt;Hónapok!$A$22,Admin!$B$28,
(IF(AI306&lt;Hónapok!$A$34,Admin!$C$28,
(IF(AI306&lt;Hónapok!$A$46,Admin!$D$28,"")))))))),"")</f>
        <v>3. mérföldkő</v>
      </c>
      <c r="AK306" s="467" t="s">
        <v>8</v>
      </c>
      <c r="AL306" s="101" t="s">
        <v>26</v>
      </c>
      <c r="AM306" s="900">
        <v>500000</v>
      </c>
      <c r="AN306" s="860">
        <f t="shared" si="723"/>
        <v>65000</v>
      </c>
      <c r="AO306" s="101">
        <v>174</v>
      </c>
      <c r="AP306" s="111">
        <v>174</v>
      </c>
      <c r="AQ306" s="454">
        <f t="shared" si="724"/>
        <v>1</v>
      </c>
      <c r="AR306" s="455">
        <f t="shared" si="749"/>
        <v>500000</v>
      </c>
      <c r="AS306" s="455">
        <f t="shared" si="750"/>
        <v>65000</v>
      </c>
      <c r="AT306" s="102">
        <f t="shared" si="751"/>
        <v>0</v>
      </c>
      <c r="AU306" s="116">
        <v>0.13</v>
      </c>
      <c r="AV306" s="565" t="str">
        <f>VLOOKUP(LEFT(AB306,10),Törzsszám!$A$1:$B$908,2,0)</f>
        <v>10001794</v>
      </c>
      <c r="AW306" s="849">
        <f t="shared" ca="1" si="728"/>
        <v>0</v>
      </c>
      <c r="AX306" s="473"/>
      <c r="AY306" s="850"/>
      <c r="AZ306" s="851"/>
      <c r="BA306" s="852"/>
      <c r="BB306" s="853"/>
      <c r="BC306" s="853"/>
      <c r="BD306" s="854"/>
      <c r="BE306" s="450" t="s">
        <v>201</v>
      </c>
    </row>
    <row r="307" spans="1:57" s="457" customFormat="1" ht="31.5" x14ac:dyDescent="0.25">
      <c r="A307" s="694" t="str">
        <f ca="1">Bérköltség!$B307</f>
        <v>FEOR</v>
      </c>
      <c r="B307" s="694" t="str">
        <f ca="1">IFERROR(
IF(AND(Bérköltség!$F307="",H307="NA"),"HIÁNYOS ADATOK",
IF(Bérköltség!$F307&lt;Bérköltség!$U307,Admin!$B$18,Admin!$B$17)),
"")</f>
        <v>FEOR</v>
      </c>
      <c r="C307" s="437">
        <f>IFERROR(INDEX('Historikus berek_2021-2'!$A$1:$F$903,MATCH(AB307,'Historikus berek_2021-2'!$A$1:$A$903,0),4),"")</f>
        <v>379200</v>
      </c>
      <c r="D307" s="438">
        <f t="shared" si="729"/>
        <v>379200</v>
      </c>
      <c r="E307" s="437">
        <f t="shared" si="730"/>
        <v>500000</v>
      </c>
      <c r="F307" s="439">
        <f t="shared" si="731"/>
        <v>136504.00000000006</v>
      </c>
      <c r="G307" s="440">
        <f t="shared" si="732"/>
        <v>428495.99999999994</v>
      </c>
      <c r="H307" s="441">
        <f>IFERROR(INDEX('FEOR kodok'!$A$2:$J$1126,MATCH(Bérköltség!AB307,'FEOR kodok'!$B$2:$B$1126,0),8),"NA")</f>
        <v>2139</v>
      </c>
      <c r="I307" s="436">
        <f ca="1">IFERROR(INDEX('FEOR kodok'!$A$2:$J$1126,MATCH(Bérköltség!AB307,'FEOR kodok'!$B$2:$B$1126,0),10),"NA")</f>
        <v>35</v>
      </c>
      <c r="J307" s="442" t="str">
        <f t="shared" ca="1" si="733"/>
        <v>30–39 éves</v>
      </c>
      <c r="K307" s="436" t="str">
        <f>IFERROR(INDEX(admin_feor[#All],MATCH(Bérköltség!H307,admin_feor[[#All],[Foglalkozás]],0),2),"NA")</f>
        <v>Egyéb, máshova nem sorolható mérnök</v>
      </c>
      <c r="L307" s="438">
        <f ca="1">IFERROR(
INDEX('Admin - FEOR'!$A$4:$F$465,MATCH(Bérköltség!H307,'Admin - FEOR'!$A$4:$A$465,0),
IF(J307="30 év alatt",3,
IF(J307="30–39 éves",4,
IF(J307="40–49 éves",5,
IF(J307="50 év és afelett",6
)))))*1,"NA")</f>
        <v>845378</v>
      </c>
      <c r="M307" s="438">
        <f t="shared" si="734"/>
        <v>500000</v>
      </c>
      <c r="N307" s="443">
        <f t="shared" ca="1" si="735"/>
        <v>0.59145139807281477</v>
      </c>
      <c r="O307" s="438">
        <f ca="1">IFERROR(
INDEX('Admin - FEOR'!$A$4:$F$465,MATCH(Bérköltség!H307,'Admin - FEOR'!$A$4:$A$465,0),
IF(J307="30 év alatt",3,
IF(J307="30–39 éves",4,
IF(J307="40–49 éves",5,
IF(J307="50 év és afelett",6
)))))*1.5,"NA")</f>
        <v>1268067</v>
      </c>
      <c r="P307" s="438">
        <f t="shared" ca="1" si="736"/>
        <v>1268067</v>
      </c>
      <c r="Q307" s="438">
        <f t="shared" si="737"/>
        <v>500000</v>
      </c>
      <c r="R307" s="444">
        <f t="shared" si="738"/>
        <v>1</v>
      </c>
      <c r="S307" s="438">
        <f t="shared" ca="1" si="739"/>
        <v>0</v>
      </c>
      <c r="T307" s="438">
        <f t="shared" ca="1" si="740"/>
        <v>0</v>
      </c>
      <c r="U307" s="445">
        <f t="shared" ca="1" si="741"/>
        <v>0</v>
      </c>
      <c r="V307" s="446">
        <f t="shared" ca="1" si="742"/>
        <v>565000</v>
      </c>
      <c r="W307" s="447" t="str">
        <f t="shared" ca="1" si="743"/>
        <v>Nem szükséges indoklás.</v>
      </c>
      <c r="X307" s="571">
        <f t="shared" ca="1" si="720"/>
        <v>0</v>
      </c>
      <c r="Y307" s="554">
        <f t="shared" ca="1" si="744"/>
        <v>500000</v>
      </c>
      <c r="Z307" s="554">
        <f t="shared" ca="1" si="745"/>
        <v>65000</v>
      </c>
      <c r="AA307" s="101"/>
      <c r="AB307" s="448">
        <v>8442082794</v>
      </c>
      <c r="AC307" s="886" t="s">
        <v>3944</v>
      </c>
      <c r="AD307" s="483" t="s">
        <v>45</v>
      </c>
      <c r="AE307" s="450" t="s">
        <v>22</v>
      </c>
      <c r="AF307" s="99" t="s">
        <v>125</v>
      </c>
      <c r="AG307" s="99" t="s">
        <v>194</v>
      </c>
      <c r="AH307" s="451" t="s">
        <v>131</v>
      </c>
      <c r="AI307" s="154">
        <v>45292</v>
      </c>
      <c r="AJ307" s="100" t="str">
        <f>IF(AI307&gt;0,
(IF(AI307&lt;Hónapok!$A$10,Admin!$A$28,
(IF(AI307&lt;Hónapok!$A$22,Admin!$B$28,
(IF(AI307&lt;Hónapok!$A$34,Admin!$C$28,
(IF(AI307&lt;Hónapok!$A$46,Admin!$D$28,"")))))))),"")</f>
        <v>3. mérföldkő</v>
      </c>
      <c r="AK307" s="467" t="s">
        <v>8</v>
      </c>
      <c r="AL307" s="101" t="s">
        <v>26</v>
      </c>
      <c r="AM307" s="900">
        <v>500000</v>
      </c>
      <c r="AN307" s="860">
        <f t="shared" si="723"/>
        <v>65000</v>
      </c>
      <c r="AO307" s="101">
        <v>174</v>
      </c>
      <c r="AP307" s="111">
        <v>174</v>
      </c>
      <c r="AQ307" s="454">
        <f t="shared" si="724"/>
        <v>1</v>
      </c>
      <c r="AR307" s="455">
        <f t="shared" si="749"/>
        <v>500000</v>
      </c>
      <c r="AS307" s="455">
        <f t="shared" si="750"/>
        <v>65000</v>
      </c>
      <c r="AT307" s="102">
        <f t="shared" si="751"/>
        <v>0</v>
      </c>
      <c r="AU307" s="116">
        <v>0.13</v>
      </c>
      <c r="AV307" s="565" t="str">
        <f>VLOOKUP(LEFT(AB307,10),Törzsszám!$A$1:$B$908,2,0)</f>
        <v>10001794</v>
      </c>
      <c r="AW307" s="849">
        <f t="shared" ca="1" si="728"/>
        <v>0</v>
      </c>
      <c r="AX307" s="473"/>
      <c r="AY307" s="850"/>
      <c r="AZ307" s="851"/>
      <c r="BA307" s="852"/>
      <c r="BB307" s="853"/>
      <c r="BC307" s="853"/>
      <c r="BD307" s="854"/>
      <c r="BE307" s="450" t="s">
        <v>201</v>
      </c>
    </row>
    <row r="308" spans="1:57" s="457" customFormat="1" ht="31.5" x14ac:dyDescent="0.25">
      <c r="A308" s="694" t="str">
        <f ca="1">Bérköltség!$B308</f>
        <v>FEOR</v>
      </c>
      <c r="B308" s="694" t="str">
        <f ca="1">IFERROR(
IF(AND(Bérköltség!$F308="",H308="NA"),"HIÁNYOS ADATOK",
IF(Bérköltség!$F308&lt;Bérköltség!$U308,Admin!$B$18,Admin!$B$17)),
"")</f>
        <v>FEOR</v>
      </c>
      <c r="C308" s="437" t="str">
        <f>IFERROR(INDEX('Historikus berek_2021-2'!$A$1:$F$903,MATCH(AB308,'Historikus berek_2021-2'!$A$1:$A$903,0),4),"")</f>
        <v/>
      </c>
      <c r="D308" s="438" t="str">
        <f t="shared" si="564"/>
        <v>NA</v>
      </c>
      <c r="E308" s="437">
        <f t="shared" si="565"/>
        <v>120000</v>
      </c>
      <c r="F308" s="439" t="str">
        <f t="shared" si="566"/>
        <v/>
      </c>
      <c r="G308" s="440" t="str">
        <f t="shared" si="567"/>
        <v/>
      </c>
      <c r="H308" s="441">
        <f>IFERROR(INDEX('FEOR kodok'!$A$2:$J$1126,MATCH(Bérköltség!AB308,'FEOR kodok'!$B$2:$B$1126,0),8),"NA")</f>
        <v>3190</v>
      </c>
      <c r="I308" s="436">
        <f ca="1">IFERROR(INDEX('FEOR kodok'!$A$2:$J$1126,MATCH(Bérköltség!AB308,'FEOR kodok'!$B$2:$B$1126,0),10),"NA")</f>
        <v>41</v>
      </c>
      <c r="J308" s="442" t="str">
        <f t="shared" ca="1" si="568"/>
        <v>40–49 éves</v>
      </c>
      <c r="K308" s="436" t="str">
        <f>IFERROR(INDEX(admin_feor[#All],MATCH(Bérköltség!H308,admin_feor[[#All],[Foglalkozás]],0),2),"NA")</f>
        <v>Egyéb műszaki foglalkozású</v>
      </c>
      <c r="L308" s="438">
        <f ca="1">IFERROR(
INDEX('Admin - FEOR'!$A$4:$F$465,MATCH(Bérköltség!H308,'Admin - FEOR'!$A$4:$A$465,0),
IF(J308="30 év alatt",3,
IF(J308="30–39 éves",4,
IF(J308="40–49 éves",5,
IF(J308="50 év és afelett",6
)))))*1,"NA")</f>
        <v>528488</v>
      </c>
      <c r="M308" s="438">
        <f t="shared" si="569"/>
        <v>300000</v>
      </c>
      <c r="N308" s="443">
        <f t="shared" ca="1" si="570"/>
        <v>0.56765716534717914</v>
      </c>
      <c r="O308" s="438">
        <f ca="1">IFERROR(
INDEX('Admin - FEOR'!$A$4:$F$465,MATCH(Bérköltség!H308,'Admin - FEOR'!$A$4:$A$465,0),
IF(J308="30 év alatt",3,
IF(J308="30–39 éves",4,
IF(J308="40–49 éves",5,
IF(J308="50 év és afelett",6
)))))*1.5,"NA")</f>
        <v>792732</v>
      </c>
      <c r="P308" s="438">
        <f t="shared" ca="1" si="571"/>
        <v>317092.80000000005</v>
      </c>
      <c r="Q308" s="438">
        <f t="shared" si="572"/>
        <v>120000</v>
      </c>
      <c r="R308" s="444">
        <f t="shared" si="573"/>
        <v>0.4</v>
      </c>
      <c r="S308" s="438">
        <f t="shared" ca="1" si="574"/>
        <v>0</v>
      </c>
      <c r="T308" s="438">
        <f t="shared" ca="1" si="575"/>
        <v>0</v>
      </c>
      <c r="U308" s="445">
        <f t="shared" ca="1" si="576"/>
        <v>0</v>
      </c>
      <c r="V308" s="446">
        <f t="shared" ca="1" si="577"/>
        <v>135600</v>
      </c>
      <c r="W308" s="447" t="str">
        <f t="shared" ca="1" si="578"/>
        <v>Nem szükséges indoklás.</v>
      </c>
      <c r="X308" s="571">
        <f t="shared" ca="1" si="579"/>
        <v>0</v>
      </c>
      <c r="Y308" s="554">
        <f t="shared" ca="1" si="580"/>
        <v>120000</v>
      </c>
      <c r="Z308" s="554">
        <f t="shared" ca="1" si="581"/>
        <v>15600</v>
      </c>
      <c r="AA308" s="573">
        <v>2</v>
      </c>
      <c r="AB308" s="448">
        <v>8421490664</v>
      </c>
      <c r="AC308" s="449" t="s">
        <v>202</v>
      </c>
      <c r="AD308" s="483" t="s">
        <v>45</v>
      </c>
      <c r="AE308" s="450" t="s">
        <v>24</v>
      </c>
      <c r="AF308" s="99" t="s">
        <v>125</v>
      </c>
      <c r="AG308" s="99" t="s">
        <v>153</v>
      </c>
      <c r="AH308" s="451" t="s">
        <v>131</v>
      </c>
      <c r="AI308" s="154">
        <v>44805</v>
      </c>
      <c r="AJ308" s="100" t="str">
        <f>IF(AI308&gt;0,
(IF(AI308&lt;Hónapok!$A$10,Admin!$A$28,
(IF(AI308&lt;Hónapok!$A$22,Admin!$B$28,
(IF(AI308&lt;Hónapok!$A$34,Admin!$C$28,
(IF(AI308&lt;Hónapok!$A$46,Admin!$D$28,"")))))))),"")</f>
        <v>2. mérföldkő</v>
      </c>
      <c r="AK308" s="469" t="s">
        <v>7</v>
      </c>
      <c r="AL308" s="101" t="s">
        <v>26</v>
      </c>
      <c r="AM308" s="900">
        <v>300000</v>
      </c>
      <c r="AN308" s="860">
        <f t="shared" si="656"/>
        <v>39000</v>
      </c>
      <c r="AO308" s="101">
        <v>130</v>
      </c>
      <c r="AP308" s="111">
        <v>52</v>
      </c>
      <c r="AQ308" s="454">
        <f t="shared" si="534"/>
        <v>0.4</v>
      </c>
      <c r="AR308" s="740">
        <f t="shared" si="535"/>
        <v>120000</v>
      </c>
      <c r="AS308" s="740">
        <f t="shared" si="536"/>
        <v>15600</v>
      </c>
      <c r="AT308" s="102">
        <f t="shared" si="537"/>
        <v>0</v>
      </c>
      <c r="AU308" s="116">
        <v>0.13</v>
      </c>
      <c r="AV308" s="565" t="str">
        <f>VLOOKUP(LEFT(AB308,10),Törzsszám!$A$1:$B$908,2,0)</f>
        <v>10002206</v>
      </c>
      <c r="AW308" s="615">
        <f t="shared" ca="1" si="538"/>
        <v>0</v>
      </c>
      <c r="AX308" s="479" t="s">
        <v>228</v>
      </c>
      <c r="AY308" s="486"/>
      <c r="AZ308" s="502"/>
      <c r="BA308" s="671">
        <v>92920</v>
      </c>
      <c r="BB308" s="649">
        <v>12080</v>
      </c>
      <c r="BC308" s="649">
        <f t="shared" ref="BC308:BD312" ca="1" si="752">Y308-BA308</f>
        <v>27080</v>
      </c>
      <c r="BD308" s="672">
        <f t="shared" ca="1" si="752"/>
        <v>3520</v>
      </c>
      <c r="BE308" s="450" t="s">
        <v>201</v>
      </c>
    </row>
    <row r="309" spans="1:57" s="457" customFormat="1" ht="31.5" x14ac:dyDescent="0.25">
      <c r="A309" s="694" t="str">
        <f ca="1">Bérköltség!$B309</f>
        <v>FEOR</v>
      </c>
      <c r="B309" s="694" t="str">
        <f ca="1">IFERROR(
IF(AND(Bérköltség!$F309="",H309="NA"),"HIÁNYOS ADATOK",
IF(Bérköltség!$F309&lt;Bérköltség!$U309,Admin!$B$18,Admin!$B$17)),
"")</f>
        <v>FEOR</v>
      </c>
      <c r="C309" s="437" t="str">
        <f>IFERROR(INDEX('Historikus berek_2021-2'!$A$1:$F$903,MATCH(AB309,'Historikus berek_2021-2'!$A$1:$A$903,0),4),"")</f>
        <v/>
      </c>
      <c r="D309" s="438" t="str">
        <f t="shared" si="564"/>
        <v>NA</v>
      </c>
      <c r="E309" s="437">
        <f t="shared" si="565"/>
        <v>120000</v>
      </c>
      <c r="F309" s="439" t="str">
        <f t="shared" si="566"/>
        <v/>
      </c>
      <c r="G309" s="440" t="str">
        <f t="shared" si="567"/>
        <v/>
      </c>
      <c r="H309" s="441">
        <f>IFERROR(INDEX('FEOR kodok'!$A$2:$J$1126,MATCH(Bérköltség!AB309,'FEOR kodok'!$B$2:$B$1126,0),8),"NA")</f>
        <v>3190</v>
      </c>
      <c r="I309" s="436">
        <f ca="1">IFERROR(INDEX('FEOR kodok'!$A$2:$J$1126,MATCH(Bérköltség!AB309,'FEOR kodok'!$B$2:$B$1126,0),10),"NA")</f>
        <v>41</v>
      </c>
      <c r="J309" s="442" t="str">
        <f t="shared" ca="1" si="568"/>
        <v>40–49 éves</v>
      </c>
      <c r="K309" s="436" t="str">
        <f>IFERROR(INDEX(admin_feor[#All],MATCH(Bérköltség!H309,admin_feor[[#All],[Foglalkozás]],0),2),"NA")</f>
        <v>Egyéb műszaki foglalkozású</v>
      </c>
      <c r="L309" s="438">
        <f ca="1">IFERROR(
INDEX('Admin - FEOR'!$A$4:$F$465,MATCH(Bérköltség!H309,'Admin - FEOR'!$A$4:$A$465,0),
IF(J309="30 év alatt",3,
IF(J309="30–39 éves",4,
IF(J309="40–49 éves",5,
IF(J309="50 év és afelett",6
)))))*1,"NA")</f>
        <v>528488</v>
      </c>
      <c r="M309" s="438">
        <f t="shared" si="569"/>
        <v>300000</v>
      </c>
      <c r="N309" s="443">
        <f t="shared" ca="1" si="570"/>
        <v>0.56765716534717914</v>
      </c>
      <c r="O309" s="438">
        <f ca="1">IFERROR(
INDEX('Admin - FEOR'!$A$4:$F$465,MATCH(Bérköltség!H309,'Admin - FEOR'!$A$4:$A$465,0),
IF(J309="30 év alatt",3,
IF(J309="30–39 éves",4,
IF(J309="40–49 éves",5,
IF(J309="50 év és afelett",6
)))))*1.5,"NA")</f>
        <v>792732</v>
      </c>
      <c r="P309" s="438">
        <f t="shared" ca="1" si="571"/>
        <v>317092.80000000005</v>
      </c>
      <c r="Q309" s="438">
        <f t="shared" si="572"/>
        <v>120000</v>
      </c>
      <c r="R309" s="444">
        <f t="shared" si="573"/>
        <v>0.4</v>
      </c>
      <c r="S309" s="438">
        <f t="shared" ca="1" si="574"/>
        <v>0</v>
      </c>
      <c r="T309" s="438">
        <f t="shared" ca="1" si="575"/>
        <v>0</v>
      </c>
      <c r="U309" s="445">
        <f t="shared" ca="1" si="576"/>
        <v>0</v>
      </c>
      <c r="V309" s="446">
        <f t="shared" ca="1" si="577"/>
        <v>125200</v>
      </c>
      <c r="W309" s="447" t="str">
        <f t="shared" ca="1" si="578"/>
        <v>Nem szükséges indoklás.</v>
      </c>
      <c r="X309" s="571">
        <f t="shared" ca="1" si="579"/>
        <v>0</v>
      </c>
      <c r="Y309" s="554">
        <f t="shared" ca="1" si="580"/>
        <v>120000</v>
      </c>
      <c r="Z309" s="554">
        <f t="shared" ca="1" si="581"/>
        <v>5200</v>
      </c>
      <c r="AA309" s="573">
        <v>2</v>
      </c>
      <c r="AB309" s="448">
        <v>8421490664</v>
      </c>
      <c r="AC309" s="449" t="s">
        <v>202</v>
      </c>
      <c r="AD309" s="483" t="s">
        <v>45</v>
      </c>
      <c r="AE309" s="450" t="s">
        <v>24</v>
      </c>
      <c r="AF309" s="99" t="s">
        <v>125</v>
      </c>
      <c r="AG309" s="99" t="s">
        <v>153</v>
      </c>
      <c r="AH309" s="451" t="s">
        <v>131</v>
      </c>
      <c r="AI309" s="154">
        <v>44835</v>
      </c>
      <c r="AJ309" s="100" t="str">
        <f>IF(AI309&gt;0,
(IF(AI309&lt;Hónapok!$A$10,Admin!$A$28,
(IF(AI309&lt;Hónapok!$A$22,Admin!$B$28,
(IF(AI309&lt;Hónapok!$A$34,Admin!$C$28,
(IF(AI309&lt;Hónapok!$A$46,Admin!$D$28,"")))))))),"")</f>
        <v>2. mérföldkő</v>
      </c>
      <c r="AK309" s="469" t="s">
        <v>7</v>
      </c>
      <c r="AL309" s="101" t="s">
        <v>26</v>
      </c>
      <c r="AM309" s="900">
        <v>300000</v>
      </c>
      <c r="AN309" s="860">
        <v>13000</v>
      </c>
      <c r="AO309" s="101">
        <v>130</v>
      </c>
      <c r="AP309" s="111">
        <v>52</v>
      </c>
      <c r="AQ309" s="454">
        <f t="shared" si="534"/>
        <v>0.4</v>
      </c>
      <c r="AR309" s="740">
        <f t="shared" si="535"/>
        <v>120000</v>
      </c>
      <c r="AS309" s="740">
        <f t="shared" si="536"/>
        <v>5200</v>
      </c>
      <c r="AT309" s="102">
        <f t="shared" si="537"/>
        <v>0</v>
      </c>
      <c r="AU309" s="702">
        <f t="shared" ref="AU309:AU315" si="753">AN309/AM309</f>
        <v>4.3333333333333335E-2</v>
      </c>
      <c r="AV309" s="565" t="str">
        <f>VLOOKUP(LEFT(AB309,10),Törzsszám!$A$1:$B$908,2,0)</f>
        <v>10002206</v>
      </c>
      <c r="AW309" s="681">
        <f t="shared" ca="1" si="538"/>
        <v>0</v>
      </c>
      <c r="AX309" s="473" t="s">
        <v>251</v>
      </c>
      <c r="AY309" s="486"/>
      <c r="AZ309" s="502"/>
      <c r="BA309" s="671">
        <v>92920</v>
      </c>
      <c r="BB309" s="649">
        <v>4027</v>
      </c>
      <c r="BC309" s="649">
        <f t="shared" ca="1" si="752"/>
        <v>27080</v>
      </c>
      <c r="BD309" s="672">
        <f t="shared" ca="1" si="752"/>
        <v>1173</v>
      </c>
      <c r="BE309" s="450" t="s">
        <v>201</v>
      </c>
    </row>
    <row r="310" spans="1:57" s="457" customFormat="1" ht="31.5" x14ac:dyDescent="0.25">
      <c r="A310" s="694" t="str">
        <f ca="1">Bérköltség!$B310</f>
        <v>FEOR</v>
      </c>
      <c r="B310" s="694" t="str">
        <f ca="1">IFERROR(
IF(AND(Bérköltség!$F310="",H310="NA"),"HIÁNYOS ADATOK",
IF(Bérköltség!$F310&lt;Bérköltség!$U310,Admin!$B$18,Admin!$B$17)),
"")</f>
        <v>FEOR</v>
      </c>
      <c r="C310" s="437" t="str">
        <f>IFERROR(INDEX('Historikus berek_2021-2'!$A$1:$F$903,MATCH(AB310,'Historikus berek_2021-2'!$A$1:$A$903,0),4),"")</f>
        <v/>
      </c>
      <c r="D310" s="438" t="str">
        <f t="shared" si="564"/>
        <v>NA</v>
      </c>
      <c r="E310" s="437">
        <f t="shared" si="565"/>
        <v>120000</v>
      </c>
      <c r="F310" s="439" t="str">
        <f t="shared" si="566"/>
        <v/>
      </c>
      <c r="G310" s="440" t="str">
        <f t="shared" si="567"/>
        <v/>
      </c>
      <c r="H310" s="441">
        <f>IFERROR(INDEX('FEOR kodok'!$A$2:$J$1126,MATCH(Bérköltség!AB310,'FEOR kodok'!$B$2:$B$1126,0),8),"NA")</f>
        <v>3190</v>
      </c>
      <c r="I310" s="436">
        <f ca="1">IFERROR(INDEX('FEOR kodok'!$A$2:$J$1126,MATCH(Bérköltség!AB310,'FEOR kodok'!$B$2:$B$1126,0),10),"NA")</f>
        <v>41</v>
      </c>
      <c r="J310" s="442" t="str">
        <f t="shared" ca="1" si="568"/>
        <v>40–49 éves</v>
      </c>
      <c r="K310" s="436" t="str">
        <f>IFERROR(INDEX(admin_feor[#All],MATCH(Bérköltség!H310,admin_feor[[#All],[Foglalkozás]],0),2),"NA")</f>
        <v>Egyéb műszaki foglalkozású</v>
      </c>
      <c r="L310" s="438">
        <f ca="1">IFERROR(
INDEX('Admin - FEOR'!$A$4:$F$465,MATCH(Bérköltség!H310,'Admin - FEOR'!$A$4:$A$465,0),
IF(J310="30 év alatt",3,
IF(J310="30–39 éves",4,
IF(J310="40–49 éves",5,
IF(J310="50 év és afelett",6
)))))*1,"NA")</f>
        <v>528488</v>
      </c>
      <c r="M310" s="438">
        <f t="shared" si="569"/>
        <v>300000</v>
      </c>
      <c r="N310" s="443">
        <f t="shared" ca="1" si="570"/>
        <v>0.56765716534717914</v>
      </c>
      <c r="O310" s="438">
        <f ca="1">IFERROR(
INDEX('Admin - FEOR'!$A$4:$F$465,MATCH(Bérköltség!H310,'Admin - FEOR'!$A$4:$A$465,0),
IF(J310="30 év alatt",3,
IF(J310="30–39 éves",4,
IF(J310="40–49 éves",5,
IF(J310="50 év és afelett",6
)))))*1.5,"NA")</f>
        <v>792732</v>
      </c>
      <c r="P310" s="438">
        <f t="shared" ca="1" si="571"/>
        <v>317092.80000000005</v>
      </c>
      <c r="Q310" s="438">
        <f t="shared" si="572"/>
        <v>120000</v>
      </c>
      <c r="R310" s="444">
        <f t="shared" si="573"/>
        <v>0.4</v>
      </c>
      <c r="S310" s="438">
        <f t="shared" ca="1" si="574"/>
        <v>0</v>
      </c>
      <c r="T310" s="438">
        <f t="shared" ca="1" si="575"/>
        <v>0</v>
      </c>
      <c r="U310" s="445">
        <f t="shared" ca="1" si="576"/>
        <v>0</v>
      </c>
      <c r="V310" s="446">
        <f t="shared" ca="1" si="577"/>
        <v>125200</v>
      </c>
      <c r="W310" s="447" t="str">
        <f t="shared" ca="1" si="578"/>
        <v>Nem szükséges indoklás.</v>
      </c>
      <c r="X310" s="571">
        <f t="shared" ca="1" si="579"/>
        <v>0</v>
      </c>
      <c r="Y310" s="554">
        <f t="shared" ca="1" si="580"/>
        <v>120000</v>
      </c>
      <c r="Z310" s="554">
        <f t="shared" ca="1" si="581"/>
        <v>5200</v>
      </c>
      <c r="AA310" s="573">
        <v>2</v>
      </c>
      <c r="AB310" s="448">
        <v>8421490664</v>
      </c>
      <c r="AC310" s="449" t="s">
        <v>202</v>
      </c>
      <c r="AD310" s="482" t="s">
        <v>45</v>
      </c>
      <c r="AE310" s="450" t="s">
        <v>24</v>
      </c>
      <c r="AF310" s="99" t="s">
        <v>125</v>
      </c>
      <c r="AG310" s="99" t="s">
        <v>153</v>
      </c>
      <c r="AH310" s="451" t="s">
        <v>131</v>
      </c>
      <c r="AI310" s="154">
        <v>44866</v>
      </c>
      <c r="AJ310" s="100" t="str">
        <f>IF(AI310&gt;0,
(IF(AI310&lt;Hónapok!$A$10,Admin!$A$28,
(IF(AI310&lt;Hónapok!$A$22,Admin!$B$28,
(IF(AI310&lt;Hónapok!$A$34,Admin!$C$28,
(IF(AI310&lt;Hónapok!$A$46,Admin!$D$28,"")))))))),"")</f>
        <v>2. mérföldkő</v>
      </c>
      <c r="AK310" s="469" t="s">
        <v>7</v>
      </c>
      <c r="AL310" s="101" t="s">
        <v>26</v>
      </c>
      <c r="AM310" s="900">
        <v>300000</v>
      </c>
      <c r="AN310" s="860">
        <v>13000</v>
      </c>
      <c r="AO310" s="101">
        <v>130</v>
      </c>
      <c r="AP310" s="111">
        <v>52</v>
      </c>
      <c r="AQ310" s="454">
        <f t="shared" si="534"/>
        <v>0.4</v>
      </c>
      <c r="AR310" s="740">
        <f t="shared" si="535"/>
        <v>120000</v>
      </c>
      <c r="AS310" s="740">
        <f t="shared" si="536"/>
        <v>5200</v>
      </c>
      <c r="AT310" s="102">
        <f t="shared" si="537"/>
        <v>0</v>
      </c>
      <c r="AU310" s="702">
        <f t="shared" si="753"/>
        <v>4.3333333333333335E-2</v>
      </c>
      <c r="AV310" s="565" t="str">
        <f>VLOOKUP(LEFT(AB310,10),Törzsszám!$A$1:$B$908,2,0)</f>
        <v>10002206</v>
      </c>
      <c r="AW310" s="681">
        <f t="shared" ca="1" si="538"/>
        <v>0</v>
      </c>
      <c r="AX310" s="473" t="s">
        <v>260</v>
      </c>
      <c r="AY310" s="486"/>
      <c r="AZ310" s="502"/>
      <c r="BA310" s="671">
        <v>92920</v>
      </c>
      <c r="BB310" s="649">
        <v>4027</v>
      </c>
      <c r="BC310" s="649">
        <f t="shared" ca="1" si="752"/>
        <v>27080</v>
      </c>
      <c r="BD310" s="672">
        <f t="shared" ca="1" si="752"/>
        <v>1173</v>
      </c>
      <c r="BE310" s="450" t="s">
        <v>201</v>
      </c>
    </row>
    <row r="311" spans="1:57" s="457" customFormat="1" ht="31.5" x14ac:dyDescent="0.25">
      <c r="A311" s="694" t="str">
        <f ca="1">Bérköltség!$B311</f>
        <v>FEOR</v>
      </c>
      <c r="B311" s="694" t="str">
        <f ca="1">IFERROR(
IF(AND(Bérköltség!$F311="",H311="NA"),"HIÁNYOS ADATOK",
IF(Bérköltség!$F311&lt;Bérköltség!$U311,Admin!$B$18,Admin!$B$17)),
"")</f>
        <v>FEOR</v>
      </c>
      <c r="C311" s="437" t="str">
        <f>IFERROR(INDEX('Historikus berek_2021-2'!$A$1:$F$903,MATCH(AB311,'Historikus berek_2021-2'!$A$1:$A$903,0),4),"")</f>
        <v/>
      </c>
      <c r="D311" s="438" t="str">
        <f t="shared" si="564"/>
        <v>NA</v>
      </c>
      <c r="E311" s="437">
        <f t="shared" si="565"/>
        <v>120000</v>
      </c>
      <c r="F311" s="439" t="str">
        <f t="shared" si="566"/>
        <v/>
      </c>
      <c r="G311" s="440" t="str">
        <f t="shared" si="567"/>
        <v/>
      </c>
      <c r="H311" s="441">
        <f>IFERROR(INDEX('FEOR kodok'!$A$2:$J$1126,MATCH(Bérköltség!AB311,'FEOR kodok'!$B$2:$B$1126,0),8),"NA")</f>
        <v>3190</v>
      </c>
      <c r="I311" s="436">
        <f ca="1">IFERROR(INDEX('FEOR kodok'!$A$2:$J$1126,MATCH(Bérköltség!AB311,'FEOR kodok'!$B$2:$B$1126,0),10),"NA")</f>
        <v>41</v>
      </c>
      <c r="J311" s="442" t="str">
        <f t="shared" ca="1" si="568"/>
        <v>40–49 éves</v>
      </c>
      <c r="K311" s="436" t="str">
        <f>IFERROR(INDEX(admin_feor[#All],MATCH(Bérköltség!H311,admin_feor[[#All],[Foglalkozás]],0),2),"NA")</f>
        <v>Egyéb műszaki foglalkozású</v>
      </c>
      <c r="L311" s="438">
        <f ca="1">IFERROR(
INDEX('Admin - FEOR'!$A$4:$F$465,MATCH(Bérköltség!H311,'Admin - FEOR'!$A$4:$A$465,0),
IF(J311="30 év alatt",3,
IF(J311="30–39 éves",4,
IF(J311="40–49 éves",5,
IF(J311="50 év és afelett",6
)))))*1,"NA")</f>
        <v>528488</v>
      </c>
      <c r="M311" s="438">
        <f t="shared" si="569"/>
        <v>300000</v>
      </c>
      <c r="N311" s="443">
        <f t="shared" ca="1" si="570"/>
        <v>0.56765716534717914</v>
      </c>
      <c r="O311" s="438">
        <f ca="1">IFERROR(
INDEX('Admin - FEOR'!$A$4:$F$465,MATCH(Bérköltség!H311,'Admin - FEOR'!$A$4:$A$465,0),
IF(J311="30 év alatt",3,
IF(J311="30–39 éves",4,
IF(J311="40–49 éves",5,
IF(J311="50 év és afelett",6
)))))*1.5,"NA")</f>
        <v>792732</v>
      </c>
      <c r="P311" s="438">
        <f t="shared" ca="1" si="571"/>
        <v>317092.80000000005</v>
      </c>
      <c r="Q311" s="438">
        <f t="shared" si="572"/>
        <v>120000</v>
      </c>
      <c r="R311" s="444">
        <f t="shared" si="573"/>
        <v>0.4</v>
      </c>
      <c r="S311" s="438">
        <f t="shared" ca="1" si="574"/>
        <v>0</v>
      </c>
      <c r="T311" s="438">
        <f t="shared" ca="1" si="575"/>
        <v>0</v>
      </c>
      <c r="U311" s="445">
        <f t="shared" ca="1" si="576"/>
        <v>0</v>
      </c>
      <c r="V311" s="446">
        <f t="shared" ca="1" si="577"/>
        <v>125269</v>
      </c>
      <c r="W311" s="447" t="str">
        <f t="shared" ca="1" si="578"/>
        <v>Nem szükséges indoklás.</v>
      </c>
      <c r="X311" s="571">
        <f t="shared" ca="1" si="579"/>
        <v>0</v>
      </c>
      <c r="Y311" s="554">
        <f t="shared" ca="1" si="580"/>
        <v>120000</v>
      </c>
      <c r="Z311" s="556">
        <f t="shared" ca="1" si="581"/>
        <v>5269</v>
      </c>
      <c r="AA311" s="573">
        <v>2</v>
      </c>
      <c r="AB311" s="448">
        <v>8421490664</v>
      </c>
      <c r="AC311" s="449" t="s">
        <v>202</v>
      </c>
      <c r="AD311" s="483" t="s">
        <v>45</v>
      </c>
      <c r="AE311" s="450" t="s">
        <v>24</v>
      </c>
      <c r="AF311" s="99" t="s">
        <v>125</v>
      </c>
      <c r="AG311" s="99" t="s">
        <v>153</v>
      </c>
      <c r="AH311" s="451" t="s">
        <v>131</v>
      </c>
      <c r="AI311" s="154">
        <v>44896</v>
      </c>
      <c r="AJ311" s="100" t="str">
        <f>IF(AI311&gt;0,
(IF(AI311&lt;Hónapok!$A$10,Admin!$A$28,
(IF(AI311&lt;Hónapok!$A$22,Admin!$B$28,
(IF(AI311&lt;Hónapok!$A$34,Admin!$C$28,
(IF(AI311&lt;Hónapok!$A$46,Admin!$D$28,"")))))))),"")</f>
        <v>2. mérföldkő</v>
      </c>
      <c r="AK311" s="467" t="s">
        <v>7</v>
      </c>
      <c r="AL311" s="101" t="s">
        <v>26</v>
      </c>
      <c r="AM311" s="900">
        <v>300000</v>
      </c>
      <c r="AN311" s="863">
        <v>13172</v>
      </c>
      <c r="AO311" s="101">
        <v>130</v>
      </c>
      <c r="AP311" s="111">
        <v>52</v>
      </c>
      <c r="AQ311" s="454">
        <f t="shared" si="534"/>
        <v>0.4</v>
      </c>
      <c r="AR311" s="740">
        <f t="shared" si="535"/>
        <v>120000</v>
      </c>
      <c r="AS311" s="741">
        <f t="shared" si="536"/>
        <v>5269</v>
      </c>
      <c r="AT311" s="102">
        <f t="shared" si="537"/>
        <v>0</v>
      </c>
      <c r="AU311" s="529">
        <f t="shared" si="753"/>
        <v>4.3906666666666663E-2</v>
      </c>
      <c r="AV311" s="565" t="str">
        <f>VLOOKUP(LEFT(AB311,10),Törzsszám!$A$1:$B$908,2,0)</f>
        <v>10002206</v>
      </c>
      <c r="AW311" s="615">
        <f t="shared" ca="1" si="538"/>
        <v>0</v>
      </c>
      <c r="AX311" s="473" t="s">
        <v>262</v>
      </c>
      <c r="AY311" s="486"/>
      <c r="AZ311" s="502"/>
      <c r="BA311" s="671">
        <v>92920</v>
      </c>
      <c r="BB311" s="649">
        <v>4080</v>
      </c>
      <c r="BC311" s="649">
        <f t="shared" ca="1" si="752"/>
        <v>27080</v>
      </c>
      <c r="BD311" s="672">
        <f t="shared" ca="1" si="752"/>
        <v>1189</v>
      </c>
      <c r="BE311" s="450" t="s">
        <v>201</v>
      </c>
    </row>
    <row r="312" spans="1:57" s="457" customFormat="1" ht="31.5" x14ac:dyDescent="0.25">
      <c r="A312" s="694" t="str">
        <f ca="1">Bérköltség!$B312</f>
        <v>FEOR</v>
      </c>
      <c r="B312" s="694" t="str">
        <f ca="1">IFERROR(
IF(AND(Bérköltség!$F312="",H312="NA"),"HIÁNYOS ADATOK",
IF(Bérköltség!$F312&lt;Bérköltség!$U312,Admin!$B$18,Admin!$B$17)),
"")</f>
        <v>FEOR</v>
      </c>
      <c r="C312" s="437" t="str">
        <f>IFERROR(INDEX('Historikus berek_2021-2'!$A$1:$F$903,MATCH(AB312,'Historikus berek_2021-2'!$A$1:$A$903,0),4),"")</f>
        <v/>
      </c>
      <c r="D312" s="438" t="str">
        <f t="shared" si="564"/>
        <v>NA</v>
      </c>
      <c r="E312" s="437">
        <f t="shared" si="565"/>
        <v>120000</v>
      </c>
      <c r="F312" s="439" t="str">
        <f t="shared" si="566"/>
        <v/>
      </c>
      <c r="G312" s="440" t="str">
        <f t="shared" si="567"/>
        <v/>
      </c>
      <c r="H312" s="441">
        <f>IFERROR(INDEX('FEOR kodok'!$A$2:$J$1126,MATCH(Bérköltség!AB312,'FEOR kodok'!$B$2:$B$1126,0),8),"NA")</f>
        <v>3190</v>
      </c>
      <c r="I312" s="436">
        <f ca="1">IFERROR(INDEX('FEOR kodok'!$A$2:$J$1126,MATCH(Bérköltség!AB312,'FEOR kodok'!$B$2:$B$1126,0),10),"NA")</f>
        <v>41</v>
      </c>
      <c r="J312" s="442" t="str">
        <f t="shared" ca="1" si="568"/>
        <v>40–49 éves</v>
      </c>
      <c r="K312" s="436" t="str">
        <f>IFERROR(INDEX(admin_feor[#All],MATCH(Bérköltség!H312,admin_feor[[#All],[Foglalkozás]],0),2),"NA")</f>
        <v>Egyéb műszaki foglalkozású</v>
      </c>
      <c r="L312" s="438">
        <f ca="1">IFERROR(
INDEX('Admin - FEOR'!$A$4:$F$465,MATCH(Bérköltség!H312,'Admin - FEOR'!$A$4:$A$465,0),
IF(J312="30 év alatt",3,
IF(J312="30–39 éves",4,
IF(J312="40–49 éves",5,
IF(J312="50 év és afelett",6
)))))*1,"NA")</f>
        <v>528488</v>
      </c>
      <c r="M312" s="438">
        <f t="shared" si="569"/>
        <v>300000</v>
      </c>
      <c r="N312" s="443">
        <f t="shared" ca="1" si="570"/>
        <v>0.56765716534717914</v>
      </c>
      <c r="O312" s="438">
        <f ca="1">IFERROR(
INDEX('Admin - FEOR'!$A$4:$F$465,MATCH(Bérköltség!H312,'Admin - FEOR'!$A$4:$A$465,0),
IF(J312="30 év alatt",3,
IF(J312="30–39 éves",4,
IF(J312="40–49 éves",5,
IF(J312="50 év és afelett",6
)))))*1.5,"NA")</f>
        <v>792732</v>
      </c>
      <c r="P312" s="438">
        <f t="shared" ca="1" si="571"/>
        <v>317092.80000000005</v>
      </c>
      <c r="Q312" s="438">
        <f t="shared" si="572"/>
        <v>120000</v>
      </c>
      <c r="R312" s="444">
        <f t="shared" si="573"/>
        <v>0.4</v>
      </c>
      <c r="S312" s="438">
        <f t="shared" ca="1" si="574"/>
        <v>0</v>
      </c>
      <c r="T312" s="438">
        <f t="shared" ca="1" si="575"/>
        <v>0</v>
      </c>
      <c r="U312" s="445">
        <f t="shared" ca="1" si="576"/>
        <v>0</v>
      </c>
      <c r="V312" s="446">
        <f t="shared" ca="1" si="577"/>
        <v>123536</v>
      </c>
      <c r="W312" s="447" t="str">
        <f t="shared" ca="1" si="578"/>
        <v>Nem szükséges indoklás.</v>
      </c>
      <c r="X312" s="571">
        <f t="shared" ca="1" si="579"/>
        <v>0</v>
      </c>
      <c r="Y312" s="554">
        <f t="shared" ca="1" si="580"/>
        <v>120000</v>
      </c>
      <c r="Z312" s="556">
        <f t="shared" ca="1" si="581"/>
        <v>3536</v>
      </c>
      <c r="AA312" s="573">
        <v>2</v>
      </c>
      <c r="AB312" s="448">
        <v>8421490664</v>
      </c>
      <c r="AC312" s="449" t="s">
        <v>202</v>
      </c>
      <c r="AD312" s="483" t="s">
        <v>45</v>
      </c>
      <c r="AE312" s="450" t="s">
        <v>24</v>
      </c>
      <c r="AF312" s="99" t="s">
        <v>125</v>
      </c>
      <c r="AG312" s="99" t="s">
        <v>153</v>
      </c>
      <c r="AH312" s="451" t="s">
        <v>131</v>
      </c>
      <c r="AI312" s="154">
        <v>44927</v>
      </c>
      <c r="AJ312" s="100" t="str">
        <f>IF(AI312&gt;0,
(IF(AI312&lt;Hónapok!$A$10,Admin!$A$28,
(IF(AI312&lt;Hónapok!$A$22,Admin!$B$28,
(IF(AI312&lt;Hónapok!$A$34,Admin!$C$28,
(IF(AI312&lt;Hónapok!$A$46,Admin!$D$28,"")))))))),"")</f>
        <v>2. mérföldkő</v>
      </c>
      <c r="AK312" s="467" t="s">
        <v>7</v>
      </c>
      <c r="AL312" s="101" t="s">
        <v>26</v>
      </c>
      <c r="AM312" s="900">
        <v>300000</v>
      </c>
      <c r="AN312" s="863">
        <v>8840</v>
      </c>
      <c r="AO312" s="101">
        <v>130</v>
      </c>
      <c r="AP312" s="111">
        <v>52</v>
      </c>
      <c r="AQ312" s="454">
        <f t="shared" si="534"/>
        <v>0.4</v>
      </c>
      <c r="AR312" s="740">
        <f t="shared" si="535"/>
        <v>120000</v>
      </c>
      <c r="AS312" s="741">
        <f t="shared" si="536"/>
        <v>3536</v>
      </c>
      <c r="AT312" s="102">
        <f t="shared" si="537"/>
        <v>0</v>
      </c>
      <c r="AU312" s="529">
        <f t="shared" si="753"/>
        <v>2.9466666666666665E-2</v>
      </c>
      <c r="AV312" s="565" t="str">
        <f>VLOOKUP(LEFT(AB312,10),Törzsszám!$A$1:$B$908,2,0)</f>
        <v>10002206</v>
      </c>
      <c r="AW312" s="615">
        <f t="shared" ca="1" si="538"/>
        <v>0</v>
      </c>
      <c r="AX312" s="471" t="s">
        <v>2518</v>
      </c>
      <c r="AY312" s="486"/>
      <c r="AZ312" s="502"/>
      <c r="BA312" s="671">
        <v>92920</v>
      </c>
      <c r="BB312" s="649">
        <v>2738</v>
      </c>
      <c r="BC312" s="649">
        <f t="shared" ca="1" si="752"/>
        <v>27080</v>
      </c>
      <c r="BD312" s="672">
        <f t="shared" ca="1" si="752"/>
        <v>798</v>
      </c>
      <c r="BE312" s="450" t="s">
        <v>201</v>
      </c>
    </row>
    <row r="313" spans="1:57" s="457" customFormat="1" ht="31.5" x14ac:dyDescent="0.25">
      <c r="A313" s="694" t="str">
        <f ca="1">Bérköltség!$B313</f>
        <v>FEOR</v>
      </c>
      <c r="B313" s="694" t="str">
        <f ca="1">IFERROR(
IF(AND(Bérköltség!$F313="",H313="NA"),"HIÁNYOS ADATOK",
IF(Bérköltség!$F313&lt;Bérköltség!$U313,Admin!$B$18,Admin!$B$17)),
"")</f>
        <v>FEOR</v>
      </c>
      <c r="C313" s="437" t="str">
        <f>IFERROR(INDEX('Historikus berek_2021-2'!$A$1:$F$903,MATCH(AB313,'Historikus berek_2021-2'!$A$1:$A$903,0),4),"")</f>
        <v/>
      </c>
      <c r="D313" s="438" t="str">
        <f t="shared" si="564"/>
        <v>NA</v>
      </c>
      <c r="E313" s="437">
        <f t="shared" si="565"/>
        <v>120000</v>
      </c>
      <c r="F313" s="439" t="str">
        <f t="shared" si="566"/>
        <v/>
      </c>
      <c r="G313" s="440" t="str">
        <f t="shared" si="567"/>
        <v/>
      </c>
      <c r="H313" s="441">
        <f>IFERROR(INDEX('FEOR kodok'!$A$2:$J$1126,MATCH(Bérköltség!AB313,'FEOR kodok'!$B$2:$B$1126,0),8),"NA")</f>
        <v>3190</v>
      </c>
      <c r="I313" s="436">
        <f ca="1">IFERROR(INDEX('FEOR kodok'!$A$2:$J$1126,MATCH(Bérköltség!AB313,'FEOR kodok'!$B$2:$B$1126,0),10),"NA")</f>
        <v>41</v>
      </c>
      <c r="J313" s="442" t="str">
        <f t="shared" ca="1" si="568"/>
        <v>40–49 éves</v>
      </c>
      <c r="K313" s="436" t="str">
        <f>IFERROR(INDEX(admin_feor[#All],MATCH(Bérköltség!H313,admin_feor[[#All],[Foglalkozás]],0),2),"NA")</f>
        <v>Egyéb műszaki foglalkozású</v>
      </c>
      <c r="L313" s="438">
        <f ca="1">IFERROR(
INDEX('Admin - FEOR'!$A$4:$F$465,MATCH(Bérköltség!H313,'Admin - FEOR'!$A$4:$A$465,0),
IF(J313="30 év alatt",3,
IF(J313="30–39 éves",4,
IF(J313="40–49 éves",5,
IF(J313="50 év és afelett",6
)))))*1,"NA")</f>
        <v>528488</v>
      </c>
      <c r="M313" s="438">
        <f t="shared" si="569"/>
        <v>300000</v>
      </c>
      <c r="N313" s="443">
        <f t="shared" ca="1" si="570"/>
        <v>0.56765716534717914</v>
      </c>
      <c r="O313" s="438">
        <f ca="1">IFERROR(
INDEX('Admin - FEOR'!$A$4:$F$465,MATCH(Bérköltség!H313,'Admin - FEOR'!$A$4:$A$465,0),
IF(J313="30 év alatt",3,
IF(J313="30–39 éves",4,
IF(J313="40–49 éves",5,
IF(J313="50 év és afelett",6
)))))*1.5,"NA")</f>
        <v>792732</v>
      </c>
      <c r="P313" s="438">
        <f t="shared" ca="1" si="571"/>
        <v>317092.80000000005</v>
      </c>
      <c r="Q313" s="438">
        <f t="shared" si="572"/>
        <v>120000</v>
      </c>
      <c r="R313" s="444">
        <f t="shared" si="573"/>
        <v>0.4</v>
      </c>
      <c r="S313" s="438">
        <f t="shared" ca="1" si="574"/>
        <v>0</v>
      </c>
      <c r="T313" s="438">
        <f t="shared" ca="1" si="575"/>
        <v>0</v>
      </c>
      <c r="U313" s="445">
        <f t="shared" ca="1" si="576"/>
        <v>0</v>
      </c>
      <c r="V313" s="446">
        <f t="shared" ca="1" si="577"/>
        <v>123536</v>
      </c>
      <c r="W313" s="447" t="str">
        <f t="shared" ca="1" si="578"/>
        <v>Nem szükséges indoklás.</v>
      </c>
      <c r="X313" s="571">
        <f t="shared" ca="1" si="579"/>
        <v>0</v>
      </c>
      <c r="Y313" s="554">
        <f t="shared" ca="1" si="580"/>
        <v>120000</v>
      </c>
      <c r="Z313" s="556">
        <f t="shared" ca="1" si="581"/>
        <v>3536</v>
      </c>
      <c r="AA313" s="101"/>
      <c r="AB313" s="448">
        <v>8421490664</v>
      </c>
      <c r="AC313" s="449" t="s">
        <v>202</v>
      </c>
      <c r="AD313" s="483" t="s">
        <v>45</v>
      </c>
      <c r="AE313" s="450" t="s">
        <v>24</v>
      </c>
      <c r="AF313" s="99" t="s">
        <v>125</v>
      </c>
      <c r="AG313" s="99" t="s">
        <v>153</v>
      </c>
      <c r="AH313" s="451" t="s">
        <v>131</v>
      </c>
      <c r="AI313" s="154">
        <v>44958</v>
      </c>
      <c r="AJ313" s="100" t="str">
        <f>IF(AI313&gt;0,
(IF(AI313&lt;Hónapok!$A$10,Admin!$A$28,
(IF(AI313&lt;Hónapok!$A$22,Admin!$B$28,
(IF(AI313&lt;Hónapok!$A$34,Admin!$C$28,
(IF(AI313&lt;Hónapok!$A$46,Admin!$D$28,"")))))))),"")</f>
        <v>2. mérföldkő</v>
      </c>
      <c r="AK313" s="467" t="s">
        <v>7</v>
      </c>
      <c r="AL313" s="101" t="s">
        <v>26</v>
      </c>
      <c r="AM313" s="900">
        <v>300000</v>
      </c>
      <c r="AN313" s="863">
        <v>8840</v>
      </c>
      <c r="AO313" s="101">
        <v>130</v>
      </c>
      <c r="AP313" s="111">
        <v>52</v>
      </c>
      <c r="AQ313" s="454">
        <f t="shared" si="534"/>
        <v>0.4</v>
      </c>
      <c r="AR313" s="740">
        <f t="shared" si="535"/>
        <v>120000</v>
      </c>
      <c r="AS313" s="741">
        <f t="shared" si="536"/>
        <v>3536</v>
      </c>
      <c r="AT313" s="102">
        <f t="shared" si="537"/>
        <v>0</v>
      </c>
      <c r="AU313" s="529">
        <f t="shared" si="753"/>
        <v>2.9466666666666665E-2</v>
      </c>
      <c r="AV313" s="565" t="str">
        <f>VLOOKUP(LEFT(AB313,10),Törzsszám!$A$1:$B$908,2,0)</f>
        <v>10002206</v>
      </c>
      <c r="AW313" s="615">
        <f t="shared" ca="1" si="538"/>
        <v>0</v>
      </c>
      <c r="AX313" s="537" t="s">
        <v>4557</v>
      </c>
      <c r="AY313" s="486"/>
      <c r="AZ313" s="502"/>
      <c r="BA313" s="671"/>
      <c r="BB313" s="649"/>
      <c r="BC313" s="649"/>
      <c r="BD313" s="672"/>
      <c r="BE313" s="450" t="s">
        <v>201</v>
      </c>
    </row>
    <row r="314" spans="1:57" s="457" customFormat="1" ht="31.5" x14ac:dyDescent="0.25">
      <c r="A314" s="694" t="str">
        <f ca="1">Bérköltség!$B314</f>
        <v>FEOR</v>
      </c>
      <c r="B314" s="694" t="str">
        <f ca="1">IFERROR(
IF(AND(Bérköltség!$F314="",H314="NA"),"HIÁNYOS ADATOK",
IF(Bérköltség!$F314&lt;Bérköltség!$U314,Admin!$B$18,Admin!$B$17)),
"")</f>
        <v>FEOR</v>
      </c>
      <c r="C314" s="437" t="str">
        <f>IFERROR(INDEX('Historikus berek_2021-2'!$A$1:$F$903,MATCH(AB314,'Historikus berek_2021-2'!$A$1:$A$903,0),4),"")</f>
        <v/>
      </c>
      <c r="D314" s="438" t="str">
        <f t="shared" si="564"/>
        <v>NA</v>
      </c>
      <c r="E314" s="437">
        <f t="shared" si="565"/>
        <v>120000</v>
      </c>
      <c r="F314" s="439" t="str">
        <f t="shared" si="566"/>
        <v/>
      </c>
      <c r="G314" s="440" t="str">
        <f t="shared" si="567"/>
        <v/>
      </c>
      <c r="H314" s="441">
        <f>IFERROR(INDEX('FEOR kodok'!$A$2:$J$1126,MATCH(Bérköltség!AB314,'FEOR kodok'!$B$2:$B$1126,0),8),"NA")</f>
        <v>3190</v>
      </c>
      <c r="I314" s="436">
        <f ca="1">IFERROR(INDEX('FEOR kodok'!$A$2:$J$1126,MATCH(Bérköltség!AB314,'FEOR kodok'!$B$2:$B$1126,0),10),"NA")</f>
        <v>41</v>
      </c>
      <c r="J314" s="442" t="str">
        <f t="shared" ca="1" si="568"/>
        <v>40–49 éves</v>
      </c>
      <c r="K314" s="436" t="str">
        <f>IFERROR(INDEX(admin_feor[#All],MATCH(Bérköltség!H314,admin_feor[[#All],[Foglalkozás]],0),2),"NA")</f>
        <v>Egyéb műszaki foglalkozású</v>
      </c>
      <c r="L314" s="438">
        <f ca="1">IFERROR(
INDEX('Admin - FEOR'!$A$4:$F$465,MATCH(Bérköltség!H314,'Admin - FEOR'!$A$4:$A$465,0),
IF(J314="30 év alatt",3,
IF(J314="30–39 éves",4,
IF(J314="40–49 éves",5,
IF(J314="50 év és afelett",6
)))))*1,"NA")</f>
        <v>528488</v>
      </c>
      <c r="M314" s="438">
        <f t="shared" si="569"/>
        <v>300000</v>
      </c>
      <c r="N314" s="443">
        <f t="shared" ca="1" si="570"/>
        <v>0.56765716534717914</v>
      </c>
      <c r="O314" s="438">
        <f ca="1">IFERROR(
INDEX('Admin - FEOR'!$A$4:$F$465,MATCH(Bérköltség!H314,'Admin - FEOR'!$A$4:$A$465,0),
IF(J314="30 év alatt",3,
IF(J314="30–39 éves",4,
IF(J314="40–49 éves",5,
IF(J314="50 év és afelett",6
)))))*1.5,"NA")</f>
        <v>792732</v>
      </c>
      <c r="P314" s="438">
        <f t="shared" ca="1" si="571"/>
        <v>317092.80000000005</v>
      </c>
      <c r="Q314" s="438">
        <f t="shared" si="572"/>
        <v>120000</v>
      </c>
      <c r="R314" s="444">
        <f t="shared" si="573"/>
        <v>0.4</v>
      </c>
      <c r="S314" s="438">
        <f t="shared" ca="1" si="574"/>
        <v>0</v>
      </c>
      <c r="T314" s="438">
        <f t="shared" ca="1" si="575"/>
        <v>0</v>
      </c>
      <c r="U314" s="445">
        <f t="shared" ca="1" si="576"/>
        <v>0</v>
      </c>
      <c r="V314" s="446">
        <f t="shared" ca="1" si="577"/>
        <v>123536</v>
      </c>
      <c r="W314" s="447" t="str">
        <f t="shared" ca="1" si="578"/>
        <v>Nem szükséges indoklás.</v>
      </c>
      <c r="X314" s="571">
        <f t="shared" ca="1" si="579"/>
        <v>0</v>
      </c>
      <c r="Y314" s="554">
        <f t="shared" ca="1" si="580"/>
        <v>120000</v>
      </c>
      <c r="Z314" s="556">
        <f t="shared" ca="1" si="581"/>
        <v>3536</v>
      </c>
      <c r="AA314" s="101"/>
      <c r="AB314" s="448">
        <v>8421490664</v>
      </c>
      <c r="AC314" s="449" t="s">
        <v>202</v>
      </c>
      <c r="AD314" s="483" t="s">
        <v>45</v>
      </c>
      <c r="AE314" s="450" t="s">
        <v>24</v>
      </c>
      <c r="AF314" s="99" t="s">
        <v>125</v>
      </c>
      <c r="AG314" s="99" t="s">
        <v>153</v>
      </c>
      <c r="AH314" s="451" t="s">
        <v>131</v>
      </c>
      <c r="AI314" s="154">
        <v>44986</v>
      </c>
      <c r="AJ314" s="100" t="str">
        <f>IF(AI314&gt;0,
(IF(AI314&lt;Hónapok!$A$10,Admin!$A$28,
(IF(AI314&lt;Hónapok!$A$22,Admin!$B$28,
(IF(AI314&lt;Hónapok!$A$34,Admin!$C$28,
(IF(AI314&lt;Hónapok!$A$46,Admin!$D$28,"")))))))),"")</f>
        <v>3. mérföldkő</v>
      </c>
      <c r="AK314" s="470" t="s">
        <v>7</v>
      </c>
      <c r="AL314" s="101" t="s">
        <v>26</v>
      </c>
      <c r="AM314" s="900">
        <v>300000</v>
      </c>
      <c r="AN314" s="863">
        <v>8840</v>
      </c>
      <c r="AO314" s="101">
        <v>130</v>
      </c>
      <c r="AP314" s="111">
        <v>52</v>
      </c>
      <c r="AQ314" s="454">
        <f t="shared" si="534"/>
        <v>0.4</v>
      </c>
      <c r="AR314" s="740">
        <f t="shared" si="535"/>
        <v>120000</v>
      </c>
      <c r="AS314" s="741">
        <f t="shared" si="536"/>
        <v>3536</v>
      </c>
      <c r="AT314" s="102">
        <f t="shared" si="537"/>
        <v>0</v>
      </c>
      <c r="AU314" s="529">
        <f t="shared" si="753"/>
        <v>2.9466666666666665E-2</v>
      </c>
      <c r="AV314" s="565" t="str">
        <f>VLOOKUP(LEFT(AB314,10),Törzsszám!$A$1:$B$908,2,0)</f>
        <v>10002206</v>
      </c>
      <c r="AW314" s="615">
        <f t="shared" ca="1" si="538"/>
        <v>0</v>
      </c>
      <c r="AX314" s="471" t="s">
        <v>4561</v>
      </c>
      <c r="AY314" s="553"/>
      <c r="AZ314" s="801"/>
      <c r="BA314" s="671"/>
      <c r="BB314" s="649"/>
      <c r="BC314" s="649"/>
      <c r="BD314" s="672"/>
      <c r="BE314" s="450" t="s">
        <v>201</v>
      </c>
    </row>
    <row r="315" spans="1:57" s="457" customFormat="1" ht="31.5" x14ac:dyDescent="0.25">
      <c r="A315" s="694" t="str">
        <f ca="1">Bérköltség!$B315</f>
        <v>FEOR</v>
      </c>
      <c r="B315" s="694" t="str">
        <f ca="1">IFERROR(
IF(AND(Bérköltség!$F315="",H315="NA"),"HIÁNYOS ADATOK",
IF(Bérköltség!$F315&lt;Bérköltség!$U315,Admin!$B$18,Admin!$B$17)),
"")</f>
        <v>FEOR</v>
      </c>
      <c r="C315" s="437" t="str">
        <f>IFERROR(INDEX('Historikus berek_2021-2'!$A$1:$F$903,MATCH(AB315,'Historikus berek_2021-2'!$A$1:$A$903,0),4),"")</f>
        <v/>
      </c>
      <c r="D315" s="438" t="str">
        <f t="shared" si="564"/>
        <v>NA</v>
      </c>
      <c r="E315" s="437">
        <f t="shared" si="565"/>
        <v>120000</v>
      </c>
      <c r="F315" s="439" t="str">
        <f t="shared" si="566"/>
        <v/>
      </c>
      <c r="G315" s="440" t="str">
        <f t="shared" si="567"/>
        <v/>
      </c>
      <c r="H315" s="441">
        <f>IFERROR(INDEX('FEOR kodok'!$A$2:$J$1126,MATCH(Bérköltség!AB315,'FEOR kodok'!$B$2:$B$1126,0),8),"NA")</f>
        <v>3190</v>
      </c>
      <c r="I315" s="436">
        <f ca="1">IFERROR(INDEX('FEOR kodok'!$A$2:$J$1126,MATCH(Bérköltség!AB315,'FEOR kodok'!$B$2:$B$1126,0),10),"NA")</f>
        <v>41</v>
      </c>
      <c r="J315" s="442" t="str">
        <f t="shared" ca="1" si="568"/>
        <v>40–49 éves</v>
      </c>
      <c r="K315" s="436" t="str">
        <f>IFERROR(INDEX(admin_feor[#All],MATCH(Bérköltség!H315,admin_feor[[#All],[Foglalkozás]],0),2),"NA")</f>
        <v>Egyéb műszaki foglalkozású</v>
      </c>
      <c r="L315" s="438">
        <f ca="1">IFERROR(
INDEX('Admin - FEOR'!$A$4:$F$465,MATCH(Bérköltség!H315,'Admin - FEOR'!$A$4:$A$465,0),
IF(J315="30 év alatt",3,
IF(J315="30–39 éves",4,
IF(J315="40–49 éves",5,
IF(J315="50 év és afelett",6
)))))*1,"NA")</f>
        <v>528488</v>
      </c>
      <c r="M315" s="438">
        <f t="shared" si="569"/>
        <v>300000</v>
      </c>
      <c r="N315" s="443">
        <f t="shared" ca="1" si="570"/>
        <v>0.56765716534717914</v>
      </c>
      <c r="O315" s="438">
        <f ca="1">IFERROR(
INDEX('Admin - FEOR'!$A$4:$F$465,MATCH(Bérköltség!H315,'Admin - FEOR'!$A$4:$A$465,0),
IF(J315="30 év alatt",3,
IF(J315="30–39 éves",4,
IF(J315="40–49 éves",5,
IF(J315="50 év és afelett",6
)))))*1.5,"NA")</f>
        <v>792732</v>
      </c>
      <c r="P315" s="438">
        <f t="shared" ca="1" si="571"/>
        <v>317092.80000000005</v>
      </c>
      <c r="Q315" s="438">
        <f t="shared" si="572"/>
        <v>120000</v>
      </c>
      <c r="R315" s="444">
        <f t="shared" si="573"/>
        <v>0.4</v>
      </c>
      <c r="S315" s="438">
        <f t="shared" ca="1" si="574"/>
        <v>0</v>
      </c>
      <c r="T315" s="438">
        <f t="shared" ca="1" si="575"/>
        <v>0</v>
      </c>
      <c r="U315" s="445">
        <f t="shared" ca="1" si="576"/>
        <v>0</v>
      </c>
      <c r="V315" s="446">
        <f t="shared" ca="1" si="577"/>
        <v>123536</v>
      </c>
      <c r="W315" s="447" t="str">
        <f t="shared" ca="1" si="578"/>
        <v>Nem szükséges indoklás.</v>
      </c>
      <c r="X315" s="571">
        <f t="shared" ca="1" si="579"/>
        <v>0</v>
      </c>
      <c r="Y315" s="554">
        <f t="shared" ca="1" si="580"/>
        <v>120000</v>
      </c>
      <c r="Z315" s="556">
        <f t="shared" ca="1" si="581"/>
        <v>3536</v>
      </c>
      <c r="AA315" s="101"/>
      <c r="AB315" s="448">
        <v>8421490664</v>
      </c>
      <c r="AC315" s="449" t="s">
        <v>202</v>
      </c>
      <c r="AD315" s="483" t="s">
        <v>45</v>
      </c>
      <c r="AE315" s="450" t="s">
        <v>24</v>
      </c>
      <c r="AF315" s="99" t="s">
        <v>125</v>
      </c>
      <c r="AG315" s="99" t="s">
        <v>153</v>
      </c>
      <c r="AH315" s="451" t="s">
        <v>131</v>
      </c>
      <c r="AI315" s="154">
        <v>45017</v>
      </c>
      <c r="AJ315" s="100" t="str">
        <f>IF(AI315&gt;0,
(IF(AI315&lt;Hónapok!$A$10,Admin!$A$28,
(IF(AI315&lt;Hónapok!$A$22,Admin!$B$28,
(IF(AI315&lt;Hónapok!$A$34,Admin!$C$28,
(IF(AI315&lt;Hónapok!$A$46,Admin!$D$28,"")))))))),"")</f>
        <v>3. mérföldkő</v>
      </c>
      <c r="AK315" s="469" t="s">
        <v>7</v>
      </c>
      <c r="AL315" s="101" t="s">
        <v>26</v>
      </c>
      <c r="AM315" s="900">
        <v>300000</v>
      </c>
      <c r="AN315" s="863">
        <v>8840</v>
      </c>
      <c r="AO315" s="101">
        <v>130</v>
      </c>
      <c r="AP315" s="111">
        <v>52</v>
      </c>
      <c r="AQ315" s="454">
        <f t="shared" si="534"/>
        <v>0.4</v>
      </c>
      <c r="AR315" s="740">
        <f t="shared" si="535"/>
        <v>120000</v>
      </c>
      <c r="AS315" s="741">
        <f>IFERROR(ROUND(AR315*AU315,0),"")</f>
        <v>3536</v>
      </c>
      <c r="AT315" s="102">
        <f t="shared" si="537"/>
        <v>0</v>
      </c>
      <c r="AU315" s="529">
        <f t="shared" si="753"/>
        <v>2.9466666666666665E-2</v>
      </c>
      <c r="AV315" s="565" t="str">
        <f>VLOOKUP(LEFT(AB315,10),Törzsszám!$A$1:$B$908,2,0)</f>
        <v>10002206</v>
      </c>
      <c r="AW315" s="615">
        <f t="shared" ca="1" si="538"/>
        <v>0</v>
      </c>
      <c r="AX315" s="471" t="s">
        <v>4581</v>
      </c>
      <c r="AY315" s="486"/>
      <c r="AZ315" s="502"/>
      <c r="BA315" s="671"/>
      <c r="BB315" s="649"/>
      <c r="BC315" s="649"/>
      <c r="BD315" s="672"/>
      <c r="BE315" s="450" t="s">
        <v>201</v>
      </c>
    </row>
    <row r="316" spans="1:57" s="457" customFormat="1" ht="31.5" x14ac:dyDescent="0.25">
      <c r="A316" s="694" t="str">
        <f ca="1">Bérköltség!$B316</f>
        <v>FEOR</v>
      </c>
      <c r="B316" s="694" t="str">
        <f ca="1">IFERROR(
IF(AND(Bérköltség!$F316="",H316="NA"),"HIÁNYOS ADATOK",
IF(Bérköltség!$F316&lt;Bérköltség!$U316,Admin!$B$18,Admin!$B$17)),
"")</f>
        <v>FEOR</v>
      </c>
      <c r="C316" s="437" t="str">
        <f>IFERROR(INDEX('Historikus berek_2021-2'!$A$1:$F$903,MATCH(AB316,'Historikus berek_2021-2'!$A$1:$A$903,0),4),"")</f>
        <v/>
      </c>
      <c r="D316" s="438" t="str">
        <f t="shared" si="564"/>
        <v>NA</v>
      </c>
      <c r="E316" s="437">
        <f t="shared" si="565"/>
        <v>120000</v>
      </c>
      <c r="F316" s="439" t="str">
        <f t="shared" si="566"/>
        <v/>
      </c>
      <c r="G316" s="440" t="str">
        <f t="shared" si="567"/>
        <v/>
      </c>
      <c r="H316" s="441">
        <f>IFERROR(INDEX('FEOR kodok'!$A$2:$J$1126,MATCH(Bérköltség!AB316,'FEOR kodok'!$B$2:$B$1126,0),8),"NA")</f>
        <v>3190</v>
      </c>
      <c r="I316" s="436">
        <f ca="1">IFERROR(INDEX('FEOR kodok'!$A$2:$J$1126,MATCH(Bérköltség!AB316,'FEOR kodok'!$B$2:$B$1126,0),10),"NA")</f>
        <v>41</v>
      </c>
      <c r="J316" s="442" t="str">
        <f t="shared" ca="1" si="568"/>
        <v>40–49 éves</v>
      </c>
      <c r="K316" s="436" t="str">
        <f>IFERROR(INDEX(admin_feor[#All],MATCH(Bérköltség!H316,admin_feor[[#All],[Foglalkozás]],0),2),"NA")</f>
        <v>Egyéb műszaki foglalkozású</v>
      </c>
      <c r="L316" s="438">
        <f ca="1">IFERROR(
INDEX('Admin - FEOR'!$A$4:$F$465,MATCH(Bérköltség!H316,'Admin - FEOR'!$A$4:$A$465,0),
IF(J316="30 év alatt",3,
IF(J316="30–39 éves",4,
IF(J316="40–49 éves",5,
IF(J316="50 év és afelett",6
)))))*1,"NA")</f>
        <v>528488</v>
      </c>
      <c r="M316" s="438">
        <f t="shared" si="569"/>
        <v>300000</v>
      </c>
      <c r="N316" s="443">
        <f t="shared" ca="1" si="570"/>
        <v>0.56765716534717914</v>
      </c>
      <c r="O316" s="438">
        <f ca="1">IFERROR(
INDEX('Admin - FEOR'!$A$4:$F$465,MATCH(Bérköltség!H316,'Admin - FEOR'!$A$4:$A$465,0),
IF(J316="30 év alatt",3,
IF(J316="30–39 éves",4,
IF(J316="40–49 éves",5,
IF(J316="50 év és afelett",6
)))))*1.5,"NA")</f>
        <v>792732</v>
      </c>
      <c r="P316" s="438">
        <f t="shared" ca="1" si="571"/>
        <v>317092.80000000005</v>
      </c>
      <c r="Q316" s="438">
        <f t="shared" si="572"/>
        <v>120000</v>
      </c>
      <c r="R316" s="444">
        <f t="shared" si="573"/>
        <v>0.4</v>
      </c>
      <c r="S316" s="438">
        <f t="shared" ca="1" si="574"/>
        <v>0</v>
      </c>
      <c r="T316" s="438">
        <f t="shared" ca="1" si="575"/>
        <v>0</v>
      </c>
      <c r="U316" s="445">
        <f t="shared" ca="1" si="576"/>
        <v>0</v>
      </c>
      <c r="V316" s="446">
        <f t="shared" ca="1" si="577"/>
        <v>123536</v>
      </c>
      <c r="W316" s="447" t="str">
        <f t="shared" ca="1" si="578"/>
        <v>Nem szükséges indoklás.</v>
      </c>
      <c r="X316" s="571">
        <f t="shared" ca="1" si="579"/>
        <v>0</v>
      </c>
      <c r="Y316" s="554">
        <f t="shared" ca="1" si="580"/>
        <v>120000</v>
      </c>
      <c r="Z316" s="556">
        <f t="shared" ca="1" si="581"/>
        <v>3536</v>
      </c>
      <c r="AA316" s="101"/>
      <c r="AB316" s="448">
        <v>8421490664</v>
      </c>
      <c r="AC316" s="449" t="s">
        <v>202</v>
      </c>
      <c r="AD316" s="483" t="s">
        <v>45</v>
      </c>
      <c r="AE316" s="450" t="s">
        <v>24</v>
      </c>
      <c r="AF316" s="99" t="s">
        <v>125</v>
      </c>
      <c r="AG316" s="99" t="s">
        <v>153</v>
      </c>
      <c r="AH316" s="451" t="s">
        <v>131</v>
      </c>
      <c r="AI316" s="154">
        <v>45047</v>
      </c>
      <c r="AJ316" s="100" t="str">
        <f>IF(AI316&gt;0,
(IF(AI316&lt;Hónapok!$A$10,Admin!$A$28,
(IF(AI316&lt;Hónapok!$A$22,Admin!$B$28,
(IF(AI316&lt;Hónapok!$A$34,Admin!$C$28,
(IF(AI316&lt;Hónapok!$A$46,Admin!$D$28,"")))))))),"")</f>
        <v>3. mérföldkő</v>
      </c>
      <c r="AK316" s="469" t="s">
        <v>7</v>
      </c>
      <c r="AL316" s="101" t="s">
        <v>26</v>
      </c>
      <c r="AM316" s="900">
        <v>300000</v>
      </c>
      <c r="AN316" s="863">
        <v>8840</v>
      </c>
      <c r="AO316" s="101">
        <v>130</v>
      </c>
      <c r="AP316" s="111">
        <v>52</v>
      </c>
      <c r="AQ316" s="454">
        <f t="shared" si="534"/>
        <v>0.4</v>
      </c>
      <c r="AR316" s="740">
        <f t="shared" si="535"/>
        <v>120000</v>
      </c>
      <c r="AS316" s="741">
        <f t="shared" si="536"/>
        <v>3536</v>
      </c>
      <c r="AT316" s="102">
        <f t="shared" si="537"/>
        <v>0</v>
      </c>
      <c r="AU316" s="529">
        <f>AN316/AM316</f>
        <v>2.9466666666666665E-2</v>
      </c>
      <c r="AV316" s="565" t="str">
        <f>VLOOKUP(LEFT(AB316,10),Törzsszám!$A$1:$B$908,2,0)</f>
        <v>10002206</v>
      </c>
      <c r="AW316" s="615">
        <f t="shared" ca="1" si="538"/>
        <v>0</v>
      </c>
      <c r="AX316" s="471" t="s">
        <v>4596</v>
      </c>
      <c r="AY316" s="486"/>
      <c r="AZ316" s="502"/>
      <c r="BA316" s="671"/>
      <c r="BB316" s="649"/>
      <c r="BC316" s="649"/>
      <c r="BD316" s="672"/>
      <c r="BE316" s="450" t="s">
        <v>201</v>
      </c>
    </row>
    <row r="317" spans="1:57" s="457" customFormat="1" ht="31.5" x14ac:dyDescent="0.25">
      <c r="A317" s="694" t="str">
        <f ca="1">Bérköltség!$B317</f>
        <v>FEOR</v>
      </c>
      <c r="B317" s="694" t="str">
        <f ca="1">IFERROR(
IF(AND(Bérköltség!$F317="",H317="NA"),"HIÁNYOS ADATOK",
IF(Bérköltség!$F317&lt;Bérköltség!$U317,Admin!$B$18,Admin!$B$17)),
"")</f>
        <v>FEOR</v>
      </c>
      <c r="C317" s="437" t="str">
        <f>IFERROR(INDEX('Historikus berek_2021-2'!$A$1:$F$903,MATCH(AB317,'Historikus berek_2021-2'!$A$1:$A$903,0),4),"")</f>
        <v/>
      </c>
      <c r="D317" s="438" t="str">
        <f t="shared" ref="D317:D322" si="754">IFERROR(C317*AQ317,"NA")</f>
        <v>NA</v>
      </c>
      <c r="E317" s="437">
        <f t="shared" ref="E317:E322" si="755">AR317</f>
        <v>120000</v>
      </c>
      <c r="F317" s="439" t="str">
        <f t="shared" ref="F317:F322" si="756">IFERROR(IF((E317*(1+AU317)-D317*(1+AU317))&lt;0,0,(E317*(1+AU317)-D317*(1+AU317))),"")</f>
        <v/>
      </c>
      <c r="G317" s="440" t="str">
        <f t="shared" ref="G317:G322" si="757">IFERROR((E317*(1+AU317)-F317),"")</f>
        <v/>
      </c>
      <c r="H317" s="441">
        <f>IFERROR(INDEX('FEOR kodok'!$A$2:$J$1126,MATCH(Bérköltség!AB317,'FEOR kodok'!$B$2:$B$1126,0),8),"NA")</f>
        <v>3190</v>
      </c>
      <c r="I317" s="436">
        <f ca="1">IFERROR(INDEX('FEOR kodok'!$A$2:$J$1126,MATCH(Bérköltség!AB317,'FEOR kodok'!$B$2:$B$1126,0),10),"NA")</f>
        <v>41</v>
      </c>
      <c r="J317" s="442" t="str">
        <f t="shared" ref="J317:J322" ca="1" si="758">IF(I317="NA","NA",
IF(I317&lt;30,"30 év alatt",
IF(AND(I317&gt;=30,I317&lt;=39),"30–39 éves",
IF(AND(I317&gt;=40,I317&lt;=49),"40–49 éves",
IF(I317&gt;=50,"50 év és afelett",
"")))))</f>
        <v>40–49 éves</v>
      </c>
      <c r="K317" s="436" t="str">
        <f>IFERROR(INDEX(admin_feor[#All],MATCH(Bérköltség!H317,admin_feor[[#All],[Foglalkozás]],0),2),"NA")</f>
        <v>Egyéb műszaki foglalkozású</v>
      </c>
      <c r="L317" s="438">
        <f ca="1">IFERROR(
INDEX('Admin - FEOR'!$A$4:$F$465,MATCH(Bérköltség!H317,'Admin - FEOR'!$A$4:$A$465,0),
IF(J317="30 év alatt",3,
IF(J317="30–39 éves",4,
IF(J317="40–49 éves",5,
IF(J317="50 év és afelett",6
)))))*1,"NA")</f>
        <v>528488</v>
      </c>
      <c r="M317" s="438">
        <f t="shared" ref="M317:M322" si="759">AM317</f>
        <v>300000</v>
      </c>
      <c r="N317" s="443">
        <f t="shared" ref="N317:N322" ca="1" si="760">IFERROR(
M317/L317,"NA")</f>
        <v>0.56765716534717914</v>
      </c>
      <c r="O317" s="438">
        <f ca="1">IFERROR(
INDEX('Admin - FEOR'!$A$4:$F$465,MATCH(Bérköltség!H317,'Admin - FEOR'!$A$4:$A$465,0),
IF(J317="30 év alatt",3,
IF(J317="30–39 éves",4,
IF(J317="40–49 éves",5,
IF(J317="50 év és afelett",6
)))))*1.5,"NA")</f>
        <v>792732</v>
      </c>
      <c r="P317" s="438">
        <f t="shared" ref="P317:P322" ca="1" si="761">IFERROR(
AQ317*O317,"NA")</f>
        <v>317092.80000000005</v>
      </c>
      <c r="Q317" s="438">
        <f t="shared" ref="Q317:Q322" si="762">IFERROR(AR317,"")</f>
        <v>120000</v>
      </c>
      <c r="R317" s="444">
        <f t="shared" ref="R317:R322" si="763">IFERROR(AQ317,"")</f>
        <v>0.4</v>
      </c>
      <c r="S317" s="438">
        <f t="shared" ref="S317:S322" ca="1" si="764">IFERROR(
IF(AR317-P317&lt;0,0,AR317-P317),"NA")</f>
        <v>0</v>
      </c>
      <c r="T317" s="438">
        <f t="shared" ref="T317:T322" ca="1" si="765">IFERROR(
S317*AU317,"NA")</f>
        <v>0</v>
      </c>
      <c r="U317" s="445">
        <f t="shared" ref="U317:U322" ca="1" si="766">IFERROR(
S317+T317,"NA")</f>
        <v>0</v>
      </c>
      <c r="V317" s="446">
        <f t="shared" ref="V317:V322" ca="1" si="767">IFERROR(
IF(U317&gt;0,AR317+AS317-U317,AR317+AS317),"NA")</f>
        <v>123536</v>
      </c>
      <c r="W317" s="447" t="str">
        <f t="shared" ref="W317:W322" ca="1" si="768">IF(P317="NA","FEOR hiányzik",
IF(AND(N317&gt;1,A317="FEOR"),CONCATENATE("Indoklás szükséges mivel a FEOR: ",ROUND(N317*100,1),"%"),"Nem szükséges indoklás.")
)</f>
        <v>Nem szükséges indoklás.</v>
      </c>
      <c r="X317" s="571">
        <f t="shared" ref="X317:X322" ca="1" si="769">IF(A317="FEOR",U317,IF(A317="HIÁNYOS ADATOK","HIÁNYOS ADATOK",F317))</f>
        <v>0</v>
      </c>
      <c r="Y317" s="554">
        <f t="shared" ref="Y317:Y322" ca="1" si="770">IF(A317="FEOR",ROUND(V317/(1+AU317),0),IF(A317="HIÁNYOS ADATOK","HIÁNYOS ADATOK",ROUND(G317/(1+AU317),0)))</f>
        <v>120000</v>
      </c>
      <c r="Z317" s="556">
        <f t="shared" ref="Z317:Z322" ca="1" si="771">IF(A317="FEOR",ROUND(V317-Y317,0),IF(A317="HIÁNYOS ADATOK","HIÁNYOS ADATOK",ROUND(G317-Y317,0)))</f>
        <v>3536</v>
      </c>
      <c r="AA317" s="101"/>
      <c r="AB317" s="297">
        <v>8421490664</v>
      </c>
      <c r="AC317" s="298" t="s">
        <v>202</v>
      </c>
      <c r="AD317" s="513" t="s">
        <v>45</v>
      </c>
      <c r="AE317" s="295" t="s">
        <v>24</v>
      </c>
      <c r="AF317" s="299" t="s">
        <v>125</v>
      </c>
      <c r="AG317" s="299" t="s">
        <v>153</v>
      </c>
      <c r="AH317" s="104" t="s">
        <v>131</v>
      </c>
      <c r="AI317" s="153">
        <v>45078</v>
      </c>
      <c r="AJ317" s="105" t="str">
        <f>IF(AI317&gt;0,
(IF(AI317&lt;Hónapok!$A$10,Admin!$A$28,
(IF(AI317&lt;Hónapok!$A$22,Admin!$B$28,
(IF(AI317&lt;Hónapok!$A$34,Admin!$C$28,
(IF(AI317&lt;Hónapok!$A$46,Admin!$D$28,"")))))))),"")</f>
        <v>3. mérföldkő</v>
      </c>
      <c r="AK317" s="350" t="s">
        <v>7</v>
      </c>
      <c r="AL317" s="106" t="s">
        <v>26</v>
      </c>
      <c r="AM317" s="901">
        <v>300000</v>
      </c>
      <c r="AN317" s="863">
        <v>8840</v>
      </c>
      <c r="AO317" s="106">
        <v>130</v>
      </c>
      <c r="AP317" s="300">
        <v>52</v>
      </c>
      <c r="AQ317" s="510">
        <f t="shared" ref="AQ317:AQ322" si="772">IFERROR(AP317/AO317,"")</f>
        <v>0.4</v>
      </c>
      <c r="AR317" s="786">
        <f t="shared" ref="AR317:AR322" si="773">IFERROR(ROUND(AM317*AP317/AO317,0),"")</f>
        <v>120000</v>
      </c>
      <c r="AS317" s="741">
        <f t="shared" ref="AS317:AS322" si="774">IFERROR(ROUND(AR317*AU317,0),"")</f>
        <v>3536</v>
      </c>
      <c r="AT317" s="296">
        <f t="shared" ref="AT317:AT322" si="775">IFERROR(AP317/AO317-AR317/AM317,"")</f>
        <v>0</v>
      </c>
      <c r="AU317" s="529">
        <f t="shared" ref="AU317:AU322" si="776">AN317/AM317</f>
        <v>2.9466666666666665E-2</v>
      </c>
      <c r="AV317" s="661" t="str">
        <f>VLOOKUP(LEFT(AB317,10),Törzsszám!$A$1:$B$908,2,0)</f>
        <v>10002206</v>
      </c>
      <c r="AW317" s="615"/>
      <c r="AX317" s="471" t="s">
        <v>4606</v>
      </c>
      <c r="AY317" s="486"/>
      <c r="AZ317" s="502"/>
      <c r="BA317" s="671"/>
      <c r="BB317" s="649"/>
      <c r="BC317" s="649"/>
      <c r="BD317" s="672"/>
      <c r="BE317" s="450"/>
    </row>
    <row r="318" spans="1:57" s="457" customFormat="1" ht="31.5" x14ac:dyDescent="0.25">
      <c r="A318" s="694" t="str">
        <f ca="1">Bérköltség!$B318</f>
        <v>FEOR</v>
      </c>
      <c r="B318" s="694" t="str">
        <f ca="1">IFERROR(
IF(AND(Bérköltség!$F318="",H318="NA"),"HIÁNYOS ADATOK",
IF(Bérköltség!$F318&lt;Bérköltség!$U318,Admin!$B$18,Admin!$B$17)),
"")</f>
        <v>FEOR</v>
      </c>
      <c r="C318" s="437" t="str">
        <f>IFERROR(INDEX('Historikus berek_2021-2'!$A$1:$F$903,MATCH(AB318,'Historikus berek_2021-2'!$A$1:$A$903,0),4),"")</f>
        <v/>
      </c>
      <c r="D318" s="438" t="str">
        <f t="shared" si="754"/>
        <v>NA</v>
      </c>
      <c r="E318" s="437">
        <f t="shared" si="755"/>
        <v>120000</v>
      </c>
      <c r="F318" s="439" t="str">
        <f t="shared" si="756"/>
        <v/>
      </c>
      <c r="G318" s="440" t="str">
        <f t="shared" si="757"/>
        <v/>
      </c>
      <c r="H318" s="441">
        <f>IFERROR(INDEX('FEOR kodok'!$A$2:$J$1126,MATCH(Bérköltség!AB318,'FEOR kodok'!$B$2:$B$1126,0),8),"NA")</f>
        <v>3190</v>
      </c>
      <c r="I318" s="436">
        <f ca="1">IFERROR(INDEX('FEOR kodok'!$A$2:$J$1126,MATCH(Bérköltség!AB318,'FEOR kodok'!$B$2:$B$1126,0),10),"NA")</f>
        <v>41</v>
      </c>
      <c r="J318" s="442" t="str">
        <f t="shared" ca="1" si="758"/>
        <v>40–49 éves</v>
      </c>
      <c r="K318" s="436" t="str">
        <f>IFERROR(INDEX(admin_feor[#All],MATCH(Bérköltség!H318,admin_feor[[#All],[Foglalkozás]],0),2),"NA")</f>
        <v>Egyéb műszaki foglalkozású</v>
      </c>
      <c r="L318" s="438">
        <f ca="1">IFERROR(
INDEX('Admin - FEOR'!$A$4:$F$465,MATCH(Bérköltség!H318,'Admin - FEOR'!$A$4:$A$465,0),
IF(J318="30 év alatt",3,
IF(J318="30–39 éves",4,
IF(J318="40–49 éves",5,
IF(J318="50 év és afelett",6
)))))*1,"NA")</f>
        <v>528488</v>
      </c>
      <c r="M318" s="438">
        <f t="shared" si="759"/>
        <v>300000</v>
      </c>
      <c r="N318" s="443">
        <f t="shared" ca="1" si="760"/>
        <v>0.56765716534717914</v>
      </c>
      <c r="O318" s="438">
        <f ca="1">IFERROR(
INDEX('Admin - FEOR'!$A$4:$F$465,MATCH(Bérköltség!H318,'Admin - FEOR'!$A$4:$A$465,0),
IF(J318="30 év alatt",3,
IF(J318="30–39 éves",4,
IF(J318="40–49 éves",5,
IF(J318="50 év és afelett",6
)))))*1.5,"NA")</f>
        <v>792732</v>
      </c>
      <c r="P318" s="438">
        <f t="shared" ca="1" si="761"/>
        <v>317092.80000000005</v>
      </c>
      <c r="Q318" s="438">
        <f t="shared" si="762"/>
        <v>120000</v>
      </c>
      <c r="R318" s="444">
        <f t="shared" si="763"/>
        <v>0.4</v>
      </c>
      <c r="S318" s="438">
        <f t="shared" ca="1" si="764"/>
        <v>0</v>
      </c>
      <c r="T318" s="438">
        <f t="shared" ca="1" si="765"/>
        <v>0</v>
      </c>
      <c r="U318" s="445">
        <f t="shared" ca="1" si="766"/>
        <v>0</v>
      </c>
      <c r="V318" s="446">
        <f t="shared" ca="1" si="767"/>
        <v>123536</v>
      </c>
      <c r="W318" s="447" t="str">
        <f t="shared" ca="1" si="768"/>
        <v>Nem szükséges indoklás.</v>
      </c>
      <c r="X318" s="571">
        <f t="shared" ca="1" si="769"/>
        <v>0</v>
      </c>
      <c r="Y318" s="554">
        <f t="shared" ca="1" si="770"/>
        <v>120000</v>
      </c>
      <c r="Z318" s="556">
        <f t="shared" ca="1" si="771"/>
        <v>3536</v>
      </c>
      <c r="AA318" s="101"/>
      <c r="AB318" s="297">
        <v>8421490664</v>
      </c>
      <c r="AC318" s="298" t="s">
        <v>202</v>
      </c>
      <c r="AD318" s="513" t="s">
        <v>45</v>
      </c>
      <c r="AE318" s="295" t="s">
        <v>24</v>
      </c>
      <c r="AF318" s="299" t="s">
        <v>125</v>
      </c>
      <c r="AG318" s="299" t="s">
        <v>153</v>
      </c>
      <c r="AH318" s="104" t="s">
        <v>131</v>
      </c>
      <c r="AI318" s="153">
        <v>45108</v>
      </c>
      <c r="AJ318" s="105" t="str">
        <f>IF(AI318&gt;0,
(IF(AI318&lt;Hónapok!$A$10,Admin!$A$28,
(IF(AI318&lt;Hónapok!$A$22,Admin!$B$28,
(IF(AI318&lt;Hónapok!$A$34,Admin!$C$28,
(IF(AI318&lt;Hónapok!$A$46,Admin!$D$28,"")))))))),"")</f>
        <v>3. mérföldkő</v>
      </c>
      <c r="AK318" s="350" t="s">
        <v>7</v>
      </c>
      <c r="AL318" s="106" t="s">
        <v>26</v>
      </c>
      <c r="AM318" s="901">
        <v>300000</v>
      </c>
      <c r="AN318" s="863">
        <v>8840</v>
      </c>
      <c r="AO318" s="106">
        <v>130</v>
      </c>
      <c r="AP318" s="300">
        <v>52</v>
      </c>
      <c r="AQ318" s="813">
        <f t="shared" si="772"/>
        <v>0.4</v>
      </c>
      <c r="AR318" s="786">
        <f t="shared" si="773"/>
        <v>120000</v>
      </c>
      <c r="AS318" s="741">
        <f t="shared" si="774"/>
        <v>3536</v>
      </c>
      <c r="AT318" s="296">
        <f t="shared" si="775"/>
        <v>0</v>
      </c>
      <c r="AU318" s="529">
        <f t="shared" si="776"/>
        <v>2.9466666666666665E-2</v>
      </c>
      <c r="AV318" s="661" t="str">
        <f>VLOOKUP(LEFT(AB318,10),Törzsszám!$A$1:$B$908,2,0)</f>
        <v>10002206</v>
      </c>
      <c r="AW318" s="615"/>
      <c r="AX318" s="471" t="s">
        <v>4610</v>
      </c>
      <c r="AY318" s="486"/>
      <c r="AZ318" s="502"/>
      <c r="BA318" s="671"/>
      <c r="BB318" s="649"/>
      <c r="BC318" s="649"/>
      <c r="BD318" s="672"/>
      <c r="BE318" s="450"/>
    </row>
    <row r="319" spans="1:57" s="457" customFormat="1" ht="31.5" x14ac:dyDescent="0.25">
      <c r="A319" s="694" t="str">
        <f ca="1">Bérköltség!$B319</f>
        <v>FEOR</v>
      </c>
      <c r="B319" s="694" t="str">
        <f ca="1">IFERROR(
IF(AND(Bérköltség!$F319="",H319="NA"),"HIÁNYOS ADATOK",
IF(Bérköltség!$F319&lt;Bérköltség!$U319,Admin!$B$18,Admin!$B$17)),
"")</f>
        <v>FEOR</v>
      </c>
      <c r="C319" s="437" t="str">
        <f>IFERROR(INDEX('Historikus berek_2021-2'!$A$1:$F$903,MATCH(AB319,'Historikus berek_2021-2'!$A$1:$A$903,0),4),"")</f>
        <v/>
      </c>
      <c r="D319" s="438" t="str">
        <f t="shared" si="754"/>
        <v>NA</v>
      </c>
      <c r="E319" s="437">
        <f t="shared" si="755"/>
        <v>120000</v>
      </c>
      <c r="F319" s="439" t="str">
        <f t="shared" si="756"/>
        <v/>
      </c>
      <c r="G319" s="440" t="str">
        <f t="shared" si="757"/>
        <v/>
      </c>
      <c r="H319" s="441">
        <f>IFERROR(INDEX('FEOR kodok'!$A$2:$J$1126,MATCH(Bérköltség!AB319,'FEOR kodok'!$B$2:$B$1126,0),8),"NA")</f>
        <v>3190</v>
      </c>
      <c r="I319" s="436">
        <f ca="1">IFERROR(INDEX('FEOR kodok'!$A$2:$J$1126,MATCH(Bérköltség!AB319,'FEOR kodok'!$B$2:$B$1126,0),10),"NA")</f>
        <v>41</v>
      </c>
      <c r="J319" s="442" t="str">
        <f t="shared" ca="1" si="758"/>
        <v>40–49 éves</v>
      </c>
      <c r="K319" s="436" t="str">
        <f>IFERROR(INDEX(admin_feor[#All],MATCH(Bérköltség!H319,admin_feor[[#All],[Foglalkozás]],0),2),"NA")</f>
        <v>Egyéb műszaki foglalkozású</v>
      </c>
      <c r="L319" s="438">
        <f ca="1">IFERROR(
INDEX('Admin - FEOR'!$A$4:$F$465,MATCH(Bérköltség!H319,'Admin - FEOR'!$A$4:$A$465,0),
IF(J319="30 év alatt",3,
IF(J319="30–39 éves",4,
IF(J319="40–49 éves",5,
IF(J319="50 év és afelett",6
)))))*1,"NA")</f>
        <v>528488</v>
      </c>
      <c r="M319" s="438">
        <f t="shared" si="759"/>
        <v>299999</v>
      </c>
      <c r="N319" s="443">
        <f t="shared" ca="1" si="760"/>
        <v>0.567655273156628</v>
      </c>
      <c r="O319" s="438">
        <f ca="1">IFERROR(
INDEX('Admin - FEOR'!$A$4:$F$465,MATCH(Bérköltség!H319,'Admin - FEOR'!$A$4:$A$465,0),
IF(J319="30 év alatt",3,
IF(J319="30–39 éves",4,
IF(J319="40–49 éves",5,
IF(J319="50 év és afelett",6
)))))*1.5,"NA")</f>
        <v>792732</v>
      </c>
      <c r="P319" s="438">
        <f t="shared" ca="1" si="761"/>
        <v>317092.80000000005</v>
      </c>
      <c r="Q319" s="438">
        <f t="shared" si="762"/>
        <v>120000</v>
      </c>
      <c r="R319" s="444">
        <f t="shared" si="763"/>
        <v>0.4</v>
      </c>
      <c r="S319" s="438">
        <f t="shared" ca="1" si="764"/>
        <v>0</v>
      </c>
      <c r="T319" s="438">
        <f t="shared" ca="1" si="765"/>
        <v>0</v>
      </c>
      <c r="U319" s="445">
        <f t="shared" ca="1" si="766"/>
        <v>0</v>
      </c>
      <c r="V319" s="446">
        <f t="shared" ca="1" si="767"/>
        <v>123536</v>
      </c>
      <c r="W319" s="447" t="str">
        <f t="shared" ca="1" si="768"/>
        <v>Nem szükséges indoklás.</v>
      </c>
      <c r="X319" s="571">
        <f t="shared" ca="1" si="769"/>
        <v>0</v>
      </c>
      <c r="Y319" s="554">
        <f t="shared" ca="1" si="770"/>
        <v>120000</v>
      </c>
      <c r="Z319" s="556">
        <f t="shared" ca="1" si="771"/>
        <v>3536</v>
      </c>
      <c r="AA319" s="101"/>
      <c r="AB319" s="297">
        <v>8421490664</v>
      </c>
      <c r="AC319" s="298" t="s">
        <v>202</v>
      </c>
      <c r="AD319" s="513" t="s">
        <v>45</v>
      </c>
      <c r="AE319" s="295" t="s">
        <v>24</v>
      </c>
      <c r="AF319" s="299" t="s">
        <v>125</v>
      </c>
      <c r="AG319" s="299" t="s">
        <v>153</v>
      </c>
      <c r="AH319" s="104" t="s">
        <v>131</v>
      </c>
      <c r="AI319" s="153">
        <v>45139</v>
      </c>
      <c r="AJ319" s="105" t="str">
        <f>IF(AI319&gt;0,
(IF(AI319&lt;Hónapok!$A$10,Admin!$A$28,
(IF(AI319&lt;Hónapok!$A$22,Admin!$B$28,
(IF(AI319&lt;Hónapok!$A$34,Admin!$C$28,
(IF(AI319&lt;Hónapok!$A$46,Admin!$D$28,"")))))))),"")</f>
        <v>3. mérföldkő</v>
      </c>
      <c r="AK319" s="350" t="s">
        <v>7</v>
      </c>
      <c r="AL319" s="106" t="s">
        <v>26</v>
      </c>
      <c r="AM319" s="901">
        <f>300000-1</f>
        <v>299999</v>
      </c>
      <c r="AN319" s="863">
        <v>8840</v>
      </c>
      <c r="AO319" s="106">
        <v>130</v>
      </c>
      <c r="AP319" s="300">
        <v>52</v>
      </c>
      <c r="AQ319" s="510">
        <f t="shared" si="772"/>
        <v>0.4</v>
      </c>
      <c r="AR319" s="786">
        <f t="shared" si="773"/>
        <v>120000</v>
      </c>
      <c r="AS319" s="741">
        <f t="shared" si="774"/>
        <v>3536</v>
      </c>
      <c r="AT319" s="296">
        <f t="shared" si="775"/>
        <v>-1.3333377777979827E-6</v>
      </c>
      <c r="AU319" s="529">
        <f t="shared" si="776"/>
        <v>2.9466764889216297E-2</v>
      </c>
      <c r="AV319" s="661" t="str">
        <f>VLOOKUP(LEFT(AB319,10),Törzsszám!$A$1:$B$908,2,0)</f>
        <v>10002206</v>
      </c>
      <c r="AW319" s="615"/>
      <c r="AX319" s="471" t="s">
        <v>4613</v>
      </c>
      <c r="AY319" s="486"/>
      <c r="AZ319" s="502"/>
      <c r="BA319" s="671"/>
      <c r="BB319" s="649"/>
      <c r="BC319" s="649"/>
      <c r="BD319" s="672"/>
      <c r="BE319" s="450"/>
    </row>
    <row r="320" spans="1:57" s="457" customFormat="1" ht="31.5" x14ac:dyDescent="0.25">
      <c r="A320" s="694" t="str">
        <f ca="1">Bérköltség!$B320</f>
        <v>FEOR</v>
      </c>
      <c r="B320" s="694" t="str">
        <f ca="1">IFERROR(
IF(AND(Bérköltség!$F320="",H320="NA"),"HIÁNYOS ADATOK",
IF(Bérköltség!$F320&lt;Bérköltség!$U320,Admin!$B$18,Admin!$B$17)),
"")</f>
        <v>FEOR</v>
      </c>
      <c r="C320" s="437" t="str">
        <f>IFERROR(INDEX('Historikus berek_2021-2'!$A$1:$F$903,MATCH(AB320,'Historikus berek_2021-2'!$A$1:$A$903,0),4),"")</f>
        <v/>
      </c>
      <c r="D320" s="438" t="str">
        <f t="shared" si="754"/>
        <v>NA</v>
      </c>
      <c r="E320" s="437">
        <f t="shared" si="755"/>
        <v>120000</v>
      </c>
      <c r="F320" s="439" t="str">
        <f t="shared" si="756"/>
        <v/>
      </c>
      <c r="G320" s="440" t="str">
        <f t="shared" si="757"/>
        <v/>
      </c>
      <c r="H320" s="441">
        <f>IFERROR(INDEX('FEOR kodok'!$A$2:$J$1126,MATCH(Bérköltség!AB320,'FEOR kodok'!$B$2:$B$1126,0),8),"NA")</f>
        <v>3190</v>
      </c>
      <c r="I320" s="436">
        <f ca="1">IFERROR(INDEX('FEOR kodok'!$A$2:$J$1126,MATCH(Bérköltség!AB320,'FEOR kodok'!$B$2:$B$1126,0),10),"NA")</f>
        <v>41</v>
      </c>
      <c r="J320" s="442" t="str">
        <f t="shared" ca="1" si="758"/>
        <v>40–49 éves</v>
      </c>
      <c r="K320" s="436" t="str">
        <f>IFERROR(INDEX(admin_feor[#All],MATCH(Bérköltség!H320,admin_feor[[#All],[Foglalkozás]],0),2),"NA")</f>
        <v>Egyéb műszaki foglalkozású</v>
      </c>
      <c r="L320" s="438">
        <f ca="1">IFERROR(
INDEX('Admin - FEOR'!$A$4:$F$465,MATCH(Bérköltség!H320,'Admin - FEOR'!$A$4:$A$465,0),
IF(J320="30 év alatt",3,
IF(J320="30–39 éves",4,
IF(J320="40–49 éves",5,
IF(J320="50 év és afelett",6
)))))*1,"NA")</f>
        <v>528488</v>
      </c>
      <c r="M320" s="438">
        <f t="shared" si="759"/>
        <v>300000</v>
      </c>
      <c r="N320" s="443">
        <f t="shared" ca="1" si="760"/>
        <v>0.56765716534717914</v>
      </c>
      <c r="O320" s="438">
        <f ca="1">IFERROR(
INDEX('Admin - FEOR'!$A$4:$F$465,MATCH(Bérköltség!H320,'Admin - FEOR'!$A$4:$A$465,0),
IF(J320="30 év alatt",3,
IF(J320="30–39 éves",4,
IF(J320="40–49 éves",5,
IF(J320="50 év és afelett",6
)))))*1.5,"NA")</f>
        <v>792732</v>
      </c>
      <c r="P320" s="438">
        <f t="shared" ca="1" si="761"/>
        <v>317092.80000000005</v>
      </c>
      <c r="Q320" s="438">
        <f t="shared" si="762"/>
        <v>120000</v>
      </c>
      <c r="R320" s="444">
        <f t="shared" si="763"/>
        <v>0.4</v>
      </c>
      <c r="S320" s="438">
        <f t="shared" ca="1" si="764"/>
        <v>0</v>
      </c>
      <c r="T320" s="438">
        <f t="shared" ca="1" si="765"/>
        <v>0</v>
      </c>
      <c r="U320" s="445">
        <f t="shared" ca="1" si="766"/>
        <v>0</v>
      </c>
      <c r="V320" s="446">
        <f t="shared" ca="1" si="767"/>
        <v>123536</v>
      </c>
      <c r="W320" s="447" t="str">
        <f t="shared" ca="1" si="768"/>
        <v>Nem szükséges indoklás.</v>
      </c>
      <c r="X320" s="914">
        <f t="shared" ca="1" si="769"/>
        <v>0</v>
      </c>
      <c r="Y320" s="554">
        <f t="shared" ca="1" si="770"/>
        <v>120000</v>
      </c>
      <c r="Z320" s="556">
        <f t="shared" ca="1" si="771"/>
        <v>3536</v>
      </c>
      <c r="AA320" s="101"/>
      <c r="AB320" s="297">
        <v>8421490664</v>
      </c>
      <c r="AC320" s="298" t="s">
        <v>202</v>
      </c>
      <c r="AD320" s="915" t="s">
        <v>45</v>
      </c>
      <c r="AE320" s="295" t="s">
        <v>24</v>
      </c>
      <c r="AF320" s="299" t="s">
        <v>125</v>
      </c>
      <c r="AG320" s="299" t="s">
        <v>153</v>
      </c>
      <c r="AH320" s="104" t="s">
        <v>131</v>
      </c>
      <c r="AI320" s="153">
        <v>45170</v>
      </c>
      <c r="AJ320" s="105" t="str">
        <f>IF(AI320&gt;0,
(IF(AI320&lt;Hónapok!$A$10,Admin!$A$28,
(IF(AI320&lt;Hónapok!$A$22,Admin!$B$28,
(IF(AI320&lt;Hónapok!$A$34,Admin!$C$28,
(IF(AI320&lt;Hónapok!$A$46,Admin!$D$28,"")))))))),"")</f>
        <v>3. mérföldkő</v>
      </c>
      <c r="AK320" s="350" t="s">
        <v>7</v>
      </c>
      <c r="AL320" s="106" t="s">
        <v>26</v>
      </c>
      <c r="AM320" s="901">
        <v>300000</v>
      </c>
      <c r="AN320" s="863">
        <v>8840</v>
      </c>
      <c r="AO320" s="106">
        <v>130</v>
      </c>
      <c r="AP320" s="300">
        <v>52</v>
      </c>
      <c r="AQ320" s="510">
        <f t="shared" si="772"/>
        <v>0.4</v>
      </c>
      <c r="AR320" s="786">
        <f t="shared" si="773"/>
        <v>120000</v>
      </c>
      <c r="AS320" s="741">
        <f t="shared" si="774"/>
        <v>3536</v>
      </c>
      <c r="AT320" s="296">
        <f t="shared" si="775"/>
        <v>0</v>
      </c>
      <c r="AU320" s="529">
        <f t="shared" si="776"/>
        <v>2.9466666666666665E-2</v>
      </c>
      <c r="AV320" s="661" t="str">
        <f>VLOOKUP(LEFT(AB320,10),Törzsszám!$A$1:$B$908,2,0)</f>
        <v>10002206</v>
      </c>
      <c r="AW320" s="615"/>
      <c r="AX320" s="471" t="s">
        <v>4618</v>
      </c>
      <c r="AY320" s="486"/>
      <c r="AZ320" s="502"/>
      <c r="BA320" s="671"/>
      <c r="BB320" s="649"/>
      <c r="BC320" s="649"/>
      <c r="BD320" s="672"/>
      <c r="BE320" s="450"/>
    </row>
    <row r="321" spans="1:57" s="457" customFormat="1" ht="31.5" x14ac:dyDescent="0.25">
      <c r="A321" s="694" t="str">
        <f ca="1">Bérköltség!$B321</f>
        <v>FEOR</v>
      </c>
      <c r="B321" s="694" t="str">
        <f ca="1">IFERROR(
IF(AND(Bérköltség!$F321="",H321="NA"),"HIÁNYOS ADATOK",
IF(Bérköltség!$F321&lt;Bérköltség!$U321,Admin!$B$18,Admin!$B$17)),
"")</f>
        <v>FEOR</v>
      </c>
      <c r="C321" s="437" t="str">
        <f>IFERROR(INDEX('Historikus berek_2021-2'!$A$1:$F$903,MATCH(AB321,'Historikus berek_2021-2'!$A$1:$A$903,0),4),"")</f>
        <v/>
      </c>
      <c r="D321" s="438" t="str">
        <f t="shared" si="754"/>
        <v>NA</v>
      </c>
      <c r="E321" s="437">
        <f t="shared" si="755"/>
        <v>120000</v>
      </c>
      <c r="F321" s="439" t="str">
        <f t="shared" si="756"/>
        <v/>
      </c>
      <c r="G321" s="440" t="str">
        <f t="shared" si="757"/>
        <v/>
      </c>
      <c r="H321" s="441">
        <f>IFERROR(INDEX('FEOR kodok'!$A$2:$J$1126,MATCH(Bérköltség!AB321,'FEOR kodok'!$B$2:$B$1126,0),8),"NA")</f>
        <v>3190</v>
      </c>
      <c r="I321" s="436">
        <f ca="1">IFERROR(INDEX('FEOR kodok'!$A$2:$J$1126,MATCH(Bérköltség!AB321,'FEOR kodok'!$B$2:$B$1126,0),10),"NA")</f>
        <v>41</v>
      </c>
      <c r="J321" s="442" t="str">
        <f t="shared" ca="1" si="758"/>
        <v>40–49 éves</v>
      </c>
      <c r="K321" s="436" t="str">
        <f>IFERROR(INDEX(admin_feor[#All],MATCH(Bérköltség!H321,admin_feor[[#All],[Foglalkozás]],0),2),"NA")</f>
        <v>Egyéb műszaki foglalkozású</v>
      </c>
      <c r="L321" s="438">
        <f ca="1">IFERROR(
INDEX('Admin - FEOR'!$A$4:$F$465,MATCH(Bérköltség!H321,'Admin - FEOR'!$A$4:$A$465,0),
IF(J321="30 év alatt",3,
IF(J321="30–39 éves",4,
IF(J321="40–49 éves",5,
IF(J321="50 év és afelett",6
)))))*1,"NA")</f>
        <v>528488</v>
      </c>
      <c r="M321" s="438">
        <f t="shared" si="759"/>
        <v>300000</v>
      </c>
      <c r="N321" s="443">
        <f t="shared" ca="1" si="760"/>
        <v>0.56765716534717914</v>
      </c>
      <c r="O321" s="438">
        <f ca="1">IFERROR(
INDEX('Admin - FEOR'!$A$4:$F$465,MATCH(Bérköltség!H321,'Admin - FEOR'!$A$4:$A$465,0),
IF(J321="30 év alatt",3,
IF(J321="30–39 éves",4,
IF(J321="40–49 éves",5,
IF(J321="50 év és afelett",6
)))))*1.5,"NA")</f>
        <v>792732</v>
      </c>
      <c r="P321" s="438">
        <f t="shared" ca="1" si="761"/>
        <v>317092.80000000005</v>
      </c>
      <c r="Q321" s="438">
        <f t="shared" si="762"/>
        <v>120000</v>
      </c>
      <c r="R321" s="444">
        <f t="shared" si="763"/>
        <v>0.4</v>
      </c>
      <c r="S321" s="438">
        <f t="shared" ca="1" si="764"/>
        <v>0</v>
      </c>
      <c r="T321" s="438">
        <f t="shared" ca="1" si="765"/>
        <v>0</v>
      </c>
      <c r="U321" s="445">
        <f t="shared" ca="1" si="766"/>
        <v>0</v>
      </c>
      <c r="V321" s="446">
        <f t="shared" ca="1" si="767"/>
        <v>123536</v>
      </c>
      <c r="W321" s="447" t="str">
        <f t="shared" ca="1" si="768"/>
        <v>Nem szükséges indoklás.</v>
      </c>
      <c r="X321" s="571">
        <f t="shared" ca="1" si="769"/>
        <v>0</v>
      </c>
      <c r="Y321" s="554">
        <f t="shared" ca="1" si="770"/>
        <v>120000</v>
      </c>
      <c r="Z321" s="556">
        <f t="shared" ca="1" si="771"/>
        <v>3536</v>
      </c>
      <c r="AA321" s="101"/>
      <c r="AB321" s="297">
        <v>8421490664</v>
      </c>
      <c r="AC321" s="298" t="s">
        <v>202</v>
      </c>
      <c r="AD321" s="513" t="s">
        <v>45</v>
      </c>
      <c r="AE321" s="295" t="s">
        <v>24</v>
      </c>
      <c r="AF321" s="299" t="s">
        <v>125</v>
      </c>
      <c r="AG321" s="299" t="s">
        <v>153</v>
      </c>
      <c r="AH321" s="104" t="s">
        <v>131</v>
      </c>
      <c r="AI321" s="153">
        <v>45200</v>
      </c>
      <c r="AJ321" s="105" t="str">
        <f>IF(AI321&gt;0,
(IF(AI321&lt;Hónapok!$A$10,Admin!$A$28,
(IF(AI321&lt;Hónapok!$A$22,Admin!$B$28,
(IF(AI321&lt;Hónapok!$A$34,Admin!$C$28,
(IF(AI321&lt;Hónapok!$A$46,Admin!$D$28,"")))))))),"")</f>
        <v>3. mérföldkő</v>
      </c>
      <c r="AK321" s="350" t="s">
        <v>8</v>
      </c>
      <c r="AL321" s="106" t="s">
        <v>26</v>
      </c>
      <c r="AM321" s="901">
        <v>300000</v>
      </c>
      <c r="AN321" s="863">
        <v>8840</v>
      </c>
      <c r="AO321" s="106">
        <v>130</v>
      </c>
      <c r="AP321" s="300">
        <v>52</v>
      </c>
      <c r="AQ321" s="510">
        <f t="shared" si="772"/>
        <v>0.4</v>
      </c>
      <c r="AR321" s="786">
        <f t="shared" si="773"/>
        <v>120000</v>
      </c>
      <c r="AS321" s="741">
        <f t="shared" si="774"/>
        <v>3536</v>
      </c>
      <c r="AT321" s="296">
        <f t="shared" si="775"/>
        <v>0</v>
      </c>
      <c r="AU321" s="529">
        <f t="shared" si="776"/>
        <v>2.9466666666666665E-2</v>
      </c>
      <c r="AV321" s="661" t="str">
        <f>VLOOKUP(LEFT(AB321,10),Törzsszám!$A$1:$B$908,2,0)</f>
        <v>10002206</v>
      </c>
      <c r="AW321" s="615"/>
      <c r="AX321" s="468"/>
      <c r="AY321" s="486"/>
      <c r="AZ321" s="502"/>
      <c r="BA321" s="671"/>
      <c r="BB321" s="649"/>
      <c r="BC321" s="649"/>
      <c r="BD321" s="672"/>
      <c r="BE321" s="450"/>
    </row>
    <row r="322" spans="1:57" s="457" customFormat="1" ht="31.5" x14ac:dyDescent="0.25">
      <c r="A322" s="694" t="str">
        <f ca="1">Bérköltség!$B322</f>
        <v>FEOR</v>
      </c>
      <c r="B322" s="694" t="str">
        <f ca="1">IFERROR(
IF(AND(Bérköltség!$F322="",H322="NA"),"HIÁNYOS ADATOK",
IF(Bérköltség!$F322&lt;Bérköltség!$U322,Admin!$B$18,Admin!$B$17)),
"")</f>
        <v>FEOR</v>
      </c>
      <c r="C322" s="437" t="str">
        <f>IFERROR(INDEX('Historikus berek_2021-2'!$A$1:$F$903,MATCH(AB322,'Historikus berek_2021-2'!$A$1:$A$903,0),4),"")</f>
        <v/>
      </c>
      <c r="D322" s="438" t="str">
        <f t="shared" si="754"/>
        <v>NA</v>
      </c>
      <c r="E322" s="437">
        <f t="shared" si="755"/>
        <v>120000</v>
      </c>
      <c r="F322" s="439" t="str">
        <f t="shared" si="756"/>
        <v/>
      </c>
      <c r="G322" s="440" t="str">
        <f t="shared" si="757"/>
        <v/>
      </c>
      <c r="H322" s="441">
        <f>IFERROR(INDEX('FEOR kodok'!$A$2:$J$1126,MATCH(Bérköltség!AB322,'FEOR kodok'!$B$2:$B$1126,0),8),"NA")</f>
        <v>3190</v>
      </c>
      <c r="I322" s="436">
        <f ca="1">IFERROR(INDEX('FEOR kodok'!$A$2:$J$1126,MATCH(Bérköltség!AB322,'FEOR kodok'!$B$2:$B$1126,0),10),"NA")</f>
        <v>41</v>
      </c>
      <c r="J322" s="442" t="str">
        <f t="shared" ca="1" si="758"/>
        <v>40–49 éves</v>
      </c>
      <c r="K322" s="436" t="str">
        <f>IFERROR(INDEX(admin_feor[#All],MATCH(Bérköltség!H322,admin_feor[[#All],[Foglalkozás]],0),2),"NA")</f>
        <v>Egyéb műszaki foglalkozású</v>
      </c>
      <c r="L322" s="438">
        <f ca="1">IFERROR(
INDEX('Admin - FEOR'!$A$4:$F$465,MATCH(Bérköltség!H322,'Admin - FEOR'!$A$4:$A$465,0),
IF(J322="30 év alatt",3,
IF(J322="30–39 éves",4,
IF(J322="40–49 éves",5,
IF(J322="50 év és afelett",6
)))))*1,"NA")</f>
        <v>528488</v>
      </c>
      <c r="M322" s="438">
        <f t="shared" si="759"/>
        <v>300000</v>
      </c>
      <c r="N322" s="443">
        <f t="shared" ca="1" si="760"/>
        <v>0.56765716534717914</v>
      </c>
      <c r="O322" s="438">
        <f ca="1">IFERROR(
INDEX('Admin - FEOR'!$A$4:$F$465,MATCH(Bérköltség!H322,'Admin - FEOR'!$A$4:$A$465,0),
IF(J322="30 év alatt",3,
IF(J322="30–39 éves",4,
IF(J322="40–49 éves",5,
IF(J322="50 év és afelett",6
)))))*1.5,"NA")</f>
        <v>792732</v>
      </c>
      <c r="P322" s="438">
        <f t="shared" ca="1" si="761"/>
        <v>317092.80000000005</v>
      </c>
      <c r="Q322" s="438">
        <f t="shared" si="762"/>
        <v>120000</v>
      </c>
      <c r="R322" s="444">
        <f t="shared" si="763"/>
        <v>0.4</v>
      </c>
      <c r="S322" s="438">
        <f t="shared" ca="1" si="764"/>
        <v>0</v>
      </c>
      <c r="T322" s="438">
        <f t="shared" ca="1" si="765"/>
        <v>0</v>
      </c>
      <c r="U322" s="445">
        <f t="shared" ca="1" si="766"/>
        <v>0</v>
      </c>
      <c r="V322" s="446">
        <f t="shared" ca="1" si="767"/>
        <v>123536</v>
      </c>
      <c r="W322" s="447" t="str">
        <f t="shared" ca="1" si="768"/>
        <v>Nem szükséges indoklás.</v>
      </c>
      <c r="X322" s="571">
        <f t="shared" ca="1" si="769"/>
        <v>0</v>
      </c>
      <c r="Y322" s="554">
        <f t="shared" ca="1" si="770"/>
        <v>120000</v>
      </c>
      <c r="Z322" s="556">
        <f t="shared" ca="1" si="771"/>
        <v>3536</v>
      </c>
      <c r="AA322" s="101"/>
      <c r="AB322" s="297">
        <v>8421490664</v>
      </c>
      <c r="AC322" s="298" t="s">
        <v>202</v>
      </c>
      <c r="AD322" s="513" t="s">
        <v>45</v>
      </c>
      <c r="AE322" s="295" t="s">
        <v>24</v>
      </c>
      <c r="AF322" s="299" t="s">
        <v>125</v>
      </c>
      <c r="AG322" s="299" t="s">
        <v>153</v>
      </c>
      <c r="AH322" s="104" t="s">
        <v>131</v>
      </c>
      <c r="AI322" s="153">
        <v>45231</v>
      </c>
      <c r="AJ322" s="105" t="str">
        <f>IF(AI322&gt;0,
(IF(AI322&lt;Hónapok!$A$10,Admin!$A$28,
(IF(AI322&lt;Hónapok!$A$22,Admin!$B$28,
(IF(AI322&lt;Hónapok!$A$34,Admin!$C$28,
(IF(AI322&lt;Hónapok!$A$46,Admin!$D$28,"")))))))),"")</f>
        <v>3. mérföldkő</v>
      </c>
      <c r="AK322" s="350" t="s">
        <v>8</v>
      </c>
      <c r="AL322" s="106" t="s">
        <v>26</v>
      </c>
      <c r="AM322" s="901">
        <v>300000</v>
      </c>
      <c r="AN322" s="863">
        <v>8840</v>
      </c>
      <c r="AO322" s="106">
        <v>130</v>
      </c>
      <c r="AP322" s="300">
        <v>52</v>
      </c>
      <c r="AQ322" s="510">
        <f t="shared" si="772"/>
        <v>0.4</v>
      </c>
      <c r="AR322" s="786">
        <f t="shared" si="773"/>
        <v>120000</v>
      </c>
      <c r="AS322" s="741">
        <f t="shared" si="774"/>
        <v>3536</v>
      </c>
      <c r="AT322" s="296">
        <f t="shared" si="775"/>
        <v>0</v>
      </c>
      <c r="AU322" s="529">
        <f t="shared" si="776"/>
        <v>2.9466666666666665E-2</v>
      </c>
      <c r="AV322" s="661" t="str">
        <f>VLOOKUP(LEFT(AB322,10),Törzsszám!$A$1:$B$908,2,0)</f>
        <v>10002206</v>
      </c>
      <c r="AW322" s="615"/>
      <c r="AX322" s="468"/>
      <c r="AY322" s="486"/>
      <c r="AZ322" s="502"/>
      <c r="BA322" s="671"/>
      <c r="BB322" s="649"/>
      <c r="BC322" s="649"/>
      <c r="BD322" s="672"/>
      <c r="BE322" s="450"/>
    </row>
    <row r="323" spans="1:57" s="457" customFormat="1" ht="31.5" x14ac:dyDescent="0.25">
      <c r="A323" s="694" t="str">
        <f ca="1">Bérköltség!$B323</f>
        <v>FEOR</v>
      </c>
      <c r="B323" s="694" t="str">
        <f ca="1">IFERROR(
IF(AND(Bérköltség!$F323="",H323="NA"),"HIÁNYOS ADATOK",
IF(Bérköltség!$F323&lt;Bérköltség!$U323,Admin!$B$18,Admin!$B$17)),
"")</f>
        <v>FEOR</v>
      </c>
      <c r="C323" s="437">
        <f>IFERROR(INDEX('Historikus berek_2021-2'!$A$1:$F$903,MATCH(AB323,'Historikus berek_2021-2'!$A$1:$A$903,0),4),"")</f>
        <v>651000</v>
      </c>
      <c r="D323" s="438">
        <f t="shared" si="564"/>
        <v>591137.93103448278</v>
      </c>
      <c r="E323" s="437">
        <f t="shared" si="565"/>
        <v>1080575</v>
      </c>
      <c r="F323" s="439">
        <f t="shared" si="566"/>
        <v>553063.88793103455</v>
      </c>
      <c r="G323" s="440">
        <f t="shared" si="567"/>
        <v>667985.86206896545</v>
      </c>
      <c r="H323" s="441">
        <f>IFERROR(INDEX('FEOR kodok'!$A$2:$J$1126,MATCH(Bérköltség!AB323,'FEOR kodok'!$B$2:$B$1126,0),8),"NA")</f>
        <v>2410</v>
      </c>
      <c r="I323" s="436">
        <f ca="1">IFERROR(INDEX('FEOR kodok'!$A$2:$J$1126,MATCH(Bérköltség!AB323,'FEOR kodok'!$B$2:$B$1126,0),10),"NA")</f>
        <v>68</v>
      </c>
      <c r="J323" s="442" t="str">
        <f t="shared" ca="1" si="568"/>
        <v>50 év és afelett</v>
      </c>
      <c r="K323" s="436" t="str">
        <f>IFERROR(INDEX(admin_feor[#All],MATCH(Bérköltség!H323,admin_feor[[#All],[Foglalkozás]],0),2),"NA")</f>
        <v>Egyetemi, főiskolai oktató, tanár</v>
      </c>
      <c r="L323" s="438">
        <f ca="1">IFERROR(
INDEX('Admin - FEOR'!$A$4:$F$465,MATCH(Bérköltség!H323,'Admin - FEOR'!$A$4:$A$465,0),
IF(J323="30 év alatt",3,
IF(J323="30–39 éves",4,
IF(J323="40–49 éves",5,
IF(J323="50 év és afelett",6
)))))*1,"NA")</f>
        <v>676379</v>
      </c>
      <c r="M323" s="438">
        <f t="shared" si="569"/>
        <v>1190000</v>
      </c>
      <c r="N323" s="443">
        <f t="shared" ca="1" si="570"/>
        <v>1.7593686379973359</v>
      </c>
      <c r="O323" s="438">
        <f ca="1">IFERROR(
INDEX('Admin - FEOR'!$A$4:$F$465,MATCH(Bérköltség!H323,'Admin - FEOR'!$A$4:$A$465,0),
IF(J323="30 év alatt",3,
IF(J323="30–39 éves",4,
IF(J323="40–49 éves",5,
IF(J323="50 év és afelett",6
)))))*1.5,"NA")</f>
        <v>1014568.5</v>
      </c>
      <c r="P323" s="438">
        <f t="shared" ca="1" si="571"/>
        <v>921274.8448275862</v>
      </c>
      <c r="Q323" s="438">
        <f t="shared" si="572"/>
        <v>1080575</v>
      </c>
      <c r="R323" s="444">
        <f t="shared" si="573"/>
        <v>0.90804597701149425</v>
      </c>
      <c r="S323" s="438">
        <f t="shared" ca="1" si="574"/>
        <v>159300.1551724138</v>
      </c>
      <c r="T323" s="438">
        <f t="shared" ca="1" si="575"/>
        <v>20709.020172413795</v>
      </c>
      <c r="U323" s="445">
        <f t="shared" ca="1" si="576"/>
        <v>180009.17534482758</v>
      </c>
      <c r="V323" s="446">
        <f t="shared" ca="1" si="577"/>
        <v>1041040.8246551724</v>
      </c>
      <c r="W323" s="447" t="str">
        <f t="shared" ca="1" si="578"/>
        <v>Indoklás szükséges mivel a FEOR: 175,9%</v>
      </c>
      <c r="X323" s="571">
        <f t="shared" ca="1" si="579"/>
        <v>180009.17534482758</v>
      </c>
      <c r="Y323" s="554">
        <f t="shared" ca="1" si="580"/>
        <v>921275</v>
      </c>
      <c r="Z323" s="554">
        <f t="shared" ca="1" si="581"/>
        <v>119766</v>
      </c>
      <c r="AA323" s="573">
        <v>2</v>
      </c>
      <c r="AB323" s="448">
        <v>8324144846</v>
      </c>
      <c r="AC323" s="449" t="s">
        <v>140</v>
      </c>
      <c r="AD323" s="483" t="s">
        <v>45</v>
      </c>
      <c r="AE323" s="450" t="s">
        <v>155</v>
      </c>
      <c r="AF323" s="99" t="s">
        <v>121</v>
      </c>
      <c r="AG323" s="99" t="s">
        <v>128</v>
      </c>
      <c r="AH323" s="451" t="s">
        <v>131</v>
      </c>
      <c r="AI323" s="154">
        <v>44743</v>
      </c>
      <c r="AJ323" s="100" t="str">
        <f>IF(AI323&gt;0,
(IF(AI323&lt;Hónapok!$A$10,Admin!$A$28,
(IF(AI323&lt;Hónapok!$A$22,Admin!$B$28,
(IF(AI323&lt;Hónapok!$A$34,Admin!$C$28,
(IF(AI323&lt;Hónapok!$A$46,Admin!$D$28,"")))))))),"")</f>
        <v>2. mérföldkő</v>
      </c>
      <c r="AK323" s="469" t="s">
        <v>7</v>
      </c>
      <c r="AL323" s="101" t="s">
        <v>26</v>
      </c>
      <c r="AM323" s="900">
        <v>1190000</v>
      </c>
      <c r="AN323" s="860">
        <f t="shared" ref="AN323:AN333" si="777">IFERROR(ROUND(AM323*AU323,0),"")</f>
        <v>154700</v>
      </c>
      <c r="AO323" s="101">
        <v>174</v>
      </c>
      <c r="AP323" s="111">
        <v>158</v>
      </c>
      <c r="AQ323" s="454">
        <f t="shared" si="534"/>
        <v>0.90804597701149425</v>
      </c>
      <c r="AR323" s="455">
        <f t="shared" si="535"/>
        <v>1080575</v>
      </c>
      <c r="AS323" s="455">
        <f t="shared" si="536"/>
        <v>140475</v>
      </c>
      <c r="AT323" s="102">
        <f t="shared" si="537"/>
        <v>-2.4147590071965652E-7</v>
      </c>
      <c r="AU323" s="116">
        <v>0.13</v>
      </c>
      <c r="AV323" s="565" t="str">
        <f>VLOOKUP(LEFT(AB323,10),Törzsszám!$A$1:$B$908,2,0)</f>
        <v>10000223</v>
      </c>
      <c r="AW323" s="615">
        <f t="shared" ca="1" si="538"/>
        <v>-180009</v>
      </c>
      <c r="AX323" s="479" t="s">
        <v>209</v>
      </c>
      <c r="AY323" s="831"/>
      <c r="AZ323" s="831" t="s">
        <v>4607</v>
      </c>
      <c r="BA323" s="671">
        <v>803581</v>
      </c>
      <c r="BB323" s="649">
        <v>104466</v>
      </c>
      <c r="BC323" s="649">
        <f t="shared" ref="BC323:BD329" ca="1" si="778">Y323-BA323</f>
        <v>117694</v>
      </c>
      <c r="BD323" s="672">
        <f t="shared" ca="1" si="778"/>
        <v>15300</v>
      </c>
      <c r="BE323" s="450" t="s">
        <v>141</v>
      </c>
    </row>
    <row r="324" spans="1:57" s="457" customFormat="1" ht="31.5" x14ac:dyDescent="0.25">
      <c r="A324" s="694" t="str">
        <f ca="1">Bérköltség!$B324</f>
        <v>FEOR</v>
      </c>
      <c r="B324" s="694" t="str">
        <f ca="1">IFERROR(
IF(AND(Bérköltség!$F324="",H324="NA"),"HIÁNYOS ADATOK",
IF(Bérköltség!$F324&lt;Bérköltség!$U324,Admin!$B$18,Admin!$B$17)),
"")</f>
        <v>FEOR</v>
      </c>
      <c r="C324" s="437">
        <f>IFERROR(INDEX('Historikus berek_2021-2'!$A$1:$F$903,MATCH(AB324,'Historikus berek_2021-2'!$A$1:$A$903,0),4),"")</f>
        <v>651000</v>
      </c>
      <c r="D324" s="438">
        <f t="shared" si="564"/>
        <v>591137.93103448278</v>
      </c>
      <c r="E324" s="437">
        <f t="shared" si="565"/>
        <v>1080574</v>
      </c>
      <c r="F324" s="439">
        <f t="shared" si="566"/>
        <v>553062.75793103443</v>
      </c>
      <c r="G324" s="440">
        <f t="shared" si="567"/>
        <v>667985.86206896545</v>
      </c>
      <c r="H324" s="441">
        <f>IFERROR(INDEX('FEOR kodok'!$A$2:$J$1126,MATCH(Bérköltség!AB324,'FEOR kodok'!$B$2:$B$1126,0),8),"NA")</f>
        <v>2410</v>
      </c>
      <c r="I324" s="436">
        <f ca="1">IFERROR(INDEX('FEOR kodok'!$A$2:$J$1126,MATCH(Bérköltség!AB324,'FEOR kodok'!$B$2:$B$1126,0),10),"NA")</f>
        <v>68</v>
      </c>
      <c r="J324" s="442" t="str">
        <f t="shared" ca="1" si="568"/>
        <v>50 év és afelett</v>
      </c>
      <c r="K324" s="436" t="str">
        <f>IFERROR(INDEX(admin_feor[#All],MATCH(Bérköltség!H324,admin_feor[[#All],[Foglalkozás]],0),2),"NA")</f>
        <v>Egyetemi, főiskolai oktató, tanár</v>
      </c>
      <c r="L324" s="438">
        <f ca="1">IFERROR(
INDEX('Admin - FEOR'!$A$4:$F$465,MATCH(Bérköltség!H324,'Admin - FEOR'!$A$4:$A$465,0),
IF(J324="30 év alatt",3,
IF(J324="30–39 éves",4,
IF(J324="40–49 éves",5,
IF(J324="50 év és afelett",6
)))))*1,"NA")</f>
        <v>676379</v>
      </c>
      <c r="M324" s="438">
        <f t="shared" si="569"/>
        <v>1189999</v>
      </c>
      <c r="N324" s="443">
        <f t="shared" ca="1" si="570"/>
        <v>1.7593671595362954</v>
      </c>
      <c r="O324" s="438">
        <f ca="1">IFERROR(
INDEX('Admin - FEOR'!$A$4:$F$465,MATCH(Bérköltség!H324,'Admin - FEOR'!$A$4:$A$465,0),
IF(J324="30 év alatt",3,
IF(J324="30–39 éves",4,
IF(J324="40–49 éves",5,
IF(J324="50 év és afelett",6
)))))*1.5,"NA")</f>
        <v>1014568.5</v>
      </c>
      <c r="P324" s="438">
        <f t="shared" ca="1" si="571"/>
        <v>921274.8448275862</v>
      </c>
      <c r="Q324" s="438">
        <f t="shared" si="572"/>
        <v>1080574</v>
      </c>
      <c r="R324" s="444">
        <f t="shared" si="573"/>
        <v>0.90804597701149425</v>
      </c>
      <c r="S324" s="438">
        <f t="shared" ca="1" si="574"/>
        <v>159299.1551724138</v>
      </c>
      <c r="T324" s="438">
        <f t="shared" ca="1" si="575"/>
        <v>20708.890172413794</v>
      </c>
      <c r="U324" s="445">
        <f t="shared" ca="1" si="576"/>
        <v>180008.04534482758</v>
      </c>
      <c r="V324" s="446">
        <f t="shared" ca="1" si="577"/>
        <v>1041040.9546551724</v>
      </c>
      <c r="W324" s="447" t="str">
        <f t="shared" ca="1" si="578"/>
        <v>Indoklás szükséges mivel a FEOR: 175,9%</v>
      </c>
      <c r="X324" s="571">
        <f t="shared" ca="1" si="579"/>
        <v>180008.04534482758</v>
      </c>
      <c r="Y324" s="554">
        <f t="shared" ca="1" si="580"/>
        <v>921275</v>
      </c>
      <c r="Z324" s="554">
        <f t="shared" ca="1" si="581"/>
        <v>119766</v>
      </c>
      <c r="AA324" s="573">
        <v>2</v>
      </c>
      <c r="AB324" s="448">
        <v>8324144846</v>
      </c>
      <c r="AC324" s="449" t="s">
        <v>140</v>
      </c>
      <c r="AD324" s="483" t="s">
        <v>45</v>
      </c>
      <c r="AE324" s="450" t="s">
        <v>155</v>
      </c>
      <c r="AF324" s="99" t="s">
        <v>121</v>
      </c>
      <c r="AG324" s="99" t="s">
        <v>128</v>
      </c>
      <c r="AH324" s="451" t="s">
        <v>131</v>
      </c>
      <c r="AI324" s="154">
        <v>44774</v>
      </c>
      <c r="AJ324" s="100" t="str">
        <f>IF(AI324&gt;0,
(IF(AI324&lt;Hónapok!$A$10,Admin!$A$28,
(IF(AI324&lt;Hónapok!$A$22,Admin!$B$28,
(IF(AI324&lt;Hónapok!$A$34,Admin!$C$28,
(IF(AI324&lt;Hónapok!$A$46,Admin!$D$28,"")))))))),"")</f>
        <v>2. mérföldkő</v>
      </c>
      <c r="AK324" s="469" t="s">
        <v>7</v>
      </c>
      <c r="AL324" s="101" t="s">
        <v>26</v>
      </c>
      <c r="AM324" s="900">
        <v>1189999</v>
      </c>
      <c r="AN324" s="860">
        <f t="shared" si="777"/>
        <v>154700</v>
      </c>
      <c r="AO324" s="101">
        <v>174</v>
      </c>
      <c r="AP324" s="111">
        <v>158</v>
      </c>
      <c r="AQ324" s="454">
        <f t="shared" si="534"/>
        <v>0.90804597701149425</v>
      </c>
      <c r="AR324" s="455">
        <f t="shared" si="535"/>
        <v>1080574</v>
      </c>
      <c r="AS324" s="455">
        <f t="shared" si="536"/>
        <v>140475</v>
      </c>
      <c r="AT324" s="102">
        <f t="shared" si="537"/>
        <v>-1.642037504856475E-7</v>
      </c>
      <c r="AU324" s="116">
        <v>0.13</v>
      </c>
      <c r="AV324" s="565" t="str">
        <f>VLOOKUP(LEFT(AB324,10),Törzsszám!$A$1:$B$908,2,0)</f>
        <v>10000223</v>
      </c>
      <c r="AW324" s="615">
        <f t="shared" ca="1" si="538"/>
        <v>-180008</v>
      </c>
      <c r="AX324" s="473" t="s">
        <v>218</v>
      </c>
      <c r="AY324" s="831"/>
      <c r="AZ324" s="831" t="s">
        <v>4607</v>
      </c>
      <c r="BA324" s="671">
        <v>803581</v>
      </c>
      <c r="BB324" s="649">
        <v>104466</v>
      </c>
      <c r="BC324" s="649">
        <f t="shared" ca="1" si="778"/>
        <v>117694</v>
      </c>
      <c r="BD324" s="672">
        <f t="shared" ca="1" si="778"/>
        <v>15300</v>
      </c>
      <c r="BE324" s="450" t="s">
        <v>141</v>
      </c>
    </row>
    <row r="325" spans="1:57" s="457" customFormat="1" ht="31.5" x14ac:dyDescent="0.25">
      <c r="A325" s="694" t="str">
        <f ca="1">Bérköltség!$B325</f>
        <v>FEOR</v>
      </c>
      <c r="B325" s="694" t="str">
        <f ca="1">IFERROR(
IF(AND(Bérköltség!$F325="",H325="NA"),"HIÁNYOS ADATOK",
IF(Bérköltség!$F325&lt;Bérköltség!$U325,Admin!$B$18,Admin!$B$17)),
"")</f>
        <v>FEOR</v>
      </c>
      <c r="C325" s="437">
        <f>IFERROR(INDEX('Historikus berek_2021-2'!$A$1:$F$903,MATCH(AB325,'Historikus berek_2021-2'!$A$1:$A$903,0),4),"")</f>
        <v>651000</v>
      </c>
      <c r="D325" s="438">
        <f t="shared" si="564"/>
        <v>591137.93103448278</v>
      </c>
      <c r="E325" s="437">
        <f t="shared" si="565"/>
        <v>1080575</v>
      </c>
      <c r="F325" s="439">
        <f t="shared" si="566"/>
        <v>553063.88793103455</v>
      </c>
      <c r="G325" s="440">
        <f t="shared" si="567"/>
        <v>667985.86206896545</v>
      </c>
      <c r="H325" s="441">
        <f>IFERROR(INDEX('FEOR kodok'!$A$2:$J$1126,MATCH(Bérköltség!AB325,'FEOR kodok'!$B$2:$B$1126,0),8),"NA")</f>
        <v>2410</v>
      </c>
      <c r="I325" s="436">
        <f ca="1">IFERROR(INDEX('FEOR kodok'!$A$2:$J$1126,MATCH(Bérköltség!AB325,'FEOR kodok'!$B$2:$B$1126,0),10),"NA")</f>
        <v>68</v>
      </c>
      <c r="J325" s="442" t="str">
        <f t="shared" ca="1" si="568"/>
        <v>50 év és afelett</v>
      </c>
      <c r="K325" s="436" t="str">
        <f>IFERROR(INDEX(admin_feor[#All],MATCH(Bérköltség!H325,admin_feor[[#All],[Foglalkozás]],0),2),"NA")</f>
        <v>Egyetemi, főiskolai oktató, tanár</v>
      </c>
      <c r="L325" s="438">
        <f ca="1">IFERROR(
INDEX('Admin - FEOR'!$A$4:$F$465,MATCH(Bérköltség!H325,'Admin - FEOR'!$A$4:$A$465,0),
IF(J325="30 év alatt",3,
IF(J325="30–39 éves",4,
IF(J325="40–49 éves",5,
IF(J325="50 év és afelett",6
)))))*1,"NA")</f>
        <v>676379</v>
      </c>
      <c r="M325" s="438">
        <f t="shared" si="569"/>
        <v>1190000</v>
      </c>
      <c r="N325" s="443">
        <f t="shared" ca="1" si="570"/>
        <v>1.7593686379973359</v>
      </c>
      <c r="O325" s="438">
        <f ca="1">IFERROR(
INDEX('Admin - FEOR'!$A$4:$F$465,MATCH(Bérköltség!H325,'Admin - FEOR'!$A$4:$A$465,0),
IF(J325="30 év alatt",3,
IF(J325="30–39 éves",4,
IF(J325="40–49 éves",5,
IF(J325="50 év és afelett",6
)))))*1.5,"NA")</f>
        <v>1014568.5</v>
      </c>
      <c r="P325" s="438">
        <f t="shared" ca="1" si="571"/>
        <v>921274.8448275862</v>
      </c>
      <c r="Q325" s="438">
        <f t="shared" si="572"/>
        <v>1080575</v>
      </c>
      <c r="R325" s="444">
        <f t="shared" si="573"/>
        <v>0.90804597701149425</v>
      </c>
      <c r="S325" s="438">
        <f t="shared" ca="1" si="574"/>
        <v>159300.1551724138</v>
      </c>
      <c r="T325" s="438">
        <f t="shared" ca="1" si="575"/>
        <v>20709.020172413795</v>
      </c>
      <c r="U325" s="445">
        <f t="shared" ca="1" si="576"/>
        <v>180009.17534482758</v>
      </c>
      <c r="V325" s="446">
        <f t="shared" ca="1" si="577"/>
        <v>1041040.8246551724</v>
      </c>
      <c r="W325" s="447" t="str">
        <f t="shared" ca="1" si="578"/>
        <v>Indoklás szükséges mivel a FEOR: 175,9%</v>
      </c>
      <c r="X325" s="571">
        <f t="shared" ca="1" si="579"/>
        <v>180009.17534482758</v>
      </c>
      <c r="Y325" s="554">
        <f t="shared" ca="1" si="580"/>
        <v>921275</v>
      </c>
      <c r="Z325" s="554">
        <f t="shared" ca="1" si="581"/>
        <v>119766</v>
      </c>
      <c r="AA325" s="573">
        <v>2</v>
      </c>
      <c r="AB325" s="448">
        <v>8324144846</v>
      </c>
      <c r="AC325" s="449" t="s">
        <v>140</v>
      </c>
      <c r="AD325" s="482" t="s">
        <v>45</v>
      </c>
      <c r="AE325" s="450" t="s">
        <v>155</v>
      </c>
      <c r="AF325" s="99" t="s">
        <v>121</v>
      </c>
      <c r="AG325" s="99" t="s">
        <v>128</v>
      </c>
      <c r="AH325" s="451" t="s">
        <v>131</v>
      </c>
      <c r="AI325" s="154">
        <v>44805</v>
      </c>
      <c r="AJ325" s="100" t="str">
        <f>IF(AI325&gt;0,
(IF(AI325&lt;Hónapok!$A$10,Admin!$A$28,
(IF(AI325&lt;Hónapok!$A$22,Admin!$B$28,
(IF(AI325&lt;Hónapok!$A$34,Admin!$C$28,
(IF(AI325&lt;Hónapok!$A$46,Admin!$D$28,"")))))))),"")</f>
        <v>2. mérföldkő</v>
      </c>
      <c r="AK325" s="469" t="s">
        <v>7</v>
      </c>
      <c r="AL325" s="101" t="s">
        <v>26</v>
      </c>
      <c r="AM325" s="900">
        <v>1190000</v>
      </c>
      <c r="AN325" s="860">
        <f t="shared" si="777"/>
        <v>154700</v>
      </c>
      <c r="AO325" s="101">
        <v>174</v>
      </c>
      <c r="AP325" s="111">
        <v>158</v>
      </c>
      <c r="AQ325" s="454">
        <f t="shared" si="534"/>
        <v>0.90804597701149425</v>
      </c>
      <c r="AR325" s="455">
        <f t="shared" si="535"/>
        <v>1080575</v>
      </c>
      <c r="AS325" s="455">
        <f t="shared" si="536"/>
        <v>140475</v>
      </c>
      <c r="AT325" s="102">
        <f t="shared" si="537"/>
        <v>-2.4147590071965652E-7</v>
      </c>
      <c r="AU325" s="116">
        <v>0.13</v>
      </c>
      <c r="AV325" s="565" t="str">
        <f>VLOOKUP(LEFT(AB325,10),Törzsszám!$A$1:$B$908,2,0)</f>
        <v>10000223</v>
      </c>
      <c r="AW325" s="615">
        <f t="shared" ca="1" si="538"/>
        <v>-180009</v>
      </c>
      <c r="AX325" s="456" t="s">
        <v>228</v>
      </c>
      <c r="AY325" s="831"/>
      <c r="AZ325" s="831" t="s">
        <v>4607</v>
      </c>
      <c r="BA325" s="671">
        <v>803581</v>
      </c>
      <c r="BB325" s="649">
        <v>104466</v>
      </c>
      <c r="BC325" s="649">
        <f t="shared" ca="1" si="778"/>
        <v>117694</v>
      </c>
      <c r="BD325" s="672">
        <f t="shared" ca="1" si="778"/>
        <v>15300</v>
      </c>
      <c r="BE325" s="450" t="s">
        <v>141</v>
      </c>
    </row>
    <row r="326" spans="1:57" s="457" customFormat="1" ht="31.5" x14ac:dyDescent="0.25">
      <c r="A326" s="694" t="str">
        <f ca="1">Bérköltség!$B326</f>
        <v>FEOR</v>
      </c>
      <c r="B326" s="694" t="str">
        <f ca="1">IFERROR(
IF(AND(Bérköltség!$F326="",H326="NA"),"HIÁNYOS ADATOK",
IF(Bérköltség!$F326&lt;Bérköltség!$U326,Admin!$B$18,Admin!$B$17)),
"")</f>
        <v>FEOR</v>
      </c>
      <c r="C326" s="437">
        <f>IFERROR(INDEX('Historikus berek_2021-2'!$A$1:$F$903,MATCH(AB326,'Historikus berek_2021-2'!$A$1:$A$903,0),4),"")</f>
        <v>651000</v>
      </c>
      <c r="D326" s="438">
        <f t="shared" si="564"/>
        <v>591137.93103448278</v>
      </c>
      <c r="E326" s="437">
        <f t="shared" si="565"/>
        <v>1080575</v>
      </c>
      <c r="F326" s="439">
        <f t="shared" si="566"/>
        <v>553063.88793103455</v>
      </c>
      <c r="G326" s="440">
        <f t="shared" si="567"/>
        <v>667985.86206896545</v>
      </c>
      <c r="H326" s="441">
        <f>IFERROR(INDEX('FEOR kodok'!$A$2:$J$1126,MATCH(Bérköltség!AB326,'FEOR kodok'!$B$2:$B$1126,0),8),"NA")</f>
        <v>2410</v>
      </c>
      <c r="I326" s="436">
        <f ca="1">IFERROR(INDEX('FEOR kodok'!$A$2:$J$1126,MATCH(Bérköltség!AB326,'FEOR kodok'!$B$2:$B$1126,0),10),"NA")</f>
        <v>68</v>
      </c>
      <c r="J326" s="442" t="str">
        <f t="shared" ca="1" si="568"/>
        <v>50 év és afelett</v>
      </c>
      <c r="K326" s="436" t="str">
        <f>IFERROR(INDEX(admin_feor[#All],MATCH(Bérköltség!H326,admin_feor[[#All],[Foglalkozás]],0),2),"NA")</f>
        <v>Egyetemi, főiskolai oktató, tanár</v>
      </c>
      <c r="L326" s="438">
        <f ca="1">IFERROR(
INDEX('Admin - FEOR'!$A$4:$F$465,MATCH(Bérköltség!H326,'Admin - FEOR'!$A$4:$A$465,0),
IF(J326="30 év alatt",3,
IF(J326="30–39 éves",4,
IF(J326="40–49 éves",5,
IF(J326="50 év és afelett",6
)))))*1,"NA")</f>
        <v>676379</v>
      </c>
      <c r="M326" s="438">
        <f t="shared" si="569"/>
        <v>1190000</v>
      </c>
      <c r="N326" s="443">
        <f t="shared" ca="1" si="570"/>
        <v>1.7593686379973359</v>
      </c>
      <c r="O326" s="438">
        <f ca="1">IFERROR(
INDEX('Admin - FEOR'!$A$4:$F$465,MATCH(Bérköltség!H326,'Admin - FEOR'!$A$4:$A$465,0),
IF(J326="30 év alatt",3,
IF(J326="30–39 éves",4,
IF(J326="40–49 éves",5,
IF(J326="50 év és afelett",6
)))))*1.5,"NA")</f>
        <v>1014568.5</v>
      </c>
      <c r="P326" s="438">
        <f t="shared" ca="1" si="571"/>
        <v>921274.8448275862</v>
      </c>
      <c r="Q326" s="438">
        <f t="shared" si="572"/>
        <v>1080575</v>
      </c>
      <c r="R326" s="444">
        <f t="shared" si="573"/>
        <v>0.90804597701149425</v>
      </c>
      <c r="S326" s="438">
        <f t="shared" ca="1" si="574"/>
        <v>159300.1551724138</v>
      </c>
      <c r="T326" s="438">
        <f t="shared" ca="1" si="575"/>
        <v>20709.020172413795</v>
      </c>
      <c r="U326" s="445">
        <f t="shared" ca="1" si="576"/>
        <v>180009.17534482758</v>
      </c>
      <c r="V326" s="446">
        <f t="shared" ca="1" si="577"/>
        <v>1041040.8246551724</v>
      </c>
      <c r="W326" s="447" t="str">
        <f t="shared" ca="1" si="578"/>
        <v>Indoklás szükséges mivel a FEOR: 175,9%</v>
      </c>
      <c r="X326" s="571">
        <f t="shared" ca="1" si="579"/>
        <v>180009.17534482758</v>
      </c>
      <c r="Y326" s="554">
        <f t="shared" ca="1" si="580"/>
        <v>921275</v>
      </c>
      <c r="Z326" s="554">
        <f t="shared" ca="1" si="581"/>
        <v>119766</v>
      </c>
      <c r="AA326" s="573">
        <v>2</v>
      </c>
      <c r="AB326" s="448">
        <v>8324144846</v>
      </c>
      <c r="AC326" s="449" t="s">
        <v>140</v>
      </c>
      <c r="AD326" s="483" t="s">
        <v>45</v>
      </c>
      <c r="AE326" s="450" t="s">
        <v>155</v>
      </c>
      <c r="AF326" s="99" t="s">
        <v>121</v>
      </c>
      <c r="AG326" s="99" t="s">
        <v>128</v>
      </c>
      <c r="AH326" s="451" t="s">
        <v>131</v>
      </c>
      <c r="AI326" s="154">
        <v>44835</v>
      </c>
      <c r="AJ326" s="100" t="str">
        <f>IF(AI326&gt;0,
(IF(AI326&lt;Hónapok!$A$10,Admin!$A$28,
(IF(AI326&lt;Hónapok!$A$22,Admin!$B$28,
(IF(AI326&lt;Hónapok!$A$34,Admin!$C$28,
(IF(AI326&lt;Hónapok!$A$46,Admin!$D$28,"")))))))),"")</f>
        <v>2. mérföldkő</v>
      </c>
      <c r="AK326" s="469" t="s">
        <v>7</v>
      </c>
      <c r="AL326" s="101" t="s">
        <v>26</v>
      </c>
      <c r="AM326" s="900">
        <v>1190000</v>
      </c>
      <c r="AN326" s="860">
        <f t="shared" si="777"/>
        <v>154700</v>
      </c>
      <c r="AO326" s="101">
        <v>174</v>
      </c>
      <c r="AP326" s="111">
        <v>158</v>
      </c>
      <c r="AQ326" s="454">
        <f t="shared" si="534"/>
        <v>0.90804597701149425</v>
      </c>
      <c r="AR326" s="455">
        <f t="shared" si="535"/>
        <v>1080575</v>
      </c>
      <c r="AS326" s="455">
        <f t="shared" si="536"/>
        <v>140475</v>
      </c>
      <c r="AT326" s="102">
        <f t="shared" si="537"/>
        <v>-2.4147590071965652E-7</v>
      </c>
      <c r="AU326" s="116">
        <v>0.13</v>
      </c>
      <c r="AV326" s="565" t="str">
        <f>VLOOKUP(LEFT(AB326,10),Törzsszám!$A$1:$B$908,2,0)</f>
        <v>10000223</v>
      </c>
      <c r="AW326" s="615">
        <f t="shared" ca="1" si="538"/>
        <v>-180009</v>
      </c>
      <c r="AX326" s="456" t="s">
        <v>251</v>
      </c>
      <c r="AY326" s="831"/>
      <c r="AZ326" s="831" t="s">
        <v>4607</v>
      </c>
      <c r="BA326" s="671">
        <v>803581</v>
      </c>
      <c r="BB326" s="649">
        <v>104466</v>
      </c>
      <c r="BC326" s="649">
        <f t="shared" ca="1" si="778"/>
        <v>117694</v>
      </c>
      <c r="BD326" s="672">
        <f t="shared" ca="1" si="778"/>
        <v>15300</v>
      </c>
      <c r="BE326" s="450" t="s">
        <v>141</v>
      </c>
    </row>
    <row r="327" spans="1:57" s="457" customFormat="1" ht="31.5" x14ac:dyDescent="0.25">
      <c r="A327" s="694" t="str">
        <f ca="1">Bérköltség!$B327</f>
        <v>FEOR</v>
      </c>
      <c r="B327" s="694" t="str">
        <f ca="1">IFERROR(
IF(AND(Bérköltség!$F327="",H327="NA"),"HIÁNYOS ADATOK",
IF(Bérköltség!$F327&lt;Bérköltség!$U327,Admin!$B$18,Admin!$B$17)),
"")</f>
        <v>FEOR</v>
      </c>
      <c r="C327" s="437">
        <f>IFERROR(INDEX('Historikus berek_2021-2'!$A$1:$F$903,MATCH(AB327,'Historikus berek_2021-2'!$A$1:$A$903,0),4),"")</f>
        <v>651000</v>
      </c>
      <c r="D327" s="438">
        <f t="shared" si="564"/>
        <v>591137.93103448278</v>
      </c>
      <c r="E327" s="437">
        <f t="shared" si="565"/>
        <v>1080575</v>
      </c>
      <c r="F327" s="439">
        <f t="shared" si="566"/>
        <v>553063.88793103455</v>
      </c>
      <c r="G327" s="440">
        <f t="shared" si="567"/>
        <v>667985.86206896545</v>
      </c>
      <c r="H327" s="441">
        <f>IFERROR(INDEX('FEOR kodok'!$A$2:$J$1126,MATCH(Bérköltség!AB327,'FEOR kodok'!$B$2:$B$1126,0),8),"NA")</f>
        <v>2410</v>
      </c>
      <c r="I327" s="436">
        <f ca="1">IFERROR(INDEX('FEOR kodok'!$A$2:$J$1126,MATCH(Bérköltség!AB327,'FEOR kodok'!$B$2:$B$1126,0),10),"NA")</f>
        <v>68</v>
      </c>
      <c r="J327" s="442" t="str">
        <f t="shared" ca="1" si="568"/>
        <v>50 év és afelett</v>
      </c>
      <c r="K327" s="436" t="str">
        <f>IFERROR(INDEX(admin_feor[#All],MATCH(Bérköltség!H327,admin_feor[[#All],[Foglalkozás]],0),2),"NA")</f>
        <v>Egyetemi, főiskolai oktató, tanár</v>
      </c>
      <c r="L327" s="438">
        <f ca="1">IFERROR(
INDEX('Admin - FEOR'!$A$4:$F$465,MATCH(Bérköltség!H327,'Admin - FEOR'!$A$4:$A$465,0),
IF(J327="30 év alatt",3,
IF(J327="30–39 éves",4,
IF(J327="40–49 éves",5,
IF(J327="50 év és afelett",6
)))))*1,"NA")</f>
        <v>676379</v>
      </c>
      <c r="M327" s="438">
        <f t="shared" si="569"/>
        <v>1190000</v>
      </c>
      <c r="N327" s="443">
        <f t="shared" ca="1" si="570"/>
        <v>1.7593686379973359</v>
      </c>
      <c r="O327" s="438">
        <f ca="1">IFERROR(
INDEX('Admin - FEOR'!$A$4:$F$465,MATCH(Bérköltség!H327,'Admin - FEOR'!$A$4:$A$465,0),
IF(J327="30 év alatt",3,
IF(J327="30–39 éves",4,
IF(J327="40–49 éves",5,
IF(J327="50 év és afelett",6
)))))*1.5,"NA")</f>
        <v>1014568.5</v>
      </c>
      <c r="P327" s="438">
        <f t="shared" ca="1" si="571"/>
        <v>921274.8448275862</v>
      </c>
      <c r="Q327" s="438">
        <f t="shared" si="572"/>
        <v>1080575</v>
      </c>
      <c r="R327" s="444">
        <f t="shared" si="573"/>
        <v>0.90804597701149425</v>
      </c>
      <c r="S327" s="438">
        <f t="shared" ca="1" si="574"/>
        <v>159300.1551724138</v>
      </c>
      <c r="T327" s="438">
        <f t="shared" ca="1" si="575"/>
        <v>20709.020172413795</v>
      </c>
      <c r="U327" s="445">
        <f t="shared" ca="1" si="576"/>
        <v>180009.17534482758</v>
      </c>
      <c r="V327" s="446">
        <f t="shared" ca="1" si="577"/>
        <v>1041040.8246551724</v>
      </c>
      <c r="W327" s="447" t="str">
        <f t="shared" ca="1" si="578"/>
        <v>Indoklás szükséges mivel a FEOR: 175,9%</v>
      </c>
      <c r="X327" s="571">
        <f t="shared" ca="1" si="579"/>
        <v>180009.17534482758</v>
      </c>
      <c r="Y327" s="554">
        <f t="shared" ca="1" si="580"/>
        <v>921275</v>
      </c>
      <c r="Z327" s="554">
        <f t="shared" ca="1" si="581"/>
        <v>119766</v>
      </c>
      <c r="AA327" s="573">
        <v>2</v>
      </c>
      <c r="AB327" s="448">
        <v>8324144846</v>
      </c>
      <c r="AC327" s="449" t="s">
        <v>140</v>
      </c>
      <c r="AD327" s="483" t="s">
        <v>45</v>
      </c>
      <c r="AE327" s="450" t="s">
        <v>155</v>
      </c>
      <c r="AF327" s="99" t="s">
        <v>121</v>
      </c>
      <c r="AG327" s="99" t="s">
        <v>128</v>
      </c>
      <c r="AH327" s="451" t="s">
        <v>131</v>
      </c>
      <c r="AI327" s="154">
        <v>44866</v>
      </c>
      <c r="AJ327" s="100" t="str">
        <f>IF(AI327&gt;0,
(IF(AI327&lt;Hónapok!$A$10,Admin!$A$28,
(IF(AI327&lt;Hónapok!$A$22,Admin!$B$28,
(IF(AI327&lt;Hónapok!$A$34,Admin!$C$28,
(IF(AI327&lt;Hónapok!$A$46,Admin!$D$28,"")))))))),"")</f>
        <v>2. mérföldkő</v>
      </c>
      <c r="AK327" s="469" t="s">
        <v>7</v>
      </c>
      <c r="AL327" s="101" t="s">
        <v>26</v>
      </c>
      <c r="AM327" s="900">
        <v>1190000</v>
      </c>
      <c r="AN327" s="860">
        <f t="shared" si="777"/>
        <v>154700</v>
      </c>
      <c r="AO327" s="101">
        <v>174</v>
      </c>
      <c r="AP327" s="111">
        <v>158</v>
      </c>
      <c r="AQ327" s="454">
        <f t="shared" si="534"/>
        <v>0.90804597701149425</v>
      </c>
      <c r="AR327" s="455">
        <f t="shared" si="535"/>
        <v>1080575</v>
      </c>
      <c r="AS327" s="455">
        <f t="shared" si="536"/>
        <v>140475</v>
      </c>
      <c r="AT327" s="102">
        <f t="shared" si="537"/>
        <v>-2.4147590071965652E-7</v>
      </c>
      <c r="AU327" s="116">
        <v>0.13</v>
      </c>
      <c r="AV327" s="565" t="str">
        <f>VLOOKUP(LEFT(AB327,10),Törzsszám!$A$1:$B$908,2,0)</f>
        <v>10000223</v>
      </c>
      <c r="AW327" s="615">
        <f t="shared" ca="1" si="538"/>
        <v>-180009</v>
      </c>
      <c r="AX327" s="456" t="s">
        <v>260</v>
      </c>
      <c r="AY327" s="831"/>
      <c r="AZ327" s="831" t="s">
        <v>4607</v>
      </c>
      <c r="BA327" s="671">
        <v>803581</v>
      </c>
      <c r="BB327" s="649">
        <v>104466</v>
      </c>
      <c r="BC327" s="649">
        <f t="shared" ca="1" si="778"/>
        <v>117694</v>
      </c>
      <c r="BD327" s="672">
        <f t="shared" ca="1" si="778"/>
        <v>15300</v>
      </c>
      <c r="BE327" s="450" t="s">
        <v>141</v>
      </c>
    </row>
    <row r="328" spans="1:57" s="457" customFormat="1" ht="31.5" x14ac:dyDescent="0.25">
      <c r="A328" s="694" t="str">
        <f ca="1">Bérköltség!$B328</f>
        <v>FEOR</v>
      </c>
      <c r="B328" s="694" t="str">
        <f ca="1">IFERROR(
IF(AND(Bérköltség!$F328="",H328="NA"),"HIÁNYOS ADATOK",
IF(Bérköltség!$F328&lt;Bérköltség!$U328,Admin!$B$18,Admin!$B$17)),
"")</f>
        <v>FEOR</v>
      </c>
      <c r="C328" s="437">
        <f>IFERROR(INDEX('Historikus berek_2021-2'!$A$1:$F$903,MATCH(AB328,'Historikus berek_2021-2'!$A$1:$A$903,0),4),"")</f>
        <v>651000</v>
      </c>
      <c r="D328" s="438">
        <f t="shared" si="564"/>
        <v>591137.93103448278</v>
      </c>
      <c r="E328" s="437">
        <f t="shared" si="565"/>
        <v>1080574</v>
      </c>
      <c r="F328" s="439">
        <f t="shared" si="566"/>
        <v>553062.75793103443</v>
      </c>
      <c r="G328" s="440">
        <f t="shared" si="567"/>
        <v>667985.86206896545</v>
      </c>
      <c r="H328" s="441">
        <f>IFERROR(INDEX('FEOR kodok'!$A$2:$J$1126,MATCH(Bérköltség!AB328,'FEOR kodok'!$B$2:$B$1126,0),8),"NA")</f>
        <v>2410</v>
      </c>
      <c r="I328" s="436">
        <f ca="1">IFERROR(INDEX('FEOR kodok'!$A$2:$J$1126,MATCH(Bérköltség!AB328,'FEOR kodok'!$B$2:$B$1126,0),10),"NA")</f>
        <v>68</v>
      </c>
      <c r="J328" s="442" t="str">
        <f t="shared" ca="1" si="568"/>
        <v>50 év és afelett</v>
      </c>
      <c r="K328" s="436" t="str">
        <f>IFERROR(INDEX(admin_feor[#All],MATCH(Bérköltség!H328,admin_feor[[#All],[Foglalkozás]],0),2),"NA")</f>
        <v>Egyetemi, főiskolai oktató, tanár</v>
      </c>
      <c r="L328" s="438">
        <f ca="1">IFERROR(
INDEX('Admin - FEOR'!$A$4:$F$465,MATCH(Bérköltség!H328,'Admin - FEOR'!$A$4:$A$465,0),
IF(J328="30 év alatt",3,
IF(J328="30–39 éves",4,
IF(J328="40–49 éves",5,
IF(J328="50 év és afelett",6
)))))*1,"NA")</f>
        <v>676379</v>
      </c>
      <c r="M328" s="438">
        <f t="shared" si="569"/>
        <v>1189999</v>
      </c>
      <c r="N328" s="443">
        <f t="shared" ca="1" si="570"/>
        <v>1.7593671595362954</v>
      </c>
      <c r="O328" s="438">
        <f ca="1">IFERROR(
INDEX('Admin - FEOR'!$A$4:$F$465,MATCH(Bérköltség!H328,'Admin - FEOR'!$A$4:$A$465,0),
IF(J328="30 év alatt",3,
IF(J328="30–39 éves",4,
IF(J328="40–49 éves",5,
IF(J328="50 év és afelett",6
)))))*1.5,"NA")</f>
        <v>1014568.5</v>
      </c>
      <c r="P328" s="438">
        <f t="shared" ca="1" si="571"/>
        <v>921274.8448275862</v>
      </c>
      <c r="Q328" s="438">
        <f t="shared" si="572"/>
        <v>1080574</v>
      </c>
      <c r="R328" s="444">
        <f t="shared" si="573"/>
        <v>0.90804597701149425</v>
      </c>
      <c r="S328" s="438">
        <f t="shared" ca="1" si="574"/>
        <v>159299.1551724138</v>
      </c>
      <c r="T328" s="438">
        <f t="shared" ca="1" si="575"/>
        <v>20708.890172413794</v>
      </c>
      <c r="U328" s="445">
        <f t="shared" ca="1" si="576"/>
        <v>180008.04534482758</v>
      </c>
      <c r="V328" s="446">
        <f t="shared" ca="1" si="577"/>
        <v>1041040.9546551724</v>
      </c>
      <c r="W328" s="447" t="str">
        <f t="shared" ca="1" si="578"/>
        <v>Indoklás szükséges mivel a FEOR: 175,9%</v>
      </c>
      <c r="X328" s="571">
        <f t="shared" ca="1" si="579"/>
        <v>180008.04534482758</v>
      </c>
      <c r="Y328" s="554">
        <f t="shared" ca="1" si="580"/>
        <v>921275</v>
      </c>
      <c r="Z328" s="554">
        <f t="shared" ca="1" si="581"/>
        <v>119766</v>
      </c>
      <c r="AA328" s="573">
        <v>2</v>
      </c>
      <c r="AB328" s="448">
        <v>8324144846</v>
      </c>
      <c r="AC328" s="449" t="s">
        <v>140</v>
      </c>
      <c r="AD328" s="483" t="s">
        <v>45</v>
      </c>
      <c r="AE328" s="450" t="s">
        <v>155</v>
      </c>
      <c r="AF328" s="99" t="s">
        <v>121</v>
      </c>
      <c r="AG328" s="99" t="s">
        <v>128</v>
      </c>
      <c r="AH328" s="451" t="s">
        <v>131</v>
      </c>
      <c r="AI328" s="154">
        <v>44896</v>
      </c>
      <c r="AJ328" s="100" t="str">
        <f>IF(AI328&gt;0,
(IF(AI328&lt;Hónapok!$A$10,Admin!$A$28,
(IF(AI328&lt;Hónapok!$A$22,Admin!$B$28,
(IF(AI328&lt;Hónapok!$A$34,Admin!$C$28,
(IF(AI328&lt;Hónapok!$A$46,Admin!$D$28,"")))))))),"")</f>
        <v>2. mérföldkő</v>
      </c>
      <c r="AK328" s="467" t="s">
        <v>7</v>
      </c>
      <c r="AL328" s="101" t="s">
        <v>26</v>
      </c>
      <c r="AM328" s="900">
        <v>1189999</v>
      </c>
      <c r="AN328" s="860">
        <f t="shared" si="777"/>
        <v>154700</v>
      </c>
      <c r="AO328" s="101">
        <v>174</v>
      </c>
      <c r="AP328" s="111">
        <v>158</v>
      </c>
      <c r="AQ328" s="454">
        <f t="shared" ref="AQ328:AQ417" si="779">IFERROR(AP328/AO328,"")</f>
        <v>0.90804597701149425</v>
      </c>
      <c r="AR328" s="455">
        <f t="shared" ref="AR328:AR417" si="780">IFERROR(ROUND(AM328*AP328/AO328,0),"")</f>
        <v>1080574</v>
      </c>
      <c r="AS328" s="455">
        <f t="shared" ref="AS328:AS417" si="781">IFERROR(ROUND(AR328*AU328,0),"")</f>
        <v>140475</v>
      </c>
      <c r="AT328" s="102">
        <f t="shared" ref="AT328:AT417" si="782">IFERROR(AP328/AO328-AR328/AM328,"")</f>
        <v>-1.642037504856475E-7</v>
      </c>
      <c r="AU328" s="116">
        <v>0.13</v>
      </c>
      <c r="AV328" s="565" t="str">
        <f>VLOOKUP(LEFT(AB328,10),Törzsszám!$A$1:$B$908,2,0)</f>
        <v>10000223</v>
      </c>
      <c r="AW328" s="615">
        <f t="shared" ref="AW328:AW417" ca="1" si="783">(Y328+Z328)-(AR328+AS328)</f>
        <v>-180008</v>
      </c>
      <c r="AX328" s="537" t="s">
        <v>262</v>
      </c>
      <c r="AY328" s="831"/>
      <c r="AZ328" s="831" t="s">
        <v>4607</v>
      </c>
      <c r="BA328" s="671">
        <v>803581</v>
      </c>
      <c r="BB328" s="649">
        <v>104466</v>
      </c>
      <c r="BC328" s="649">
        <f t="shared" ca="1" si="778"/>
        <v>117694</v>
      </c>
      <c r="BD328" s="672">
        <f t="shared" ca="1" si="778"/>
        <v>15300</v>
      </c>
      <c r="BE328" s="450" t="s">
        <v>141</v>
      </c>
    </row>
    <row r="329" spans="1:57" s="457" customFormat="1" ht="31.5" x14ac:dyDescent="0.25">
      <c r="A329" s="694" t="str">
        <f ca="1">Bérköltség!$B329</f>
        <v>FEOR</v>
      </c>
      <c r="B329" s="694" t="str">
        <f ca="1">IFERROR(
IF(AND(Bérköltség!$F329="",H329="NA"),"HIÁNYOS ADATOK",
IF(Bérköltség!$F329&lt;Bérköltség!$U329,Admin!$B$18,Admin!$B$17)),
"")</f>
        <v>FEOR</v>
      </c>
      <c r="C329" s="437">
        <f>IFERROR(INDEX('Historikus berek_2021-2'!$A$1:$F$903,MATCH(AB329,'Historikus berek_2021-2'!$A$1:$A$903,0),4),"")</f>
        <v>651000</v>
      </c>
      <c r="D329" s="438">
        <f t="shared" si="564"/>
        <v>591137.93103448278</v>
      </c>
      <c r="E329" s="437">
        <f t="shared" si="565"/>
        <v>1145409</v>
      </c>
      <c r="F329" s="439">
        <f t="shared" si="566"/>
        <v>626326.30793103448</v>
      </c>
      <c r="G329" s="440">
        <f t="shared" si="567"/>
        <v>667985.86206896545</v>
      </c>
      <c r="H329" s="441">
        <f>IFERROR(INDEX('FEOR kodok'!$A$2:$J$1126,MATCH(Bérköltség!AB329,'FEOR kodok'!$B$2:$B$1126,0),8),"NA")</f>
        <v>2410</v>
      </c>
      <c r="I329" s="436">
        <f ca="1">IFERROR(INDEX('FEOR kodok'!$A$2:$J$1126,MATCH(Bérköltség!AB329,'FEOR kodok'!$B$2:$B$1126,0),10),"NA")</f>
        <v>68</v>
      </c>
      <c r="J329" s="442" t="str">
        <f t="shared" ca="1" si="568"/>
        <v>50 év és afelett</v>
      </c>
      <c r="K329" s="436" t="str">
        <f>IFERROR(INDEX(admin_feor[#All],MATCH(Bérköltség!H329,admin_feor[[#All],[Foglalkozás]],0),2),"NA")</f>
        <v>Egyetemi, főiskolai oktató, tanár</v>
      </c>
      <c r="L329" s="438">
        <f ca="1">IFERROR(
INDEX('Admin - FEOR'!$A$4:$F$465,MATCH(Bérköltség!H329,'Admin - FEOR'!$A$4:$A$465,0),
IF(J329="30 év alatt",3,
IF(J329="30–39 éves",4,
IF(J329="40–49 éves",5,
IF(J329="50 év és afelett",6
)))))*1,"NA")</f>
        <v>676379</v>
      </c>
      <c r="M329" s="438">
        <f t="shared" si="569"/>
        <v>1261400</v>
      </c>
      <c r="N329" s="443">
        <f t="shared" ca="1" si="570"/>
        <v>1.864930756277176</v>
      </c>
      <c r="O329" s="438">
        <f ca="1">IFERROR(
INDEX('Admin - FEOR'!$A$4:$F$465,MATCH(Bérköltség!H329,'Admin - FEOR'!$A$4:$A$465,0),
IF(J329="30 év alatt",3,
IF(J329="30–39 éves",4,
IF(J329="40–49 éves",5,
IF(J329="50 év és afelett",6
)))))*1.5,"NA")</f>
        <v>1014568.5</v>
      </c>
      <c r="P329" s="438">
        <f t="shared" ca="1" si="571"/>
        <v>921274.8448275862</v>
      </c>
      <c r="Q329" s="438">
        <f t="shared" si="572"/>
        <v>1145409</v>
      </c>
      <c r="R329" s="444">
        <f t="shared" si="573"/>
        <v>0.90804597701149425</v>
      </c>
      <c r="S329" s="438">
        <f t="shared" ca="1" si="574"/>
        <v>224134.1551724138</v>
      </c>
      <c r="T329" s="438">
        <f t="shared" ca="1" si="575"/>
        <v>29137.440172413793</v>
      </c>
      <c r="U329" s="445">
        <f t="shared" ca="1" si="576"/>
        <v>253271.5953448276</v>
      </c>
      <c r="V329" s="446">
        <f t="shared" ca="1" si="577"/>
        <v>1041040.4046551724</v>
      </c>
      <c r="W329" s="447" t="str">
        <f t="shared" ca="1" si="578"/>
        <v>Indoklás szükséges mivel a FEOR: 186,5%</v>
      </c>
      <c r="X329" s="571">
        <f t="shared" ca="1" si="579"/>
        <v>253271.5953448276</v>
      </c>
      <c r="Y329" s="554">
        <f t="shared" ca="1" si="580"/>
        <v>921275</v>
      </c>
      <c r="Z329" s="554">
        <f t="shared" ca="1" si="581"/>
        <v>119765</v>
      </c>
      <c r="AA329" s="573">
        <v>2</v>
      </c>
      <c r="AB329" s="448">
        <v>8324144846</v>
      </c>
      <c r="AC329" s="449" t="s">
        <v>140</v>
      </c>
      <c r="AD329" s="483" t="s">
        <v>45</v>
      </c>
      <c r="AE329" s="450" t="s">
        <v>155</v>
      </c>
      <c r="AF329" s="99" t="s">
        <v>121</v>
      </c>
      <c r="AG329" s="99" t="s">
        <v>128</v>
      </c>
      <c r="AH329" s="451" t="s">
        <v>131</v>
      </c>
      <c r="AI329" s="154">
        <v>44927</v>
      </c>
      <c r="AJ329" s="100" t="str">
        <f>IF(AI329&gt;0,
(IF(AI329&lt;Hónapok!$A$10,Admin!$A$28,
(IF(AI329&lt;Hónapok!$A$22,Admin!$B$28,
(IF(AI329&lt;Hónapok!$A$34,Admin!$C$28,
(IF(AI329&lt;Hónapok!$A$46,Admin!$D$28,"")))))))),"")</f>
        <v>2. mérföldkő</v>
      </c>
      <c r="AK329" s="469" t="s">
        <v>7</v>
      </c>
      <c r="AL329" s="101" t="s">
        <v>26</v>
      </c>
      <c r="AM329" s="900">
        <v>1261400</v>
      </c>
      <c r="AN329" s="860">
        <f t="shared" si="777"/>
        <v>163982</v>
      </c>
      <c r="AO329" s="101">
        <v>174</v>
      </c>
      <c r="AP329" s="111">
        <v>158</v>
      </c>
      <c r="AQ329" s="454">
        <f t="shared" si="779"/>
        <v>0.90804597701149425</v>
      </c>
      <c r="AR329" s="455">
        <f t="shared" si="780"/>
        <v>1145409</v>
      </c>
      <c r="AS329" s="455">
        <f t="shared" si="781"/>
        <v>148903</v>
      </c>
      <c r="AT329" s="102">
        <f t="shared" si="782"/>
        <v>1.5490906835058382E-7</v>
      </c>
      <c r="AU329" s="116">
        <v>0.13</v>
      </c>
      <c r="AV329" s="565" t="str">
        <f>VLOOKUP(LEFT(AB329,10),Törzsszám!$A$1:$B$908,2,0)</f>
        <v>10000223</v>
      </c>
      <c r="AW329" s="615">
        <f t="shared" ca="1" si="783"/>
        <v>-253272</v>
      </c>
      <c r="AX329" s="537" t="s">
        <v>2518</v>
      </c>
      <c r="AY329" s="831"/>
      <c r="AZ329" s="831" t="s">
        <v>4607</v>
      </c>
      <c r="BA329" s="671">
        <v>803581</v>
      </c>
      <c r="BB329" s="649">
        <v>104466</v>
      </c>
      <c r="BC329" s="649">
        <f t="shared" ca="1" si="778"/>
        <v>117694</v>
      </c>
      <c r="BD329" s="672">
        <f t="shared" ca="1" si="778"/>
        <v>15299</v>
      </c>
      <c r="BE329" s="450" t="s">
        <v>141</v>
      </c>
    </row>
    <row r="330" spans="1:57" s="457" customFormat="1" ht="31.5" x14ac:dyDescent="0.25">
      <c r="A330" s="694" t="str">
        <f ca="1">Bérköltség!$B330</f>
        <v>FEOR</v>
      </c>
      <c r="B330" s="694" t="str">
        <f ca="1">IFERROR(
IF(AND(Bérköltség!$F330="",H330="NA"),"HIÁNYOS ADATOK",
IF(Bérköltség!$F330&lt;Bérköltség!$U330,Admin!$B$18,Admin!$B$17)),
"")</f>
        <v>FEOR</v>
      </c>
      <c r="C330" s="437">
        <f>IFERROR(INDEX('Historikus berek_2021-2'!$A$1:$F$903,MATCH(AB330,'Historikus berek_2021-2'!$A$1:$A$903,0),4),"")</f>
        <v>651000</v>
      </c>
      <c r="D330" s="438">
        <f t="shared" si="564"/>
        <v>591137.93103448278</v>
      </c>
      <c r="E330" s="437">
        <f t="shared" si="565"/>
        <v>1145409</v>
      </c>
      <c r="F330" s="439">
        <f t="shared" si="566"/>
        <v>626326.30793103448</v>
      </c>
      <c r="G330" s="440">
        <f t="shared" si="567"/>
        <v>667985.86206896545</v>
      </c>
      <c r="H330" s="441">
        <f>IFERROR(INDEX('FEOR kodok'!$A$2:$J$1126,MATCH(Bérköltség!AB330,'FEOR kodok'!$B$2:$B$1126,0),8),"NA")</f>
        <v>2410</v>
      </c>
      <c r="I330" s="436">
        <f ca="1">IFERROR(INDEX('FEOR kodok'!$A$2:$J$1126,MATCH(Bérköltség!AB330,'FEOR kodok'!$B$2:$B$1126,0),10),"NA")</f>
        <v>68</v>
      </c>
      <c r="J330" s="442" t="str">
        <f t="shared" ca="1" si="568"/>
        <v>50 év és afelett</v>
      </c>
      <c r="K330" s="436" t="str">
        <f>IFERROR(INDEX(admin_feor[#All],MATCH(Bérköltség!H330,admin_feor[[#All],[Foglalkozás]],0),2),"NA")</f>
        <v>Egyetemi, főiskolai oktató, tanár</v>
      </c>
      <c r="L330" s="438">
        <f ca="1">IFERROR(
INDEX('Admin - FEOR'!$A$4:$F$465,MATCH(Bérköltség!H330,'Admin - FEOR'!$A$4:$A$465,0),
IF(J330="30 év alatt",3,
IF(J330="30–39 éves",4,
IF(J330="40–49 éves",5,
IF(J330="50 év és afelett",6
)))))*1,"NA")</f>
        <v>676379</v>
      </c>
      <c r="M330" s="438">
        <f t="shared" si="569"/>
        <v>1261400</v>
      </c>
      <c r="N330" s="443">
        <f t="shared" ca="1" si="570"/>
        <v>1.864930756277176</v>
      </c>
      <c r="O330" s="438">
        <f ca="1">IFERROR(
INDEX('Admin - FEOR'!$A$4:$F$465,MATCH(Bérköltség!H330,'Admin - FEOR'!$A$4:$A$465,0),
IF(J330="30 év alatt",3,
IF(J330="30–39 éves",4,
IF(J330="40–49 éves",5,
IF(J330="50 év és afelett",6
)))))*1.5,"NA")</f>
        <v>1014568.5</v>
      </c>
      <c r="P330" s="438">
        <f t="shared" ca="1" si="571"/>
        <v>921274.8448275862</v>
      </c>
      <c r="Q330" s="438">
        <f t="shared" si="572"/>
        <v>1145409</v>
      </c>
      <c r="R330" s="444">
        <f t="shared" si="573"/>
        <v>0.90804597701149425</v>
      </c>
      <c r="S330" s="438">
        <f t="shared" ca="1" si="574"/>
        <v>224134.1551724138</v>
      </c>
      <c r="T330" s="438">
        <f t="shared" ca="1" si="575"/>
        <v>29137.440172413793</v>
      </c>
      <c r="U330" s="445">
        <f t="shared" ca="1" si="576"/>
        <v>253271.5953448276</v>
      </c>
      <c r="V330" s="446">
        <f t="shared" ca="1" si="577"/>
        <v>1041040.4046551724</v>
      </c>
      <c r="W330" s="447" t="str">
        <f t="shared" ca="1" si="578"/>
        <v>Indoklás szükséges mivel a FEOR: 186,5%</v>
      </c>
      <c r="X330" s="571">
        <f t="shared" ca="1" si="579"/>
        <v>253271.5953448276</v>
      </c>
      <c r="Y330" s="554">
        <f t="shared" ca="1" si="580"/>
        <v>921275</v>
      </c>
      <c r="Z330" s="554">
        <f t="shared" ca="1" si="581"/>
        <v>119765</v>
      </c>
      <c r="AA330" s="101"/>
      <c r="AB330" s="448">
        <v>8324144846</v>
      </c>
      <c r="AC330" s="449" t="s">
        <v>140</v>
      </c>
      <c r="AD330" s="483" t="s">
        <v>45</v>
      </c>
      <c r="AE330" s="450" t="s">
        <v>155</v>
      </c>
      <c r="AF330" s="99" t="s">
        <v>121</v>
      </c>
      <c r="AG330" s="99" t="s">
        <v>128</v>
      </c>
      <c r="AH330" s="451" t="s">
        <v>131</v>
      </c>
      <c r="AI330" s="154">
        <v>44958</v>
      </c>
      <c r="AJ330" s="100" t="str">
        <f>IF(AI330&gt;0,
(IF(AI330&lt;Hónapok!$A$10,Admin!$A$28,
(IF(AI330&lt;Hónapok!$A$22,Admin!$B$28,
(IF(AI330&lt;Hónapok!$A$34,Admin!$C$28,
(IF(AI330&lt;Hónapok!$A$46,Admin!$D$28,"")))))))),"")</f>
        <v>2. mérföldkő</v>
      </c>
      <c r="AK330" s="469" t="s">
        <v>7</v>
      </c>
      <c r="AL330" s="101" t="s">
        <v>26</v>
      </c>
      <c r="AM330" s="900">
        <v>1261400</v>
      </c>
      <c r="AN330" s="860">
        <f t="shared" si="777"/>
        <v>163982</v>
      </c>
      <c r="AO330" s="101">
        <v>174</v>
      </c>
      <c r="AP330" s="111">
        <v>158</v>
      </c>
      <c r="AQ330" s="454">
        <f t="shared" si="779"/>
        <v>0.90804597701149425</v>
      </c>
      <c r="AR330" s="455">
        <f t="shared" si="780"/>
        <v>1145409</v>
      </c>
      <c r="AS330" s="455">
        <f t="shared" si="781"/>
        <v>148903</v>
      </c>
      <c r="AT330" s="102">
        <f t="shared" si="782"/>
        <v>1.5490906835058382E-7</v>
      </c>
      <c r="AU330" s="116">
        <v>0.13</v>
      </c>
      <c r="AV330" s="565" t="str">
        <f>VLOOKUP(LEFT(AB330,10),Törzsszám!$A$1:$B$908,2,0)</f>
        <v>10000223</v>
      </c>
      <c r="AW330" s="615">
        <f t="shared" ca="1" si="783"/>
        <v>-253272</v>
      </c>
      <c r="AX330" s="537" t="s">
        <v>4557</v>
      </c>
      <c r="AY330" s="486"/>
      <c r="AZ330" s="502"/>
      <c r="BA330" s="671"/>
      <c r="BB330" s="649"/>
      <c r="BC330" s="649"/>
      <c r="BD330" s="672"/>
      <c r="BE330" s="450" t="s">
        <v>141</v>
      </c>
    </row>
    <row r="331" spans="1:57" s="457" customFormat="1" ht="31.5" x14ac:dyDescent="0.25">
      <c r="A331" s="694" t="str">
        <f ca="1">Bérköltség!$B331</f>
        <v>FEOR</v>
      </c>
      <c r="B331" s="694" t="str">
        <f ca="1">IFERROR(
IF(AND(Bérköltség!$F331="",H331="NA"),"HIÁNYOS ADATOK",
IF(Bérköltség!$F331&lt;Bérköltség!$U331,Admin!$B$18,Admin!$B$17)),
"")</f>
        <v>FEOR</v>
      </c>
      <c r="C331" s="437">
        <f>IFERROR(INDEX('Historikus berek_2021-2'!$A$1:$F$903,MATCH(AB331,'Historikus berek_2021-2'!$A$1:$A$903,0),4),"")</f>
        <v>651000</v>
      </c>
      <c r="D331" s="438">
        <f t="shared" ref="D331:D420" si="784">IFERROR(C331*AQ331,"NA")</f>
        <v>591137.93103448278</v>
      </c>
      <c r="E331" s="437">
        <f t="shared" ref="E331:E420" si="785">AR331</f>
        <v>1145409</v>
      </c>
      <c r="F331" s="439">
        <f t="shared" ref="F331:F420" si="786">IFERROR(IF((E331*(1+AU331)-D331*(1+AU331))&lt;0,0,(E331*(1+AU331)-D331*(1+AU331))),"")</f>
        <v>626326.30793103448</v>
      </c>
      <c r="G331" s="440">
        <f t="shared" ref="G331:G420" si="787">IFERROR((E331*(1+AU331)-F331),"")</f>
        <v>667985.86206896545</v>
      </c>
      <c r="H331" s="441">
        <f>IFERROR(INDEX('FEOR kodok'!$A$2:$J$1126,MATCH(Bérköltség!AB331,'FEOR kodok'!$B$2:$B$1126,0),8),"NA")</f>
        <v>2410</v>
      </c>
      <c r="I331" s="436">
        <f ca="1">IFERROR(INDEX('FEOR kodok'!$A$2:$J$1126,MATCH(Bérköltség!AB331,'FEOR kodok'!$B$2:$B$1126,0),10),"NA")</f>
        <v>68</v>
      </c>
      <c r="J331" s="442" t="str">
        <f t="shared" ref="J331:J420" ca="1" si="788">IF(I331="NA","NA",
IF(I331&lt;30,"30 év alatt",
IF(AND(I331&gt;=30,I331&lt;=39),"30–39 éves",
IF(AND(I331&gt;=40,I331&lt;=49),"40–49 éves",
IF(I331&gt;=50,"50 év és afelett",
"")))))</f>
        <v>50 év és afelett</v>
      </c>
      <c r="K331" s="436" t="str">
        <f>IFERROR(INDEX(admin_feor[#All],MATCH(Bérköltség!H331,admin_feor[[#All],[Foglalkozás]],0),2),"NA")</f>
        <v>Egyetemi, főiskolai oktató, tanár</v>
      </c>
      <c r="L331" s="438">
        <f ca="1">IFERROR(
INDEX('Admin - FEOR'!$A$4:$F$465,MATCH(Bérköltség!H331,'Admin - FEOR'!$A$4:$A$465,0),
IF(J331="30 év alatt",3,
IF(J331="30–39 éves",4,
IF(J331="40–49 éves",5,
IF(J331="50 év és afelett",6
)))))*1,"NA")</f>
        <v>676379</v>
      </c>
      <c r="M331" s="438">
        <f t="shared" ref="M331:M420" si="789">AM331</f>
        <v>1261400</v>
      </c>
      <c r="N331" s="443">
        <f t="shared" ref="N331:N420" ca="1" si="790">IFERROR(
M331/L331,"NA")</f>
        <v>1.864930756277176</v>
      </c>
      <c r="O331" s="438">
        <f ca="1">IFERROR(
INDEX('Admin - FEOR'!$A$4:$F$465,MATCH(Bérköltség!H331,'Admin - FEOR'!$A$4:$A$465,0),
IF(J331="30 év alatt",3,
IF(J331="30–39 éves",4,
IF(J331="40–49 éves",5,
IF(J331="50 év és afelett",6
)))))*1.5,"NA")</f>
        <v>1014568.5</v>
      </c>
      <c r="P331" s="438">
        <f t="shared" ref="P331:P420" ca="1" si="791">IFERROR(
AQ331*O331,"NA")</f>
        <v>921274.8448275862</v>
      </c>
      <c r="Q331" s="438">
        <f t="shared" ref="Q331:Q420" si="792">IFERROR(AR331,"")</f>
        <v>1145409</v>
      </c>
      <c r="R331" s="444">
        <f t="shared" ref="R331:R420" si="793">IFERROR(AQ331,"")</f>
        <v>0.90804597701149425</v>
      </c>
      <c r="S331" s="438">
        <f t="shared" ref="S331:S420" ca="1" si="794">IFERROR(
IF(AR331-P331&lt;0,0,AR331-P331),"NA")</f>
        <v>224134.1551724138</v>
      </c>
      <c r="T331" s="438">
        <f t="shared" ref="T331:T420" ca="1" si="795">IFERROR(
S331*AU331,"NA")</f>
        <v>29137.440172413793</v>
      </c>
      <c r="U331" s="445">
        <f t="shared" ref="U331:U420" ca="1" si="796">IFERROR(
S331+T331,"NA")</f>
        <v>253271.5953448276</v>
      </c>
      <c r="V331" s="446">
        <f t="shared" ref="V331:V420" ca="1" si="797">IFERROR(
IF(U331&gt;0,AR331+AS331-U331,AR331+AS331),"NA")</f>
        <v>1041040.4046551724</v>
      </c>
      <c r="W331" s="447" t="str">
        <f t="shared" ref="W331:W420" ca="1" si="798">IF(P331="NA","FEOR hiányzik",
IF(AND(N331&gt;1,A331="FEOR"),CONCATENATE("Indoklás szükséges mivel a FEOR: ",ROUND(N331*100,1),"%"),"Nem szükséges indoklás.")
)</f>
        <v>Indoklás szükséges mivel a FEOR: 186,5%</v>
      </c>
      <c r="X331" s="571">
        <f t="shared" ref="X331:X420" ca="1" si="799">IF(A331="FEOR",U331,IF(A331="HIÁNYOS ADATOK","HIÁNYOS ADATOK",F331))</f>
        <v>253271.5953448276</v>
      </c>
      <c r="Y331" s="554">
        <f t="shared" ref="Y331:Y420" ca="1" si="800">IF(A331="FEOR",ROUND(V331/(1+AU331),0),IF(A331="HIÁNYOS ADATOK","HIÁNYOS ADATOK",ROUND(G331/(1+AU331),0)))</f>
        <v>921275</v>
      </c>
      <c r="Z331" s="554">
        <f t="shared" ref="Z331:Z420" ca="1" si="801">IF(A331="FEOR",ROUND(V331-Y331,0),IF(A331="HIÁNYOS ADATOK","HIÁNYOS ADATOK",ROUND(G331-Y331,0)))</f>
        <v>119765</v>
      </c>
      <c r="AA331" s="101"/>
      <c r="AB331" s="448">
        <v>8324144846</v>
      </c>
      <c r="AC331" s="449" t="s">
        <v>140</v>
      </c>
      <c r="AD331" s="483" t="s">
        <v>45</v>
      </c>
      <c r="AE331" s="450" t="s">
        <v>155</v>
      </c>
      <c r="AF331" s="99" t="s">
        <v>121</v>
      </c>
      <c r="AG331" s="99" t="s">
        <v>128</v>
      </c>
      <c r="AH331" s="451" t="s">
        <v>131</v>
      </c>
      <c r="AI331" s="154">
        <v>44986</v>
      </c>
      <c r="AJ331" s="100" t="str">
        <f>IF(AI331&gt;0,
(IF(AI331&lt;Hónapok!$A$10,Admin!$A$28,
(IF(AI331&lt;Hónapok!$A$22,Admin!$B$28,
(IF(AI331&lt;Hónapok!$A$34,Admin!$C$28,
(IF(AI331&lt;Hónapok!$A$46,Admin!$D$28,"")))))))),"")</f>
        <v>3. mérföldkő</v>
      </c>
      <c r="AK331" s="470" t="s">
        <v>7</v>
      </c>
      <c r="AL331" s="101" t="s">
        <v>26</v>
      </c>
      <c r="AM331" s="900">
        <v>1261400</v>
      </c>
      <c r="AN331" s="860">
        <f t="shared" si="777"/>
        <v>163982</v>
      </c>
      <c r="AO331" s="101">
        <v>174</v>
      </c>
      <c r="AP331" s="111">
        <v>158</v>
      </c>
      <c r="AQ331" s="454">
        <f t="shared" si="779"/>
        <v>0.90804597701149425</v>
      </c>
      <c r="AR331" s="455">
        <f t="shared" si="780"/>
        <v>1145409</v>
      </c>
      <c r="AS331" s="455">
        <f t="shared" si="781"/>
        <v>148903</v>
      </c>
      <c r="AT331" s="102">
        <f t="shared" si="782"/>
        <v>1.5490906835058382E-7</v>
      </c>
      <c r="AU331" s="116">
        <v>0.13</v>
      </c>
      <c r="AV331" s="565" t="str">
        <f>VLOOKUP(LEFT(AB331,10),Törzsszám!$A$1:$B$908,2,0)</f>
        <v>10000223</v>
      </c>
      <c r="AW331" s="615">
        <f t="shared" ca="1" si="783"/>
        <v>-253272</v>
      </c>
      <c r="AX331" s="471" t="s">
        <v>4561</v>
      </c>
      <c r="AY331" s="486"/>
      <c r="AZ331" s="502"/>
      <c r="BA331" s="671"/>
      <c r="BB331" s="649"/>
      <c r="BC331" s="649"/>
      <c r="BD331" s="672"/>
      <c r="BE331" s="450" t="s">
        <v>141</v>
      </c>
    </row>
    <row r="332" spans="1:57" s="457" customFormat="1" ht="31.5" x14ac:dyDescent="0.25">
      <c r="A332" s="694" t="str">
        <f ca="1">Bérköltség!$B332</f>
        <v>FEOR</v>
      </c>
      <c r="B332" s="694" t="str">
        <f ca="1">IFERROR(
IF(AND(Bérköltség!$F332="",H332="NA"),"HIÁNYOS ADATOK",
IF(Bérköltség!$F332&lt;Bérköltség!$U332,Admin!$B$18,Admin!$B$17)),
"")</f>
        <v>FEOR</v>
      </c>
      <c r="C332" s="437">
        <f>IFERROR(INDEX('Historikus berek_2021-2'!$A$1:$F$903,MATCH(AB332,'Historikus berek_2021-2'!$A$1:$A$903,0),4),"")</f>
        <v>651000</v>
      </c>
      <c r="D332" s="438">
        <f t="shared" si="784"/>
        <v>591137.93103448278</v>
      </c>
      <c r="E332" s="437">
        <f t="shared" si="785"/>
        <v>1145409</v>
      </c>
      <c r="F332" s="439">
        <f t="shared" si="786"/>
        <v>626326.30793103448</v>
      </c>
      <c r="G332" s="440">
        <f t="shared" si="787"/>
        <v>667985.86206896545</v>
      </c>
      <c r="H332" s="441">
        <f>IFERROR(INDEX('FEOR kodok'!$A$2:$J$1126,MATCH(Bérköltség!AB332,'FEOR kodok'!$B$2:$B$1126,0),8),"NA")</f>
        <v>2410</v>
      </c>
      <c r="I332" s="436">
        <f ca="1">IFERROR(INDEX('FEOR kodok'!$A$2:$J$1126,MATCH(Bérköltség!AB332,'FEOR kodok'!$B$2:$B$1126,0),10),"NA")</f>
        <v>68</v>
      </c>
      <c r="J332" s="442" t="str">
        <f t="shared" ca="1" si="788"/>
        <v>50 év és afelett</v>
      </c>
      <c r="K332" s="436" t="str">
        <f>IFERROR(INDEX(admin_feor[#All],MATCH(Bérköltség!H332,admin_feor[[#All],[Foglalkozás]],0),2),"NA")</f>
        <v>Egyetemi, főiskolai oktató, tanár</v>
      </c>
      <c r="L332" s="438">
        <f ca="1">IFERROR(
INDEX('Admin - FEOR'!$A$4:$F$465,MATCH(Bérköltség!H332,'Admin - FEOR'!$A$4:$A$465,0),
IF(J332="30 év alatt",3,
IF(J332="30–39 éves",4,
IF(J332="40–49 éves",5,
IF(J332="50 év és afelett",6
)))))*1,"NA")</f>
        <v>676379</v>
      </c>
      <c r="M332" s="438">
        <f t="shared" si="789"/>
        <v>1261400</v>
      </c>
      <c r="N332" s="443">
        <f t="shared" ca="1" si="790"/>
        <v>1.864930756277176</v>
      </c>
      <c r="O332" s="438">
        <f ca="1">IFERROR(
INDEX('Admin - FEOR'!$A$4:$F$465,MATCH(Bérköltség!H332,'Admin - FEOR'!$A$4:$A$465,0),
IF(J332="30 év alatt",3,
IF(J332="30–39 éves",4,
IF(J332="40–49 éves",5,
IF(J332="50 év és afelett",6
)))))*1.5,"NA")</f>
        <v>1014568.5</v>
      </c>
      <c r="P332" s="438">
        <f t="shared" ca="1" si="791"/>
        <v>921274.8448275862</v>
      </c>
      <c r="Q332" s="438">
        <f t="shared" si="792"/>
        <v>1145409</v>
      </c>
      <c r="R332" s="444">
        <f t="shared" si="793"/>
        <v>0.90804597701149425</v>
      </c>
      <c r="S332" s="438">
        <f t="shared" ca="1" si="794"/>
        <v>224134.1551724138</v>
      </c>
      <c r="T332" s="438">
        <f t="shared" ca="1" si="795"/>
        <v>29137.440172413793</v>
      </c>
      <c r="U332" s="445">
        <f t="shared" ca="1" si="796"/>
        <v>253271.5953448276</v>
      </c>
      <c r="V332" s="446">
        <f t="shared" ca="1" si="797"/>
        <v>1041040.4046551724</v>
      </c>
      <c r="W332" s="447" t="str">
        <f t="shared" ca="1" si="798"/>
        <v>Indoklás szükséges mivel a FEOR: 186,5%</v>
      </c>
      <c r="X332" s="571">
        <f t="shared" ca="1" si="799"/>
        <v>253271.5953448276</v>
      </c>
      <c r="Y332" s="554">
        <f t="shared" ca="1" si="800"/>
        <v>921275</v>
      </c>
      <c r="Z332" s="554">
        <f t="shared" ca="1" si="801"/>
        <v>119765</v>
      </c>
      <c r="AA332" s="101"/>
      <c r="AB332" s="448">
        <v>8324144846</v>
      </c>
      <c r="AC332" s="449" t="s">
        <v>140</v>
      </c>
      <c r="AD332" s="483" t="s">
        <v>45</v>
      </c>
      <c r="AE332" s="450" t="s">
        <v>155</v>
      </c>
      <c r="AF332" s="99" t="s">
        <v>121</v>
      </c>
      <c r="AG332" s="99" t="s">
        <v>128</v>
      </c>
      <c r="AH332" s="451" t="s">
        <v>131</v>
      </c>
      <c r="AI332" s="154">
        <v>45017</v>
      </c>
      <c r="AJ332" s="100" t="str">
        <f>IF(AI332&gt;0,
(IF(AI332&lt;Hónapok!$A$10,Admin!$A$28,
(IF(AI332&lt;Hónapok!$A$22,Admin!$B$28,
(IF(AI332&lt;Hónapok!$A$34,Admin!$C$28,
(IF(AI332&lt;Hónapok!$A$46,Admin!$D$28,"")))))))),"")</f>
        <v>3. mérföldkő</v>
      </c>
      <c r="AK332" s="469" t="s">
        <v>7</v>
      </c>
      <c r="AL332" s="101" t="s">
        <v>26</v>
      </c>
      <c r="AM332" s="900">
        <v>1261400</v>
      </c>
      <c r="AN332" s="860">
        <f t="shared" si="777"/>
        <v>163982</v>
      </c>
      <c r="AO332" s="101">
        <v>174</v>
      </c>
      <c r="AP332" s="111">
        <v>158</v>
      </c>
      <c r="AQ332" s="454">
        <f t="shared" si="779"/>
        <v>0.90804597701149425</v>
      </c>
      <c r="AR332" s="455">
        <f t="shared" si="780"/>
        <v>1145409</v>
      </c>
      <c r="AS332" s="455">
        <f t="shared" si="781"/>
        <v>148903</v>
      </c>
      <c r="AT332" s="102">
        <f t="shared" si="782"/>
        <v>1.5490906835058382E-7</v>
      </c>
      <c r="AU332" s="116">
        <v>0.13</v>
      </c>
      <c r="AV332" s="565" t="str">
        <f>VLOOKUP(LEFT(AB332,10),Törzsszám!$A$1:$B$908,2,0)</f>
        <v>10000223</v>
      </c>
      <c r="AW332" s="615">
        <f t="shared" ca="1" si="783"/>
        <v>-253272</v>
      </c>
      <c r="AX332" s="471" t="s">
        <v>4581</v>
      </c>
      <c r="AY332" s="486"/>
      <c r="AZ332" s="502"/>
      <c r="BA332" s="671"/>
      <c r="BB332" s="649"/>
      <c r="BC332" s="649"/>
      <c r="BD332" s="672"/>
      <c r="BE332" s="450" t="s">
        <v>141</v>
      </c>
    </row>
    <row r="333" spans="1:57" s="457" customFormat="1" ht="31.5" x14ac:dyDescent="0.25">
      <c r="A333" s="694" t="str">
        <f ca="1">Bérköltség!$B333</f>
        <v>FEOR</v>
      </c>
      <c r="B333" s="694" t="str">
        <f ca="1">IFERROR(
IF(AND(Bérköltség!$F333="",H333="NA"),"HIÁNYOS ADATOK",
IF(Bérköltség!$F333&lt;Bérköltség!$U333,Admin!$B$18,Admin!$B$17)),
"")</f>
        <v>FEOR</v>
      </c>
      <c r="C333" s="437">
        <f>IFERROR(INDEX('Historikus berek_2021-2'!$A$1:$F$903,MATCH(AB333,'Historikus berek_2021-2'!$A$1:$A$903,0),4),"")</f>
        <v>651000</v>
      </c>
      <c r="D333" s="438">
        <f t="shared" si="784"/>
        <v>591137.93103448278</v>
      </c>
      <c r="E333" s="437">
        <f t="shared" si="785"/>
        <v>1145409</v>
      </c>
      <c r="F333" s="439">
        <f t="shared" si="786"/>
        <v>626326.30793103448</v>
      </c>
      <c r="G333" s="440">
        <f t="shared" si="787"/>
        <v>667985.86206896545</v>
      </c>
      <c r="H333" s="441">
        <f>IFERROR(INDEX('FEOR kodok'!$A$2:$J$1126,MATCH(Bérköltség!AB333,'FEOR kodok'!$B$2:$B$1126,0),8),"NA")</f>
        <v>2410</v>
      </c>
      <c r="I333" s="436">
        <f ca="1">IFERROR(INDEX('FEOR kodok'!$A$2:$J$1126,MATCH(Bérköltség!AB333,'FEOR kodok'!$B$2:$B$1126,0),10),"NA")</f>
        <v>68</v>
      </c>
      <c r="J333" s="442" t="str">
        <f t="shared" ca="1" si="788"/>
        <v>50 év és afelett</v>
      </c>
      <c r="K333" s="436" t="str">
        <f>IFERROR(INDEX(admin_feor[#All],MATCH(Bérköltség!H333,admin_feor[[#All],[Foglalkozás]],0),2),"NA")</f>
        <v>Egyetemi, főiskolai oktató, tanár</v>
      </c>
      <c r="L333" s="438">
        <f ca="1">IFERROR(
INDEX('Admin - FEOR'!$A$4:$F$465,MATCH(Bérköltség!H333,'Admin - FEOR'!$A$4:$A$465,0),
IF(J333="30 év alatt",3,
IF(J333="30–39 éves",4,
IF(J333="40–49 éves",5,
IF(J333="50 év és afelett",6
)))))*1,"NA")</f>
        <v>676379</v>
      </c>
      <c r="M333" s="438">
        <f t="shared" si="789"/>
        <v>1261400</v>
      </c>
      <c r="N333" s="443">
        <f t="shared" ca="1" si="790"/>
        <v>1.864930756277176</v>
      </c>
      <c r="O333" s="438">
        <f ca="1">IFERROR(
INDEX('Admin - FEOR'!$A$4:$F$465,MATCH(Bérköltség!H333,'Admin - FEOR'!$A$4:$A$465,0),
IF(J333="30 év alatt",3,
IF(J333="30–39 éves",4,
IF(J333="40–49 éves",5,
IF(J333="50 év és afelett",6
)))))*1.5,"NA")</f>
        <v>1014568.5</v>
      </c>
      <c r="P333" s="438">
        <f t="shared" ca="1" si="791"/>
        <v>921274.8448275862</v>
      </c>
      <c r="Q333" s="438">
        <f t="shared" si="792"/>
        <v>1145409</v>
      </c>
      <c r="R333" s="444">
        <f t="shared" si="793"/>
        <v>0.90804597701149425</v>
      </c>
      <c r="S333" s="438">
        <f t="shared" ca="1" si="794"/>
        <v>224134.1551724138</v>
      </c>
      <c r="T333" s="438">
        <f t="shared" ca="1" si="795"/>
        <v>29137.440172413793</v>
      </c>
      <c r="U333" s="445">
        <f t="shared" ca="1" si="796"/>
        <v>253271.5953448276</v>
      </c>
      <c r="V333" s="446">
        <f t="shared" ca="1" si="797"/>
        <v>1041040.4046551724</v>
      </c>
      <c r="W333" s="447" t="str">
        <f t="shared" ca="1" si="798"/>
        <v>Indoklás szükséges mivel a FEOR: 186,5%</v>
      </c>
      <c r="X333" s="571">
        <f t="shared" ca="1" si="799"/>
        <v>253271.5953448276</v>
      </c>
      <c r="Y333" s="554">
        <f t="shared" ca="1" si="800"/>
        <v>921275</v>
      </c>
      <c r="Z333" s="554">
        <f t="shared" ca="1" si="801"/>
        <v>119765</v>
      </c>
      <c r="AA333" s="101"/>
      <c r="AB333" s="448">
        <v>8324144846</v>
      </c>
      <c r="AC333" s="449" t="s">
        <v>140</v>
      </c>
      <c r="AD333" s="483" t="s">
        <v>45</v>
      </c>
      <c r="AE333" s="450" t="s">
        <v>155</v>
      </c>
      <c r="AF333" s="99" t="s">
        <v>121</v>
      </c>
      <c r="AG333" s="99" t="s">
        <v>128</v>
      </c>
      <c r="AH333" s="451" t="s">
        <v>131</v>
      </c>
      <c r="AI333" s="154">
        <v>45047</v>
      </c>
      <c r="AJ333" s="100" t="str">
        <f>IF(AI333&gt;0,
(IF(AI333&lt;Hónapok!$A$10,Admin!$A$28,
(IF(AI333&lt;Hónapok!$A$22,Admin!$B$28,
(IF(AI333&lt;Hónapok!$A$34,Admin!$C$28,
(IF(AI333&lt;Hónapok!$A$46,Admin!$D$28,"")))))))),"")</f>
        <v>3. mérföldkő</v>
      </c>
      <c r="AK333" s="469" t="s">
        <v>7</v>
      </c>
      <c r="AL333" s="101" t="s">
        <v>26</v>
      </c>
      <c r="AM333" s="900">
        <v>1261400</v>
      </c>
      <c r="AN333" s="860">
        <f t="shared" si="777"/>
        <v>163982</v>
      </c>
      <c r="AO333" s="101">
        <v>174</v>
      </c>
      <c r="AP333" s="111">
        <v>158</v>
      </c>
      <c r="AQ333" s="454">
        <f t="shared" si="779"/>
        <v>0.90804597701149425</v>
      </c>
      <c r="AR333" s="455">
        <f t="shared" si="780"/>
        <v>1145409</v>
      </c>
      <c r="AS333" s="455">
        <f t="shared" si="781"/>
        <v>148903</v>
      </c>
      <c r="AT333" s="102">
        <f t="shared" si="782"/>
        <v>1.5490906835058382E-7</v>
      </c>
      <c r="AU333" s="116">
        <v>0.13</v>
      </c>
      <c r="AV333" s="565" t="str">
        <f>VLOOKUP(LEFT(AB333,10),Törzsszám!$A$1:$B$908,2,0)</f>
        <v>10000223</v>
      </c>
      <c r="AW333" s="615">
        <f t="shared" ca="1" si="783"/>
        <v>-253272</v>
      </c>
      <c r="AX333" s="471" t="s">
        <v>4596</v>
      </c>
      <c r="AY333" s="486"/>
      <c r="AZ333" s="502"/>
      <c r="BA333" s="671"/>
      <c r="BB333" s="649"/>
      <c r="BC333" s="649"/>
      <c r="BD333" s="672"/>
      <c r="BE333" s="450" t="s">
        <v>141</v>
      </c>
    </row>
    <row r="334" spans="1:57" s="457" customFormat="1" ht="31.5" x14ac:dyDescent="0.25">
      <c r="A334" s="694" t="str">
        <f ca="1">Bérköltség!$B334</f>
        <v>FEOR</v>
      </c>
      <c r="B334" s="694" t="str">
        <f ca="1">IFERROR(
IF(AND(Bérköltség!$F334="",H334="NA"),"HIÁNYOS ADATOK",
IF(Bérköltség!$F334&lt;Bérköltség!$U334,Admin!$B$18,Admin!$B$17)),
"")</f>
        <v>FEOR</v>
      </c>
      <c r="C334" s="437">
        <f>IFERROR(INDEX('Historikus berek_2021-2'!$A$1:$F$903,MATCH(AB334,'Historikus berek_2021-2'!$A$1:$A$903,0),4),"")</f>
        <v>651000</v>
      </c>
      <c r="D334" s="438">
        <f t="shared" ref="D334:D339" si="802">IFERROR(C334*AQ334,"NA")</f>
        <v>591137.93103448278</v>
      </c>
      <c r="E334" s="437">
        <f t="shared" ref="E334:E339" si="803">AR334</f>
        <v>1255010</v>
      </c>
      <c r="F334" s="439">
        <f t="shared" ref="F334:F339" si="804">IFERROR(IF((E334*(1+AU334)-D334*(1+AU334))&lt;0,0,(E334*(1+AU334)-D334*(1+AU334))),"")</f>
        <v>750175.43793103436</v>
      </c>
      <c r="G334" s="440">
        <f t="shared" ref="G334:G339" si="805">IFERROR((E334*(1+AU334)-F334),"")</f>
        <v>667985.86206896545</v>
      </c>
      <c r="H334" s="441">
        <f>IFERROR(INDEX('FEOR kodok'!$A$2:$J$1126,MATCH(Bérköltség!AB334,'FEOR kodok'!$B$2:$B$1126,0),8),"NA")</f>
        <v>2410</v>
      </c>
      <c r="I334" s="436">
        <f ca="1">IFERROR(INDEX('FEOR kodok'!$A$2:$J$1126,MATCH(Bérköltség!AB334,'FEOR kodok'!$B$2:$B$1126,0),10),"NA")</f>
        <v>68</v>
      </c>
      <c r="J334" s="442" t="str">
        <f t="shared" ref="J334:J339" ca="1" si="806">IF(I334="NA","NA",
IF(I334&lt;30,"30 év alatt",
IF(AND(I334&gt;=30,I334&lt;=39),"30–39 éves",
IF(AND(I334&gt;=40,I334&lt;=49),"40–49 éves",
IF(I334&gt;=50,"50 év és afelett",
"")))))</f>
        <v>50 év és afelett</v>
      </c>
      <c r="K334" s="436" t="str">
        <f>IFERROR(INDEX(admin_feor[#All],MATCH(Bérköltség!H334,admin_feor[[#All],[Foglalkozás]],0),2),"NA")</f>
        <v>Egyetemi, főiskolai oktató, tanár</v>
      </c>
      <c r="L334" s="438">
        <f ca="1">IFERROR(
INDEX('Admin - FEOR'!$A$4:$F$465,MATCH(Bérköltség!H334,'Admin - FEOR'!$A$4:$A$465,0),
IF(J334="30 év alatt",3,
IF(J334="30–39 éves",4,
IF(J334="40–49 éves",5,
IF(J334="50 év és afelett",6
)))))*1,"NA")</f>
        <v>676379</v>
      </c>
      <c r="M334" s="438">
        <f t="shared" ref="M334:M339" si="807">AM334</f>
        <v>1382100</v>
      </c>
      <c r="N334" s="443">
        <f t="shared" ref="N334:N339" ca="1" si="808">IFERROR(
M334/L334,"NA")</f>
        <v>2.0433810038454774</v>
      </c>
      <c r="O334" s="438">
        <f ca="1">IFERROR(
INDEX('Admin - FEOR'!$A$4:$F$465,MATCH(Bérköltség!H334,'Admin - FEOR'!$A$4:$A$465,0),
IF(J334="30 év alatt",3,
IF(J334="30–39 éves",4,
IF(J334="40–49 éves",5,
IF(J334="50 év és afelett",6
)))))*1.5,"NA")</f>
        <v>1014568.5</v>
      </c>
      <c r="P334" s="438">
        <f t="shared" ref="P334:P339" ca="1" si="809">IFERROR(
AQ334*O334,"NA")</f>
        <v>921274.8448275862</v>
      </c>
      <c r="Q334" s="438">
        <f t="shared" ref="Q334:Q339" si="810">IFERROR(AR334,"")</f>
        <v>1255010</v>
      </c>
      <c r="R334" s="444">
        <f t="shared" ref="R334:R339" si="811">IFERROR(AQ334,"")</f>
        <v>0.90804597701149425</v>
      </c>
      <c r="S334" s="438">
        <f t="shared" ref="S334:S339" ca="1" si="812">IFERROR(
IF(AR334-P334&lt;0,0,AR334-P334),"NA")</f>
        <v>333735.1551724138</v>
      </c>
      <c r="T334" s="438">
        <f t="shared" ref="T334:T339" ca="1" si="813">IFERROR(
S334*AU334,"NA")</f>
        <v>43385.570172413798</v>
      </c>
      <c r="U334" s="445">
        <f t="shared" ref="U334:U339" ca="1" si="814">IFERROR(
S334+T334,"NA")</f>
        <v>377120.72534482757</v>
      </c>
      <c r="V334" s="446">
        <f t="shared" ref="V334:V339" ca="1" si="815">IFERROR(
IF(U334&gt;0,AR334+AS334-U334,AR334+AS334),"NA")</f>
        <v>1041040.2746551724</v>
      </c>
      <c r="W334" s="447" t="str">
        <f t="shared" ref="W334:W339" ca="1" si="816">IF(P334="NA","FEOR hiányzik",
IF(AND(N334&gt;1,A334="FEOR"),CONCATENATE("Indoklás szükséges mivel a FEOR: ",ROUND(N334*100,1),"%"),"Nem szükséges indoklás.")
)</f>
        <v>Indoklás szükséges mivel a FEOR: 204,3%</v>
      </c>
      <c r="X334" s="571">
        <f t="shared" ref="X334:X339" ca="1" si="817">IF(A334="FEOR",U334,IF(A334="HIÁNYOS ADATOK","HIÁNYOS ADATOK",F334))</f>
        <v>377120.72534482757</v>
      </c>
      <c r="Y334" s="554">
        <f t="shared" ref="Y334:Y339" ca="1" si="818">IF(A334="FEOR",ROUND(V334/(1+AU334),0),IF(A334="HIÁNYOS ADATOK","HIÁNYOS ADATOK",ROUND(G334/(1+AU334),0)))</f>
        <v>921275</v>
      </c>
      <c r="Z334" s="554">
        <f t="shared" ref="Z334:Z339" ca="1" si="819">IF(A334="FEOR",ROUND(V334-Y334,0),IF(A334="HIÁNYOS ADATOK","HIÁNYOS ADATOK",ROUND(G334-Y334,0)))</f>
        <v>119765</v>
      </c>
      <c r="AA334" s="101"/>
      <c r="AB334" s="448">
        <v>8324144846</v>
      </c>
      <c r="AC334" s="449" t="s">
        <v>140</v>
      </c>
      <c r="AD334" s="483" t="s">
        <v>45</v>
      </c>
      <c r="AE334" s="450" t="s">
        <v>155</v>
      </c>
      <c r="AF334" s="99" t="s">
        <v>121</v>
      </c>
      <c r="AG334" s="99" t="s">
        <v>128</v>
      </c>
      <c r="AH334" s="451" t="s">
        <v>131</v>
      </c>
      <c r="AI334" s="154">
        <v>45078</v>
      </c>
      <c r="AJ334" s="100" t="str">
        <f>IF(AI334&gt;0,
(IF(AI334&lt;Hónapok!$A$10,Admin!$A$28,
(IF(AI334&lt;Hónapok!$A$22,Admin!$B$28,
(IF(AI334&lt;Hónapok!$A$34,Admin!$C$28,
(IF(AI334&lt;Hónapok!$A$46,Admin!$D$28,"")))))))),"")</f>
        <v>3. mérföldkő</v>
      </c>
      <c r="AK334" s="469" t="s">
        <v>7</v>
      </c>
      <c r="AL334" s="101" t="s">
        <v>26</v>
      </c>
      <c r="AM334" s="900">
        <v>1382100</v>
      </c>
      <c r="AN334" s="860">
        <f t="shared" ref="AN334:AN339" si="820">IFERROR(ROUND(AM334*AU334,0),"")</f>
        <v>179673</v>
      </c>
      <c r="AO334" s="101">
        <v>174</v>
      </c>
      <c r="AP334" s="111">
        <v>158</v>
      </c>
      <c r="AQ334" s="102">
        <f t="shared" ref="AQ334:AQ339" si="821">IFERROR(AP334/AO334,"")</f>
        <v>0.90804597701149425</v>
      </c>
      <c r="AR334" s="455">
        <f t="shared" ref="AR334:AR339" si="822">IFERROR(ROUND(AM334*AP334/AO334,0),"")</f>
        <v>1255010</v>
      </c>
      <c r="AS334" s="455">
        <f t="shared" ref="AS334:AS339" si="823">IFERROR(ROUND(AR334*AU334,0),"")</f>
        <v>163151</v>
      </c>
      <c r="AT334" s="102">
        <f t="shared" ref="AT334:AT339" si="824">IFERROR(AP334/AO334-AR334/AM334,"")</f>
        <v>2.4949539556562428E-7</v>
      </c>
      <c r="AU334" s="116">
        <v>0.13</v>
      </c>
      <c r="AV334" s="565" t="str">
        <f>VLOOKUP(LEFT(AB334,10),Törzsszám!$A$1:$B$908,2,0)</f>
        <v>10000223</v>
      </c>
      <c r="AW334" s="681">
        <f t="shared" ref="AW334:AW339" ca="1" si="825">(Y334+Z334)-(AR334+AS334)</f>
        <v>-377121</v>
      </c>
      <c r="AX334" s="471" t="s">
        <v>4606</v>
      </c>
      <c r="AY334" s="486"/>
      <c r="AZ334" s="502"/>
      <c r="BA334" s="671"/>
      <c r="BB334" s="649"/>
      <c r="BC334" s="649"/>
      <c r="BD334" s="672"/>
      <c r="BE334" s="450" t="s">
        <v>141</v>
      </c>
    </row>
    <row r="335" spans="1:57" s="457" customFormat="1" ht="31.5" x14ac:dyDescent="0.25">
      <c r="A335" s="694" t="str">
        <f ca="1">Bérköltség!$B335</f>
        <v>FEOR</v>
      </c>
      <c r="B335" s="694" t="str">
        <f ca="1">IFERROR(
IF(AND(Bérköltség!$F335="",H335="NA"),"HIÁNYOS ADATOK",
IF(Bérköltség!$F335&lt;Bérköltség!$U335,Admin!$B$18,Admin!$B$17)),
"")</f>
        <v>FEOR</v>
      </c>
      <c r="C335" s="437">
        <f>IFERROR(INDEX('Historikus berek_2021-2'!$A$1:$F$903,MATCH(AB335,'Historikus berek_2021-2'!$A$1:$A$903,0),4),"")</f>
        <v>651000</v>
      </c>
      <c r="D335" s="438">
        <f t="shared" si="802"/>
        <v>591137.93103448278</v>
      </c>
      <c r="E335" s="437">
        <f t="shared" si="803"/>
        <v>1255010</v>
      </c>
      <c r="F335" s="439">
        <f t="shared" si="804"/>
        <v>750175.43793103436</v>
      </c>
      <c r="G335" s="440">
        <f t="shared" si="805"/>
        <v>667985.86206896545</v>
      </c>
      <c r="H335" s="441">
        <f>IFERROR(INDEX('FEOR kodok'!$A$2:$J$1126,MATCH(Bérköltség!AB335,'FEOR kodok'!$B$2:$B$1126,0),8),"NA")</f>
        <v>2410</v>
      </c>
      <c r="I335" s="436">
        <f ca="1">IFERROR(INDEX('FEOR kodok'!$A$2:$J$1126,MATCH(Bérköltség!AB335,'FEOR kodok'!$B$2:$B$1126,0),10),"NA")</f>
        <v>68</v>
      </c>
      <c r="J335" s="442" t="str">
        <f t="shared" ca="1" si="806"/>
        <v>50 év és afelett</v>
      </c>
      <c r="K335" s="436" t="str">
        <f>IFERROR(INDEX(admin_feor[#All],MATCH(Bérköltség!H335,admin_feor[[#All],[Foglalkozás]],0),2),"NA")</f>
        <v>Egyetemi, főiskolai oktató, tanár</v>
      </c>
      <c r="L335" s="438">
        <f ca="1">IFERROR(
INDEX('Admin - FEOR'!$A$4:$F$465,MATCH(Bérköltség!H335,'Admin - FEOR'!$A$4:$A$465,0),
IF(J335="30 év alatt",3,
IF(J335="30–39 éves",4,
IF(J335="40–49 éves",5,
IF(J335="50 év és afelett",6
)))))*1,"NA")</f>
        <v>676379</v>
      </c>
      <c r="M335" s="438">
        <f t="shared" si="807"/>
        <v>1382100</v>
      </c>
      <c r="N335" s="443">
        <f t="shared" ca="1" si="808"/>
        <v>2.0433810038454774</v>
      </c>
      <c r="O335" s="438">
        <f ca="1">IFERROR(
INDEX('Admin - FEOR'!$A$4:$F$465,MATCH(Bérköltség!H335,'Admin - FEOR'!$A$4:$A$465,0),
IF(J335="30 év alatt",3,
IF(J335="30–39 éves",4,
IF(J335="40–49 éves",5,
IF(J335="50 év és afelett",6
)))))*1.5,"NA")</f>
        <v>1014568.5</v>
      </c>
      <c r="P335" s="438">
        <f t="shared" ca="1" si="809"/>
        <v>921274.8448275862</v>
      </c>
      <c r="Q335" s="438">
        <f t="shared" si="810"/>
        <v>1255010</v>
      </c>
      <c r="R335" s="444">
        <f t="shared" si="811"/>
        <v>0.90804597701149425</v>
      </c>
      <c r="S335" s="438">
        <f t="shared" ca="1" si="812"/>
        <v>333735.1551724138</v>
      </c>
      <c r="T335" s="438">
        <f t="shared" ca="1" si="813"/>
        <v>43385.570172413798</v>
      </c>
      <c r="U335" s="445">
        <f t="shared" ca="1" si="814"/>
        <v>377120.72534482757</v>
      </c>
      <c r="V335" s="446">
        <f t="shared" ca="1" si="815"/>
        <v>1041040.2746551724</v>
      </c>
      <c r="W335" s="447" t="str">
        <f t="shared" ca="1" si="816"/>
        <v>Indoklás szükséges mivel a FEOR: 204,3%</v>
      </c>
      <c r="X335" s="571">
        <f t="shared" ca="1" si="817"/>
        <v>377120.72534482757</v>
      </c>
      <c r="Y335" s="554">
        <f t="shared" ca="1" si="818"/>
        <v>921275</v>
      </c>
      <c r="Z335" s="554">
        <f t="shared" ca="1" si="819"/>
        <v>119765</v>
      </c>
      <c r="AA335" s="101"/>
      <c r="AB335" s="448">
        <v>8324144846</v>
      </c>
      <c r="AC335" s="449" t="s">
        <v>140</v>
      </c>
      <c r="AD335" s="483" t="s">
        <v>45</v>
      </c>
      <c r="AE335" s="450" t="s">
        <v>155</v>
      </c>
      <c r="AF335" s="99" t="s">
        <v>121</v>
      </c>
      <c r="AG335" s="99" t="s">
        <v>128</v>
      </c>
      <c r="AH335" s="451" t="s">
        <v>131</v>
      </c>
      <c r="AI335" s="154">
        <v>45108</v>
      </c>
      <c r="AJ335" s="100" t="str">
        <f>IF(AI335&gt;0,
(IF(AI335&lt;Hónapok!$A$10,Admin!$A$28,
(IF(AI335&lt;Hónapok!$A$22,Admin!$B$28,
(IF(AI335&lt;Hónapok!$A$34,Admin!$C$28,
(IF(AI335&lt;Hónapok!$A$46,Admin!$D$28,"")))))))),"")</f>
        <v>3. mérföldkő</v>
      </c>
      <c r="AK335" s="469" t="s">
        <v>7</v>
      </c>
      <c r="AL335" s="101" t="s">
        <v>26</v>
      </c>
      <c r="AM335" s="900">
        <v>1382100</v>
      </c>
      <c r="AN335" s="860">
        <f t="shared" si="820"/>
        <v>179673</v>
      </c>
      <c r="AO335" s="101">
        <v>174</v>
      </c>
      <c r="AP335" s="111">
        <v>158</v>
      </c>
      <c r="AQ335" s="682">
        <f t="shared" si="821"/>
        <v>0.90804597701149425</v>
      </c>
      <c r="AR335" s="455">
        <f t="shared" si="822"/>
        <v>1255010</v>
      </c>
      <c r="AS335" s="455">
        <f t="shared" si="823"/>
        <v>163151</v>
      </c>
      <c r="AT335" s="102">
        <f t="shared" si="824"/>
        <v>2.4949539556562428E-7</v>
      </c>
      <c r="AU335" s="116">
        <v>0.13</v>
      </c>
      <c r="AV335" s="565" t="str">
        <f>VLOOKUP(LEFT(AB335,10),Törzsszám!$A$1:$B$908,2,0)</f>
        <v>10000223</v>
      </c>
      <c r="AW335" s="681">
        <f t="shared" ca="1" si="825"/>
        <v>-377121</v>
      </c>
      <c r="AX335" s="471" t="s">
        <v>4610</v>
      </c>
      <c r="AY335" s="486"/>
      <c r="AZ335" s="502"/>
      <c r="BA335" s="671"/>
      <c r="BB335" s="649"/>
      <c r="BC335" s="649"/>
      <c r="BD335" s="672"/>
      <c r="BE335" s="450" t="s">
        <v>141</v>
      </c>
    </row>
    <row r="336" spans="1:57" s="457" customFormat="1" ht="31.5" x14ac:dyDescent="0.25">
      <c r="A336" s="694" t="str">
        <f ca="1">Bérköltség!$B336</f>
        <v>FEOR</v>
      </c>
      <c r="B336" s="694" t="str">
        <f ca="1">IFERROR(
IF(AND(Bérköltség!$F336="",H336="NA"),"HIÁNYOS ADATOK",
IF(Bérköltség!$F336&lt;Bérköltség!$U336,Admin!$B$18,Admin!$B$17)),
"")</f>
        <v>FEOR</v>
      </c>
      <c r="C336" s="437">
        <f>IFERROR(INDEX('Historikus berek_2021-2'!$A$1:$F$903,MATCH(AB336,'Historikus berek_2021-2'!$A$1:$A$903,0),4),"")</f>
        <v>651000</v>
      </c>
      <c r="D336" s="438">
        <f t="shared" si="802"/>
        <v>591137.93103448278</v>
      </c>
      <c r="E336" s="437">
        <f t="shared" si="803"/>
        <v>1255010</v>
      </c>
      <c r="F336" s="439">
        <f t="shared" si="804"/>
        <v>750175.43793103436</v>
      </c>
      <c r="G336" s="440">
        <f t="shared" si="805"/>
        <v>667985.86206896545</v>
      </c>
      <c r="H336" s="441">
        <f>IFERROR(INDEX('FEOR kodok'!$A$2:$J$1126,MATCH(Bérköltség!AB336,'FEOR kodok'!$B$2:$B$1126,0),8),"NA")</f>
        <v>2410</v>
      </c>
      <c r="I336" s="436">
        <f ca="1">IFERROR(INDEX('FEOR kodok'!$A$2:$J$1126,MATCH(Bérköltség!AB336,'FEOR kodok'!$B$2:$B$1126,0),10),"NA")</f>
        <v>68</v>
      </c>
      <c r="J336" s="442" t="str">
        <f t="shared" ca="1" si="806"/>
        <v>50 év és afelett</v>
      </c>
      <c r="K336" s="436" t="str">
        <f>IFERROR(INDEX(admin_feor[#All],MATCH(Bérköltség!H336,admin_feor[[#All],[Foglalkozás]],0),2),"NA")</f>
        <v>Egyetemi, főiskolai oktató, tanár</v>
      </c>
      <c r="L336" s="438">
        <f ca="1">IFERROR(
INDEX('Admin - FEOR'!$A$4:$F$465,MATCH(Bérköltség!H336,'Admin - FEOR'!$A$4:$A$465,0),
IF(J336="30 év alatt",3,
IF(J336="30–39 éves",4,
IF(J336="40–49 éves",5,
IF(J336="50 év és afelett",6
)))))*1,"NA")</f>
        <v>676379</v>
      </c>
      <c r="M336" s="438">
        <f t="shared" si="807"/>
        <v>1382100</v>
      </c>
      <c r="N336" s="443">
        <f t="shared" ca="1" si="808"/>
        <v>2.0433810038454774</v>
      </c>
      <c r="O336" s="438">
        <f ca="1">IFERROR(
INDEX('Admin - FEOR'!$A$4:$F$465,MATCH(Bérköltség!H336,'Admin - FEOR'!$A$4:$A$465,0),
IF(J336="30 év alatt",3,
IF(J336="30–39 éves",4,
IF(J336="40–49 éves",5,
IF(J336="50 év és afelett",6
)))))*1.5,"NA")</f>
        <v>1014568.5</v>
      </c>
      <c r="P336" s="438">
        <f t="shared" ca="1" si="809"/>
        <v>921274.8448275862</v>
      </c>
      <c r="Q336" s="438">
        <f t="shared" si="810"/>
        <v>1255010</v>
      </c>
      <c r="R336" s="444">
        <f t="shared" si="811"/>
        <v>0.90804597701149425</v>
      </c>
      <c r="S336" s="438">
        <f t="shared" ca="1" si="812"/>
        <v>333735.1551724138</v>
      </c>
      <c r="T336" s="438">
        <f t="shared" ca="1" si="813"/>
        <v>43385.570172413798</v>
      </c>
      <c r="U336" s="445">
        <f t="shared" ca="1" si="814"/>
        <v>377120.72534482757</v>
      </c>
      <c r="V336" s="446">
        <f t="shared" ca="1" si="815"/>
        <v>1041040.2746551724</v>
      </c>
      <c r="W336" s="447" t="str">
        <f t="shared" ca="1" si="816"/>
        <v>Indoklás szükséges mivel a FEOR: 204,3%</v>
      </c>
      <c r="X336" s="571">
        <f t="shared" ca="1" si="817"/>
        <v>377120.72534482757</v>
      </c>
      <c r="Y336" s="554">
        <f t="shared" ca="1" si="818"/>
        <v>921275</v>
      </c>
      <c r="Z336" s="554">
        <f t="shared" ca="1" si="819"/>
        <v>119765</v>
      </c>
      <c r="AA336" s="101"/>
      <c r="AB336" s="448">
        <v>8324144846</v>
      </c>
      <c r="AC336" s="449" t="s">
        <v>140</v>
      </c>
      <c r="AD336" s="483" t="s">
        <v>45</v>
      </c>
      <c r="AE336" s="450" t="s">
        <v>155</v>
      </c>
      <c r="AF336" s="99" t="s">
        <v>121</v>
      </c>
      <c r="AG336" s="99" t="s">
        <v>128</v>
      </c>
      <c r="AH336" s="451" t="s">
        <v>131</v>
      </c>
      <c r="AI336" s="154">
        <v>45139</v>
      </c>
      <c r="AJ336" s="100" t="str">
        <f>IF(AI336&gt;0,
(IF(AI336&lt;Hónapok!$A$10,Admin!$A$28,
(IF(AI336&lt;Hónapok!$A$22,Admin!$B$28,
(IF(AI336&lt;Hónapok!$A$34,Admin!$C$28,
(IF(AI336&lt;Hónapok!$A$46,Admin!$D$28,"")))))))),"")</f>
        <v>3. mérföldkő</v>
      </c>
      <c r="AK336" s="469" t="s">
        <v>7</v>
      </c>
      <c r="AL336" s="101" t="s">
        <v>26</v>
      </c>
      <c r="AM336" s="900">
        <v>1382100</v>
      </c>
      <c r="AN336" s="860">
        <f t="shared" si="820"/>
        <v>179673</v>
      </c>
      <c r="AO336" s="101">
        <v>174</v>
      </c>
      <c r="AP336" s="111">
        <v>158</v>
      </c>
      <c r="AQ336" s="454">
        <f t="shared" si="821"/>
        <v>0.90804597701149425</v>
      </c>
      <c r="AR336" s="455">
        <f t="shared" si="822"/>
        <v>1255010</v>
      </c>
      <c r="AS336" s="455">
        <f t="shared" si="823"/>
        <v>163151</v>
      </c>
      <c r="AT336" s="102">
        <f t="shared" si="824"/>
        <v>2.4949539556562428E-7</v>
      </c>
      <c r="AU336" s="116">
        <v>0.13</v>
      </c>
      <c r="AV336" s="565" t="str">
        <f>VLOOKUP(LEFT(AB336,10),Törzsszám!$A$1:$B$908,2,0)</f>
        <v>10000223</v>
      </c>
      <c r="AW336" s="681">
        <f t="shared" ca="1" si="825"/>
        <v>-377121</v>
      </c>
      <c r="AX336" s="471" t="s">
        <v>4613</v>
      </c>
      <c r="AY336" s="486"/>
      <c r="AZ336" s="502"/>
      <c r="BA336" s="671"/>
      <c r="BB336" s="649"/>
      <c r="BC336" s="649"/>
      <c r="BD336" s="672"/>
      <c r="BE336" s="450" t="s">
        <v>141</v>
      </c>
    </row>
    <row r="337" spans="1:57" s="457" customFormat="1" ht="31.5" x14ac:dyDescent="0.25">
      <c r="A337" s="694" t="str">
        <f ca="1">Bérköltség!$B337</f>
        <v>FEOR</v>
      </c>
      <c r="B337" s="694" t="str">
        <f ca="1">IFERROR(
IF(AND(Bérköltség!$F337="",H337="NA"),"HIÁNYOS ADATOK",
IF(Bérköltség!$F337&lt;Bérköltség!$U337,Admin!$B$18,Admin!$B$17)),
"")</f>
        <v>FEOR</v>
      </c>
      <c r="C337" s="437">
        <f>IFERROR(INDEX('Historikus berek_2021-2'!$A$1:$F$903,MATCH(AB337,'Historikus berek_2021-2'!$A$1:$A$903,0),4),"")</f>
        <v>651000</v>
      </c>
      <c r="D337" s="438">
        <f t="shared" si="802"/>
        <v>591137.93103448278</v>
      </c>
      <c r="E337" s="437">
        <f t="shared" si="803"/>
        <v>1255010</v>
      </c>
      <c r="F337" s="439">
        <f t="shared" si="804"/>
        <v>750175.43793103436</v>
      </c>
      <c r="G337" s="440">
        <f t="shared" si="805"/>
        <v>667985.86206896545</v>
      </c>
      <c r="H337" s="441">
        <f>IFERROR(INDEX('FEOR kodok'!$A$2:$J$1126,MATCH(Bérköltség!AB337,'FEOR kodok'!$B$2:$B$1126,0),8),"NA")</f>
        <v>2410</v>
      </c>
      <c r="I337" s="436">
        <f ca="1">IFERROR(INDEX('FEOR kodok'!$A$2:$J$1126,MATCH(Bérköltség!AB337,'FEOR kodok'!$B$2:$B$1126,0),10),"NA")</f>
        <v>68</v>
      </c>
      <c r="J337" s="442" t="str">
        <f t="shared" ca="1" si="806"/>
        <v>50 év és afelett</v>
      </c>
      <c r="K337" s="436" t="str">
        <f>IFERROR(INDEX(admin_feor[#All],MATCH(Bérköltség!H337,admin_feor[[#All],[Foglalkozás]],0),2),"NA")</f>
        <v>Egyetemi, főiskolai oktató, tanár</v>
      </c>
      <c r="L337" s="438">
        <f ca="1">IFERROR(
INDEX('Admin - FEOR'!$A$4:$F$465,MATCH(Bérköltség!H337,'Admin - FEOR'!$A$4:$A$465,0),
IF(J337="30 év alatt",3,
IF(J337="30–39 éves",4,
IF(J337="40–49 éves",5,
IF(J337="50 év és afelett",6
)))))*1,"NA")</f>
        <v>676379</v>
      </c>
      <c r="M337" s="438">
        <f t="shared" si="807"/>
        <v>1382100</v>
      </c>
      <c r="N337" s="443">
        <f t="shared" ca="1" si="808"/>
        <v>2.0433810038454774</v>
      </c>
      <c r="O337" s="438">
        <f ca="1">IFERROR(
INDEX('Admin - FEOR'!$A$4:$F$465,MATCH(Bérköltség!H337,'Admin - FEOR'!$A$4:$A$465,0),
IF(J337="30 év alatt",3,
IF(J337="30–39 éves",4,
IF(J337="40–49 éves",5,
IF(J337="50 év és afelett",6
)))))*1.5,"NA")</f>
        <v>1014568.5</v>
      </c>
      <c r="P337" s="438">
        <f t="shared" ca="1" si="809"/>
        <v>921274.8448275862</v>
      </c>
      <c r="Q337" s="438">
        <f t="shared" si="810"/>
        <v>1255010</v>
      </c>
      <c r="R337" s="444">
        <f t="shared" si="811"/>
        <v>0.90804597701149425</v>
      </c>
      <c r="S337" s="438">
        <f t="shared" ca="1" si="812"/>
        <v>333735.1551724138</v>
      </c>
      <c r="T337" s="438">
        <f t="shared" ca="1" si="813"/>
        <v>43385.570172413798</v>
      </c>
      <c r="U337" s="445">
        <f t="shared" ca="1" si="814"/>
        <v>377120.72534482757</v>
      </c>
      <c r="V337" s="446">
        <f t="shared" ca="1" si="815"/>
        <v>1041040.2746551724</v>
      </c>
      <c r="W337" s="447" t="str">
        <f t="shared" ca="1" si="816"/>
        <v>Indoklás szükséges mivel a FEOR: 204,3%</v>
      </c>
      <c r="X337" s="914">
        <f t="shared" ca="1" si="817"/>
        <v>377120.72534482757</v>
      </c>
      <c r="Y337" s="554">
        <f t="shared" ca="1" si="818"/>
        <v>921275</v>
      </c>
      <c r="Z337" s="554">
        <f t="shared" ca="1" si="819"/>
        <v>119765</v>
      </c>
      <c r="AA337" s="101"/>
      <c r="AB337" s="448">
        <v>8324144846</v>
      </c>
      <c r="AC337" s="449" t="s">
        <v>140</v>
      </c>
      <c r="AD337" s="482" t="s">
        <v>45</v>
      </c>
      <c r="AE337" s="450" t="s">
        <v>155</v>
      </c>
      <c r="AF337" s="99" t="s">
        <v>121</v>
      </c>
      <c r="AG337" s="99" t="s">
        <v>128</v>
      </c>
      <c r="AH337" s="451" t="s">
        <v>131</v>
      </c>
      <c r="AI337" s="154">
        <v>45170</v>
      </c>
      <c r="AJ337" s="100" t="str">
        <f>IF(AI337&gt;0,
(IF(AI337&lt;Hónapok!$A$10,Admin!$A$28,
(IF(AI337&lt;Hónapok!$A$22,Admin!$B$28,
(IF(AI337&lt;Hónapok!$A$34,Admin!$C$28,
(IF(AI337&lt;Hónapok!$A$46,Admin!$D$28,"")))))))),"")</f>
        <v>3. mérföldkő</v>
      </c>
      <c r="AK337" s="469" t="s">
        <v>7</v>
      </c>
      <c r="AL337" s="101" t="s">
        <v>26</v>
      </c>
      <c r="AM337" s="900">
        <v>1382100</v>
      </c>
      <c r="AN337" s="860">
        <f t="shared" si="820"/>
        <v>179673</v>
      </c>
      <c r="AO337" s="101">
        <v>174</v>
      </c>
      <c r="AP337" s="111">
        <v>158</v>
      </c>
      <c r="AQ337" s="454">
        <f t="shared" si="821"/>
        <v>0.90804597701149425</v>
      </c>
      <c r="AR337" s="455">
        <f t="shared" si="822"/>
        <v>1255010</v>
      </c>
      <c r="AS337" s="455">
        <f t="shared" si="823"/>
        <v>163151</v>
      </c>
      <c r="AT337" s="102">
        <f t="shared" si="824"/>
        <v>2.4949539556562428E-7</v>
      </c>
      <c r="AU337" s="116">
        <v>0.13</v>
      </c>
      <c r="AV337" s="565" t="str">
        <f>VLOOKUP(LEFT(AB337,10),Törzsszám!$A$1:$B$908,2,0)</f>
        <v>10000223</v>
      </c>
      <c r="AW337" s="681">
        <f t="shared" ca="1" si="825"/>
        <v>-377121</v>
      </c>
      <c r="AX337" s="471" t="s">
        <v>4618</v>
      </c>
      <c r="AY337" s="486"/>
      <c r="AZ337" s="502"/>
      <c r="BA337" s="671"/>
      <c r="BB337" s="649"/>
      <c r="BC337" s="649"/>
      <c r="BD337" s="672"/>
      <c r="BE337" s="450" t="s">
        <v>141</v>
      </c>
    </row>
    <row r="338" spans="1:57" s="457" customFormat="1" ht="31.5" x14ac:dyDescent="0.25">
      <c r="A338" s="694" t="str">
        <f ca="1">Bérköltség!$B338</f>
        <v>FEOR</v>
      </c>
      <c r="B338" s="694" t="str">
        <f ca="1">IFERROR(
IF(AND(Bérköltség!$F338="",H338="NA"),"HIÁNYOS ADATOK",
IF(Bérköltség!$F338&lt;Bérköltség!$U338,Admin!$B$18,Admin!$B$17)),
"")</f>
        <v>FEOR</v>
      </c>
      <c r="C338" s="437">
        <f>IFERROR(INDEX('Historikus berek_2021-2'!$A$1:$F$903,MATCH(AB338,'Historikus berek_2021-2'!$A$1:$A$903,0),4),"")</f>
        <v>651000</v>
      </c>
      <c r="D338" s="438">
        <f t="shared" si="802"/>
        <v>591137.93103448278</v>
      </c>
      <c r="E338" s="437">
        <f t="shared" si="803"/>
        <v>1255010</v>
      </c>
      <c r="F338" s="439">
        <f t="shared" si="804"/>
        <v>750175.43793103436</v>
      </c>
      <c r="G338" s="440">
        <f t="shared" si="805"/>
        <v>667985.86206896545</v>
      </c>
      <c r="H338" s="441">
        <f>IFERROR(INDEX('FEOR kodok'!$A$2:$J$1126,MATCH(Bérköltség!AB338,'FEOR kodok'!$B$2:$B$1126,0),8),"NA")</f>
        <v>2410</v>
      </c>
      <c r="I338" s="436">
        <f ca="1">IFERROR(INDEX('FEOR kodok'!$A$2:$J$1126,MATCH(Bérköltség!AB338,'FEOR kodok'!$B$2:$B$1126,0),10),"NA")</f>
        <v>68</v>
      </c>
      <c r="J338" s="442" t="str">
        <f t="shared" ca="1" si="806"/>
        <v>50 év és afelett</v>
      </c>
      <c r="K338" s="436" t="str">
        <f>IFERROR(INDEX(admin_feor[#All],MATCH(Bérköltség!H338,admin_feor[[#All],[Foglalkozás]],0),2),"NA")</f>
        <v>Egyetemi, főiskolai oktató, tanár</v>
      </c>
      <c r="L338" s="438">
        <f ca="1">IFERROR(
INDEX('Admin - FEOR'!$A$4:$F$465,MATCH(Bérköltség!H338,'Admin - FEOR'!$A$4:$A$465,0),
IF(J338="30 év alatt",3,
IF(J338="30–39 éves",4,
IF(J338="40–49 éves",5,
IF(J338="50 év és afelett",6
)))))*1,"NA")</f>
        <v>676379</v>
      </c>
      <c r="M338" s="438">
        <f t="shared" si="807"/>
        <v>1382100</v>
      </c>
      <c r="N338" s="443">
        <f t="shared" ca="1" si="808"/>
        <v>2.0433810038454774</v>
      </c>
      <c r="O338" s="438">
        <f ca="1">IFERROR(
INDEX('Admin - FEOR'!$A$4:$F$465,MATCH(Bérköltség!H338,'Admin - FEOR'!$A$4:$A$465,0),
IF(J338="30 év alatt",3,
IF(J338="30–39 éves",4,
IF(J338="40–49 éves",5,
IF(J338="50 év és afelett",6
)))))*1.5,"NA")</f>
        <v>1014568.5</v>
      </c>
      <c r="P338" s="438">
        <f t="shared" ca="1" si="809"/>
        <v>921274.8448275862</v>
      </c>
      <c r="Q338" s="438">
        <f t="shared" si="810"/>
        <v>1255010</v>
      </c>
      <c r="R338" s="444">
        <f t="shared" si="811"/>
        <v>0.90804597701149425</v>
      </c>
      <c r="S338" s="438">
        <f t="shared" ca="1" si="812"/>
        <v>333735.1551724138</v>
      </c>
      <c r="T338" s="438">
        <f t="shared" ca="1" si="813"/>
        <v>43385.570172413798</v>
      </c>
      <c r="U338" s="445">
        <f t="shared" ca="1" si="814"/>
        <v>377120.72534482757</v>
      </c>
      <c r="V338" s="446">
        <f t="shared" ca="1" si="815"/>
        <v>1041040.2746551724</v>
      </c>
      <c r="W338" s="447" t="str">
        <f t="shared" ca="1" si="816"/>
        <v>Indoklás szükséges mivel a FEOR: 204,3%</v>
      </c>
      <c r="X338" s="571">
        <f t="shared" ca="1" si="817"/>
        <v>377120.72534482757</v>
      </c>
      <c r="Y338" s="554">
        <f t="shared" ca="1" si="818"/>
        <v>921275</v>
      </c>
      <c r="Z338" s="554">
        <f t="shared" ca="1" si="819"/>
        <v>119765</v>
      </c>
      <c r="AA338" s="101"/>
      <c r="AB338" s="448">
        <v>8324144846</v>
      </c>
      <c r="AC338" s="449" t="s">
        <v>140</v>
      </c>
      <c r="AD338" s="483" t="s">
        <v>45</v>
      </c>
      <c r="AE338" s="450" t="s">
        <v>155</v>
      </c>
      <c r="AF338" s="99" t="s">
        <v>121</v>
      </c>
      <c r="AG338" s="99" t="s">
        <v>128</v>
      </c>
      <c r="AH338" s="451" t="s">
        <v>131</v>
      </c>
      <c r="AI338" s="154">
        <v>45200</v>
      </c>
      <c r="AJ338" s="100" t="str">
        <f>IF(AI338&gt;0,
(IF(AI338&lt;Hónapok!$A$10,Admin!$A$28,
(IF(AI338&lt;Hónapok!$A$22,Admin!$B$28,
(IF(AI338&lt;Hónapok!$A$34,Admin!$C$28,
(IF(AI338&lt;Hónapok!$A$46,Admin!$D$28,"")))))))),"")</f>
        <v>3. mérföldkő</v>
      </c>
      <c r="AK338" s="469" t="s">
        <v>8</v>
      </c>
      <c r="AL338" s="101" t="s">
        <v>26</v>
      </c>
      <c r="AM338" s="900">
        <v>1382100</v>
      </c>
      <c r="AN338" s="860">
        <f t="shared" si="820"/>
        <v>179673</v>
      </c>
      <c r="AO338" s="101">
        <v>174</v>
      </c>
      <c r="AP338" s="111">
        <v>158</v>
      </c>
      <c r="AQ338" s="454">
        <f t="shared" si="821"/>
        <v>0.90804597701149425</v>
      </c>
      <c r="AR338" s="455">
        <f t="shared" si="822"/>
        <v>1255010</v>
      </c>
      <c r="AS338" s="455">
        <f t="shared" si="823"/>
        <v>163151</v>
      </c>
      <c r="AT338" s="102">
        <f t="shared" si="824"/>
        <v>2.4949539556562428E-7</v>
      </c>
      <c r="AU338" s="116">
        <v>0.13</v>
      </c>
      <c r="AV338" s="565" t="str">
        <f>VLOOKUP(LEFT(AB338,10),Törzsszám!$A$1:$B$908,2,0)</f>
        <v>10000223</v>
      </c>
      <c r="AW338" s="681">
        <f t="shared" ca="1" si="825"/>
        <v>-377121</v>
      </c>
      <c r="AX338" s="473"/>
      <c r="AY338" s="486"/>
      <c r="AZ338" s="502"/>
      <c r="BA338" s="671"/>
      <c r="BB338" s="649"/>
      <c r="BC338" s="649"/>
      <c r="BD338" s="672"/>
      <c r="BE338" s="450" t="s">
        <v>141</v>
      </c>
    </row>
    <row r="339" spans="1:57" s="457" customFormat="1" ht="31.5" x14ac:dyDescent="0.25">
      <c r="A339" s="694" t="str">
        <f ca="1">Bérköltség!$B339</f>
        <v>FEOR</v>
      </c>
      <c r="B339" s="694" t="str">
        <f ca="1">IFERROR(
IF(AND(Bérköltség!$F339="",H339="NA"),"HIÁNYOS ADATOK",
IF(Bérköltség!$F339&lt;Bérköltség!$U339,Admin!$B$18,Admin!$B$17)),
"")</f>
        <v>FEOR</v>
      </c>
      <c r="C339" s="437">
        <f>IFERROR(INDEX('Historikus berek_2021-2'!$A$1:$F$903,MATCH(AB339,'Historikus berek_2021-2'!$A$1:$A$903,0),4),"")</f>
        <v>651000</v>
      </c>
      <c r="D339" s="438">
        <f t="shared" si="802"/>
        <v>591137.93103448278</v>
      </c>
      <c r="E339" s="437">
        <f t="shared" si="803"/>
        <v>1255010</v>
      </c>
      <c r="F339" s="439">
        <f t="shared" si="804"/>
        <v>750175.43793103436</v>
      </c>
      <c r="G339" s="440">
        <f t="shared" si="805"/>
        <v>667985.86206896545</v>
      </c>
      <c r="H339" s="441">
        <f>IFERROR(INDEX('FEOR kodok'!$A$2:$J$1126,MATCH(Bérköltség!AB339,'FEOR kodok'!$B$2:$B$1126,0),8),"NA")</f>
        <v>2410</v>
      </c>
      <c r="I339" s="436">
        <f ca="1">IFERROR(INDEX('FEOR kodok'!$A$2:$J$1126,MATCH(Bérköltség!AB339,'FEOR kodok'!$B$2:$B$1126,0),10),"NA")</f>
        <v>68</v>
      </c>
      <c r="J339" s="442" t="str">
        <f t="shared" ca="1" si="806"/>
        <v>50 év és afelett</v>
      </c>
      <c r="K339" s="436" t="str">
        <f>IFERROR(INDEX(admin_feor[#All],MATCH(Bérköltség!H339,admin_feor[[#All],[Foglalkozás]],0),2),"NA")</f>
        <v>Egyetemi, főiskolai oktató, tanár</v>
      </c>
      <c r="L339" s="438">
        <f ca="1">IFERROR(
INDEX('Admin - FEOR'!$A$4:$F$465,MATCH(Bérköltség!H339,'Admin - FEOR'!$A$4:$A$465,0),
IF(J339="30 év alatt",3,
IF(J339="30–39 éves",4,
IF(J339="40–49 éves",5,
IF(J339="50 év és afelett",6
)))))*1,"NA")</f>
        <v>676379</v>
      </c>
      <c r="M339" s="438">
        <f t="shared" si="807"/>
        <v>1382100</v>
      </c>
      <c r="N339" s="443">
        <f t="shared" ca="1" si="808"/>
        <v>2.0433810038454774</v>
      </c>
      <c r="O339" s="438">
        <f ca="1">IFERROR(
INDEX('Admin - FEOR'!$A$4:$F$465,MATCH(Bérköltség!H339,'Admin - FEOR'!$A$4:$A$465,0),
IF(J339="30 év alatt",3,
IF(J339="30–39 éves",4,
IF(J339="40–49 éves",5,
IF(J339="50 év és afelett",6
)))))*1.5,"NA")</f>
        <v>1014568.5</v>
      </c>
      <c r="P339" s="438">
        <f t="shared" ca="1" si="809"/>
        <v>921274.8448275862</v>
      </c>
      <c r="Q339" s="438">
        <f t="shared" si="810"/>
        <v>1255010</v>
      </c>
      <c r="R339" s="444">
        <f t="shared" si="811"/>
        <v>0.90804597701149425</v>
      </c>
      <c r="S339" s="438">
        <f t="shared" ca="1" si="812"/>
        <v>333735.1551724138</v>
      </c>
      <c r="T339" s="438">
        <f t="shared" ca="1" si="813"/>
        <v>43385.570172413798</v>
      </c>
      <c r="U339" s="445">
        <f t="shared" ca="1" si="814"/>
        <v>377120.72534482757</v>
      </c>
      <c r="V339" s="446">
        <f t="shared" ca="1" si="815"/>
        <v>1041040.2746551724</v>
      </c>
      <c r="W339" s="447" t="str">
        <f t="shared" ca="1" si="816"/>
        <v>Indoklás szükséges mivel a FEOR: 204,3%</v>
      </c>
      <c r="X339" s="571">
        <f t="shared" ca="1" si="817"/>
        <v>377120.72534482757</v>
      </c>
      <c r="Y339" s="554">
        <f t="shared" ca="1" si="818"/>
        <v>921275</v>
      </c>
      <c r="Z339" s="554">
        <f t="shared" ca="1" si="819"/>
        <v>119765</v>
      </c>
      <c r="AA339" s="101"/>
      <c r="AB339" s="448">
        <v>8324144846</v>
      </c>
      <c r="AC339" s="449" t="s">
        <v>140</v>
      </c>
      <c r="AD339" s="483" t="s">
        <v>45</v>
      </c>
      <c r="AE339" s="450" t="s">
        <v>155</v>
      </c>
      <c r="AF339" s="99" t="s">
        <v>121</v>
      </c>
      <c r="AG339" s="99" t="s">
        <v>128</v>
      </c>
      <c r="AH339" s="451" t="s">
        <v>131</v>
      </c>
      <c r="AI339" s="154">
        <v>45231</v>
      </c>
      <c r="AJ339" s="100" t="str">
        <f>IF(AI339&gt;0,
(IF(AI339&lt;Hónapok!$A$10,Admin!$A$28,
(IF(AI339&lt;Hónapok!$A$22,Admin!$B$28,
(IF(AI339&lt;Hónapok!$A$34,Admin!$C$28,
(IF(AI339&lt;Hónapok!$A$46,Admin!$D$28,"")))))))),"")</f>
        <v>3. mérföldkő</v>
      </c>
      <c r="AK339" s="469" t="s">
        <v>8</v>
      </c>
      <c r="AL339" s="101" t="s">
        <v>26</v>
      </c>
      <c r="AM339" s="900">
        <v>1382100</v>
      </c>
      <c r="AN339" s="860">
        <f t="shared" si="820"/>
        <v>179673</v>
      </c>
      <c r="AO339" s="101">
        <v>174</v>
      </c>
      <c r="AP339" s="111">
        <v>158</v>
      </c>
      <c r="AQ339" s="454">
        <f t="shared" si="821"/>
        <v>0.90804597701149425</v>
      </c>
      <c r="AR339" s="455">
        <f t="shared" si="822"/>
        <v>1255010</v>
      </c>
      <c r="AS339" s="455">
        <f t="shared" si="823"/>
        <v>163151</v>
      </c>
      <c r="AT339" s="102">
        <f t="shared" si="824"/>
        <v>2.4949539556562428E-7</v>
      </c>
      <c r="AU339" s="116">
        <v>0.13</v>
      </c>
      <c r="AV339" s="565" t="str">
        <f>VLOOKUP(LEFT(AB339,10),Törzsszám!$A$1:$B$908,2,0)</f>
        <v>10000223</v>
      </c>
      <c r="AW339" s="681">
        <f t="shared" ca="1" si="825"/>
        <v>-377121</v>
      </c>
      <c r="AX339" s="473"/>
      <c r="AY339" s="486"/>
      <c r="AZ339" s="502"/>
      <c r="BA339" s="671"/>
      <c r="BB339" s="649"/>
      <c r="BC339" s="649"/>
      <c r="BD339" s="672"/>
      <c r="BE339" s="450" t="s">
        <v>141</v>
      </c>
    </row>
    <row r="340" spans="1:57" s="457" customFormat="1" ht="47.25" x14ac:dyDescent="0.25">
      <c r="A340" s="694" t="str">
        <f ca="1">Bérköltség!$B340</f>
        <v>FEOR</v>
      </c>
      <c r="B340" s="694" t="str">
        <f ca="1">IFERROR(
IF(AND(Bérköltség!$F340="",H340="NA"),"HIÁNYOS ADATOK",
IF(Bérköltség!$F340&lt;Bérköltség!$U340,Admin!$B$18,Admin!$B$17)),
"")</f>
        <v>FEOR</v>
      </c>
      <c r="C340" s="437" t="str">
        <f>IFERROR(INDEX('Historikus berek_2021-2'!$A$1:$F$903,MATCH(AB340,'Historikus berek_2021-2'!$A$1:$A$903,0),4),"")</f>
        <v/>
      </c>
      <c r="D340" s="438" t="str">
        <f t="shared" si="784"/>
        <v>NA</v>
      </c>
      <c r="E340" s="437">
        <f t="shared" si="785"/>
        <v>250431</v>
      </c>
      <c r="F340" s="439" t="str">
        <f t="shared" ref="F340" si="826">IFERROR(IF((E340*(1+AU340)-D340*(1+AU340))&lt;0,0,(E340*(1+AU340)-D340*(1+AU340))),"")</f>
        <v/>
      </c>
      <c r="G340" s="440" t="str">
        <f t="shared" ref="G340" si="827">IFERROR((E340*(1+AU340)-F340),"")</f>
        <v/>
      </c>
      <c r="H340" s="441">
        <f>IFERROR(INDEX('FEOR kodok'!$A$2:$J$1126,MATCH(Bérköltség!AB340,'FEOR kodok'!$B$2:$B$1126,0),8),"NA")</f>
        <v>3910</v>
      </c>
      <c r="I340" s="436">
        <f ca="1">IFERROR(INDEX('FEOR kodok'!$A$2:$J$1126,MATCH(Bérköltség!AB340,'FEOR kodok'!$B$2:$B$1126,0),10),"NA")</f>
        <v>34</v>
      </c>
      <c r="J340" s="442" t="str">
        <f t="shared" ca="1" si="788"/>
        <v>30–39 éves</v>
      </c>
      <c r="K340" s="436" t="str">
        <f>IFERROR(INDEX(admin_feor[#All],MATCH(Bérköltség!H340,admin_feor[[#All],[Foglalkozás]],0),2),"NA")</f>
        <v>Egyéb ügyintéző</v>
      </c>
      <c r="L340" s="438">
        <f ca="1">IFERROR(
INDEX('Admin - FEOR'!$A$4:$F$465,MATCH(Bérköltség!H340,'Admin - FEOR'!$A$4:$A$465,0),
IF(J340="30 év alatt",3,
IF(J340="30–39 éves",4,
IF(J340="40–49 éves",5,
IF(J340="50 év és afelett",6
)))))*1,"NA")</f>
        <v>408171</v>
      </c>
      <c r="M340" s="438">
        <f t="shared" si="789"/>
        <v>525000</v>
      </c>
      <c r="N340" s="443">
        <f t="shared" ca="1" si="790"/>
        <v>1.2862256260243869</v>
      </c>
      <c r="O340" s="438">
        <f ca="1">IFERROR(
INDEX('Admin - FEOR'!$A$4:$F$465,MATCH(Bérköltség!H340,'Admin - FEOR'!$A$4:$A$465,0),
IF(J340="30 év alatt",3,
IF(J340="30–39 éves",4,
IF(J340="40–49 éves",5,
IF(J340="50 év és afelett",6
)))))*1.5,"NA")</f>
        <v>612256.5</v>
      </c>
      <c r="P340" s="438">
        <f t="shared" ca="1" si="791"/>
        <v>292053.38793103449</v>
      </c>
      <c r="Q340" s="438">
        <f t="shared" si="792"/>
        <v>250431</v>
      </c>
      <c r="R340" s="444">
        <f t="shared" si="793"/>
        <v>0.47701149425287354</v>
      </c>
      <c r="S340" s="438">
        <f t="shared" ca="1" si="794"/>
        <v>0</v>
      </c>
      <c r="T340" s="438">
        <f t="shared" ca="1" si="795"/>
        <v>0</v>
      </c>
      <c r="U340" s="445">
        <f t="shared" ca="1" si="796"/>
        <v>0</v>
      </c>
      <c r="V340" s="446">
        <f t="shared" ca="1" si="797"/>
        <v>270585</v>
      </c>
      <c r="W340" s="447" t="str">
        <f t="shared" ca="1" si="798"/>
        <v>Indoklás szükséges mivel a FEOR: 128,6%</v>
      </c>
      <c r="X340" s="571">
        <f t="shared" ca="1" si="799"/>
        <v>0</v>
      </c>
      <c r="Y340" s="554">
        <f t="shared" ca="1" si="800"/>
        <v>250431</v>
      </c>
      <c r="Z340" s="556">
        <f t="shared" ca="1" si="801"/>
        <v>20154</v>
      </c>
      <c r="AA340" s="573" t="s">
        <v>4551</v>
      </c>
      <c r="AB340" s="448">
        <v>8448150856</v>
      </c>
      <c r="AC340" s="449" t="s">
        <v>167</v>
      </c>
      <c r="AD340" s="113" t="s">
        <v>46</v>
      </c>
      <c r="AE340" s="450" t="s">
        <v>168</v>
      </c>
      <c r="AF340" s="99" t="s">
        <v>125</v>
      </c>
      <c r="AG340" s="99" t="s">
        <v>153</v>
      </c>
      <c r="AH340" s="451" t="s">
        <v>97</v>
      </c>
      <c r="AI340" s="154">
        <v>44743</v>
      </c>
      <c r="AJ340" s="100" t="str">
        <f>IF(AI340&gt;0,
(IF(AI340&lt;Hónapok!$A$10,Admin!$A$28,
(IF(AI340&lt;Hónapok!$A$22,Admin!$B$28,
(IF(AI340&lt;Hónapok!$A$34,Admin!$C$28,
(IF(AI340&lt;Hónapok!$A$46,Admin!$D$28,"")))))))),"")</f>
        <v>2. mérföldkő</v>
      </c>
      <c r="AK340" s="469" t="s">
        <v>7</v>
      </c>
      <c r="AL340" s="101" t="s">
        <v>26</v>
      </c>
      <c r="AM340" s="900">
        <v>525000</v>
      </c>
      <c r="AN340" s="863">
        <v>42250</v>
      </c>
      <c r="AO340" s="101">
        <v>174</v>
      </c>
      <c r="AP340" s="111">
        <v>83</v>
      </c>
      <c r="AQ340" s="454">
        <f t="shared" si="779"/>
        <v>0.47701149425287354</v>
      </c>
      <c r="AR340" s="455">
        <f t="shared" si="780"/>
        <v>250431</v>
      </c>
      <c r="AS340" s="528">
        <f t="shared" si="781"/>
        <v>20154</v>
      </c>
      <c r="AT340" s="102">
        <f t="shared" si="782"/>
        <v>6.5681444949561296E-8</v>
      </c>
      <c r="AU340" s="529">
        <f>AN340/AM340</f>
        <v>8.0476190476190479E-2</v>
      </c>
      <c r="AV340" s="565" t="str">
        <f>VLOOKUP(LEFT(AB340,10),Törzsszám!$A$1:$B$908,2,0)</f>
        <v>10002076</v>
      </c>
      <c r="AW340" s="615">
        <f t="shared" ca="1" si="783"/>
        <v>0</v>
      </c>
      <c r="AX340" s="471" t="s">
        <v>209</v>
      </c>
      <c r="AY340" s="486" t="s">
        <v>213</v>
      </c>
      <c r="AZ340" s="502"/>
      <c r="BA340" s="671">
        <v>250431</v>
      </c>
      <c r="BB340" s="649">
        <v>20154</v>
      </c>
      <c r="BC340" s="649">
        <f t="shared" ref="BC340:BD346" ca="1" si="828">Y340-BA340</f>
        <v>0</v>
      </c>
      <c r="BD340" s="672">
        <f t="shared" ca="1" si="828"/>
        <v>0</v>
      </c>
      <c r="BE340" s="450" t="s">
        <v>154</v>
      </c>
    </row>
    <row r="341" spans="1:57" s="457" customFormat="1" ht="47.25" x14ac:dyDescent="0.25">
      <c r="A341" s="694" t="str">
        <f ca="1">Bérköltség!$B341</f>
        <v>FEOR</v>
      </c>
      <c r="B341" s="694" t="str">
        <f ca="1">IFERROR(
IF(AND(Bérköltség!$F341="",H341="NA"),"HIÁNYOS ADATOK",
IF(Bérköltség!$F341&lt;Bérköltség!$U341,Admin!$B$18,Admin!$B$17)),
"")</f>
        <v>FEOR</v>
      </c>
      <c r="C341" s="437" t="str">
        <f>IFERROR(INDEX('Historikus berek_2021-2'!$A$1:$F$903,MATCH(AB341,'Historikus berek_2021-2'!$A$1:$A$903,0),4),"")</f>
        <v/>
      </c>
      <c r="D341" s="438" t="str">
        <f t="shared" si="784"/>
        <v>NA</v>
      </c>
      <c r="E341" s="437">
        <f t="shared" si="785"/>
        <v>250431</v>
      </c>
      <c r="F341" s="439" t="str">
        <f t="shared" si="786"/>
        <v/>
      </c>
      <c r="G341" s="440" t="str">
        <f t="shared" si="787"/>
        <v/>
      </c>
      <c r="H341" s="441">
        <f>IFERROR(INDEX('FEOR kodok'!$A$2:$J$1126,MATCH(Bérköltség!AB341,'FEOR kodok'!$B$2:$B$1126,0),8),"NA")</f>
        <v>3910</v>
      </c>
      <c r="I341" s="436">
        <f ca="1">IFERROR(INDEX('FEOR kodok'!$A$2:$J$1126,MATCH(Bérköltség!AB341,'FEOR kodok'!$B$2:$B$1126,0),10),"NA")</f>
        <v>34</v>
      </c>
      <c r="J341" s="442" t="str">
        <f t="shared" ca="1" si="788"/>
        <v>30–39 éves</v>
      </c>
      <c r="K341" s="436" t="str">
        <f>IFERROR(INDEX(admin_feor[#All],MATCH(Bérköltség!H341,admin_feor[[#All],[Foglalkozás]],0),2),"NA")</f>
        <v>Egyéb ügyintéző</v>
      </c>
      <c r="L341" s="438">
        <f ca="1">IFERROR(
INDEX('Admin - FEOR'!$A$4:$F$465,MATCH(Bérköltség!H341,'Admin - FEOR'!$A$4:$A$465,0),
IF(J341="30 év alatt",3,
IF(J341="30–39 éves",4,
IF(J341="40–49 éves",5,
IF(J341="50 év és afelett",6
)))))*1,"NA")</f>
        <v>408171</v>
      </c>
      <c r="M341" s="438">
        <f t="shared" si="789"/>
        <v>525000</v>
      </c>
      <c r="N341" s="443">
        <f t="shared" ca="1" si="790"/>
        <v>1.2862256260243869</v>
      </c>
      <c r="O341" s="438">
        <f ca="1">IFERROR(
INDEX('Admin - FEOR'!$A$4:$F$465,MATCH(Bérköltség!H341,'Admin - FEOR'!$A$4:$A$465,0),
IF(J341="30 év alatt",3,
IF(J341="30–39 éves",4,
IF(J341="40–49 éves",5,
IF(J341="50 év és afelett",6
)))))*1.5,"NA")</f>
        <v>612256.5</v>
      </c>
      <c r="P341" s="438">
        <f t="shared" ca="1" si="791"/>
        <v>292053.38793103449</v>
      </c>
      <c r="Q341" s="438">
        <f t="shared" si="792"/>
        <v>250431</v>
      </c>
      <c r="R341" s="444">
        <f t="shared" si="793"/>
        <v>0.47701149425287354</v>
      </c>
      <c r="S341" s="438">
        <f t="shared" ca="1" si="794"/>
        <v>0</v>
      </c>
      <c r="T341" s="438">
        <f t="shared" ca="1" si="795"/>
        <v>0</v>
      </c>
      <c r="U341" s="445">
        <f t="shared" ca="1" si="796"/>
        <v>0</v>
      </c>
      <c r="V341" s="446">
        <f t="shared" ca="1" si="797"/>
        <v>270585</v>
      </c>
      <c r="W341" s="447" t="str">
        <f t="shared" ca="1" si="798"/>
        <v>Indoklás szükséges mivel a FEOR: 128,6%</v>
      </c>
      <c r="X341" s="571">
        <f t="shared" ca="1" si="799"/>
        <v>0</v>
      </c>
      <c r="Y341" s="554">
        <f t="shared" ca="1" si="800"/>
        <v>250431</v>
      </c>
      <c r="Z341" s="556">
        <f t="shared" ca="1" si="801"/>
        <v>20154</v>
      </c>
      <c r="AA341" s="573" t="s">
        <v>4551</v>
      </c>
      <c r="AB341" s="448">
        <v>8448150856</v>
      </c>
      <c r="AC341" s="449" t="s">
        <v>167</v>
      </c>
      <c r="AD341" s="113" t="s">
        <v>46</v>
      </c>
      <c r="AE341" s="450" t="s">
        <v>168</v>
      </c>
      <c r="AF341" s="99" t="s">
        <v>125</v>
      </c>
      <c r="AG341" s="99" t="s">
        <v>153</v>
      </c>
      <c r="AH341" s="451" t="s">
        <v>97</v>
      </c>
      <c r="AI341" s="154">
        <v>44774</v>
      </c>
      <c r="AJ341" s="100" t="str">
        <f>IF(AI341&gt;0,
(IF(AI341&lt;Hónapok!$A$10,Admin!$A$28,
(IF(AI341&lt;Hónapok!$A$22,Admin!$B$28,
(IF(AI341&lt;Hónapok!$A$34,Admin!$C$28,
(IF(AI341&lt;Hónapok!$A$46,Admin!$D$28,"")))))))),"")</f>
        <v>2. mérföldkő</v>
      </c>
      <c r="AK341" s="469" t="s">
        <v>7</v>
      </c>
      <c r="AL341" s="101" t="s">
        <v>26</v>
      </c>
      <c r="AM341" s="900">
        <v>525000</v>
      </c>
      <c r="AN341" s="863">
        <v>42250</v>
      </c>
      <c r="AO341" s="101">
        <v>174</v>
      </c>
      <c r="AP341" s="111">
        <v>83</v>
      </c>
      <c r="AQ341" s="454">
        <f t="shared" si="779"/>
        <v>0.47701149425287354</v>
      </c>
      <c r="AR341" s="455">
        <f t="shared" si="780"/>
        <v>250431</v>
      </c>
      <c r="AS341" s="528">
        <f t="shared" si="781"/>
        <v>20154</v>
      </c>
      <c r="AT341" s="102">
        <f t="shared" si="782"/>
        <v>6.5681444949561296E-8</v>
      </c>
      <c r="AU341" s="529">
        <f t="shared" ref="AU341:AU346" si="829">AN341/AM341</f>
        <v>8.0476190476190479E-2</v>
      </c>
      <c r="AV341" s="565" t="str">
        <f>VLOOKUP(LEFT(AB341,10),Törzsszám!$A$1:$B$908,2,0)</f>
        <v>10002076</v>
      </c>
      <c r="AW341" s="615">
        <f t="shared" ca="1" si="783"/>
        <v>0</v>
      </c>
      <c r="AX341" s="471" t="s">
        <v>218</v>
      </c>
      <c r="AY341" s="486"/>
      <c r="AZ341" s="502"/>
      <c r="BA341" s="671">
        <v>250431</v>
      </c>
      <c r="BB341" s="649">
        <v>20154</v>
      </c>
      <c r="BC341" s="649">
        <f t="shared" ca="1" si="828"/>
        <v>0</v>
      </c>
      <c r="BD341" s="672">
        <f t="shared" ca="1" si="828"/>
        <v>0</v>
      </c>
      <c r="BE341" s="450" t="s">
        <v>154</v>
      </c>
    </row>
    <row r="342" spans="1:57" s="457" customFormat="1" ht="47.25" x14ac:dyDescent="0.25">
      <c r="A342" s="694" t="str">
        <f ca="1">Bérköltség!$B342</f>
        <v>FEOR</v>
      </c>
      <c r="B342" s="694" t="str">
        <f ca="1">IFERROR(
IF(AND(Bérköltség!$F342="",H342="NA"),"HIÁNYOS ADATOK",
IF(Bérköltség!$F342&lt;Bérköltség!$U342,Admin!$B$18,Admin!$B$17)),
"")</f>
        <v>FEOR</v>
      </c>
      <c r="C342" s="437" t="str">
        <f>IFERROR(INDEX('Historikus berek_2021-2'!$A$1:$F$903,MATCH(AB342,'Historikus berek_2021-2'!$A$1:$A$903,0),4),"")</f>
        <v/>
      </c>
      <c r="D342" s="438" t="str">
        <f t="shared" si="784"/>
        <v>NA</v>
      </c>
      <c r="E342" s="437">
        <f t="shared" si="785"/>
        <v>250431</v>
      </c>
      <c r="F342" s="439" t="str">
        <f t="shared" si="786"/>
        <v/>
      </c>
      <c r="G342" s="440" t="str">
        <f t="shared" si="787"/>
        <v/>
      </c>
      <c r="H342" s="441">
        <f>IFERROR(INDEX('FEOR kodok'!$A$2:$J$1126,MATCH(Bérköltség!AB342,'FEOR kodok'!$B$2:$B$1126,0),8),"NA")</f>
        <v>3910</v>
      </c>
      <c r="I342" s="436">
        <f ca="1">IFERROR(INDEX('FEOR kodok'!$A$2:$J$1126,MATCH(Bérköltség!AB342,'FEOR kodok'!$B$2:$B$1126,0),10),"NA")</f>
        <v>34</v>
      </c>
      <c r="J342" s="442" t="str">
        <f t="shared" ca="1" si="788"/>
        <v>30–39 éves</v>
      </c>
      <c r="K342" s="436" t="str">
        <f>IFERROR(INDEX(admin_feor[#All],MATCH(Bérköltség!H342,admin_feor[[#All],[Foglalkozás]],0),2),"NA")</f>
        <v>Egyéb ügyintéző</v>
      </c>
      <c r="L342" s="438">
        <f ca="1">IFERROR(
INDEX('Admin - FEOR'!$A$4:$F$465,MATCH(Bérköltség!H342,'Admin - FEOR'!$A$4:$A$465,0),
IF(J342="30 év alatt",3,
IF(J342="30–39 éves",4,
IF(J342="40–49 éves",5,
IF(J342="50 év és afelett",6
)))))*1,"NA")</f>
        <v>408171</v>
      </c>
      <c r="M342" s="438">
        <f t="shared" si="789"/>
        <v>525000</v>
      </c>
      <c r="N342" s="443">
        <f t="shared" ca="1" si="790"/>
        <v>1.2862256260243869</v>
      </c>
      <c r="O342" s="438">
        <f ca="1">IFERROR(
INDEX('Admin - FEOR'!$A$4:$F$465,MATCH(Bérköltség!H342,'Admin - FEOR'!$A$4:$A$465,0),
IF(J342="30 év alatt",3,
IF(J342="30–39 éves",4,
IF(J342="40–49 éves",5,
IF(J342="50 év és afelett",6
)))))*1.5,"NA")</f>
        <v>612256.5</v>
      </c>
      <c r="P342" s="438">
        <f t="shared" ca="1" si="791"/>
        <v>292053.38793103449</v>
      </c>
      <c r="Q342" s="438">
        <f t="shared" si="792"/>
        <v>250431</v>
      </c>
      <c r="R342" s="444">
        <f t="shared" si="793"/>
        <v>0.47701149425287354</v>
      </c>
      <c r="S342" s="438">
        <f t="shared" ca="1" si="794"/>
        <v>0</v>
      </c>
      <c r="T342" s="438">
        <f t="shared" ca="1" si="795"/>
        <v>0</v>
      </c>
      <c r="U342" s="445">
        <f t="shared" ca="1" si="796"/>
        <v>0</v>
      </c>
      <c r="V342" s="446">
        <f t="shared" ca="1" si="797"/>
        <v>270585</v>
      </c>
      <c r="W342" s="447" t="str">
        <f t="shared" ca="1" si="798"/>
        <v>Indoklás szükséges mivel a FEOR: 128,6%</v>
      </c>
      <c r="X342" s="571">
        <f t="shared" ca="1" si="799"/>
        <v>0</v>
      </c>
      <c r="Y342" s="554">
        <f t="shared" ca="1" si="800"/>
        <v>250431</v>
      </c>
      <c r="Z342" s="556">
        <f t="shared" ca="1" si="801"/>
        <v>20154</v>
      </c>
      <c r="AA342" s="573" t="s">
        <v>4551</v>
      </c>
      <c r="AB342" s="448">
        <v>8448150856</v>
      </c>
      <c r="AC342" s="449" t="s">
        <v>167</v>
      </c>
      <c r="AD342" s="113" t="s">
        <v>46</v>
      </c>
      <c r="AE342" s="450" t="s">
        <v>168</v>
      </c>
      <c r="AF342" s="99" t="s">
        <v>125</v>
      </c>
      <c r="AG342" s="99" t="s">
        <v>153</v>
      </c>
      <c r="AH342" s="451" t="s">
        <v>97</v>
      </c>
      <c r="AI342" s="154">
        <v>44805</v>
      </c>
      <c r="AJ342" s="100" t="str">
        <f>IF(AI342&gt;0,
(IF(AI342&lt;Hónapok!$A$10,Admin!$A$28,
(IF(AI342&lt;Hónapok!$A$22,Admin!$B$28,
(IF(AI342&lt;Hónapok!$A$34,Admin!$C$28,
(IF(AI342&lt;Hónapok!$A$46,Admin!$D$28,"")))))))),"")</f>
        <v>2. mérföldkő</v>
      </c>
      <c r="AK342" s="469" t="s">
        <v>7</v>
      </c>
      <c r="AL342" s="101" t="s">
        <v>26</v>
      </c>
      <c r="AM342" s="900">
        <v>525000</v>
      </c>
      <c r="AN342" s="863">
        <v>42250</v>
      </c>
      <c r="AO342" s="101">
        <v>174</v>
      </c>
      <c r="AP342" s="111">
        <v>83</v>
      </c>
      <c r="AQ342" s="454">
        <f t="shared" si="779"/>
        <v>0.47701149425287354</v>
      </c>
      <c r="AR342" s="455">
        <f t="shared" si="780"/>
        <v>250431</v>
      </c>
      <c r="AS342" s="528">
        <f t="shared" si="781"/>
        <v>20154</v>
      </c>
      <c r="AT342" s="102">
        <f t="shared" si="782"/>
        <v>6.5681444949561296E-8</v>
      </c>
      <c r="AU342" s="529">
        <f t="shared" si="829"/>
        <v>8.0476190476190479E-2</v>
      </c>
      <c r="AV342" s="565" t="str">
        <f>VLOOKUP(LEFT(AB342,10),Törzsszám!$A$1:$B$908,2,0)</f>
        <v>10002076</v>
      </c>
      <c r="AW342" s="615">
        <f t="shared" ca="1" si="783"/>
        <v>0</v>
      </c>
      <c r="AX342" s="473" t="s">
        <v>228</v>
      </c>
      <c r="AY342" s="486"/>
      <c r="AZ342" s="502"/>
      <c r="BA342" s="671">
        <v>250431</v>
      </c>
      <c r="BB342" s="649">
        <v>20154</v>
      </c>
      <c r="BC342" s="649">
        <f t="shared" ca="1" si="828"/>
        <v>0</v>
      </c>
      <c r="BD342" s="672">
        <f t="shared" ca="1" si="828"/>
        <v>0</v>
      </c>
      <c r="BE342" s="450" t="s">
        <v>154</v>
      </c>
    </row>
    <row r="343" spans="1:57" s="457" customFormat="1" ht="47.25" x14ac:dyDescent="0.25">
      <c r="A343" s="694" t="str">
        <f ca="1">Bérköltség!$B343</f>
        <v>FEOR</v>
      </c>
      <c r="B343" s="694" t="str">
        <f ca="1">IFERROR(
IF(AND(Bérköltség!$F343="",H343="NA"),"HIÁNYOS ADATOK",
IF(Bérköltség!$F343&lt;Bérköltség!$U343,Admin!$B$18,Admin!$B$17)),
"")</f>
        <v>FEOR</v>
      </c>
      <c r="C343" s="437" t="str">
        <f>IFERROR(INDEX('Historikus berek_2021-2'!$A$1:$F$903,MATCH(AB343,'Historikus berek_2021-2'!$A$1:$A$903,0),4),"")</f>
        <v/>
      </c>
      <c r="D343" s="438" t="str">
        <f t="shared" si="784"/>
        <v>NA</v>
      </c>
      <c r="E343" s="437">
        <f t="shared" si="785"/>
        <v>250431</v>
      </c>
      <c r="F343" s="439" t="str">
        <f t="shared" si="786"/>
        <v/>
      </c>
      <c r="G343" s="440" t="str">
        <f t="shared" si="787"/>
        <v/>
      </c>
      <c r="H343" s="441">
        <f>IFERROR(INDEX('FEOR kodok'!$A$2:$J$1126,MATCH(Bérköltség!AB343,'FEOR kodok'!$B$2:$B$1126,0),8),"NA")</f>
        <v>3910</v>
      </c>
      <c r="I343" s="436">
        <f ca="1">IFERROR(INDEX('FEOR kodok'!$A$2:$J$1126,MATCH(Bérköltség!AB343,'FEOR kodok'!$B$2:$B$1126,0),10),"NA")</f>
        <v>34</v>
      </c>
      <c r="J343" s="442" t="str">
        <f t="shared" ca="1" si="788"/>
        <v>30–39 éves</v>
      </c>
      <c r="K343" s="436" t="str">
        <f>IFERROR(INDEX(admin_feor[#All],MATCH(Bérköltség!H343,admin_feor[[#All],[Foglalkozás]],0),2),"NA")</f>
        <v>Egyéb ügyintéző</v>
      </c>
      <c r="L343" s="438">
        <f ca="1">IFERROR(
INDEX('Admin - FEOR'!$A$4:$F$465,MATCH(Bérköltség!H343,'Admin - FEOR'!$A$4:$A$465,0),
IF(J343="30 év alatt",3,
IF(J343="30–39 éves",4,
IF(J343="40–49 éves",5,
IF(J343="50 év és afelett",6
)))))*1,"NA")</f>
        <v>408171</v>
      </c>
      <c r="M343" s="438">
        <f t="shared" si="789"/>
        <v>525000</v>
      </c>
      <c r="N343" s="443">
        <f t="shared" ca="1" si="790"/>
        <v>1.2862256260243869</v>
      </c>
      <c r="O343" s="438">
        <f ca="1">IFERROR(
INDEX('Admin - FEOR'!$A$4:$F$465,MATCH(Bérköltség!H343,'Admin - FEOR'!$A$4:$A$465,0),
IF(J343="30 év alatt",3,
IF(J343="30–39 éves",4,
IF(J343="40–49 éves",5,
IF(J343="50 év és afelett",6
)))))*1.5,"NA")</f>
        <v>612256.5</v>
      </c>
      <c r="P343" s="438">
        <f t="shared" ca="1" si="791"/>
        <v>292053.38793103449</v>
      </c>
      <c r="Q343" s="438">
        <f t="shared" si="792"/>
        <v>250431</v>
      </c>
      <c r="R343" s="444">
        <f t="shared" si="793"/>
        <v>0.47701149425287354</v>
      </c>
      <c r="S343" s="438">
        <f t="shared" ca="1" si="794"/>
        <v>0</v>
      </c>
      <c r="T343" s="438">
        <f t="shared" ca="1" si="795"/>
        <v>0</v>
      </c>
      <c r="U343" s="445">
        <f t="shared" ca="1" si="796"/>
        <v>0</v>
      </c>
      <c r="V343" s="446">
        <f t="shared" ca="1" si="797"/>
        <v>270585</v>
      </c>
      <c r="W343" s="447" t="str">
        <f t="shared" ca="1" si="798"/>
        <v>Indoklás szükséges mivel a FEOR: 128,6%</v>
      </c>
      <c r="X343" s="571">
        <f t="shared" ca="1" si="799"/>
        <v>0</v>
      </c>
      <c r="Y343" s="554">
        <f t="shared" ca="1" si="800"/>
        <v>250431</v>
      </c>
      <c r="Z343" s="556">
        <f t="shared" ca="1" si="801"/>
        <v>20154</v>
      </c>
      <c r="AA343" s="573" t="s">
        <v>4551</v>
      </c>
      <c r="AB343" s="448">
        <v>8448150856</v>
      </c>
      <c r="AC343" s="449" t="s">
        <v>167</v>
      </c>
      <c r="AD343" s="113" t="s">
        <v>46</v>
      </c>
      <c r="AE343" s="450" t="s">
        <v>168</v>
      </c>
      <c r="AF343" s="99" t="s">
        <v>125</v>
      </c>
      <c r="AG343" s="99" t="s">
        <v>153</v>
      </c>
      <c r="AH343" s="451" t="s">
        <v>97</v>
      </c>
      <c r="AI343" s="154">
        <v>44835</v>
      </c>
      <c r="AJ343" s="100" t="str">
        <f>IF(AI343&gt;0,
(IF(AI343&lt;Hónapok!$A$10,Admin!$A$28,
(IF(AI343&lt;Hónapok!$A$22,Admin!$B$28,
(IF(AI343&lt;Hónapok!$A$34,Admin!$C$28,
(IF(AI343&lt;Hónapok!$A$46,Admin!$D$28,"")))))))),"")</f>
        <v>2. mérföldkő</v>
      </c>
      <c r="AK343" s="469" t="s">
        <v>7</v>
      </c>
      <c r="AL343" s="101" t="s">
        <v>26</v>
      </c>
      <c r="AM343" s="900">
        <v>525000</v>
      </c>
      <c r="AN343" s="863">
        <v>42250</v>
      </c>
      <c r="AO343" s="101">
        <v>174</v>
      </c>
      <c r="AP343" s="111">
        <v>83</v>
      </c>
      <c r="AQ343" s="454">
        <f t="shared" si="779"/>
        <v>0.47701149425287354</v>
      </c>
      <c r="AR343" s="455">
        <f t="shared" si="780"/>
        <v>250431</v>
      </c>
      <c r="AS343" s="528">
        <f t="shared" si="781"/>
        <v>20154</v>
      </c>
      <c r="AT343" s="102">
        <f t="shared" si="782"/>
        <v>6.5681444949561296E-8</v>
      </c>
      <c r="AU343" s="529">
        <f t="shared" si="829"/>
        <v>8.0476190476190479E-2</v>
      </c>
      <c r="AV343" s="565" t="str">
        <f>VLOOKUP(LEFT(AB343,10),Törzsszám!$A$1:$B$908,2,0)</f>
        <v>10002076</v>
      </c>
      <c r="AW343" s="615">
        <f t="shared" ca="1" si="783"/>
        <v>0</v>
      </c>
      <c r="AX343" s="479" t="s">
        <v>251</v>
      </c>
      <c r="AY343" s="486"/>
      <c r="AZ343" s="502"/>
      <c r="BA343" s="671">
        <v>250431</v>
      </c>
      <c r="BB343" s="649">
        <v>20154</v>
      </c>
      <c r="BC343" s="649">
        <f t="shared" ca="1" si="828"/>
        <v>0</v>
      </c>
      <c r="BD343" s="672">
        <f t="shared" ca="1" si="828"/>
        <v>0</v>
      </c>
      <c r="BE343" s="450" t="s">
        <v>154</v>
      </c>
    </row>
    <row r="344" spans="1:57" s="457" customFormat="1" ht="47.25" x14ac:dyDescent="0.25">
      <c r="A344" s="694" t="str">
        <f ca="1">Bérköltség!$B344</f>
        <v>FEOR</v>
      </c>
      <c r="B344" s="694" t="str">
        <f ca="1">IFERROR(
IF(AND(Bérköltség!$F344="",H344="NA"),"HIÁNYOS ADATOK",
IF(Bérköltség!$F344&lt;Bérköltség!$U344,Admin!$B$18,Admin!$B$17)),
"")</f>
        <v>FEOR</v>
      </c>
      <c r="C344" s="437" t="str">
        <f>IFERROR(INDEX('Historikus berek_2021-2'!$A$1:$F$903,MATCH(AB344,'Historikus berek_2021-2'!$A$1:$A$903,0),4),"")</f>
        <v/>
      </c>
      <c r="D344" s="438" t="str">
        <f t="shared" si="784"/>
        <v>NA</v>
      </c>
      <c r="E344" s="437">
        <f t="shared" si="785"/>
        <v>250431</v>
      </c>
      <c r="F344" s="439" t="str">
        <f t="shared" si="786"/>
        <v/>
      </c>
      <c r="G344" s="440" t="str">
        <f t="shared" si="787"/>
        <v/>
      </c>
      <c r="H344" s="441">
        <f>IFERROR(INDEX('FEOR kodok'!$A$2:$J$1126,MATCH(Bérköltség!AB344,'FEOR kodok'!$B$2:$B$1126,0),8),"NA")</f>
        <v>3910</v>
      </c>
      <c r="I344" s="436">
        <f ca="1">IFERROR(INDEX('FEOR kodok'!$A$2:$J$1126,MATCH(Bérköltség!AB344,'FEOR kodok'!$B$2:$B$1126,0),10),"NA")</f>
        <v>34</v>
      </c>
      <c r="J344" s="442" t="str">
        <f t="shared" ca="1" si="788"/>
        <v>30–39 éves</v>
      </c>
      <c r="K344" s="436" t="str">
        <f>IFERROR(INDEX(admin_feor[#All],MATCH(Bérköltség!H344,admin_feor[[#All],[Foglalkozás]],0),2),"NA")</f>
        <v>Egyéb ügyintéző</v>
      </c>
      <c r="L344" s="438">
        <f ca="1">IFERROR(
INDEX('Admin - FEOR'!$A$4:$F$465,MATCH(Bérköltség!H344,'Admin - FEOR'!$A$4:$A$465,0),
IF(J344="30 év alatt",3,
IF(J344="30–39 éves",4,
IF(J344="40–49 éves",5,
IF(J344="50 év és afelett",6
)))))*1,"NA")</f>
        <v>408171</v>
      </c>
      <c r="M344" s="438">
        <f t="shared" si="789"/>
        <v>525000</v>
      </c>
      <c r="N344" s="443">
        <f t="shared" ca="1" si="790"/>
        <v>1.2862256260243869</v>
      </c>
      <c r="O344" s="438">
        <f ca="1">IFERROR(
INDEX('Admin - FEOR'!$A$4:$F$465,MATCH(Bérköltség!H344,'Admin - FEOR'!$A$4:$A$465,0),
IF(J344="30 év alatt",3,
IF(J344="30–39 éves",4,
IF(J344="40–49 éves",5,
IF(J344="50 év és afelett",6
)))))*1.5,"NA")</f>
        <v>612256.5</v>
      </c>
      <c r="P344" s="438">
        <f t="shared" ca="1" si="791"/>
        <v>292053.38793103449</v>
      </c>
      <c r="Q344" s="438">
        <f t="shared" si="792"/>
        <v>250431</v>
      </c>
      <c r="R344" s="444">
        <f t="shared" si="793"/>
        <v>0.47701149425287354</v>
      </c>
      <c r="S344" s="438">
        <f t="shared" ca="1" si="794"/>
        <v>0</v>
      </c>
      <c r="T344" s="438">
        <f t="shared" ca="1" si="795"/>
        <v>0</v>
      </c>
      <c r="U344" s="445">
        <f t="shared" ca="1" si="796"/>
        <v>0</v>
      </c>
      <c r="V344" s="446">
        <f t="shared" ca="1" si="797"/>
        <v>270585</v>
      </c>
      <c r="W344" s="447" t="str">
        <f t="shared" ca="1" si="798"/>
        <v>Indoklás szükséges mivel a FEOR: 128,6%</v>
      </c>
      <c r="X344" s="571">
        <f t="shared" ca="1" si="799"/>
        <v>0</v>
      </c>
      <c r="Y344" s="554">
        <f t="shared" ca="1" si="800"/>
        <v>250431</v>
      </c>
      <c r="Z344" s="556">
        <f t="shared" ca="1" si="801"/>
        <v>20154</v>
      </c>
      <c r="AA344" s="573" t="s">
        <v>4551</v>
      </c>
      <c r="AB344" s="448">
        <v>8448150856</v>
      </c>
      <c r="AC344" s="449" t="s">
        <v>167</v>
      </c>
      <c r="AD344" s="113" t="s">
        <v>46</v>
      </c>
      <c r="AE344" s="450" t="s">
        <v>168</v>
      </c>
      <c r="AF344" s="99" t="s">
        <v>125</v>
      </c>
      <c r="AG344" s="99" t="s">
        <v>153</v>
      </c>
      <c r="AH344" s="451" t="s">
        <v>97</v>
      </c>
      <c r="AI344" s="154">
        <v>44866</v>
      </c>
      <c r="AJ344" s="100" t="str">
        <f>IF(AI344&gt;0,
(IF(AI344&lt;Hónapok!$A$10,Admin!$A$28,
(IF(AI344&lt;Hónapok!$A$22,Admin!$B$28,
(IF(AI344&lt;Hónapok!$A$34,Admin!$C$28,
(IF(AI344&lt;Hónapok!$A$46,Admin!$D$28,"")))))))),"")</f>
        <v>2. mérföldkő</v>
      </c>
      <c r="AK344" s="469" t="s">
        <v>7</v>
      </c>
      <c r="AL344" s="101" t="s">
        <v>26</v>
      </c>
      <c r="AM344" s="900">
        <v>525000</v>
      </c>
      <c r="AN344" s="863">
        <v>42250</v>
      </c>
      <c r="AO344" s="101">
        <v>174</v>
      </c>
      <c r="AP344" s="111">
        <v>83</v>
      </c>
      <c r="AQ344" s="454">
        <f t="shared" si="779"/>
        <v>0.47701149425287354</v>
      </c>
      <c r="AR344" s="455">
        <f t="shared" si="780"/>
        <v>250431</v>
      </c>
      <c r="AS344" s="528">
        <f t="shared" si="781"/>
        <v>20154</v>
      </c>
      <c r="AT344" s="102">
        <f t="shared" si="782"/>
        <v>6.5681444949561296E-8</v>
      </c>
      <c r="AU344" s="529">
        <f t="shared" si="829"/>
        <v>8.0476190476190479E-2</v>
      </c>
      <c r="AV344" s="565" t="str">
        <f>VLOOKUP(LEFT(AB344,10),Törzsszám!$A$1:$B$908,2,0)</f>
        <v>10002076</v>
      </c>
      <c r="AW344" s="615">
        <f t="shared" ca="1" si="783"/>
        <v>0</v>
      </c>
      <c r="AX344" s="479" t="s">
        <v>260</v>
      </c>
      <c r="AY344" s="486"/>
      <c r="AZ344" s="502"/>
      <c r="BA344" s="671">
        <v>250431</v>
      </c>
      <c r="BB344" s="649">
        <v>20154</v>
      </c>
      <c r="BC344" s="649">
        <f t="shared" ca="1" si="828"/>
        <v>0</v>
      </c>
      <c r="BD344" s="672">
        <f t="shared" ca="1" si="828"/>
        <v>0</v>
      </c>
      <c r="BE344" s="450" t="s">
        <v>154</v>
      </c>
    </row>
    <row r="345" spans="1:57" s="457" customFormat="1" ht="47.25" x14ac:dyDescent="0.25">
      <c r="A345" s="694" t="str">
        <f ca="1">Bérköltség!$B345</f>
        <v>FEOR</v>
      </c>
      <c r="B345" s="694" t="str">
        <f ca="1">IFERROR(
IF(AND(Bérköltség!$F345="",H345="NA"),"HIÁNYOS ADATOK",
IF(Bérköltség!$F345&lt;Bérköltség!$U345,Admin!$B$18,Admin!$B$17)),
"")</f>
        <v>FEOR</v>
      </c>
      <c r="C345" s="437" t="str">
        <f>IFERROR(INDEX('Historikus berek_2021-2'!$A$1:$F$903,MATCH(AB345,'Historikus berek_2021-2'!$A$1:$A$903,0),4),"")</f>
        <v/>
      </c>
      <c r="D345" s="438" t="str">
        <f t="shared" si="784"/>
        <v>NA</v>
      </c>
      <c r="E345" s="437">
        <f t="shared" si="785"/>
        <v>250431</v>
      </c>
      <c r="F345" s="439" t="str">
        <f t="shared" si="786"/>
        <v/>
      </c>
      <c r="G345" s="440" t="str">
        <f t="shared" si="787"/>
        <v/>
      </c>
      <c r="H345" s="441">
        <f>IFERROR(INDEX('FEOR kodok'!$A$2:$J$1126,MATCH(Bérköltség!AB345,'FEOR kodok'!$B$2:$B$1126,0),8),"NA")</f>
        <v>3910</v>
      </c>
      <c r="I345" s="436">
        <f ca="1">IFERROR(INDEX('FEOR kodok'!$A$2:$J$1126,MATCH(Bérköltség!AB345,'FEOR kodok'!$B$2:$B$1126,0),10),"NA")</f>
        <v>34</v>
      </c>
      <c r="J345" s="442" t="str">
        <f t="shared" ca="1" si="788"/>
        <v>30–39 éves</v>
      </c>
      <c r="K345" s="436" t="str">
        <f>IFERROR(INDEX(admin_feor[#All],MATCH(Bérköltség!H345,admin_feor[[#All],[Foglalkozás]],0),2),"NA")</f>
        <v>Egyéb ügyintéző</v>
      </c>
      <c r="L345" s="438">
        <f ca="1">IFERROR(
INDEX('Admin - FEOR'!$A$4:$F$465,MATCH(Bérköltség!H345,'Admin - FEOR'!$A$4:$A$465,0),
IF(J345="30 év alatt",3,
IF(J345="30–39 éves",4,
IF(J345="40–49 éves",5,
IF(J345="50 év és afelett",6
)))))*1,"NA")</f>
        <v>408171</v>
      </c>
      <c r="M345" s="438">
        <f t="shared" si="789"/>
        <v>525000</v>
      </c>
      <c r="N345" s="443">
        <f t="shared" ca="1" si="790"/>
        <v>1.2862256260243869</v>
      </c>
      <c r="O345" s="438">
        <f ca="1">IFERROR(
INDEX('Admin - FEOR'!$A$4:$F$465,MATCH(Bérköltség!H345,'Admin - FEOR'!$A$4:$A$465,0),
IF(J345="30 év alatt",3,
IF(J345="30–39 éves",4,
IF(J345="40–49 éves",5,
IF(J345="50 év és afelett",6
)))))*1.5,"NA")</f>
        <v>612256.5</v>
      </c>
      <c r="P345" s="438">
        <f t="shared" ca="1" si="791"/>
        <v>292053.38793103449</v>
      </c>
      <c r="Q345" s="438">
        <f t="shared" si="792"/>
        <v>250431</v>
      </c>
      <c r="R345" s="444">
        <f t="shared" si="793"/>
        <v>0.47701149425287354</v>
      </c>
      <c r="S345" s="438">
        <f t="shared" ca="1" si="794"/>
        <v>0</v>
      </c>
      <c r="T345" s="438">
        <f t="shared" ca="1" si="795"/>
        <v>0</v>
      </c>
      <c r="U345" s="445">
        <f t="shared" ca="1" si="796"/>
        <v>0</v>
      </c>
      <c r="V345" s="446">
        <f t="shared" ca="1" si="797"/>
        <v>270585</v>
      </c>
      <c r="W345" s="447" t="str">
        <f t="shared" ca="1" si="798"/>
        <v>Indoklás szükséges mivel a FEOR: 128,6%</v>
      </c>
      <c r="X345" s="571">
        <f t="shared" ca="1" si="799"/>
        <v>0</v>
      </c>
      <c r="Y345" s="554">
        <f t="shared" ca="1" si="800"/>
        <v>250431</v>
      </c>
      <c r="Z345" s="556">
        <f t="shared" ca="1" si="801"/>
        <v>20154</v>
      </c>
      <c r="AA345" s="573" t="s">
        <v>4551</v>
      </c>
      <c r="AB345" s="448">
        <v>8448150856</v>
      </c>
      <c r="AC345" s="449" t="s">
        <v>167</v>
      </c>
      <c r="AD345" s="113" t="s">
        <v>46</v>
      </c>
      <c r="AE345" s="450" t="s">
        <v>168</v>
      </c>
      <c r="AF345" s="99" t="s">
        <v>125</v>
      </c>
      <c r="AG345" s="99" t="s">
        <v>153</v>
      </c>
      <c r="AH345" s="451" t="s">
        <v>97</v>
      </c>
      <c r="AI345" s="154">
        <v>44896</v>
      </c>
      <c r="AJ345" s="100" t="str">
        <f>IF(AI345&gt;0,
(IF(AI345&lt;Hónapok!$A$10,Admin!$A$28,
(IF(AI345&lt;Hónapok!$A$22,Admin!$B$28,
(IF(AI345&lt;Hónapok!$A$34,Admin!$C$28,
(IF(AI345&lt;Hónapok!$A$46,Admin!$D$28,"")))))))),"")</f>
        <v>2. mérföldkő</v>
      </c>
      <c r="AK345" s="469" t="s">
        <v>7</v>
      </c>
      <c r="AL345" s="101" t="s">
        <v>26</v>
      </c>
      <c r="AM345" s="900">
        <v>525000</v>
      </c>
      <c r="AN345" s="863">
        <v>42250</v>
      </c>
      <c r="AO345" s="101">
        <v>174</v>
      </c>
      <c r="AP345" s="111">
        <v>83</v>
      </c>
      <c r="AQ345" s="454">
        <f t="shared" si="779"/>
        <v>0.47701149425287354</v>
      </c>
      <c r="AR345" s="455">
        <f t="shared" si="780"/>
        <v>250431</v>
      </c>
      <c r="AS345" s="528">
        <f t="shared" si="781"/>
        <v>20154</v>
      </c>
      <c r="AT345" s="102">
        <f t="shared" si="782"/>
        <v>6.5681444949561296E-8</v>
      </c>
      <c r="AU345" s="529">
        <f t="shared" si="829"/>
        <v>8.0476190476190479E-2</v>
      </c>
      <c r="AV345" s="565" t="str">
        <f>VLOOKUP(LEFT(AB345,10),Törzsszám!$A$1:$B$908,2,0)</f>
        <v>10002076</v>
      </c>
      <c r="AW345" s="615">
        <f t="shared" ca="1" si="783"/>
        <v>0</v>
      </c>
      <c r="AX345" s="479" t="s">
        <v>262</v>
      </c>
      <c r="AY345" s="486"/>
      <c r="AZ345" s="502"/>
      <c r="BA345" s="671">
        <v>250431</v>
      </c>
      <c r="BB345" s="649">
        <v>20154</v>
      </c>
      <c r="BC345" s="649">
        <f t="shared" ca="1" si="828"/>
        <v>0</v>
      </c>
      <c r="BD345" s="672">
        <f t="shared" ca="1" si="828"/>
        <v>0</v>
      </c>
      <c r="BE345" s="450" t="s">
        <v>154</v>
      </c>
    </row>
    <row r="346" spans="1:57" s="457" customFormat="1" ht="21.6" customHeight="1" x14ac:dyDescent="0.25">
      <c r="A346" s="694" t="str">
        <f ca="1">Bérköltség!$B346</f>
        <v>FEOR</v>
      </c>
      <c r="B346" s="694" t="str">
        <f ca="1">IFERROR(
IF(AND(Bérköltség!$F346="",H346="NA"),"HIÁNYOS ADATOK",
IF(Bérköltség!$F346&lt;Bérköltség!$U346,Admin!$B$18,Admin!$B$17)),
"")</f>
        <v>FEOR</v>
      </c>
      <c r="C346" s="437" t="str">
        <f>IFERROR(INDEX('Historikus berek_2021-2'!$A$1:$F$903,MATCH(AB346,'Historikus berek_2021-2'!$A$1:$A$903,0),4),"")</f>
        <v/>
      </c>
      <c r="D346" s="438" t="str">
        <f t="shared" si="784"/>
        <v>NA</v>
      </c>
      <c r="E346" s="437">
        <f t="shared" si="785"/>
        <v>263548</v>
      </c>
      <c r="F346" s="439" t="str">
        <f t="shared" si="786"/>
        <v/>
      </c>
      <c r="G346" s="440" t="str">
        <f t="shared" si="787"/>
        <v/>
      </c>
      <c r="H346" s="441">
        <f>IFERROR(INDEX('FEOR kodok'!$A$2:$J$1126,MATCH(Bérköltség!AB346,'FEOR kodok'!$B$2:$B$1126,0),8),"NA")</f>
        <v>3910</v>
      </c>
      <c r="I346" s="436">
        <f ca="1">IFERROR(INDEX('FEOR kodok'!$A$2:$J$1126,MATCH(Bérköltség!AB346,'FEOR kodok'!$B$2:$B$1126,0),10),"NA")</f>
        <v>34</v>
      </c>
      <c r="J346" s="442" t="str">
        <f t="shared" ca="1" si="788"/>
        <v>30–39 éves</v>
      </c>
      <c r="K346" s="436" t="str">
        <f>IFERROR(INDEX(admin_feor[#All],MATCH(Bérköltség!H346,admin_feor[[#All],[Foglalkozás]],0),2),"NA")</f>
        <v>Egyéb ügyintéző</v>
      </c>
      <c r="L346" s="438">
        <f ca="1">IFERROR(
INDEX('Admin - FEOR'!$A$4:$F$465,MATCH(Bérköltség!H346,'Admin - FEOR'!$A$4:$A$465,0),
IF(J346="30 év alatt",3,
IF(J346="30–39 éves",4,
IF(J346="40–49 éves",5,
IF(J346="50 év és afelett",6
)))))*1,"NA")</f>
        <v>408171</v>
      </c>
      <c r="M346" s="438">
        <f t="shared" si="789"/>
        <v>552499</v>
      </c>
      <c r="N346" s="443">
        <f t="shared" ca="1" si="790"/>
        <v>1.3535968993387575</v>
      </c>
      <c r="O346" s="438">
        <f ca="1">IFERROR(
INDEX('Admin - FEOR'!$A$4:$F$465,MATCH(Bérköltség!H346,'Admin - FEOR'!$A$4:$A$465,0),
IF(J346="30 év alatt",3,
IF(J346="30–39 éves",4,
IF(J346="40–49 éves",5,
IF(J346="50 év és afelett",6
)))))*1.5,"NA")</f>
        <v>612256.5</v>
      </c>
      <c r="P346" s="438">
        <f t="shared" ca="1" si="791"/>
        <v>292053.38793103449</v>
      </c>
      <c r="Q346" s="438">
        <f t="shared" si="792"/>
        <v>263548</v>
      </c>
      <c r="R346" s="444">
        <f t="shared" si="793"/>
        <v>0.47701149425287354</v>
      </c>
      <c r="S346" s="438">
        <f t="shared" ca="1" si="794"/>
        <v>0</v>
      </c>
      <c r="T346" s="438">
        <f t="shared" ca="1" si="795"/>
        <v>0</v>
      </c>
      <c r="U346" s="445">
        <f t="shared" ca="1" si="796"/>
        <v>0</v>
      </c>
      <c r="V346" s="446">
        <f t="shared" ca="1" si="797"/>
        <v>283423</v>
      </c>
      <c r="W346" s="447" t="str">
        <f t="shared" ca="1" si="798"/>
        <v>Indoklás szükséges mivel a FEOR: 135,4%</v>
      </c>
      <c r="X346" s="571">
        <f t="shared" ca="1" si="799"/>
        <v>0</v>
      </c>
      <c r="Y346" s="554">
        <f t="shared" ca="1" si="800"/>
        <v>263548</v>
      </c>
      <c r="Z346" s="556">
        <f t="shared" ca="1" si="801"/>
        <v>19875</v>
      </c>
      <c r="AA346" s="573" t="s">
        <v>4551</v>
      </c>
      <c r="AB346" s="448">
        <v>8448150856</v>
      </c>
      <c r="AC346" s="449" t="s">
        <v>167</v>
      </c>
      <c r="AD346" s="113" t="s">
        <v>46</v>
      </c>
      <c r="AE346" s="450" t="s">
        <v>168</v>
      </c>
      <c r="AF346" s="99" t="s">
        <v>125</v>
      </c>
      <c r="AG346" s="99" t="s">
        <v>153</v>
      </c>
      <c r="AH346" s="451" t="s">
        <v>97</v>
      </c>
      <c r="AI346" s="154">
        <v>44927</v>
      </c>
      <c r="AJ346" s="100" t="str">
        <f>IF(AI346&gt;0,
(IF(AI346&lt;Hónapok!$A$10,Admin!$A$28,
(IF(AI346&lt;Hónapok!$A$22,Admin!$B$28,
(IF(AI346&lt;Hónapok!$A$34,Admin!$C$28,
(IF(AI346&lt;Hónapok!$A$46,Admin!$D$28,"")))))))),"")</f>
        <v>2. mérföldkő</v>
      </c>
      <c r="AK346" s="469" t="s">
        <v>7</v>
      </c>
      <c r="AL346" s="101" t="s">
        <v>26</v>
      </c>
      <c r="AM346" s="900">
        <v>552499</v>
      </c>
      <c r="AN346" s="863">
        <v>41665</v>
      </c>
      <c r="AO346" s="101">
        <v>174</v>
      </c>
      <c r="AP346" s="111">
        <v>83</v>
      </c>
      <c r="AQ346" s="454">
        <f t="shared" si="779"/>
        <v>0.47701149425287354</v>
      </c>
      <c r="AR346" s="455">
        <f t="shared" si="780"/>
        <v>263548</v>
      </c>
      <c r="AS346" s="528">
        <f t="shared" si="781"/>
        <v>19875</v>
      </c>
      <c r="AT346" s="102">
        <f t="shared" si="782"/>
        <v>6.7613374571395823E-7</v>
      </c>
      <c r="AU346" s="529">
        <f t="shared" si="829"/>
        <v>7.5411901198011222E-2</v>
      </c>
      <c r="AV346" s="565" t="str">
        <f>VLOOKUP(LEFT(AB346,10),Törzsszám!$A$1:$B$908,2,0)</f>
        <v>10002076</v>
      </c>
      <c r="AW346" s="615">
        <f t="shared" ca="1" si="783"/>
        <v>0</v>
      </c>
      <c r="AX346" s="479" t="s">
        <v>2518</v>
      </c>
      <c r="AY346" s="486"/>
      <c r="AZ346" s="502"/>
      <c r="BA346" s="671">
        <v>263548</v>
      </c>
      <c r="BB346" s="649">
        <v>19875</v>
      </c>
      <c r="BC346" s="649">
        <f t="shared" ca="1" si="828"/>
        <v>0</v>
      </c>
      <c r="BD346" s="672">
        <f t="shared" ca="1" si="828"/>
        <v>0</v>
      </c>
      <c r="BE346" s="450" t="s">
        <v>154</v>
      </c>
    </row>
    <row r="347" spans="1:57" s="457" customFormat="1" ht="31.9" customHeight="1" x14ac:dyDescent="0.25">
      <c r="A347" s="694" t="str">
        <f ca="1">Bérköltség!$B347</f>
        <v>FEOR</v>
      </c>
      <c r="B347" s="694" t="str">
        <f ca="1">IFERROR(
IF(AND(Bérköltség!$F347="",H347="NA"),"HIÁNYOS ADATOK",
IF(Bérköltség!$F347&lt;Bérköltség!$U347,Admin!$B$18,Admin!$B$17)),
"")</f>
        <v>FEOR</v>
      </c>
      <c r="C347" s="437" t="str">
        <f>IFERROR(INDEX('Historikus berek_2021-2'!$A$1:$F$903,MATCH(AB347,'Historikus berek_2021-2'!$A$1:$A$903,0),4),"")</f>
        <v/>
      </c>
      <c r="D347" s="438" t="str">
        <f t="shared" si="784"/>
        <v>NA</v>
      </c>
      <c r="E347" s="437">
        <f t="shared" si="785"/>
        <v>263549</v>
      </c>
      <c r="F347" s="439" t="str">
        <f t="shared" si="786"/>
        <v/>
      </c>
      <c r="G347" s="440" t="str">
        <f t="shared" si="787"/>
        <v/>
      </c>
      <c r="H347" s="441">
        <f>IFERROR(INDEX('FEOR kodok'!$A$2:$J$1126,MATCH(Bérköltség!AB347,'FEOR kodok'!$B$2:$B$1126,0),8),"NA")</f>
        <v>3910</v>
      </c>
      <c r="I347" s="436">
        <f ca="1">IFERROR(INDEX('FEOR kodok'!$A$2:$J$1126,MATCH(Bérköltség!AB347,'FEOR kodok'!$B$2:$B$1126,0),10),"NA")</f>
        <v>34</v>
      </c>
      <c r="J347" s="442" t="str">
        <f t="shared" ca="1" si="788"/>
        <v>30–39 éves</v>
      </c>
      <c r="K347" s="436" t="str">
        <f>IFERROR(INDEX(admin_feor[#All],MATCH(Bérköltség!H347,admin_feor[[#All],[Foglalkozás]],0),2),"NA")</f>
        <v>Egyéb ügyintéző</v>
      </c>
      <c r="L347" s="438">
        <f ca="1">IFERROR(
INDEX('Admin - FEOR'!$A$4:$F$465,MATCH(Bérköltség!H347,'Admin - FEOR'!$A$4:$A$465,0),
IF(J347="30 év alatt",3,
IF(J347="30–39 éves",4,
IF(J347="40–49 éves",5,
IF(J347="50 év és afelett",6
)))))*1,"NA")</f>
        <v>408171</v>
      </c>
      <c r="M347" s="438">
        <f t="shared" si="789"/>
        <v>552500</v>
      </c>
      <c r="N347" s="443">
        <f t="shared" ca="1" si="790"/>
        <v>1.3535993492923308</v>
      </c>
      <c r="O347" s="438">
        <f ca="1">IFERROR(
INDEX('Admin - FEOR'!$A$4:$F$465,MATCH(Bérköltség!H347,'Admin - FEOR'!$A$4:$A$465,0),
IF(J347="30 év alatt",3,
IF(J347="30–39 éves",4,
IF(J347="40–49 éves",5,
IF(J347="50 év és afelett",6
)))))*1.5,"NA")</f>
        <v>612256.5</v>
      </c>
      <c r="P347" s="438">
        <f t="shared" ca="1" si="791"/>
        <v>292053.38793103449</v>
      </c>
      <c r="Q347" s="438">
        <f t="shared" si="792"/>
        <v>263549</v>
      </c>
      <c r="R347" s="444">
        <f t="shared" si="793"/>
        <v>0.47701149425287354</v>
      </c>
      <c r="S347" s="438">
        <f t="shared" ca="1" si="794"/>
        <v>0</v>
      </c>
      <c r="T347" s="438">
        <f t="shared" ca="1" si="795"/>
        <v>0</v>
      </c>
      <c r="U347" s="445">
        <f t="shared" ca="1" si="796"/>
        <v>0</v>
      </c>
      <c r="V347" s="446">
        <f t="shared" ca="1" si="797"/>
        <v>283424</v>
      </c>
      <c r="W347" s="447" t="str">
        <f t="shared" ca="1" si="798"/>
        <v>Indoklás szükséges mivel a FEOR: 135,4%</v>
      </c>
      <c r="X347" s="571">
        <f t="shared" ca="1" si="799"/>
        <v>0</v>
      </c>
      <c r="Y347" s="554">
        <f t="shared" ca="1" si="800"/>
        <v>263549</v>
      </c>
      <c r="Z347" s="556">
        <f t="shared" ca="1" si="801"/>
        <v>19875</v>
      </c>
      <c r="AA347" s="101"/>
      <c r="AB347" s="448">
        <v>8448150856</v>
      </c>
      <c r="AC347" s="449" t="s">
        <v>167</v>
      </c>
      <c r="AD347" s="113" t="s">
        <v>46</v>
      </c>
      <c r="AE347" s="450" t="s">
        <v>168</v>
      </c>
      <c r="AF347" s="99" t="s">
        <v>125</v>
      </c>
      <c r="AG347" s="99" t="s">
        <v>153</v>
      </c>
      <c r="AH347" s="451" t="s">
        <v>97</v>
      </c>
      <c r="AI347" s="154">
        <v>44958</v>
      </c>
      <c r="AJ347" s="100" t="str">
        <f>IF(AI347&gt;0,
(IF(AI347&lt;Hónapok!$A$10,Admin!$A$28,
(IF(AI347&lt;Hónapok!$A$22,Admin!$B$28,
(IF(AI347&lt;Hónapok!$A$34,Admin!$C$28,
(IF(AI347&lt;Hónapok!$A$46,Admin!$D$28,"")))))))),"")</f>
        <v>2. mérföldkő</v>
      </c>
      <c r="AK347" s="469" t="s">
        <v>7</v>
      </c>
      <c r="AL347" s="101" t="s">
        <v>26</v>
      </c>
      <c r="AM347" s="900">
        <v>552500</v>
      </c>
      <c r="AN347" s="863">
        <v>41665</v>
      </c>
      <c r="AO347" s="101">
        <v>174</v>
      </c>
      <c r="AP347" s="111">
        <v>83</v>
      </c>
      <c r="AQ347" s="454">
        <f t="shared" si="779"/>
        <v>0.47701149425287354</v>
      </c>
      <c r="AR347" s="455">
        <f t="shared" si="780"/>
        <v>263549</v>
      </c>
      <c r="AS347" s="528">
        <f t="shared" si="781"/>
        <v>19875</v>
      </c>
      <c r="AT347" s="102">
        <f t="shared" si="782"/>
        <v>-2.7045300882155843E-7</v>
      </c>
      <c r="AU347" s="683">
        <f>AN347/AM347</f>
        <v>7.5411764705882359E-2</v>
      </c>
      <c r="AV347" s="565" t="str">
        <f>VLOOKUP(LEFT(AB347,10),Törzsszám!$A$1:$B$908,2,0)</f>
        <v>10002076</v>
      </c>
      <c r="AW347" s="615">
        <f t="shared" ca="1" si="783"/>
        <v>0</v>
      </c>
      <c r="AX347" s="537" t="s">
        <v>4557</v>
      </c>
      <c r="AY347" s="486"/>
      <c r="AZ347" s="502"/>
      <c r="BA347" s="671"/>
      <c r="BB347" s="649"/>
      <c r="BC347" s="649"/>
      <c r="BD347" s="672"/>
      <c r="BE347" s="450" t="s">
        <v>154</v>
      </c>
    </row>
    <row r="348" spans="1:57" s="457" customFormat="1" ht="21.6" customHeight="1" x14ac:dyDescent="0.25">
      <c r="A348" s="694" t="str">
        <f ca="1">Bérköltség!$B348</f>
        <v>FEOR</v>
      </c>
      <c r="B348" s="694" t="str">
        <f ca="1">IFERROR(
IF(AND(Bérköltség!$F348="",H348="NA"),"HIÁNYOS ADATOK",
IF(Bérköltség!$F348&lt;Bérköltség!$U348,Admin!$B$18,Admin!$B$17)),
"")</f>
        <v>FEOR</v>
      </c>
      <c r="C348" s="437" t="str">
        <f>IFERROR(INDEX('Historikus berek_2021-2'!$A$1:$F$903,MATCH(AB348,'Historikus berek_2021-2'!$A$1:$A$903,0),4),"")</f>
        <v/>
      </c>
      <c r="D348" s="438" t="str">
        <f t="shared" si="784"/>
        <v>NA</v>
      </c>
      <c r="E348" s="437">
        <f t="shared" si="785"/>
        <v>239590</v>
      </c>
      <c r="F348" s="439" t="str">
        <f t="shared" si="786"/>
        <v/>
      </c>
      <c r="G348" s="440" t="str">
        <f t="shared" si="787"/>
        <v/>
      </c>
      <c r="H348" s="441">
        <f>IFERROR(INDEX('FEOR kodok'!$A$2:$J$1126,MATCH(Bérköltség!AB348,'FEOR kodok'!$B$2:$B$1126,0),8),"NA")</f>
        <v>3910</v>
      </c>
      <c r="I348" s="436">
        <f ca="1">IFERROR(INDEX('FEOR kodok'!$A$2:$J$1126,MATCH(Bérköltség!AB348,'FEOR kodok'!$B$2:$B$1126,0),10),"NA")</f>
        <v>34</v>
      </c>
      <c r="J348" s="442" t="str">
        <f t="shared" ca="1" si="788"/>
        <v>30–39 éves</v>
      </c>
      <c r="K348" s="436" t="str">
        <f>IFERROR(INDEX(admin_feor[#All],MATCH(Bérköltség!H348,admin_feor[[#All],[Foglalkozás]],0),2),"NA")</f>
        <v>Egyéb ügyintéző</v>
      </c>
      <c r="L348" s="438">
        <f ca="1">IFERROR(
INDEX('Admin - FEOR'!$A$4:$F$465,MATCH(Bérköltség!H348,'Admin - FEOR'!$A$4:$A$465,0),
IF(J348="30 év alatt",3,
IF(J348="30–39 éves",4,
IF(J348="40–49 éves",5,
IF(J348="50 év és afelett",6
)))))*1,"NA")</f>
        <v>408171</v>
      </c>
      <c r="M348" s="438">
        <f t="shared" si="789"/>
        <v>502272</v>
      </c>
      <c r="N348" s="443">
        <f t="shared" ca="1" si="790"/>
        <v>1.2305430812086111</v>
      </c>
      <c r="O348" s="438">
        <f ca="1">IFERROR(
INDEX('Admin - FEOR'!$A$4:$F$465,MATCH(Bérköltség!H348,'Admin - FEOR'!$A$4:$A$465,0),
IF(J348="30 év alatt",3,
IF(J348="30–39 éves",4,
IF(J348="40–49 éves",5,
IF(J348="50 év és afelett",6
)))))*1.5,"NA")</f>
        <v>612256.5</v>
      </c>
      <c r="P348" s="438">
        <f t="shared" ca="1" si="791"/>
        <v>292053.38793103449</v>
      </c>
      <c r="Q348" s="438">
        <f t="shared" si="792"/>
        <v>239590</v>
      </c>
      <c r="R348" s="444">
        <f t="shared" si="793"/>
        <v>0.47701149425287354</v>
      </c>
      <c r="S348" s="438">
        <f t="shared" ca="1" si="794"/>
        <v>0</v>
      </c>
      <c r="T348" s="438">
        <f t="shared" ca="1" si="795"/>
        <v>0</v>
      </c>
      <c r="U348" s="445">
        <f t="shared" ca="1" si="796"/>
        <v>0</v>
      </c>
      <c r="V348" s="446">
        <f t="shared" ca="1" si="797"/>
        <v>255690</v>
      </c>
      <c r="W348" s="447" t="str">
        <f t="shared" ca="1" si="798"/>
        <v>Indoklás szükséges mivel a FEOR: 123,1%</v>
      </c>
      <c r="X348" s="571">
        <f t="shared" ca="1" si="799"/>
        <v>0</v>
      </c>
      <c r="Y348" s="554">
        <f t="shared" ca="1" si="800"/>
        <v>239590</v>
      </c>
      <c r="Z348" s="556">
        <f t="shared" ca="1" si="801"/>
        <v>16100</v>
      </c>
      <c r="AA348" s="464"/>
      <c r="AB348" s="531">
        <v>8448150856</v>
      </c>
      <c r="AC348" s="449" t="s">
        <v>167</v>
      </c>
      <c r="AD348" s="113" t="s">
        <v>46</v>
      </c>
      <c r="AE348" s="533" t="s">
        <v>168</v>
      </c>
      <c r="AF348" s="466" t="s">
        <v>125</v>
      </c>
      <c r="AG348" s="466" t="s">
        <v>153</v>
      </c>
      <c r="AH348" s="451" t="s">
        <v>97</v>
      </c>
      <c r="AI348" s="154">
        <v>44986</v>
      </c>
      <c r="AJ348" s="100" t="str">
        <f>IF(AI348&gt;0,
(IF(AI348&lt;Hónapok!$A$10,Admin!$A$28,
(IF(AI348&lt;Hónapok!$A$22,Admin!$B$28,
(IF(AI348&lt;Hónapok!$A$34,Admin!$C$28,
(IF(AI348&lt;Hónapok!$A$46,Admin!$D$28,"")))))))),"")</f>
        <v>3. mérföldkő</v>
      </c>
      <c r="AK348" s="470" t="s">
        <v>7</v>
      </c>
      <c r="AL348" s="466" t="s">
        <v>26</v>
      </c>
      <c r="AM348" s="900">
        <v>502272</v>
      </c>
      <c r="AN348" s="863">
        <f>502272*(35135/522857)</f>
        <v>33751.726992275129</v>
      </c>
      <c r="AO348" s="466">
        <v>174</v>
      </c>
      <c r="AP348" s="467">
        <v>83</v>
      </c>
      <c r="AQ348" s="454">
        <f t="shared" si="779"/>
        <v>0.47701149425287354</v>
      </c>
      <c r="AR348" s="455">
        <f t="shared" si="780"/>
        <v>239590</v>
      </c>
      <c r="AS348" s="528">
        <f t="shared" si="781"/>
        <v>16100</v>
      </c>
      <c r="AT348" s="102">
        <f t="shared" si="782"/>
        <v>-9.6114977682359992E-7</v>
      </c>
      <c r="AU348" s="683">
        <f>AN348/AM348</f>
        <v>6.7198105791832177E-2</v>
      </c>
      <c r="AV348" s="565" t="str">
        <f>VLOOKUP(LEFT(AB348,10),Törzsszám!$A$1:$B$908,2,0)</f>
        <v>10002076</v>
      </c>
      <c r="AW348" s="681">
        <f t="shared" ca="1" si="783"/>
        <v>0</v>
      </c>
      <c r="AX348" s="471" t="s">
        <v>4561</v>
      </c>
      <c r="AY348" s="542"/>
      <c r="AZ348" s="802"/>
      <c r="BA348" s="674"/>
      <c r="BB348" s="651"/>
      <c r="BC348" s="649"/>
      <c r="BD348" s="672"/>
      <c r="BE348" s="703" t="s">
        <v>154</v>
      </c>
    </row>
    <row r="349" spans="1:57" s="457" customFormat="1" ht="21.6" customHeight="1" x14ac:dyDescent="0.25">
      <c r="A349" s="694" t="str">
        <f ca="1">Bérköltség!$B349</f>
        <v>FEOR</v>
      </c>
      <c r="B349" s="694" t="str">
        <f ca="1">IFERROR(
IF(AND(Bérköltség!$F349="",H349="NA"),"HIÁNYOS ADATOK",
IF(Bérköltség!$F349&lt;Bérköltség!$U349,Admin!$B$18,Admin!$B$17)),
"")</f>
        <v>FEOR</v>
      </c>
      <c r="C349" s="437" t="str">
        <f>IFERROR(INDEX('Historikus berek_2021-2'!$A$1:$F$903,MATCH(AB349,'Historikus berek_2021-2'!$A$1:$A$903,0),4),"")</f>
        <v/>
      </c>
      <c r="D349" s="438" t="str">
        <f t="shared" si="784"/>
        <v>NA</v>
      </c>
      <c r="E349" s="437">
        <f t="shared" si="785"/>
        <v>263549</v>
      </c>
      <c r="F349" s="439" t="str">
        <f t="shared" si="786"/>
        <v/>
      </c>
      <c r="G349" s="440" t="str">
        <f t="shared" si="787"/>
        <v/>
      </c>
      <c r="H349" s="441">
        <f>IFERROR(INDEX('FEOR kodok'!$A$2:$J$1126,MATCH(Bérköltség!AB349,'FEOR kodok'!$B$2:$B$1126,0),8),"NA")</f>
        <v>3910</v>
      </c>
      <c r="I349" s="436">
        <f ca="1">IFERROR(INDEX('FEOR kodok'!$A$2:$J$1126,MATCH(Bérköltség!AB349,'FEOR kodok'!$B$2:$B$1126,0),10),"NA")</f>
        <v>34</v>
      </c>
      <c r="J349" s="442" t="str">
        <f t="shared" ca="1" si="788"/>
        <v>30–39 éves</v>
      </c>
      <c r="K349" s="436" t="str">
        <f>IFERROR(INDEX(admin_feor[#All],MATCH(Bérköltség!H349,admin_feor[[#All],[Foglalkozás]],0),2),"NA")</f>
        <v>Egyéb ügyintéző</v>
      </c>
      <c r="L349" s="438">
        <f ca="1">IFERROR(
INDEX('Admin - FEOR'!$A$4:$F$465,MATCH(Bérköltség!H349,'Admin - FEOR'!$A$4:$A$465,0),
IF(J349="30 év alatt",3,
IF(J349="30–39 éves",4,
IF(J349="40–49 éves",5,
IF(J349="50 év és afelett",6
)))))*1,"NA")</f>
        <v>408171</v>
      </c>
      <c r="M349" s="438">
        <f t="shared" si="789"/>
        <v>552500</v>
      </c>
      <c r="N349" s="443">
        <f t="shared" ca="1" si="790"/>
        <v>1.3535993492923308</v>
      </c>
      <c r="O349" s="438">
        <f ca="1">IFERROR(
INDEX('Admin - FEOR'!$A$4:$F$465,MATCH(Bérköltség!H349,'Admin - FEOR'!$A$4:$A$465,0),
IF(J349="30 év alatt",3,
IF(J349="30–39 éves",4,
IF(J349="40–49 éves",5,
IF(J349="50 év és afelett",6
)))))*1.5,"NA")</f>
        <v>612256.5</v>
      </c>
      <c r="P349" s="438">
        <f t="shared" ca="1" si="791"/>
        <v>292053.38793103449</v>
      </c>
      <c r="Q349" s="438">
        <f t="shared" si="792"/>
        <v>263549</v>
      </c>
      <c r="R349" s="444">
        <f t="shared" si="793"/>
        <v>0.47701149425287354</v>
      </c>
      <c r="S349" s="438">
        <f t="shared" ca="1" si="794"/>
        <v>0</v>
      </c>
      <c r="T349" s="438">
        <f t="shared" ca="1" si="795"/>
        <v>0</v>
      </c>
      <c r="U349" s="445">
        <f t="shared" ca="1" si="796"/>
        <v>0</v>
      </c>
      <c r="V349" s="446">
        <f t="shared" ca="1" si="797"/>
        <v>283424</v>
      </c>
      <c r="W349" s="447" t="str">
        <f t="shared" ca="1" si="798"/>
        <v>Indoklás szükséges mivel a FEOR: 135,4%</v>
      </c>
      <c r="X349" s="571">
        <f t="shared" ca="1" si="799"/>
        <v>0</v>
      </c>
      <c r="Y349" s="554">
        <f t="shared" ca="1" si="800"/>
        <v>263549</v>
      </c>
      <c r="Z349" s="556">
        <f t="shared" ca="1" si="801"/>
        <v>19875</v>
      </c>
      <c r="AA349" s="464"/>
      <c r="AB349" s="531">
        <v>8448150856</v>
      </c>
      <c r="AC349" s="449" t="s">
        <v>167</v>
      </c>
      <c r="AD349" s="113" t="s">
        <v>46</v>
      </c>
      <c r="AE349" s="533" t="s">
        <v>168</v>
      </c>
      <c r="AF349" s="466" t="s">
        <v>125</v>
      </c>
      <c r="AG349" s="466" t="s">
        <v>153</v>
      </c>
      <c r="AH349" s="451" t="s">
        <v>97</v>
      </c>
      <c r="AI349" s="154">
        <v>45017</v>
      </c>
      <c r="AJ349" s="100" t="str">
        <f>IF(AI349&gt;0,
(IF(AI349&lt;Hónapok!$A$10,Admin!$A$28,
(IF(AI349&lt;Hónapok!$A$22,Admin!$B$28,
(IF(AI349&lt;Hónapok!$A$34,Admin!$C$28,
(IF(AI349&lt;Hónapok!$A$46,Admin!$D$28,"")))))))),"")</f>
        <v>3. mérföldkő</v>
      </c>
      <c r="AK349" s="467" t="s">
        <v>7</v>
      </c>
      <c r="AL349" s="466" t="s">
        <v>26</v>
      </c>
      <c r="AM349" s="900">
        <v>552500</v>
      </c>
      <c r="AN349" s="863">
        <v>41665</v>
      </c>
      <c r="AO349" s="466">
        <v>174</v>
      </c>
      <c r="AP349" s="467">
        <v>83</v>
      </c>
      <c r="AQ349" s="454">
        <f t="shared" si="779"/>
        <v>0.47701149425287354</v>
      </c>
      <c r="AR349" s="455">
        <f>IFERROR(ROUND(AM349*AP349/AO349,0),"")</f>
        <v>263549</v>
      </c>
      <c r="AS349" s="528">
        <f t="shared" si="781"/>
        <v>19875</v>
      </c>
      <c r="AT349" s="102">
        <f t="shared" si="782"/>
        <v>-2.7045300882155843E-7</v>
      </c>
      <c r="AU349" s="683">
        <f>AN349/AM349</f>
        <v>7.5411764705882359E-2</v>
      </c>
      <c r="AV349" s="565" t="str">
        <f>VLOOKUP(LEFT(AB349,10),Törzsszám!$A$1:$B$908,2,0)</f>
        <v>10002076</v>
      </c>
      <c r="AW349" s="681">
        <f t="shared" ca="1" si="783"/>
        <v>0</v>
      </c>
      <c r="AX349" s="471" t="s">
        <v>4581</v>
      </c>
      <c r="AY349" s="527"/>
      <c r="AZ349" s="665"/>
      <c r="BA349" s="674"/>
      <c r="BB349" s="651"/>
      <c r="BC349" s="649"/>
      <c r="BD349" s="672"/>
      <c r="BE349" s="703" t="s">
        <v>154</v>
      </c>
    </row>
    <row r="350" spans="1:57" s="457" customFormat="1" ht="21.6" customHeight="1" x14ac:dyDescent="0.25">
      <c r="A350" s="694" t="str">
        <f ca="1">Bérköltség!$B350</f>
        <v>FEOR</v>
      </c>
      <c r="B350" s="694" t="str">
        <f ca="1">IFERROR(
IF(AND(Bérköltség!$F350="",H350="NA"),"HIÁNYOS ADATOK",
IF(Bérköltség!$F350&lt;Bérköltség!$U350,Admin!$B$18,Admin!$B$17)),
"")</f>
        <v>FEOR</v>
      </c>
      <c r="C350" s="437" t="str">
        <f>IFERROR(INDEX('Historikus berek_2021-2'!$A$1:$F$903,MATCH(AB350,'Historikus berek_2021-2'!$A$1:$A$903,0),4),"")</f>
        <v/>
      </c>
      <c r="D350" s="438" t="str">
        <f t="shared" si="784"/>
        <v>NA</v>
      </c>
      <c r="E350" s="437">
        <f t="shared" si="785"/>
        <v>263549</v>
      </c>
      <c r="F350" s="439" t="str">
        <f t="shared" si="786"/>
        <v/>
      </c>
      <c r="G350" s="440" t="str">
        <f t="shared" si="787"/>
        <v/>
      </c>
      <c r="H350" s="441">
        <f>IFERROR(INDEX('FEOR kodok'!$A$2:$J$1126,MATCH(Bérköltség!AB350,'FEOR kodok'!$B$2:$B$1126,0),8),"NA")</f>
        <v>3910</v>
      </c>
      <c r="I350" s="436">
        <f ca="1">IFERROR(INDEX('FEOR kodok'!$A$2:$J$1126,MATCH(Bérköltség!AB350,'FEOR kodok'!$B$2:$B$1126,0),10),"NA")</f>
        <v>34</v>
      </c>
      <c r="J350" s="442" t="str">
        <f t="shared" ca="1" si="788"/>
        <v>30–39 éves</v>
      </c>
      <c r="K350" s="436" t="str">
        <f>IFERROR(INDEX(admin_feor[#All],MATCH(Bérköltség!H350,admin_feor[[#All],[Foglalkozás]],0),2),"NA")</f>
        <v>Egyéb ügyintéző</v>
      </c>
      <c r="L350" s="438">
        <f ca="1">IFERROR(
INDEX('Admin - FEOR'!$A$4:$F$465,MATCH(Bérköltség!H350,'Admin - FEOR'!$A$4:$A$465,0),
IF(J350="30 év alatt",3,
IF(J350="30–39 éves",4,
IF(J350="40–49 éves",5,
IF(J350="50 év és afelett",6
)))))*1,"NA")</f>
        <v>408171</v>
      </c>
      <c r="M350" s="438">
        <f t="shared" si="789"/>
        <v>552500</v>
      </c>
      <c r="N350" s="443">
        <f t="shared" ca="1" si="790"/>
        <v>1.3535993492923308</v>
      </c>
      <c r="O350" s="438">
        <f ca="1">IFERROR(
INDEX('Admin - FEOR'!$A$4:$F$465,MATCH(Bérköltség!H350,'Admin - FEOR'!$A$4:$A$465,0),
IF(J350="30 év alatt",3,
IF(J350="30–39 éves",4,
IF(J350="40–49 éves",5,
IF(J350="50 év és afelett",6
)))))*1.5,"NA")</f>
        <v>612256.5</v>
      </c>
      <c r="P350" s="438">
        <f t="shared" ca="1" si="791"/>
        <v>292053.38793103449</v>
      </c>
      <c r="Q350" s="438">
        <f t="shared" si="792"/>
        <v>263549</v>
      </c>
      <c r="R350" s="444">
        <f t="shared" si="793"/>
        <v>0.47701149425287354</v>
      </c>
      <c r="S350" s="438">
        <f t="shared" ca="1" si="794"/>
        <v>0</v>
      </c>
      <c r="T350" s="438">
        <f t="shared" ca="1" si="795"/>
        <v>0</v>
      </c>
      <c r="U350" s="445">
        <f t="shared" ca="1" si="796"/>
        <v>0</v>
      </c>
      <c r="V350" s="446">
        <f t="shared" ca="1" si="797"/>
        <v>283424</v>
      </c>
      <c r="W350" s="447" t="str">
        <f t="shared" ca="1" si="798"/>
        <v>Indoklás szükséges mivel a FEOR: 135,4%</v>
      </c>
      <c r="X350" s="571">
        <f t="shared" ca="1" si="799"/>
        <v>0</v>
      </c>
      <c r="Y350" s="554">
        <f t="shared" ca="1" si="800"/>
        <v>263549</v>
      </c>
      <c r="Z350" s="556">
        <f t="shared" ca="1" si="801"/>
        <v>19875</v>
      </c>
      <c r="AA350" s="464"/>
      <c r="AB350" s="531">
        <v>8448150856</v>
      </c>
      <c r="AC350" s="449" t="s">
        <v>167</v>
      </c>
      <c r="AD350" s="113" t="s">
        <v>46</v>
      </c>
      <c r="AE350" s="533" t="s">
        <v>168</v>
      </c>
      <c r="AF350" s="466" t="s">
        <v>125</v>
      </c>
      <c r="AG350" s="466" t="s">
        <v>153</v>
      </c>
      <c r="AH350" s="451" t="s">
        <v>97</v>
      </c>
      <c r="AI350" s="154">
        <v>45047</v>
      </c>
      <c r="AJ350" s="100" t="str">
        <f>IF(AI350&gt;0,
(IF(AI350&lt;Hónapok!$A$10,Admin!$A$28,
(IF(AI350&lt;Hónapok!$A$22,Admin!$B$28,
(IF(AI350&lt;Hónapok!$A$34,Admin!$C$28,
(IF(AI350&lt;Hónapok!$A$46,Admin!$D$28,"")))))))),"")</f>
        <v>3. mérföldkő</v>
      </c>
      <c r="AK350" s="467" t="s">
        <v>7</v>
      </c>
      <c r="AL350" s="466" t="s">
        <v>26</v>
      </c>
      <c r="AM350" s="900">
        <v>552500</v>
      </c>
      <c r="AN350" s="863">
        <v>41665</v>
      </c>
      <c r="AO350" s="466">
        <v>174</v>
      </c>
      <c r="AP350" s="467">
        <v>83</v>
      </c>
      <c r="AQ350" s="454">
        <f t="shared" si="779"/>
        <v>0.47701149425287354</v>
      </c>
      <c r="AR350" s="455">
        <f t="shared" si="780"/>
        <v>263549</v>
      </c>
      <c r="AS350" s="528">
        <f t="shared" si="781"/>
        <v>19875</v>
      </c>
      <c r="AT350" s="102">
        <f t="shared" si="782"/>
        <v>-2.7045300882155843E-7</v>
      </c>
      <c r="AU350" s="683">
        <f>AN350/AM350</f>
        <v>7.5411764705882359E-2</v>
      </c>
      <c r="AV350" s="565" t="str">
        <f>VLOOKUP(LEFT(AB350,10),Törzsszám!$A$1:$B$908,2,0)</f>
        <v>10002076</v>
      </c>
      <c r="AW350" s="681">
        <f t="shared" ca="1" si="783"/>
        <v>0</v>
      </c>
      <c r="AX350" s="471" t="s">
        <v>4596</v>
      </c>
      <c r="AY350" s="527"/>
      <c r="AZ350" s="665"/>
      <c r="BA350" s="674"/>
      <c r="BB350" s="651"/>
      <c r="BC350" s="649"/>
      <c r="BD350" s="672"/>
      <c r="BE350" s="703" t="s">
        <v>154</v>
      </c>
    </row>
    <row r="351" spans="1:57" s="457" customFormat="1" ht="21.6" customHeight="1" x14ac:dyDescent="0.25">
      <c r="A351" s="694" t="str">
        <f ca="1">Bérköltség!$B351</f>
        <v>FEOR</v>
      </c>
      <c r="B351" s="694" t="str">
        <f ca="1">IFERROR(
IF(AND(Bérköltség!$F351="",H351="NA"),"HIÁNYOS ADATOK",
IF(Bérköltség!$F351&lt;Bérköltség!$U351,Admin!$B$18,Admin!$B$17)),
"")</f>
        <v>FEOR</v>
      </c>
      <c r="C351" s="437" t="str">
        <f>IFERROR(INDEX('Historikus berek_2021-2'!$A$1:$F$903,MATCH(AB351,'Historikus berek_2021-2'!$A$1:$A$903,0),4),"")</f>
        <v/>
      </c>
      <c r="D351" s="438" t="str">
        <f t="shared" si="784"/>
        <v>NA</v>
      </c>
      <c r="E351" s="437">
        <f t="shared" si="785"/>
        <v>263548</v>
      </c>
      <c r="F351" s="439" t="str">
        <f t="shared" si="786"/>
        <v/>
      </c>
      <c r="G351" s="440" t="str">
        <f t="shared" si="787"/>
        <v/>
      </c>
      <c r="H351" s="441">
        <f>IFERROR(INDEX('FEOR kodok'!$A$2:$J$1126,MATCH(Bérköltség!AB351,'FEOR kodok'!$B$2:$B$1126,0),8),"NA")</f>
        <v>3910</v>
      </c>
      <c r="I351" s="436">
        <f ca="1">IFERROR(INDEX('FEOR kodok'!$A$2:$J$1126,MATCH(Bérköltség!AB351,'FEOR kodok'!$B$2:$B$1126,0),10),"NA")</f>
        <v>34</v>
      </c>
      <c r="J351" s="442" t="str">
        <f t="shared" ca="1" si="788"/>
        <v>30–39 éves</v>
      </c>
      <c r="K351" s="436" t="str">
        <f>IFERROR(INDEX(admin_feor[#All],MATCH(Bérköltség!H351,admin_feor[[#All],[Foglalkozás]],0),2),"NA")</f>
        <v>Egyéb ügyintéző</v>
      </c>
      <c r="L351" s="438">
        <f ca="1">IFERROR(
INDEX('Admin - FEOR'!$A$4:$F$465,MATCH(Bérköltség!H351,'Admin - FEOR'!$A$4:$A$465,0),
IF(J351="30 év alatt",3,
IF(J351="30–39 éves",4,
IF(J351="40–49 éves",5,
IF(J351="50 év és afelett",6
)))))*1,"NA")</f>
        <v>408171</v>
      </c>
      <c r="M351" s="438">
        <f t="shared" si="789"/>
        <v>552499</v>
      </c>
      <c r="N351" s="443">
        <f t="shared" ca="1" si="790"/>
        <v>1.3535968993387575</v>
      </c>
      <c r="O351" s="438">
        <f ca="1">IFERROR(
INDEX('Admin - FEOR'!$A$4:$F$465,MATCH(Bérköltség!H351,'Admin - FEOR'!$A$4:$A$465,0),
IF(J351="30 év alatt",3,
IF(J351="30–39 éves",4,
IF(J351="40–49 éves",5,
IF(J351="50 év és afelett",6
)))))*1.5,"NA")</f>
        <v>612256.5</v>
      </c>
      <c r="P351" s="438">
        <f t="shared" ca="1" si="791"/>
        <v>292053.38793103449</v>
      </c>
      <c r="Q351" s="438">
        <f t="shared" si="792"/>
        <v>263548</v>
      </c>
      <c r="R351" s="444">
        <f t="shared" si="793"/>
        <v>0.47701149425287354</v>
      </c>
      <c r="S351" s="438">
        <f t="shared" ca="1" si="794"/>
        <v>0</v>
      </c>
      <c r="T351" s="438">
        <f t="shared" ca="1" si="795"/>
        <v>0</v>
      </c>
      <c r="U351" s="445">
        <f t="shared" ca="1" si="796"/>
        <v>0</v>
      </c>
      <c r="V351" s="446">
        <f t="shared" ca="1" si="797"/>
        <v>283423</v>
      </c>
      <c r="W351" s="447" t="str">
        <f t="shared" ca="1" si="798"/>
        <v>Indoklás szükséges mivel a FEOR: 135,4%</v>
      </c>
      <c r="X351" s="571">
        <f t="shared" ca="1" si="799"/>
        <v>0</v>
      </c>
      <c r="Y351" s="554">
        <f t="shared" ca="1" si="800"/>
        <v>263548</v>
      </c>
      <c r="Z351" s="556">
        <f t="shared" ca="1" si="801"/>
        <v>19875</v>
      </c>
      <c r="AA351" s="464"/>
      <c r="AB351" s="531">
        <v>8448150856</v>
      </c>
      <c r="AC351" s="449" t="s">
        <v>167</v>
      </c>
      <c r="AD351" s="113" t="s">
        <v>46</v>
      </c>
      <c r="AE351" s="533" t="s">
        <v>168</v>
      </c>
      <c r="AF351" s="466" t="s">
        <v>125</v>
      </c>
      <c r="AG351" s="466" t="s">
        <v>153</v>
      </c>
      <c r="AH351" s="451" t="s">
        <v>97</v>
      </c>
      <c r="AI351" s="154">
        <v>45078</v>
      </c>
      <c r="AJ351" s="100" t="str">
        <f>IF(AI351&gt;0,
(IF(AI351&lt;Hónapok!$A$10,Admin!$A$28,
(IF(AI351&lt;Hónapok!$A$22,Admin!$B$28,
(IF(AI351&lt;Hónapok!$A$34,Admin!$C$28,
(IF(AI351&lt;Hónapok!$A$46,Admin!$D$28,"")))))))),"")</f>
        <v>3. mérföldkő</v>
      </c>
      <c r="AK351" s="469" t="s">
        <v>7</v>
      </c>
      <c r="AL351" s="466" t="s">
        <v>26</v>
      </c>
      <c r="AM351" s="900">
        <f>552500-1</f>
        <v>552499</v>
      </c>
      <c r="AN351" s="863">
        <v>41665</v>
      </c>
      <c r="AO351" s="466">
        <v>174</v>
      </c>
      <c r="AP351" s="467">
        <v>83</v>
      </c>
      <c r="AQ351" s="843">
        <f t="shared" si="779"/>
        <v>0.47701149425287354</v>
      </c>
      <c r="AR351" s="455">
        <f t="shared" si="780"/>
        <v>263548</v>
      </c>
      <c r="AS351" s="528">
        <f t="shared" si="781"/>
        <v>19875</v>
      </c>
      <c r="AT351" s="102">
        <f t="shared" si="782"/>
        <v>6.7613374571395823E-7</v>
      </c>
      <c r="AU351" s="683">
        <f t="shared" ref="AU351:AU356" si="830">AN351/AM351</f>
        <v>7.5411901198011222E-2</v>
      </c>
      <c r="AV351" s="565" t="str">
        <f>VLOOKUP(LEFT(AB351,10),Törzsszám!$A$1:$B$908,2,0)</f>
        <v>10002076</v>
      </c>
      <c r="AW351" s="681">
        <f t="shared" ca="1" si="783"/>
        <v>0</v>
      </c>
      <c r="AX351" s="471" t="s">
        <v>4606</v>
      </c>
      <c r="AY351" s="527"/>
      <c r="AZ351" s="665"/>
      <c r="BA351" s="674"/>
      <c r="BB351" s="651"/>
      <c r="BC351" s="649"/>
      <c r="BD351" s="672"/>
      <c r="BE351" s="703" t="s">
        <v>154</v>
      </c>
    </row>
    <row r="352" spans="1:57" s="457" customFormat="1" ht="21.6" customHeight="1" x14ac:dyDescent="0.25">
      <c r="A352" s="694" t="str">
        <f ca="1">Bérköltség!$B352</f>
        <v>FEOR</v>
      </c>
      <c r="B352" s="694" t="str">
        <f ca="1">IFERROR(
IF(AND(Bérköltség!$F352="",H352="NA"),"HIÁNYOS ADATOK",
IF(Bérköltség!$F352&lt;Bérköltség!$U352,Admin!$B$18,Admin!$B$17)),
"")</f>
        <v>FEOR</v>
      </c>
      <c r="C352" s="437" t="str">
        <f>IFERROR(INDEX('Historikus berek_2021-2'!$A$1:$F$903,MATCH(AB352,'Historikus berek_2021-2'!$A$1:$A$903,0),4),"")</f>
        <v/>
      </c>
      <c r="D352" s="438" t="str">
        <f t="shared" ref="D352:D355" si="831">IFERROR(C352*AQ352,"NA")</f>
        <v>NA</v>
      </c>
      <c r="E352" s="437">
        <f t="shared" ref="E352:E355" si="832">AR352</f>
        <v>263549</v>
      </c>
      <c r="F352" s="439" t="str">
        <f t="shared" ref="F352:F355" si="833">IFERROR(IF((E352*(1+AU352)-D352*(1+AU352))&lt;0,0,(E352*(1+AU352)-D352*(1+AU352))),"")</f>
        <v/>
      </c>
      <c r="G352" s="440" t="str">
        <f t="shared" ref="G352:G355" si="834">IFERROR((E352*(1+AU352)-F352),"")</f>
        <v/>
      </c>
      <c r="H352" s="441">
        <f>IFERROR(INDEX('FEOR kodok'!$A$2:$J$1126,MATCH(Bérköltség!AB352,'FEOR kodok'!$B$2:$B$1126,0),8),"NA")</f>
        <v>3910</v>
      </c>
      <c r="I352" s="436">
        <f ca="1">IFERROR(INDEX('FEOR kodok'!$A$2:$J$1126,MATCH(Bérköltség!AB352,'FEOR kodok'!$B$2:$B$1126,0),10),"NA")</f>
        <v>34</v>
      </c>
      <c r="J352" s="442" t="str">
        <f t="shared" ref="J352:J355" ca="1" si="835">IF(I352="NA","NA",
IF(I352&lt;30,"30 év alatt",
IF(AND(I352&gt;=30,I352&lt;=39),"30–39 éves",
IF(AND(I352&gt;=40,I352&lt;=49),"40–49 éves",
IF(I352&gt;=50,"50 év és afelett",
"")))))</f>
        <v>30–39 éves</v>
      </c>
      <c r="K352" s="436" t="str">
        <f>IFERROR(INDEX(admin_feor[#All],MATCH(Bérköltség!H352,admin_feor[[#All],[Foglalkozás]],0),2),"NA")</f>
        <v>Egyéb ügyintéző</v>
      </c>
      <c r="L352" s="438">
        <f ca="1">IFERROR(
INDEX('Admin - FEOR'!$A$4:$F$465,MATCH(Bérköltség!H352,'Admin - FEOR'!$A$4:$A$465,0),
IF(J352="30 év alatt",3,
IF(J352="30–39 éves",4,
IF(J352="40–49 éves",5,
IF(J352="50 év és afelett",6
)))))*1,"NA")</f>
        <v>408171</v>
      </c>
      <c r="M352" s="438">
        <f t="shared" ref="M352:M355" si="836">AM352</f>
        <v>552500</v>
      </c>
      <c r="N352" s="443">
        <f t="shared" ref="N352:N355" ca="1" si="837">IFERROR(
M352/L352,"NA")</f>
        <v>1.3535993492923308</v>
      </c>
      <c r="O352" s="438">
        <f ca="1">IFERROR(
INDEX('Admin - FEOR'!$A$4:$F$465,MATCH(Bérköltség!H352,'Admin - FEOR'!$A$4:$A$465,0),
IF(J352="30 év alatt",3,
IF(J352="30–39 éves",4,
IF(J352="40–49 éves",5,
IF(J352="50 év és afelett",6
)))))*1.5,"NA")</f>
        <v>612256.5</v>
      </c>
      <c r="P352" s="438">
        <f t="shared" ref="P352:P355" ca="1" si="838">IFERROR(
AQ352*O352,"NA")</f>
        <v>292053.38793103449</v>
      </c>
      <c r="Q352" s="438">
        <f t="shared" ref="Q352:Q355" si="839">IFERROR(AR352,"")</f>
        <v>263549</v>
      </c>
      <c r="R352" s="444">
        <f t="shared" ref="R352:R355" si="840">IFERROR(AQ352,"")</f>
        <v>0.47701149425287354</v>
      </c>
      <c r="S352" s="438">
        <f t="shared" ref="S352:S355" ca="1" si="841">IFERROR(
IF(AR352-P352&lt;0,0,AR352-P352),"NA")</f>
        <v>0</v>
      </c>
      <c r="T352" s="438">
        <f t="shared" ref="T352:T355" ca="1" si="842">IFERROR(
S352*AU352,"NA")</f>
        <v>0</v>
      </c>
      <c r="U352" s="445">
        <f t="shared" ref="U352:U355" ca="1" si="843">IFERROR(
S352+T352,"NA")</f>
        <v>0</v>
      </c>
      <c r="V352" s="446">
        <f t="shared" ref="V352:V355" ca="1" si="844">IFERROR(
IF(U352&gt;0,AR352+AS352-U352,AR352+AS352),"NA")</f>
        <v>283424</v>
      </c>
      <c r="W352" s="447" t="str">
        <f t="shared" ref="W352:W355" ca="1" si="845">IF(P352="NA","FEOR hiányzik",
IF(AND(N352&gt;1,A352="FEOR"),CONCATENATE("Indoklás szükséges mivel a FEOR: ",ROUND(N352*100,1),"%"),"Nem szükséges indoklás.")
)</f>
        <v>Indoklás szükséges mivel a FEOR: 135,4%</v>
      </c>
      <c r="X352" s="571">
        <f t="shared" ref="X352:X355" ca="1" si="846">IF(A352="FEOR",U352,IF(A352="HIÁNYOS ADATOK","HIÁNYOS ADATOK",F352))</f>
        <v>0</v>
      </c>
      <c r="Y352" s="554">
        <f t="shared" ref="Y352:Y355" ca="1" si="847">IF(A352="FEOR",ROUND(V352/(1+AU352),0),IF(A352="HIÁNYOS ADATOK","HIÁNYOS ADATOK",ROUND(G352/(1+AU352),0)))</f>
        <v>263549</v>
      </c>
      <c r="Z352" s="556">
        <f t="shared" ref="Z352:Z355" ca="1" si="848">IF(A352="FEOR",ROUND(V352-Y352,0),IF(A352="HIÁNYOS ADATOK","HIÁNYOS ADATOK",ROUND(G352-Y352,0)))</f>
        <v>19875</v>
      </c>
      <c r="AA352" s="464"/>
      <c r="AB352" s="531">
        <v>8448150856</v>
      </c>
      <c r="AC352" s="449" t="s">
        <v>167</v>
      </c>
      <c r="AD352" s="113" t="s">
        <v>46</v>
      </c>
      <c r="AE352" s="533" t="s">
        <v>168</v>
      </c>
      <c r="AF352" s="466" t="s">
        <v>125</v>
      </c>
      <c r="AG352" s="466" t="s">
        <v>153</v>
      </c>
      <c r="AH352" s="451" t="s">
        <v>97</v>
      </c>
      <c r="AI352" s="154">
        <v>45108</v>
      </c>
      <c r="AJ352" s="100" t="str">
        <f>IF(AI352&gt;0,
(IF(AI352&lt;Hónapok!$A$10,Admin!$A$28,
(IF(AI352&lt;Hónapok!$A$22,Admin!$B$28,
(IF(AI352&lt;Hónapok!$A$34,Admin!$C$28,
(IF(AI352&lt;Hónapok!$A$46,Admin!$D$28,"")))))))),"")</f>
        <v>3. mérföldkő</v>
      </c>
      <c r="AK352" s="469" t="s">
        <v>7</v>
      </c>
      <c r="AL352" s="466" t="s">
        <v>26</v>
      </c>
      <c r="AM352" s="900">
        <v>552500</v>
      </c>
      <c r="AN352" s="863">
        <v>41665</v>
      </c>
      <c r="AO352" s="466">
        <v>174</v>
      </c>
      <c r="AP352" s="467">
        <v>83</v>
      </c>
      <c r="AQ352" s="682">
        <f t="shared" ref="AQ352:AQ355" si="849">IFERROR(AP352/AO352,"")</f>
        <v>0.47701149425287354</v>
      </c>
      <c r="AR352" s="455">
        <f t="shared" ref="AR352:AR355" si="850">IFERROR(ROUND(AM352*AP352/AO352,0),"")</f>
        <v>263549</v>
      </c>
      <c r="AS352" s="528">
        <f t="shared" ref="AS352:AS355" si="851">IFERROR(ROUND(AR352*AU352,0),"")</f>
        <v>19875</v>
      </c>
      <c r="AT352" s="102">
        <f t="shared" ref="AT352:AT355" si="852">IFERROR(AP352/AO352-AR352/AM352,"")</f>
        <v>-2.7045300882155843E-7</v>
      </c>
      <c r="AU352" s="683">
        <f t="shared" si="830"/>
        <v>7.5411764705882359E-2</v>
      </c>
      <c r="AV352" s="565" t="str">
        <f>VLOOKUP(LEFT(AB352,10),Törzsszám!$A$1:$B$908,2,0)</f>
        <v>10002076</v>
      </c>
      <c r="AW352" s="681">
        <f t="shared" ref="AW352:AW355" ca="1" si="853">(Y352+Z352)-(AR352+AS352)</f>
        <v>0</v>
      </c>
      <c r="AX352" s="471" t="s">
        <v>4610</v>
      </c>
      <c r="AY352" s="527"/>
      <c r="AZ352" s="665"/>
      <c r="BA352" s="674"/>
      <c r="BB352" s="651"/>
      <c r="BC352" s="649"/>
      <c r="BD352" s="672"/>
      <c r="BE352" s="703" t="s">
        <v>154</v>
      </c>
    </row>
    <row r="353" spans="1:58" s="457" customFormat="1" ht="21.6" customHeight="1" x14ac:dyDescent="0.25">
      <c r="A353" s="694" t="str">
        <f ca="1">Bérköltség!$B353</f>
        <v>FEOR</v>
      </c>
      <c r="B353" s="694" t="str">
        <f ca="1">IFERROR(
IF(AND(Bérköltség!$F353="",H353="NA"),"HIÁNYOS ADATOK",
IF(Bérköltség!$F353&lt;Bérköltség!$U353,Admin!$B$18,Admin!$B$17)),
"")</f>
        <v>FEOR</v>
      </c>
      <c r="C353" s="437" t="str">
        <f>IFERROR(INDEX('Historikus berek_2021-2'!$A$1:$F$903,MATCH(AB353,'Historikus berek_2021-2'!$A$1:$A$903,0),4),"")</f>
        <v/>
      </c>
      <c r="D353" s="438" t="str">
        <f t="shared" si="831"/>
        <v>NA</v>
      </c>
      <c r="E353" s="437">
        <f t="shared" si="832"/>
        <v>263549</v>
      </c>
      <c r="F353" s="439" t="str">
        <f t="shared" si="833"/>
        <v/>
      </c>
      <c r="G353" s="440" t="str">
        <f t="shared" si="834"/>
        <v/>
      </c>
      <c r="H353" s="441">
        <f>IFERROR(INDEX('FEOR kodok'!$A$2:$J$1126,MATCH(Bérköltség!AB353,'FEOR kodok'!$B$2:$B$1126,0),8),"NA")</f>
        <v>3910</v>
      </c>
      <c r="I353" s="436">
        <f ca="1">IFERROR(INDEX('FEOR kodok'!$A$2:$J$1126,MATCH(Bérköltség!AB353,'FEOR kodok'!$B$2:$B$1126,0),10),"NA")</f>
        <v>34</v>
      </c>
      <c r="J353" s="442" t="str">
        <f t="shared" ca="1" si="835"/>
        <v>30–39 éves</v>
      </c>
      <c r="K353" s="436" t="str">
        <f>IFERROR(INDEX(admin_feor[#All],MATCH(Bérköltség!H353,admin_feor[[#All],[Foglalkozás]],0),2),"NA")</f>
        <v>Egyéb ügyintéző</v>
      </c>
      <c r="L353" s="438">
        <f ca="1">IFERROR(
INDEX('Admin - FEOR'!$A$4:$F$465,MATCH(Bérköltség!H353,'Admin - FEOR'!$A$4:$A$465,0),
IF(J353="30 év alatt",3,
IF(J353="30–39 éves",4,
IF(J353="40–49 éves",5,
IF(J353="50 év és afelett",6
)))))*1,"NA")</f>
        <v>408171</v>
      </c>
      <c r="M353" s="438">
        <f t="shared" si="836"/>
        <v>552500</v>
      </c>
      <c r="N353" s="443">
        <f t="shared" ca="1" si="837"/>
        <v>1.3535993492923308</v>
      </c>
      <c r="O353" s="438">
        <f ca="1">IFERROR(
INDEX('Admin - FEOR'!$A$4:$F$465,MATCH(Bérköltség!H353,'Admin - FEOR'!$A$4:$A$465,0),
IF(J353="30 év alatt",3,
IF(J353="30–39 éves",4,
IF(J353="40–49 éves",5,
IF(J353="50 év és afelett",6
)))))*1.5,"NA")</f>
        <v>612256.5</v>
      </c>
      <c r="P353" s="438">
        <f t="shared" ca="1" si="838"/>
        <v>292053.38793103449</v>
      </c>
      <c r="Q353" s="438">
        <f t="shared" si="839"/>
        <v>263549</v>
      </c>
      <c r="R353" s="444">
        <f t="shared" si="840"/>
        <v>0.47701149425287354</v>
      </c>
      <c r="S353" s="438">
        <f t="shared" ca="1" si="841"/>
        <v>0</v>
      </c>
      <c r="T353" s="438">
        <f t="shared" ca="1" si="842"/>
        <v>0</v>
      </c>
      <c r="U353" s="445">
        <f t="shared" ca="1" si="843"/>
        <v>0</v>
      </c>
      <c r="V353" s="446">
        <f t="shared" ca="1" si="844"/>
        <v>283424</v>
      </c>
      <c r="W353" s="447" t="str">
        <f t="shared" ca="1" si="845"/>
        <v>Indoklás szükséges mivel a FEOR: 135,4%</v>
      </c>
      <c r="X353" s="571">
        <f t="shared" ca="1" si="846"/>
        <v>0</v>
      </c>
      <c r="Y353" s="554">
        <f t="shared" ca="1" si="847"/>
        <v>263549</v>
      </c>
      <c r="Z353" s="556">
        <f t="shared" ca="1" si="848"/>
        <v>19875</v>
      </c>
      <c r="AA353" s="464"/>
      <c r="AB353" s="531">
        <v>8448150856</v>
      </c>
      <c r="AC353" s="449" t="s">
        <v>167</v>
      </c>
      <c r="AD353" s="113" t="s">
        <v>46</v>
      </c>
      <c r="AE353" s="533" t="s">
        <v>168</v>
      </c>
      <c r="AF353" s="466" t="s">
        <v>125</v>
      </c>
      <c r="AG353" s="466" t="s">
        <v>153</v>
      </c>
      <c r="AH353" s="451" t="s">
        <v>97</v>
      </c>
      <c r="AI353" s="154">
        <v>45139</v>
      </c>
      <c r="AJ353" s="100" t="str">
        <f>IF(AI353&gt;0,
(IF(AI353&lt;Hónapok!$A$10,Admin!$A$28,
(IF(AI353&lt;Hónapok!$A$22,Admin!$B$28,
(IF(AI353&lt;Hónapok!$A$34,Admin!$C$28,
(IF(AI353&lt;Hónapok!$A$46,Admin!$D$28,"")))))))),"")</f>
        <v>3. mérföldkő</v>
      </c>
      <c r="AK353" s="469" t="s">
        <v>7</v>
      </c>
      <c r="AL353" s="466" t="s">
        <v>26</v>
      </c>
      <c r="AM353" s="900">
        <v>552500</v>
      </c>
      <c r="AN353" s="863">
        <v>41665</v>
      </c>
      <c r="AO353" s="466">
        <v>174</v>
      </c>
      <c r="AP353" s="467">
        <v>83</v>
      </c>
      <c r="AQ353" s="454">
        <f t="shared" si="849"/>
        <v>0.47701149425287354</v>
      </c>
      <c r="AR353" s="455">
        <f t="shared" si="850"/>
        <v>263549</v>
      </c>
      <c r="AS353" s="528">
        <f t="shared" si="851"/>
        <v>19875</v>
      </c>
      <c r="AT353" s="102">
        <f t="shared" si="852"/>
        <v>-2.7045300882155843E-7</v>
      </c>
      <c r="AU353" s="683">
        <f t="shared" si="830"/>
        <v>7.5411764705882359E-2</v>
      </c>
      <c r="AV353" s="565" t="str">
        <f>VLOOKUP(LEFT(AB353,10),Törzsszám!$A$1:$B$908,2,0)</f>
        <v>10002076</v>
      </c>
      <c r="AW353" s="681">
        <f t="shared" ca="1" si="853"/>
        <v>0</v>
      </c>
      <c r="AX353" s="471" t="s">
        <v>4613</v>
      </c>
      <c r="AY353" s="527"/>
      <c r="AZ353" s="665"/>
      <c r="BA353" s="674"/>
      <c r="BB353" s="651"/>
      <c r="BC353" s="649"/>
      <c r="BD353" s="672"/>
      <c r="BE353" s="703" t="s">
        <v>154</v>
      </c>
    </row>
    <row r="354" spans="1:58" s="457" customFormat="1" ht="21.6" customHeight="1" x14ac:dyDescent="0.25">
      <c r="A354" s="694" t="str">
        <f ca="1">Bérköltség!$B354</f>
        <v>FEOR</v>
      </c>
      <c r="B354" s="694" t="str">
        <f ca="1">IFERROR(
IF(AND(Bérköltség!$F354="",H354="NA"),"HIÁNYOS ADATOK",
IF(Bérköltség!$F354&lt;Bérköltség!$U354,Admin!$B$18,Admin!$B$17)),
"")</f>
        <v>FEOR</v>
      </c>
      <c r="C354" s="437" t="str">
        <f>IFERROR(INDEX('Historikus berek_2021-2'!$A$1:$F$903,MATCH(AB354,'Historikus berek_2021-2'!$A$1:$A$903,0),4),"")</f>
        <v/>
      </c>
      <c r="D354" s="438" t="str">
        <f t="shared" si="831"/>
        <v>NA</v>
      </c>
      <c r="E354" s="437">
        <f t="shared" si="832"/>
        <v>263549</v>
      </c>
      <c r="F354" s="439" t="str">
        <f t="shared" si="833"/>
        <v/>
      </c>
      <c r="G354" s="440" t="str">
        <f t="shared" si="834"/>
        <v/>
      </c>
      <c r="H354" s="441">
        <f>IFERROR(INDEX('FEOR kodok'!$A$2:$J$1126,MATCH(Bérköltség!AB354,'FEOR kodok'!$B$2:$B$1126,0),8),"NA")</f>
        <v>3910</v>
      </c>
      <c r="I354" s="436">
        <f ca="1">IFERROR(INDEX('FEOR kodok'!$A$2:$J$1126,MATCH(Bérköltség!AB354,'FEOR kodok'!$B$2:$B$1126,0),10),"NA")</f>
        <v>34</v>
      </c>
      <c r="J354" s="442" t="str">
        <f t="shared" ca="1" si="835"/>
        <v>30–39 éves</v>
      </c>
      <c r="K354" s="436" t="str">
        <f>IFERROR(INDEX(admin_feor[#All],MATCH(Bérköltség!H354,admin_feor[[#All],[Foglalkozás]],0),2),"NA")</f>
        <v>Egyéb ügyintéző</v>
      </c>
      <c r="L354" s="438">
        <f ca="1">IFERROR(
INDEX('Admin - FEOR'!$A$4:$F$465,MATCH(Bérköltség!H354,'Admin - FEOR'!$A$4:$A$465,0),
IF(J354="30 év alatt",3,
IF(J354="30–39 éves",4,
IF(J354="40–49 éves",5,
IF(J354="50 év és afelett",6
)))))*1,"NA")</f>
        <v>408171</v>
      </c>
      <c r="M354" s="438">
        <f t="shared" si="836"/>
        <v>552500</v>
      </c>
      <c r="N354" s="443">
        <f t="shared" ca="1" si="837"/>
        <v>1.3535993492923308</v>
      </c>
      <c r="O354" s="438">
        <f ca="1">IFERROR(
INDEX('Admin - FEOR'!$A$4:$F$465,MATCH(Bérköltség!H354,'Admin - FEOR'!$A$4:$A$465,0),
IF(J354="30 év alatt",3,
IF(J354="30–39 éves",4,
IF(J354="40–49 éves",5,
IF(J354="50 év és afelett",6
)))))*1.5,"NA")</f>
        <v>612256.5</v>
      </c>
      <c r="P354" s="438">
        <f t="shared" ca="1" si="838"/>
        <v>292053.38793103449</v>
      </c>
      <c r="Q354" s="438">
        <f t="shared" si="839"/>
        <v>263549</v>
      </c>
      <c r="R354" s="444">
        <f t="shared" si="840"/>
        <v>0.47701149425287354</v>
      </c>
      <c r="S354" s="438">
        <f t="shared" ca="1" si="841"/>
        <v>0</v>
      </c>
      <c r="T354" s="438">
        <f t="shared" ca="1" si="842"/>
        <v>0</v>
      </c>
      <c r="U354" s="445">
        <f t="shared" ca="1" si="843"/>
        <v>0</v>
      </c>
      <c r="V354" s="446">
        <f t="shared" ca="1" si="844"/>
        <v>283424</v>
      </c>
      <c r="W354" s="447" t="str">
        <f t="shared" ca="1" si="845"/>
        <v>Indoklás szükséges mivel a FEOR: 135,4%</v>
      </c>
      <c r="X354" s="571">
        <f t="shared" ca="1" si="846"/>
        <v>0</v>
      </c>
      <c r="Y354" s="554">
        <f t="shared" ca="1" si="847"/>
        <v>263549</v>
      </c>
      <c r="Z354" s="556">
        <f t="shared" ca="1" si="848"/>
        <v>19875</v>
      </c>
      <c r="AA354" s="464"/>
      <c r="AB354" s="531">
        <v>8448150856</v>
      </c>
      <c r="AC354" s="449" t="s">
        <v>167</v>
      </c>
      <c r="AD354" s="119" t="s">
        <v>46</v>
      </c>
      <c r="AE354" s="533" t="s">
        <v>168</v>
      </c>
      <c r="AF354" s="466" t="s">
        <v>125</v>
      </c>
      <c r="AG354" s="466" t="s">
        <v>153</v>
      </c>
      <c r="AH354" s="451" t="s">
        <v>97</v>
      </c>
      <c r="AI354" s="154">
        <v>45170</v>
      </c>
      <c r="AJ354" s="100" t="str">
        <f>IF(AI354&gt;0,
(IF(AI354&lt;Hónapok!$A$10,Admin!$A$28,
(IF(AI354&lt;Hónapok!$A$22,Admin!$B$28,
(IF(AI354&lt;Hónapok!$A$34,Admin!$C$28,
(IF(AI354&lt;Hónapok!$A$46,Admin!$D$28,"")))))))),"")</f>
        <v>3. mérföldkő</v>
      </c>
      <c r="AK354" s="469" t="s">
        <v>7</v>
      </c>
      <c r="AL354" s="466" t="s">
        <v>26</v>
      </c>
      <c r="AM354" s="900">
        <v>552500</v>
      </c>
      <c r="AN354" s="863">
        <v>41665</v>
      </c>
      <c r="AO354" s="466">
        <v>174</v>
      </c>
      <c r="AP354" s="467">
        <v>83</v>
      </c>
      <c r="AQ354" s="454">
        <f t="shared" si="849"/>
        <v>0.47701149425287354</v>
      </c>
      <c r="AR354" s="455">
        <f t="shared" si="850"/>
        <v>263549</v>
      </c>
      <c r="AS354" s="528">
        <f t="shared" si="851"/>
        <v>19875</v>
      </c>
      <c r="AT354" s="102">
        <f t="shared" si="852"/>
        <v>-2.7045300882155843E-7</v>
      </c>
      <c r="AU354" s="683">
        <f t="shared" si="830"/>
        <v>7.5411764705882359E-2</v>
      </c>
      <c r="AV354" s="565" t="str">
        <f>VLOOKUP(LEFT(AB354,10),Törzsszám!$A$1:$B$908,2,0)</f>
        <v>10002076</v>
      </c>
      <c r="AW354" s="681">
        <f t="shared" ca="1" si="853"/>
        <v>0</v>
      </c>
      <c r="AX354" s="471" t="s">
        <v>4618</v>
      </c>
      <c r="AY354" s="527"/>
      <c r="AZ354" s="665"/>
      <c r="BA354" s="674"/>
      <c r="BB354" s="651"/>
      <c r="BC354" s="649"/>
      <c r="BD354" s="672"/>
      <c r="BE354" s="703" t="s">
        <v>154</v>
      </c>
    </row>
    <row r="355" spans="1:58" s="457" customFormat="1" ht="21.6" customHeight="1" x14ac:dyDescent="0.25">
      <c r="A355" s="694" t="str">
        <f ca="1">Bérköltség!$B355</f>
        <v>FEOR</v>
      </c>
      <c r="B355" s="694" t="str">
        <f ca="1">IFERROR(
IF(AND(Bérköltség!$F355="",H355="NA"),"HIÁNYOS ADATOK",
IF(Bérköltség!$F355&lt;Bérköltség!$U355,Admin!$B$18,Admin!$B$17)),
"")</f>
        <v>FEOR</v>
      </c>
      <c r="C355" s="437" t="str">
        <f>IFERROR(INDEX('Historikus berek_2021-2'!$A$1:$F$903,MATCH(AB355,'Historikus berek_2021-2'!$A$1:$A$903,0),4),"")</f>
        <v/>
      </c>
      <c r="D355" s="438" t="str">
        <f t="shared" si="831"/>
        <v>NA</v>
      </c>
      <c r="E355" s="437">
        <f t="shared" si="832"/>
        <v>263549</v>
      </c>
      <c r="F355" s="439" t="str">
        <f t="shared" si="833"/>
        <v/>
      </c>
      <c r="G355" s="440" t="str">
        <f t="shared" si="834"/>
        <v/>
      </c>
      <c r="H355" s="441">
        <f>IFERROR(INDEX('FEOR kodok'!$A$2:$J$1126,MATCH(Bérköltség!AB355,'FEOR kodok'!$B$2:$B$1126,0),8),"NA")</f>
        <v>3910</v>
      </c>
      <c r="I355" s="436">
        <f ca="1">IFERROR(INDEX('FEOR kodok'!$A$2:$J$1126,MATCH(Bérköltség!AB355,'FEOR kodok'!$B$2:$B$1126,0),10),"NA")</f>
        <v>34</v>
      </c>
      <c r="J355" s="442" t="str">
        <f t="shared" ca="1" si="835"/>
        <v>30–39 éves</v>
      </c>
      <c r="K355" s="436" t="str">
        <f>IFERROR(INDEX(admin_feor[#All],MATCH(Bérköltség!H355,admin_feor[[#All],[Foglalkozás]],0),2),"NA")</f>
        <v>Egyéb ügyintéző</v>
      </c>
      <c r="L355" s="438">
        <f ca="1">IFERROR(
INDEX('Admin - FEOR'!$A$4:$F$465,MATCH(Bérköltség!H355,'Admin - FEOR'!$A$4:$A$465,0),
IF(J355="30 év alatt",3,
IF(J355="30–39 éves",4,
IF(J355="40–49 éves",5,
IF(J355="50 év és afelett",6
)))))*1,"NA")</f>
        <v>408171</v>
      </c>
      <c r="M355" s="438">
        <f t="shared" si="836"/>
        <v>552500</v>
      </c>
      <c r="N355" s="443">
        <f t="shared" ca="1" si="837"/>
        <v>1.3535993492923308</v>
      </c>
      <c r="O355" s="438">
        <f ca="1">IFERROR(
INDEX('Admin - FEOR'!$A$4:$F$465,MATCH(Bérköltség!H355,'Admin - FEOR'!$A$4:$A$465,0),
IF(J355="30 év alatt",3,
IF(J355="30–39 éves",4,
IF(J355="40–49 éves",5,
IF(J355="50 év és afelett",6
)))))*1.5,"NA")</f>
        <v>612256.5</v>
      </c>
      <c r="P355" s="438">
        <f t="shared" ca="1" si="838"/>
        <v>292053.38793103449</v>
      </c>
      <c r="Q355" s="438">
        <f t="shared" si="839"/>
        <v>263549</v>
      </c>
      <c r="R355" s="444">
        <f t="shared" si="840"/>
        <v>0.47701149425287354</v>
      </c>
      <c r="S355" s="438">
        <f t="shared" ca="1" si="841"/>
        <v>0</v>
      </c>
      <c r="T355" s="438">
        <f t="shared" ca="1" si="842"/>
        <v>0</v>
      </c>
      <c r="U355" s="445">
        <f t="shared" ca="1" si="843"/>
        <v>0</v>
      </c>
      <c r="V355" s="446">
        <f t="shared" ca="1" si="844"/>
        <v>283424</v>
      </c>
      <c r="W355" s="447" t="str">
        <f t="shared" ca="1" si="845"/>
        <v>Indoklás szükséges mivel a FEOR: 135,4%</v>
      </c>
      <c r="X355" s="571">
        <f t="shared" ca="1" si="846"/>
        <v>0</v>
      </c>
      <c r="Y355" s="554">
        <f t="shared" ca="1" si="847"/>
        <v>263549</v>
      </c>
      <c r="Z355" s="556">
        <f t="shared" ca="1" si="848"/>
        <v>19875</v>
      </c>
      <c r="AA355" s="464"/>
      <c r="AB355" s="531">
        <v>8448150856</v>
      </c>
      <c r="AC355" s="449" t="s">
        <v>167</v>
      </c>
      <c r="AD355" s="119" t="s">
        <v>46</v>
      </c>
      <c r="AE355" s="533" t="s">
        <v>168</v>
      </c>
      <c r="AF355" s="466" t="s">
        <v>125</v>
      </c>
      <c r="AG355" s="466" t="s">
        <v>153</v>
      </c>
      <c r="AH355" s="451" t="s">
        <v>97</v>
      </c>
      <c r="AI355" s="154">
        <v>45200</v>
      </c>
      <c r="AJ355" s="100" t="str">
        <f>IF(AI355&gt;0,
(IF(AI355&lt;Hónapok!$A$10,Admin!$A$28,
(IF(AI355&lt;Hónapok!$A$22,Admin!$B$28,
(IF(AI355&lt;Hónapok!$A$34,Admin!$C$28,
(IF(AI355&lt;Hónapok!$A$46,Admin!$D$28,"")))))))),"")</f>
        <v>3. mérföldkő</v>
      </c>
      <c r="AK355" s="469" t="s">
        <v>8</v>
      </c>
      <c r="AL355" s="466" t="s">
        <v>26</v>
      </c>
      <c r="AM355" s="900">
        <v>552500</v>
      </c>
      <c r="AN355" s="863">
        <v>41665</v>
      </c>
      <c r="AO355" s="466">
        <v>174</v>
      </c>
      <c r="AP355" s="467">
        <v>83</v>
      </c>
      <c r="AQ355" s="454">
        <f t="shared" si="849"/>
        <v>0.47701149425287354</v>
      </c>
      <c r="AR355" s="455">
        <f t="shared" si="850"/>
        <v>263549</v>
      </c>
      <c r="AS355" s="528">
        <f t="shared" si="851"/>
        <v>19875</v>
      </c>
      <c r="AT355" s="102">
        <f t="shared" si="852"/>
        <v>-2.7045300882155843E-7</v>
      </c>
      <c r="AU355" s="683">
        <f t="shared" si="830"/>
        <v>7.5411764705882359E-2</v>
      </c>
      <c r="AV355" s="565" t="str">
        <f>VLOOKUP(LEFT(AB355,10),Törzsszám!$A$1:$B$908,2,0)</f>
        <v>10002076</v>
      </c>
      <c r="AW355" s="681">
        <f t="shared" ca="1" si="853"/>
        <v>0</v>
      </c>
      <c r="AX355" s="537"/>
      <c r="AY355" s="527"/>
      <c r="AZ355" s="665"/>
      <c r="BA355" s="674"/>
      <c r="BB355" s="651"/>
      <c r="BC355" s="649"/>
      <c r="BD355" s="672"/>
      <c r="BE355" s="703" t="s">
        <v>154</v>
      </c>
    </row>
    <row r="356" spans="1:58" s="457" customFormat="1" ht="21.6" customHeight="1" x14ac:dyDescent="0.25">
      <c r="A356" s="694" t="str">
        <f ca="1">Bérköltség!$B356</f>
        <v>FEOR</v>
      </c>
      <c r="B356" s="694" t="str">
        <f ca="1">IFERROR(
IF(AND(Bérköltség!$F356="",H356="NA"),"HIÁNYOS ADATOK",
IF(Bérköltség!$F356&lt;Bérköltség!$U356,Admin!$B$18,Admin!$B$17)),
"")</f>
        <v>FEOR</v>
      </c>
      <c r="C356" s="437" t="str">
        <f>IFERROR(INDEX('Historikus berek_2021-2'!$A$1:$F$903,MATCH(AB356,'Historikus berek_2021-2'!$A$1:$A$903,0),4),"")</f>
        <v/>
      </c>
      <c r="D356" s="438" t="str">
        <f t="shared" ref="D356" si="854">IFERROR(C356*AQ356,"NA")</f>
        <v>NA</v>
      </c>
      <c r="E356" s="437">
        <f t="shared" ref="E356" si="855">AR356</f>
        <v>263549</v>
      </c>
      <c r="F356" s="439" t="str">
        <f t="shared" ref="F356" si="856">IFERROR(IF((E356*(1+AU356)-D356*(1+AU356))&lt;0,0,(E356*(1+AU356)-D356*(1+AU356))),"")</f>
        <v/>
      </c>
      <c r="G356" s="440" t="str">
        <f t="shared" ref="G356" si="857">IFERROR((E356*(1+AU356)-F356),"")</f>
        <v/>
      </c>
      <c r="H356" s="441">
        <f>IFERROR(INDEX('FEOR kodok'!$A$2:$J$1126,MATCH(Bérköltség!AB356,'FEOR kodok'!$B$2:$B$1126,0),8),"NA")</f>
        <v>3910</v>
      </c>
      <c r="I356" s="436">
        <f ca="1">IFERROR(INDEX('FEOR kodok'!$A$2:$J$1126,MATCH(Bérköltség!AB356,'FEOR kodok'!$B$2:$B$1126,0),10),"NA")</f>
        <v>34</v>
      </c>
      <c r="J356" s="442" t="str">
        <f t="shared" ref="J356" ca="1" si="858">IF(I356="NA","NA",
IF(I356&lt;30,"30 év alatt",
IF(AND(I356&gt;=30,I356&lt;=39),"30–39 éves",
IF(AND(I356&gt;=40,I356&lt;=49),"40–49 éves",
IF(I356&gt;=50,"50 év és afelett",
"")))))</f>
        <v>30–39 éves</v>
      </c>
      <c r="K356" s="436" t="str">
        <f>IFERROR(INDEX(admin_feor[#All],MATCH(Bérköltség!H356,admin_feor[[#All],[Foglalkozás]],0),2),"NA")</f>
        <v>Egyéb ügyintéző</v>
      </c>
      <c r="L356" s="438">
        <f ca="1">IFERROR(
INDEX('Admin - FEOR'!$A$4:$F$465,MATCH(Bérköltség!H356,'Admin - FEOR'!$A$4:$A$465,0),
IF(J356="30 év alatt",3,
IF(J356="30–39 éves",4,
IF(J356="40–49 éves",5,
IF(J356="50 év és afelett",6
)))))*1,"NA")</f>
        <v>408171</v>
      </c>
      <c r="M356" s="438">
        <f t="shared" ref="M356" si="859">AM356</f>
        <v>552500</v>
      </c>
      <c r="N356" s="443">
        <f t="shared" ref="N356" ca="1" si="860">IFERROR(
M356/L356,"NA")</f>
        <v>1.3535993492923308</v>
      </c>
      <c r="O356" s="438">
        <f ca="1">IFERROR(
INDEX('Admin - FEOR'!$A$4:$F$465,MATCH(Bérköltség!H356,'Admin - FEOR'!$A$4:$A$465,0),
IF(J356="30 év alatt",3,
IF(J356="30–39 éves",4,
IF(J356="40–49 éves",5,
IF(J356="50 év és afelett",6
)))))*1.5,"NA")</f>
        <v>612256.5</v>
      </c>
      <c r="P356" s="438">
        <f t="shared" ref="P356" ca="1" si="861">IFERROR(
AQ356*O356,"NA")</f>
        <v>292053.38793103449</v>
      </c>
      <c r="Q356" s="438">
        <f t="shared" ref="Q356" si="862">IFERROR(AR356,"")</f>
        <v>263549</v>
      </c>
      <c r="R356" s="444">
        <f t="shared" ref="R356" si="863">IFERROR(AQ356,"")</f>
        <v>0.47701149425287354</v>
      </c>
      <c r="S356" s="438">
        <f t="shared" ref="S356" ca="1" si="864">IFERROR(
IF(AR356-P356&lt;0,0,AR356-P356),"NA")</f>
        <v>0</v>
      </c>
      <c r="T356" s="438">
        <f t="shared" ref="T356" ca="1" si="865">IFERROR(
S356*AU356,"NA")</f>
        <v>0</v>
      </c>
      <c r="U356" s="445">
        <f t="shared" ref="U356" ca="1" si="866">IFERROR(
S356+T356,"NA")</f>
        <v>0</v>
      </c>
      <c r="V356" s="446">
        <f t="shared" ref="V356" ca="1" si="867">IFERROR(
IF(U356&gt;0,AR356+AS356-U356,AR356+AS356),"NA")</f>
        <v>283424</v>
      </c>
      <c r="W356" s="447" t="str">
        <f t="shared" ref="W356" ca="1" si="868">IF(P356="NA","FEOR hiányzik",
IF(AND(N356&gt;1,A356="FEOR"),CONCATENATE("Indoklás szükséges mivel a FEOR: ",ROUND(N356*100,1),"%"),"Nem szükséges indoklás.")
)</f>
        <v>Indoklás szükséges mivel a FEOR: 135,4%</v>
      </c>
      <c r="X356" s="571">
        <f t="shared" ref="X356" ca="1" si="869">IF(A356="FEOR",U356,IF(A356="HIÁNYOS ADATOK","HIÁNYOS ADATOK",F356))</f>
        <v>0</v>
      </c>
      <c r="Y356" s="554">
        <f t="shared" ref="Y356" ca="1" si="870">IF(A356="FEOR",ROUND(V356/(1+AU356),0),IF(A356="HIÁNYOS ADATOK","HIÁNYOS ADATOK",ROUND(G356/(1+AU356),0)))</f>
        <v>263549</v>
      </c>
      <c r="Z356" s="556">
        <f t="shared" ref="Z356" ca="1" si="871">IF(A356="FEOR",ROUND(V356-Y356,0),IF(A356="HIÁNYOS ADATOK","HIÁNYOS ADATOK",ROUND(G356-Y356,0)))</f>
        <v>19875</v>
      </c>
      <c r="AA356" s="464"/>
      <c r="AB356" s="531">
        <v>8448150856</v>
      </c>
      <c r="AC356" s="449" t="s">
        <v>167</v>
      </c>
      <c r="AD356" s="119" t="s">
        <v>46</v>
      </c>
      <c r="AE356" s="533" t="s">
        <v>168</v>
      </c>
      <c r="AF356" s="466" t="s">
        <v>125</v>
      </c>
      <c r="AG356" s="466" t="s">
        <v>153</v>
      </c>
      <c r="AH356" s="451" t="s">
        <v>97</v>
      </c>
      <c r="AI356" s="154">
        <v>45231</v>
      </c>
      <c r="AJ356" s="100" t="str">
        <f>IF(AI356&gt;0,
(IF(AI356&lt;Hónapok!$A$10,Admin!$A$28,
(IF(AI356&lt;Hónapok!$A$22,Admin!$B$28,
(IF(AI356&lt;Hónapok!$A$34,Admin!$C$28,
(IF(AI356&lt;Hónapok!$A$46,Admin!$D$28,"")))))))),"")</f>
        <v>3. mérföldkő</v>
      </c>
      <c r="AK356" s="469" t="s">
        <v>8</v>
      </c>
      <c r="AL356" s="466" t="s">
        <v>26</v>
      </c>
      <c r="AM356" s="900">
        <v>552500</v>
      </c>
      <c r="AN356" s="863">
        <v>41665</v>
      </c>
      <c r="AO356" s="466">
        <v>174</v>
      </c>
      <c r="AP356" s="467">
        <v>83</v>
      </c>
      <c r="AQ356" s="454">
        <f t="shared" ref="AQ356" si="872">IFERROR(AP356/AO356,"")</f>
        <v>0.47701149425287354</v>
      </c>
      <c r="AR356" s="455">
        <f t="shared" ref="AR356" si="873">IFERROR(ROUND(AM356*AP356/AO356,0),"")</f>
        <v>263549</v>
      </c>
      <c r="AS356" s="528">
        <f t="shared" ref="AS356" si="874">IFERROR(ROUND(AR356*AU356,0),"")</f>
        <v>19875</v>
      </c>
      <c r="AT356" s="102">
        <f t="shared" ref="AT356" si="875">IFERROR(AP356/AO356-AR356/AM356,"")</f>
        <v>-2.7045300882155843E-7</v>
      </c>
      <c r="AU356" s="683">
        <f t="shared" si="830"/>
        <v>7.5411764705882359E-2</v>
      </c>
      <c r="AV356" s="565" t="str">
        <f>VLOOKUP(LEFT(AB356,10),Törzsszám!$A$1:$B$908,2,0)</f>
        <v>10002076</v>
      </c>
      <c r="AW356" s="681">
        <f t="shared" ref="AW356" ca="1" si="876">(Y356+Z356)-(AR356+AS356)</f>
        <v>0</v>
      </c>
      <c r="AX356" s="537"/>
      <c r="AY356" s="527"/>
      <c r="AZ356" s="665"/>
      <c r="BA356" s="674"/>
      <c r="BB356" s="651"/>
      <c r="BC356" s="649"/>
      <c r="BD356" s="672"/>
      <c r="BE356" s="703" t="s">
        <v>154</v>
      </c>
    </row>
    <row r="357" spans="1:58" s="457" customFormat="1" ht="21.6" customHeight="1" x14ac:dyDescent="0.25">
      <c r="A357" s="694" t="str">
        <f ca="1">Bérköltség!$B357</f>
        <v>FEOR</v>
      </c>
      <c r="B357" s="694" t="str">
        <f ca="1">IFERROR(
IF(AND(Bérköltség!$F357="",H357="NA"),"HIÁNYOS ADATOK",
IF(Bérköltség!$F357&lt;Bérköltség!$U357,Admin!$B$18,Admin!$B$17)),
"")</f>
        <v>FEOR</v>
      </c>
      <c r="C357" s="437">
        <f>IFERROR(INDEX('Historikus berek_2021-2'!$A$1:$F$903,MATCH(AB357,'Historikus berek_2021-2'!$A$1:$A$903,0),4),"")</f>
        <v>880000</v>
      </c>
      <c r="D357" s="438">
        <f t="shared" si="784"/>
        <v>283218.3908045977</v>
      </c>
      <c r="E357" s="437">
        <f t="shared" si="785"/>
        <v>305747</v>
      </c>
      <c r="F357" s="439">
        <f t="shared" si="786"/>
        <v>25457.328390804643</v>
      </c>
      <c r="G357" s="440">
        <f t="shared" si="787"/>
        <v>320036.78160919534</v>
      </c>
      <c r="H357" s="441">
        <f>IFERROR(INDEX('FEOR kodok'!$A$2:$J$1126,MATCH(Bérköltség!AB357,'FEOR kodok'!$B$2:$B$1126,0),8),"NA")</f>
        <v>2910</v>
      </c>
      <c r="I357" s="436">
        <f ca="1">IFERROR(INDEX('FEOR kodok'!$A$2:$J$1126,MATCH(Bérköltség!AB357,'FEOR kodok'!$B$2:$B$1126,0),10),"NA")</f>
        <v>44</v>
      </c>
      <c r="J357" s="442" t="str">
        <f t="shared" ca="1" si="788"/>
        <v>40–49 éves</v>
      </c>
      <c r="K357" s="436" t="str">
        <f>IFERROR(INDEX(admin_feor[#All],MATCH(Bérköltség!H357,admin_feor[[#All],[Foglalkozás]],0),2),"NA")</f>
        <v>Egyéb magasan képzett ügyintéző</v>
      </c>
      <c r="L357" s="438">
        <f ca="1">IFERROR(
INDEX('Admin - FEOR'!$A$4:$F$465,MATCH(Bérköltség!H357,'Admin - FEOR'!$A$4:$A$465,0),
IF(J357="30 év alatt",3,
IF(J357="30–39 éves",4,
IF(J357="40–49 éves",5,
IF(J357="50 év és afelett",6
)))))*1,"NA")</f>
        <v>657296</v>
      </c>
      <c r="M357" s="438">
        <f t="shared" si="789"/>
        <v>950000</v>
      </c>
      <c r="N357" s="443">
        <f t="shared" ca="1" si="790"/>
        <v>1.4453153525960907</v>
      </c>
      <c r="O357" s="438">
        <f ca="1">IFERROR(
INDEX('Admin - FEOR'!$A$4:$F$465,MATCH(Bérköltség!H357,'Admin - FEOR'!$A$4:$A$465,0),
IF(J357="30 év alatt",3,
IF(J357="30–39 éves",4,
IF(J357="40–49 éves",5,
IF(J357="50 év és afelett",6
)))))*1.5,"NA")</f>
        <v>985944</v>
      </c>
      <c r="P357" s="438">
        <f t="shared" ca="1" si="791"/>
        <v>317315.31034482759</v>
      </c>
      <c r="Q357" s="438">
        <f t="shared" si="792"/>
        <v>305747</v>
      </c>
      <c r="R357" s="444">
        <f t="shared" si="793"/>
        <v>0.32183908045977011</v>
      </c>
      <c r="S357" s="438">
        <f t="shared" ca="1" si="794"/>
        <v>0</v>
      </c>
      <c r="T357" s="438">
        <f t="shared" ca="1" si="795"/>
        <v>0</v>
      </c>
      <c r="U357" s="445">
        <f t="shared" ca="1" si="796"/>
        <v>0</v>
      </c>
      <c r="V357" s="446">
        <f t="shared" ca="1" si="797"/>
        <v>345494</v>
      </c>
      <c r="W357" s="447" t="str">
        <f t="shared" ca="1" si="798"/>
        <v>Indoklás szükséges mivel a FEOR: 144,5%</v>
      </c>
      <c r="X357" s="571">
        <f t="shared" ca="1" si="799"/>
        <v>0</v>
      </c>
      <c r="Y357" s="554">
        <f t="shared" ca="1" si="800"/>
        <v>305747</v>
      </c>
      <c r="Z357" s="554">
        <f t="shared" ca="1" si="801"/>
        <v>39747</v>
      </c>
      <c r="AA357" s="573" t="s">
        <v>4551</v>
      </c>
      <c r="AB357" s="448">
        <v>8409092557</v>
      </c>
      <c r="AC357" s="449" t="s">
        <v>204</v>
      </c>
      <c r="AD357" s="113" t="s">
        <v>46</v>
      </c>
      <c r="AE357" s="450" t="s">
        <v>56</v>
      </c>
      <c r="AF357" s="99" t="s">
        <v>126</v>
      </c>
      <c r="AG357" s="99" t="s">
        <v>205</v>
      </c>
      <c r="AH357" s="451" t="s">
        <v>97</v>
      </c>
      <c r="AI357" s="154">
        <v>44805</v>
      </c>
      <c r="AJ357" s="100" t="str">
        <f>IF(AI357&gt;0,
(IF(AI357&lt;Hónapok!$A$10,Admin!$A$28,
(IF(AI357&lt;Hónapok!$A$22,Admin!$B$28,
(IF(AI357&lt;Hónapok!$A$34,Admin!$C$28,
(IF(AI357&lt;Hónapok!$A$46,Admin!$D$28,"")))))))),"")</f>
        <v>2. mérföldkő</v>
      </c>
      <c r="AK357" s="467" t="s">
        <v>7</v>
      </c>
      <c r="AL357" s="101" t="s">
        <v>26</v>
      </c>
      <c r="AM357" s="900">
        <v>950000</v>
      </c>
      <c r="AN357" s="860">
        <f t="shared" ref="AN357:AN389" si="877">IFERROR(ROUND(AM357*AU357,0),"")</f>
        <v>123500</v>
      </c>
      <c r="AO357" s="101">
        <v>174</v>
      </c>
      <c r="AP357" s="453">
        <v>56</v>
      </c>
      <c r="AQ357" s="454">
        <f t="shared" si="779"/>
        <v>0.32183908045977011</v>
      </c>
      <c r="AR357" s="455">
        <f t="shared" si="780"/>
        <v>305747</v>
      </c>
      <c r="AS357" s="455">
        <f t="shared" si="781"/>
        <v>39747</v>
      </c>
      <c r="AT357" s="102">
        <f t="shared" si="782"/>
        <v>1.3309134905270525E-7</v>
      </c>
      <c r="AU357" s="116">
        <v>0.13</v>
      </c>
      <c r="AV357" s="565" t="str">
        <f>VLOOKUP(LEFT(AB357,10),Törzsszám!$A$1:$B$908,2,0)</f>
        <v>10001077</v>
      </c>
      <c r="AW357" s="615">
        <f t="shared" ca="1" si="783"/>
        <v>0</v>
      </c>
      <c r="AX357" s="456" t="s">
        <v>228</v>
      </c>
      <c r="AY357" s="486"/>
      <c r="AZ357" s="502"/>
      <c r="BA357" s="671">
        <v>305747</v>
      </c>
      <c r="BB357" s="649">
        <v>39747</v>
      </c>
      <c r="BC357" s="649">
        <v>305747</v>
      </c>
      <c r="BD357" s="672">
        <v>39747</v>
      </c>
      <c r="BE357" s="450"/>
    </row>
    <row r="358" spans="1:58" s="457" customFormat="1" ht="21.6" customHeight="1" x14ac:dyDescent="0.25">
      <c r="A358" s="694" t="str">
        <f ca="1">Bérköltség!$B358</f>
        <v>FEOR</v>
      </c>
      <c r="B358" s="694" t="str">
        <f ca="1">IFERROR(
IF(AND(Bérköltség!$F358="",H358="NA"),"HIÁNYOS ADATOK",
IF(Bérköltség!$F358&lt;Bérköltség!$U358,Admin!$B$18,Admin!$B$17)),
"")</f>
        <v>FEOR</v>
      </c>
      <c r="C358" s="437">
        <f>IFERROR(INDEX('Historikus berek_2021-2'!$A$1:$F$903,MATCH(AB358,'Historikus berek_2021-2'!$A$1:$A$903,0),4),"")</f>
        <v>880000</v>
      </c>
      <c r="D358" s="438">
        <f t="shared" si="784"/>
        <v>283218.3908045977</v>
      </c>
      <c r="E358" s="437">
        <f t="shared" si="785"/>
        <v>305747</v>
      </c>
      <c r="F358" s="439">
        <f t="shared" si="786"/>
        <v>25457.328390804643</v>
      </c>
      <c r="G358" s="440">
        <f t="shared" si="787"/>
        <v>320036.78160919534</v>
      </c>
      <c r="H358" s="441">
        <f>IFERROR(INDEX('FEOR kodok'!$A$2:$J$1126,MATCH(Bérköltség!AB358,'FEOR kodok'!$B$2:$B$1126,0),8),"NA")</f>
        <v>2910</v>
      </c>
      <c r="I358" s="436">
        <f ca="1">IFERROR(INDEX('FEOR kodok'!$A$2:$J$1126,MATCH(Bérköltség!AB358,'FEOR kodok'!$B$2:$B$1126,0),10),"NA")</f>
        <v>44</v>
      </c>
      <c r="J358" s="442" t="str">
        <f t="shared" ca="1" si="788"/>
        <v>40–49 éves</v>
      </c>
      <c r="K358" s="436" t="str">
        <f>IFERROR(INDEX(admin_feor[#All],MATCH(Bérköltség!H358,admin_feor[[#All],[Foglalkozás]],0),2),"NA")</f>
        <v>Egyéb magasan képzett ügyintéző</v>
      </c>
      <c r="L358" s="438">
        <f ca="1">IFERROR(
INDEX('Admin - FEOR'!$A$4:$F$465,MATCH(Bérköltség!H358,'Admin - FEOR'!$A$4:$A$465,0),
IF(J358="30 év alatt",3,
IF(J358="30–39 éves",4,
IF(J358="40–49 éves",5,
IF(J358="50 év és afelett",6
)))))*1,"NA")</f>
        <v>657296</v>
      </c>
      <c r="M358" s="438">
        <f t="shared" si="789"/>
        <v>950000</v>
      </c>
      <c r="N358" s="443">
        <f t="shared" ca="1" si="790"/>
        <v>1.4453153525960907</v>
      </c>
      <c r="O358" s="438">
        <f ca="1">IFERROR(
INDEX('Admin - FEOR'!$A$4:$F$465,MATCH(Bérköltség!H358,'Admin - FEOR'!$A$4:$A$465,0),
IF(J358="30 év alatt",3,
IF(J358="30–39 éves",4,
IF(J358="40–49 éves",5,
IF(J358="50 év és afelett",6
)))))*1.5,"NA")</f>
        <v>985944</v>
      </c>
      <c r="P358" s="438">
        <f t="shared" ca="1" si="791"/>
        <v>317315.31034482759</v>
      </c>
      <c r="Q358" s="438">
        <f t="shared" si="792"/>
        <v>305747</v>
      </c>
      <c r="R358" s="444">
        <f t="shared" si="793"/>
        <v>0.32183908045977011</v>
      </c>
      <c r="S358" s="438">
        <f t="shared" ca="1" si="794"/>
        <v>0</v>
      </c>
      <c r="T358" s="438">
        <f t="shared" ca="1" si="795"/>
        <v>0</v>
      </c>
      <c r="U358" s="445">
        <f t="shared" ca="1" si="796"/>
        <v>0</v>
      </c>
      <c r="V358" s="446">
        <f t="shared" ca="1" si="797"/>
        <v>345494</v>
      </c>
      <c r="W358" s="447" t="str">
        <f t="shared" ca="1" si="798"/>
        <v>Indoklás szükséges mivel a FEOR: 144,5%</v>
      </c>
      <c r="X358" s="571">
        <f t="shared" ca="1" si="799"/>
        <v>0</v>
      </c>
      <c r="Y358" s="554">
        <f t="shared" ca="1" si="800"/>
        <v>305747</v>
      </c>
      <c r="Z358" s="554">
        <f t="shared" ca="1" si="801"/>
        <v>39747</v>
      </c>
      <c r="AA358" s="573" t="s">
        <v>4551</v>
      </c>
      <c r="AB358" s="448">
        <v>8409092557</v>
      </c>
      <c r="AC358" s="449" t="s">
        <v>204</v>
      </c>
      <c r="AD358" s="113" t="s">
        <v>46</v>
      </c>
      <c r="AE358" s="450" t="s">
        <v>56</v>
      </c>
      <c r="AF358" s="99" t="s">
        <v>126</v>
      </c>
      <c r="AG358" s="99" t="s">
        <v>205</v>
      </c>
      <c r="AH358" s="451" t="s">
        <v>97</v>
      </c>
      <c r="AI358" s="154">
        <v>44835</v>
      </c>
      <c r="AJ358" s="100" t="str">
        <f>IF(AI358&gt;0,
(IF(AI358&lt;Hónapok!$A$10,Admin!$A$28,
(IF(AI358&lt;Hónapok!$A$22,Admin!$B$28,
(IF(AI358&lt;Hónapok!$A$34,Admin!$C$28,
(IF(AI358&lt;Hónapok!$A$46,Admin!$D$28,"")))))))),"")</f>
        <v>2. mérföldkő</v>
      </c>
      <c r="AK358" s="467" t="s">
        <v>7</v>
      </c>
      <c r="AL358" s="101" t="s">
        <v>26</v>
      </c>
      <c r="AM358" s="900">
        <v>950000</v>
      </c>
      <c r="AN358" s="860">
        <f t="shared" si="877"/>
        <v>123500</v>
      </c>
      <c r="AO358" s="101">
        <v>174</v>
      </c>
      <c r="AP358" s="111">
        <v>56</v>
      </c>
      <c r="AQ358" s="454">
        <f t="shared" si="779"/>
        <v>0.32183908045977011</v>
      </c>
      <c r="AR358" s="455">
        <f t="shared" si="780"/>
        <v>305747</v>
      </c>
      <c r="AS358" s="455">
        <f t="shared" si="781"/>
        <v>39747</v>
      </c>
      <c r="AT358" s="102">
        <f t="shared" si="782"/>
        <v>1.3309134905270525E-7</v>
      </c>
      <c r="AU358" s="116">
        <v>0.13</v>
      </c>
      <c r="AV358" s="565" t="str">
        <f>VLOOKUP(LEFT(AB358,10),Törzsszám!$A$1:$B$908,2,0)</f>
        <v>10001077</v>
      </c>
      <c r="AW358" s="615">
        <f t="shared" ca="1" si="783"/>
        <v>0</v>
      </c>
      <c r="AX358" s="471" t="s">
        <v>251</v>
      </c>
      <c r="AY358" s="486"/>
      <c r="AZ358" s="502"/>
      <c r="BA358" s="671">
        <v>305747</v>
      </c>
      <c r="BB358" s="649">
        <v>39747</v>
      </c>
      <c r="BC358" s="649">
        <v>305747</v>
      </c>
      <c r="BD358" s="672">
        <v>39747</v>
      </c>
      <c r="BE358" s="450"/>
      <c r="BF358" s="496"/>
    </row>
    <row r="359" spans="1:58" s="457" customFormat="1" ht="21.6" customHeight="1" x14ac:dyDescent="0.25">
      <c r="A359" s="694" t="str">
        <f ca="1">Bérköltség!$B359</f>
        <v>FEOR</v>
      </c>
      <c r="B359" s="694" t="str">
        <f ca="1">IFERROR(
IF(AND(Bérköltség!$F359="",H359="NA"),"HIÁNYOS ADATOK",
IF(Bérköltség!$F359&lt;Bérköltség!$U359,Admin!$B$18,Admin!$B$17)),
"")</f>
        <v>FEOR</v>
      </c>
      <c r="C359" s="437">
        <f>IFERROR(INDEX('Historikus berek_2021-2'!$A$1:$F$903,MATCH(AB359,'Historikus berek_2021-2'!$A$1:$A$903,0),4),"")</f>
        <v>880000</v>
      </c>
      <c r="D359" s="438">
        <f t="shared" si="784"/>
        <v>283218.3908045977</v>
      </c>
      <c r="E359" s="437">
        <f t="shared" si="785"/>
        <v>305747</v>
      </c>
      <c r="F359" s="439">
        <f t="shared" si="786"/>
        <v>25457.328390804643</v>
      </c>
      <c r="G359" s="440">
        <f t="shared" si="787"/>
        <v>320036.78160919534</v>
      </c>
      <c r="H359" s="441">
        <f>IFERROR(INDEX('FEOR kodok'!$A$2:$J$1126,MATCH(Bérköltség!AB359,'FEOR kodok'!$B$2:$B$1126,0),8),"NA")</f>
        <v>2910</v>
      </c>
      <c r="I359" s="436">
        <f ca="1">IFERROR(INDEX('FEOR kodok'!$A$2:$J$1126,MATCH(Bérköltség!AB359,'FEOR kodok'!$B$2:$B$1126,0),10),"NA")</f>
        <v>44</v>
      </c>
      <c r="J359" s="442" t="str">
        <f t="shared" ca="1" si="788"/>
        <v>40–49 éves</v>
      </c>
      <c r="K359" s="436" t="str">
        <f>IFERROR(INDEX(admin_feor[#All],MATCH(Bérköltség!H359,admin_feor[[#All],[Foglalkozás]],0),2),"NA")</f>
        <v>Egyéb magasan képzett ügyintéző</v>
      </c>
      <c r="L359" s="438">
        <f ca="1">IFERROR(
INDEX('Admin - FEOR'!$A$4:$F$465,MATCH(Bérköltség!H359,'Admin - FEOR'!$A$4:$A$465,0),
IF(J359="30 év alatt",3,
IF(J359="30–39 éves",4,
IF(J359="40–49 éves",5,
IF(J359="50 év és afelett",6
)))))*1,"NA")</f>
        <v>657296</v>
      </c>
      <c r="M359" s="438">
        <f t="shared" si="789"/>
        <v>950000</v>
      </c>
      <c r="N359" s="443">
        <f t="shared" ca="1" si="790"/>
        <v>1.4453153525960907</v>
      </c>
      <c r="O359" s="438">
        <f ca="1">IFERROR(
INDEX('Admin - FEOR'!$A$4:$F$465,MATCH(Bérköltség!H359,'Admin - FEOR'!$A$4:$A$465,0),
IF(J359="30 év alatt",3,
IF(J359="30–39 éves",4,
IF(J359="40–49 éves",5,
IF(J359="50 év és afelett",6
)))))*1.5,"NA")</f>
        <v>985944</v>
      </c>
      <c r="P359" s="438">
        <f t="shared" ca="1" si="791"/>
        <v>317315.31034482759</v>
      </c>
      <c r="Q359" s="438">
        <f t="shared" si="792"/>
        <v>305747</v>
      </c>
      <c r="R359" s="444">
        <f t="shared" si="793"/>
        <v>0.32183908045977011</v>
      </c>
      <c r="S359" s="438">
        <f t="shared" ca="1" si="794"/>
        <v>0</v>
      </c>
      <c r="T359" s="438">
        <f t="shared" ca="1" si="795"/>
        <v>0</v>
      </c>
      <c r="U359" s="445">
        <f t="shared" ca="1" si="796"/>
        <v>0</v>
      </c>
      <c r="V359" s="446">
        <f t="shared" ca="1" si="797"/>
        <v>345494</v>
      </c>
      <c r="W359" s="447" t="str">
        <f t="shared" ca="1" si="798"/>
        <v>Indoklás szükséges mivel a FEOR: 144,5%</v>
      </c>
      <c r="X359" s="571">
        <f t="shared" ca="1" si="799"/>
        <v>0</v>
      </c>
      <c r="Y359" s="554">
        <f t="shared" ca="1" si="800"/>
        <v>305747</v>
      </c>
      <c r="Z359" s="554">
        <f t="shared" ca="1" si="801"/>
        <v>39747</v>
      </c>
      <c r="AA359" s="573" t="s">
        <v>4551</v>
      </c>
      <c r="AB359" s="448">
        <v>8409092557</v>
      </c>
      <c r="AC359" s="449" t="s">
        <v>204</v>
      </c>
      <c r="AD359" s="113" t="s">
        <v>46</v>
      </c>
      <c r="AE359" s="450" t="s">
        <v>56</v>
      </c>
      <c r="AF359" s="99" t="s">
        <v>126</v>
      </c>
      <c r="AG359" s="99" t="s">
        <v>205</v>
      </c>
      <c r="AH359" s="451" t="s">
        <v>97</v>
      </c>
      <c r="AI359" s="154">
        <v>44866</v>
      </c>
      <c r="AJ359" s="100" t="str">
        <f>IF(AI359&gt;0,
(IF(AI359&lt;Hónapok!$A$10,Admin!$A$28,
(IF(AI359&lt;Hónapok!$A$22,Admin!$B$28,
(IF(AI359&lt;Hónapok!$A$34,Admin!$C$28,
(IF(AI359&lt;Hónapok!$A$46,Admin!$D$28,"")))))))),"")</f>
        <v>2. mérföldkő</v>
      </c>
      <c r="AK359" s="467" t="s">
        <v>7</v>
      </c>
      <c r="AL359" s="101" t="s">
        <v>26</v>
      </c>
      <c r="AM359" s="900">
        <v>950000</v>
      </c>
      <c r="AN359" s="860">
        <f t="shared" si="877"/>
        <v>123500</v>
      </c>
      <c r="AO359" s="101">
        <v>174</v>
      </c>
      <c r="AP359" s="111">
        <v>56</v>
      </c>
      <c r="AQ359" s="454">
        <f t="shared" si="779"/>
        <v>0.32183908045977011</v>
      </c>
      <c r="AR359" s="455">
        <f t="shared" si="780"/>
        <v>305747</v>
      </c>
      <c r="AS359" s="455">
        <f t="shared" si="781"/>
        <v>39747</v>
      </c>
      <c r="AT359" s="102">
        <f t="shared" si="782"/>
        <v>1.3309134905270525E-7</v>
      </c>
      <c r="AU359" s="116">
        <v>0.13</v>
      </c>
      <c r="AV359" s="565" t="str">
        <f>VLOOKUP(LEFT(AB359,10),Törzsszám!$A$1:$B$908,2,0)</f>
        <v>10001077</v>
      </c>
      <c r="AW359" s="615">
        <f t="shared" ca="1" si="783"/>
        <v>0</v>
      </c>
      <c r="AX359" s="537" t="s">
        <v>260</v>
      </c>
      <c r="AY359" s="486"/>
      <c r="AZ359" s="502"/>
      <c r="BA359" s="671">
        <v>305747</v>
      </c>
      <c r="BB359" s="649">
        <v>39747</v>
      </c>
      <c r="BC359" s="649">
        <v>305747</v>
      </c>
      <c r="BD359" s="672">
        <v>39747</v>
      </c>
      <c r="BE359" s="450"/>
      <c r="BF359" s="496"/>
    </row>
    <row r="360" spans="1:58" s="457" customFormat="1" ht="21.6" customHeight="1" x14ac:dyDescent="0.25">
      <c r="A360" s="694" t="str">
        <f ca="1">Bérköltség!$B360</f>
        <v>FEOR</v>
      </c>
      <c r="B360" s="694" t="str">
        <f ca="1">IFERROR(
IF(AND(Bérköltség!$F360="",H360="NA"),"HIÁNYOS ADATOK",
IF(Bérköltség!$F360&lt;Bérköltség!$U360,Admin!$B$18,Admin!$B$17)),
"")</f>
        <v>FEOR</v>
      </c>
      <c r="C360" s="437">
        <f>IFERROR(INDEX('Historikus berek_2021-2'!$A$1:$F$903,MATCH(AB360,'Historikus berek_2021-2'!$A$1:$A$903,0),4),"")</f>
        <v>880000</v>
      </c>
      <c r="D360" s="438">
        <f t="shared" si="784"/>
        <v>283218.3908045977</v>
      </c>
      <c r="E360" s="437">
        <f t="shared" si="785"/>
        <v>305747</v>
      </c>
      <c r="F360" s="439">
        <f t="shared" si="786"/>
        <v>25457.328390804643</v>
      </c>
      <c r="G360" s="440">
        <f t="shared" si="787"/>
        <v>320036.78160919534</v>
      </c>
      <c r="H360" s="441">
        <f>IFERROR(INDEX('FEOR kodok'!$A$2:$J$1126,MATCH(Bérköltség!AB360,'FEOR kodok'!$B$2:$B$1126,0),8),"NA")</f>
        <v>2910</v>
      </c>
      <c r="I360" s="436">
        <f ca="1">IFERROR(INDEX('FEOR kodok'!$A$2:$J$1126,MATCH(Bérköltség!AB360,'FEOR kodok'!$B$2:$B$1126,0),10),"NA")</f>
        <v>44</v>
      </c>
      <c r="J360" s="442" t="str">
        <f t="shared" ca="1" si="788"/>
        <v>40–49 éves</v>
      </c>
      <c r="K360" s="436" t="str">
        <f>IFERROR(INDEX(admin_feor[#All],MATCH(Bérköltség!H360,admin_feor[[#All],[Foglalkozás]],0),2),"NA")</f>
        <v>Egyéb magasan képzett ügyintéző</v>
      </c>
      <c r="L360" s="438">
        <f ca="1">IFERROR(
INDEX('Admin - FEOR'!$A$4:$F$465,MATCH(Bérköltség!H360,'Admin - FEOR'!$A$4:$A$465,0),
IF(J360="30 év alatt",3,
IF(J360="30–39 éves",4,
IF(J360="40–49 éves",5,
IF(J360="50 év és afelett",6
)))))*1,"NA")</f>
        <v>657296</v>
      </c>
      <c r="M360" s="438">
        <f t="shared" si="789"/>
        <v>950000</v>
      </c>
      <c r="N360" s="443">
        <f t="shared" ca="1" si="790"/>
        <v>1.4453153525960907</v>
      </c>
      <c r="O360" s="438">
        <f ca="1">IFERROR(
INDEX('Admin - FEOR'!$A$4:$F$465,MATCH(Bérköltség!H360,'Admin - FEOR'!$A$4:$A$465,0),
IF(J360="30 év alatt",3,
IF(J360="30–39 éves",4,
IF(J360="40–49 éves",5,
IF(J360="50 év és afelett",6
)))))*1.5,"NA")</f>
        <v>985944</v>
      </c>
      <c r="P360" s="438">
        <f t="shared" ca="1" si="791"/>
        <v>317315.31034482759</v>
      </c>
      <c r="Q360" s="438">
        <f t="shared" si="792"/>
        <v>305747</v>
      </c>
      <c r="R360" s="444">
        <f t="shared" si="793"/>
        <v>0.32183908045977011</v>
      </c>
      <c r="S360" s="438">
        <f t="shared" ca="1" si="794"/>
        <v>0</v>
      </c>
      <c r="T360" s="438">
        <f t="shared" ca="1" si="795"/>
        <v>0</v>
      </c>
      <c r="U360" s="445">
        <f t="shared" ca="1" si="796"/>
        <v>0</v>
      </c>
      <c r="V360" s="446">
        <f t="shared" ca="1" si="797"/>
        <v>345494</v>
      </c>
      <c r="W360" s="447" t="str">
        <f t="shared" ca="1" si="798"/>
        <v>Indoklás szükséges mivel a FEOR: 144,5%</v>
      </c>
      <c r="X360" s="571">
        <f t="shared" ca="1" si="799"/>
        <v>0</v>
      </c>
      <c r="Y360" s="554">
        <f t="shared" ca="1" si="800"/>
        <v>305747</v>
      </c>
      <c r="Z360" s="554">
        <f t="shared" ca="1" si="801"/>
        <v>39747</v>
      </c>
      <c r="AA360" s="573" t="s">
        <v>4551</v>
      </c>
      <c r="AB360" s="448">
        <v>8409092557</v>
      </c>
      <c r="AC360" s="449" t="s">
        <v>204</v>
      </c>
      <c r="AD360" s="113" t="s">
        <v>46</v>
      </c>
      <c r="AE360" s="450" t="s">
        <v>56</v>
      </c>
      <c r="AF360" s="99" t="s">
        <v>126</v>
      </c>
      <c r="AG360" s="99" t="s">
        <v>205</v>
      </c>
      <c r="AH360" s="451" t="s">
        <v>97</v>
      </c>
      <c r="AI360" s="154">
        <v>44896</v>
      </c>
      <c r="AJ360" s="100" t="str">
        <f>IF(AI360&gt;0,
(IF(AI360&lt;Hónapok!$A$10,Admin!$A$28,
(IF(AI360&lt;Hónapok!$A$22,Admin!$B$28,
(IF(AI360&lt;Hónapok!$A$34,Admin!$C$28,
(IF(AI360&lt;Hónapok!$A$46,Admin!$D$28,"")))))))),"")</f>
        <v>2. mérföldkő</v>
      </c>
      <c r="AK360" s="469" t="s">
        <v>7</v>
      </c>
      <c r="AL360" s="101" t="s">
        <v>26</v>
      </c>
      <c r="AM360" s="900">
        <v>950000</v>
      </c>
      <c r="AN360" s="860">
        <f t="shared" si="877"/>
        <v>123500</v>
      </c>
      <c r="AO360" s="101">
        <v>174</v>
      </c>
      <c r="AP360" s="111">
        <v>56</v>
      </c>
      <c r="AQ360" s="454">
        <f t="shared" si="779"/>
        <v>0.32183908045977011</v>
      </c>
      <c r="AR360" s="455">
        <f t="shared" si="780"/>
        <v>305747</v>
      </c>
      <c r="AS360" s="455">
        <f t="shared" si="781"/>
        <v>39747</v>
      </c>
      <c r="AT360" s="102">
        <f t="shared" si="782"/>
        <v>1.3309134905270525E-7</v>
      </c>
      <c r="AU360" s="116">
        <v>0.13</v>
      </c>
      <c r="AV360" s="565" t="str">
        <f>VLOOKUP(LEFT(AB360,10),Törzsszám!$A$1:$B$908,2,0)</f>
        <v>10001077</v>
      </c>
      <c r="AW360" s="615">
        <f t="shared" ca="1" si="783"/>
        <v>0</v>
      </c>
      <c r="AX360" s="537" t="s">
        <v>262</v>
      </c>
      <c r="AY360" s="486"/>
      <c r="AZ360" s="502"/>
      <c r="BA360" s="671">
        <v>305747</v>
      </c>
      <c r="BB360" s="649">
        <v>39747</v>
      </c>
      <c r="BC360" s="649">
        <v>305747</v>
      </c>
      <c r="BD360" s="672">
        <v>39747</v>
      </c>
      <c r="BE360" s="450"/>
      <c r="BF360" s="496"/>
    </row>
    <row r="361" spans="1:58" s="457" customFormat="1" ht="21.6" customHeight="1" x14ac:dyDescent="0.25">
      <c r="A361" s="694" t="str">
        <f ca="1">Bérköltség!$B361</f>
        <v>FEOR</v>
      </c>
      <c r="B361" s="694" t="str">
        <f ca="1">IFERROR(
IF(AND(Bérköltség!$F361="",H361="NA"),"HIÁNYOS ADATOK",
IF(Bérköltség!$F361&lt;Bérköltség!$U361,Admin!$B$18,Admin!$B$17)),
"")</f>
        <v>FEOR</v>
      </c>
      <c r="C361" s="437">
        <f>IFERROR(INDEX('Historikus berek_2021-2'!$A$1:$F$903,MATCH(AB361,'Historikus berek_2021-2'!$A$1:$A$903,0),4),"")</f>
        <v>880000</v>
      </c>
      <c r="D361" s="438">
        <f t="shared" si="784"/>
        <v>283218.3908045977</v>
      </c>
      <c r="E361" s="437">
        <f t="shared" si="785"/>
        <v>310575</v>
      </c>
      <c r="F361" s="439">
        <f t="shared" si="786"/>
        <v>30912.968390804599</v>
      </c>
      <c r="G361" s="440">
        <f t="shared" si="787"/>
        <v>320036.78160919534</v>
      </c>
      <c r="H361" s="441">
        <f>IFERROR(INDEX('FEOR kodok'!$A$2:$J$1126,MATCH(Bérköltség!AB361,'FEOR kodok'!$B$2:$B$1126,0),8),"NA")</f>
        <v>2910</v>
      </c>
      <c r="I361" s="436">
        <f ca="1">IFERROR(INDEX('FEOR kodok'!$A$2:$J$1126,MATCH(Bérköltség!AB361,'FEOR kodok'!$B$2:$B$1126,0),10),"NA")</f>
        <v>44</v>
      </c>
      <c r="J361" s="442" t="str">
        <f t="shared" ca="1" si="788"/>
        <v>40–49 éves</v>
      </c>
      <c r="K361" s="436" t="str">
        <f>IFERROR(INDEX(admin_feor[#All],MATCH(Bérköltség!H361,admin_feor[[#All],[Foglalkozás]],0),2),"NA")</f>
        <v>Egyéb magasan képzett ügyintéző</v>
      </c>
      <c r="L361" s="438">
        <f ca="1">IFERROR(
INDEX('Admin - FEOR'!$A$4:$F$465,MATCH(Bérköltség!H361,'Admin - FEOR'!$A$4:$A$465,0),
IF(J361="30 év alatt",3,
IF(J361="30–39 éves",4,
IF(J361="40–49 éves",5,
IF(J361="50 év és afelett",6
)))))*1,"NA")</f>
        <v>657296</v>
      </c>
      <c r="M361" s="438">
        <f t="shared" si="789"/>
        <v>965000</v>
      </c>
      <c r="N361" s="443">
        <f t="shared" ca="1" si="790"/>
        <v>1.468136121321292</v>
      </c>
      <c r="O361" s="438">
        <f ca="1">IFERROR(
INDEX('Admin - FEOR'!$A$4:$F$465,MATCH(Bérköltség!H361,'Admin - FEOR'!$A$4:$A$465,0),
IF(J361="30 év alatt",3,
IF(J361="30–39 éves",4,
IF(J361="40–49 éves",5,
IF(J361="50 év és afelett",6
)))))*1.5,"NA")</f>
        <v>985944</v>
      </c>
      <c r="P361" s="438">
        <f t="shared" ca="1" si="791"/>
        <v>317315.31034482759</v>
      </c>
      <c r="Q361" s="438">
        <f t="shared" si="792"/>
        <v>310575</v>
      </c>
      <c r="R361" s="444">
        <f t="shared" si="793"/>
        <v>0.32183908045977011</v>
      </c>
      <c r="S361" s="438">
        <f t="shared" ca="1" si="794"/>
        <v>0</v>
      </c>
      <c r="T361" s="438">
        <f t="shared" ca="1" si="795"/>
        <v>0</v>
      </c>
      <c r="U361" s="445">
        <f t="shared" ca="1" si="796"/>
        <v>0</v>
      </c>
      <c r="V361" s="446">
        <f t="shared" ca="1" si="797"/>
        <v>350950</v>
      </c>
      <c r="W361" s="447" t="str">
        <f t="shared" ca="1" si="798"/>
        <v>Indoklás szükséges mivel a FEOR: 146,8%</v>
      </c>
      <c r="X361" s="571">
        <f t="shared" ca="1" si="799"/>
        <v>0</v>
      </c>
      <c r="Y361" s="554">
        <f t="shared" ca="1" si="800"/>
        <v>310575</v>
      </c>
      <c r="Z361" s="554">
        <f t="shared" ca="1" si="801"/>
        <v>40375</v>
      </c>
      <c r="AA361" s="573" t="s">
        <v>4551</v>
      </c>
      <c r="AB361" s="448">
        <v>8409092557</v>
      </c>
      <c r="AC361" s="449" t="s">
        <v>204</v>
      </c>
      <c r="AD361" s="113" t="s">
        <v>46</v>
      </c>
      <c r="AE361" s="450" t="s">
        <v>56</v>
      </c>
      <c r="AF361" s="99" t="s">
        <v>126</v>
      </c>
      <c r="AG361" s="99" t="s">
        <v>205</v>
      </c>
      <c r="AH361" s="451" t="s">
        <v>97</v>
      </c>
      <c r="AI361" s="154">
        <v>44927</v>
      </c>
      <c r="AJ361" s="100" t="str">
        <f>IF(AI361&gt;0,
(IF(AI361&lt;Hónapok!$A$10,Admin!$A$28,
(IF(AI361&lt;Hónapok!$A$22,Admin!$B$28,
(IF(AI361&lt;Hónapok!$A$34,Admin!$C$28,
(IF(AI361&lt;Hónapok!$A$46,Admin!$D$28,"")))))))),"")</f>
        <v>2. mérföldkő</v>
      </c>
      <c r="AK361" s="469" t="s">
        <v>7</v>
      </c>
      <c r="AL361" s="101" t="s">
        <v>26</v>
      </c>
      <c r="AM361" s="900">
        <v>965000</v>
      </c>
      <c r="AN361" s="860">
        <f t="shared" si="877"/>
        <v>125450</v>
      </c>
      <c r="AO361" s="101">
        <v>174</v>
      </c>
      <c r="AP361" s="111">
        <v>56</v>
      </c>
      <c r="AQ361" s="454">
        <f t="shared" si="779"/>
        <v>0.32183908045977011</v>
      </c>
      <c r="AR361" s="455">
        <f t="shared" si="780"/>
        <v>310575</v>
      </c>
      <c r="AS361" s="455">
        <f t="shared" si="781"/>
        <v>40375</v>
      </c>
      <c r="AT361" s="102">
        <f t="shared" si="782"/>
        <v>-2.977785718560888E-7</v>
      </c>
      <c r="AU361" s="116">
        <v>0.13</v>
      </c>
      <c r="AV361" s="565" t="str">
        <f>VLOOKUP(LEFT(AB361,10),Törzsszám!$A$1:$B$908,2,0)</f>
        <v>10001077</v>
      </c>
      <c r="AW361" s="615">
        <f t="shared" ca="1" si="783"/>
        <v>0</v>
      </c>
      <c r="AX361" s="537" t="s">
        <v>2518</v>
      </c>
      <c r="AY361" s="486"/>
      <c r="AZ361" s="502"/>
      <c r="BA361" s="671">
        <v>310575</v>
      </c>
      <c r="BB361" s="649">
        <v>40375</v>
      </c>
      <c r="BC361" s="649">
        <v>310575</v>
      </c>
      <c r="BD361" s="672">
        <v>40375</v>
      </c>
      <c r="BE361" s="450"/>
      <c r="BF361" s="496"/>
    </row>
    <row r="362" spans="1:58" s="457" customFormat="1" ht="32.450000000000003" customHeight="1" x14ac:dyDescent="0.25">
      <c r="A362" s="694" t="str">
        <f ca="1">Bérköltség!$B362</f>
        <v>FEOR</v>
      </c>
      <c r="B362" s="694" t="str">
        <f ca="1">IFERROR(
IF(AND(Bérköltség!$F362="",H362="NA"),"HIÁNYOS ADATOK",
IF(Bérköltség!$F362&lt;Bérköltség!$U362,Admin!$B$18,Admin!$B$17)),
"")</f>
        <v>FEOR</v>
      </c>
      <c r="C362" s="437">
        <f>IFERROR(INDEX('Historikus berek_2021-2'!$A$1:$F$903,MATCH(AB362,'Historikus berek_2021-2'!$A$1:$A$903,0),4),"")</f>
        <v>880000</v>
      </c>
      <c r="D362" s="438">
        <f t="shared" si="784"/>
        <v>283218.3908045977</v>
      </c>
      <c r="E362" s="437">
        <f t="shared" si="785"/>
        <v>310574</v>
      </c>
      <c r="F362" s="439">
        <f t="shared" si="786"/>
        <v>30911.838390804653</v>
      </c>
      <c r="G362" s="440">
        <f t="shared" si="787"/>
        <v>320036.78160919534</v>
      </c>
      <c r="H362" s="441">
        <f>IFERROR(INDEX('FEOR kodok'!$A$2:$J$1126,MATCH(Bérköltség!AB362,'FEOR kodok'!$B$2:$B$1126,0),8),"NA")</f>
        <v>2910</v>
      </c>
      <c r="I362" s="436">
        <f ca="1">IFERROR(INDEX('FEOR kodok'!$A$2:$J$1126,MATCH(Bérköltség!AB362,'FEOR kodok'!$B$2:$B$1126,0),10),"NA")</f>
        <v>44</v>
      </c>
      <c r="J362" s="442" t="str">
        <f t="shared" ca="1" si="788"/>
        <v>40–49 éves</v>
      </c>
      <c r="K362" s="436" t="str">
        <f>IFERROR(INDEX(admin_feor[#All],MATCH(Bérköltség!H362,admin_feor[[#All],[Foglalkozás]],0),2),"NA")</f>
        <v>Egyéb magasan képzett ügyintéző</v>
      </c>
      <c r="L362" s="438">
        <f ca="1">IFERROR(
INDEX('Admin - FEOR'!$A$4:$F$465,MATCH(Bérköltség!H362,'Admin - FEOR'!$A$4:$A$465,0),
IF(J362="30 év alatt",3,
IF(J362="30–39 éves",4,
IF(J362="40–49 éves",5,
IF(J362="50 év és afelett",6
)))))*1,"NA")</f>
        <v>657296</v>
      </c>
      <c r="M362" s="438">
        <f t="shared" si="789"/>
        <v>964999</v>
      </c>
      <c r="N362" s="443">
        <f t="shared" ca="1" si="790"/>
        <v>1.4681345999367104</v>
      </c>
      <c r="O362" s="438">
        <f ca="1">IFERROR(
INDEX('Admin - FEOR'!$A$4:$F$465,MATCH(Bérköltség!H362,'Admin - FEOR'!$A$4:$A$465,0),
IF(J362="30 év alatt",3,
IF(J362="30–39 éves",4,
IF(J362="40–49 éves",5,
IF(J362="50 év és afelett",6
)))))*1.5,"NA")</f>
        <v>985944</v>
      </c>
      <c r="P362" s="438">
        <f t="shared" ca="1" si="791"/>
        <v>317315.31034482759</v>
      </c>
      <c r="Q362" s="438">
        <f t="shared" si="792"/>
        <v>310574</v>
      </c>
      <c r="R362" s="444">
        <f t="shared" si="793"/>
        <v>0.32183908045977011</v>
      </c>
      <c r="S362" s="438">
        <f t="shared" ca="1" si="794"/>
        <v>0</v>
      </c>
      <c r="T362" s="438">
        <f t="shared" ca="1" si="795"/>
        <v>0</v>
      </c>
      <c r="U362" s="445">
        <f t="shared" ca="1" si="796"/>
        <v>0</v>
      </c>
      <c r="V362" s="446">
        <f t="shared" ca="1" si="797"/>
        <v>350949</v>
      </c>
      <c r="W362" s="447" t="str">
        <f t="shared" ca="1" si="798"/>
        <v>Indoklás szükséges mivel a FEOR: 146,8%</v>
      </c>
      <c r="X362" s="571">
        <f t="shared" ca="1" si="799"/>
        <v>0</v>
      </c>
      <c r="Y362" s="554">
        <f t="shared" ca="1" si="800"/>
        <v>310574</v>
      </c>
      <c r="Z362" s="554">
        <f t="shared" ca="1" si="801"/>
        <v>40375</v>
      </c>
      <c r="AA362" s="573"/>
      <c r="AB362" s="448">
        <v>8409092557</v>
      </c>
      <c r="AC362" s="449" t="s">
        <v>204</v>
      </c>
      <c r="AD362" s="113" t="s">
        <v>46</v>
      </c>
      <c r="AE362" s="450" t="s">
        <v>56</v>
      </c>
      <c r="AF362" s="99" t="s">
        <v>126</v>
      </c>
      <c r="AG362" s="99" t="s">
        <v>4560</v>
      </c>
      <c r="AH362" s="451" t="s">
        <v>97</v>
      </c>
      <c r="AI362" s="154">
        <v>44958</v>
      </c>
      <c r="AJ362" s="100" t="str">
        <f>IF(AI362&gt;0,
(IF(AI362&lt;Hónapok!$A$10,Admin!$A$28,
(IF(AI362&lt;Hónapok!$A$22,Admin!$B$28,
(IF(AI362&lt;Hónapok!$A$34,Admin!$C$28,
(IF(AI362&lt;Hónapok!$A$46,Admin!$D$28,"")))))))),"")</f>
        <v>2. mérföldkő</v>
      </c>
      <c r="AK362" s="469" t="s">
        <v>7</v>
      </c>
      <c r="AL362" s="101" t="s">
        <v>26</v>
      </c>
      <c r="AM362" s="900">
        <f>965000-1</f>
        <v>964999</v>
      </c>
      <c r="AN362" s="860">
        <f t="shared" si="877"/>
        <v>125450</v>
      </c>
      <c r="AO362" s="101">
        <v>174</v>
      </c>
      <c r="AP362" s="111">
        <v>56</v>
      </c>
      <c r="AQ362" s="454">
        <f t="shared" si="779"/>
        <v>0.32183908045977011</v>
      </c>
      <c r="AR362" s="455">
        <f t="shared" si="780"/>
        <v>310574</v>
      </c>
      <c r="AS362" s="455">
        <f t="shared" si="781"/>
        <v>40375</v>
      </c>
      <c r="AT362" s="102">
        <f t="shared" si="782"/>
        <v>4.0497927739080453E-7</v>
      </c>
      <c r="AU362" s="116">
        <v>0.13</v>
      </c>
      <c r="AV362" s="565" t="str">
        <f>VLOOKUP(LEFT(AB362,10),Törzsszám!$A$1:$B$908,2,0)</f>
        <v>10001077</v>
      </c>
      <c r="AW362" s="615">
        <f t="shared" ca="1" si="783"/>
        <v>0</v>
      </c>
      <c r="AX362" s="537" t="s">
        <v>4557</v>
      </c>
      <c r="AY362" s="486"/>
      <c r="AZ362" s="502"/>
      <c r="BA362" s="671"/>
      <c r="BB362" s="649"/>
      <c r="BC362" s="649"/>
      <c r="BD362" s="672"/>
      <c r="BE362" s="450"/>
      <c r="BF362" s="496"/>
    </row>
    <row r="363" spans="1:58" s="457" customFormat="1" ht="47.25" x14ac:dyDescent="0.25">
      <c r="A363" s="694" t="str">
        <f ca="1">Bérköltség!$B363</f>
        <v>FEOR</v>
      </c>
      <c r="B363" s="694" t="str">
        <f ca="1">IFERROR(
IF(AND(Bérköltség!$F363="",H363="NA"),"HIÁNYOS ADATOK",
IF(Bérköltség!$F363&lt;Bérköltség!$U363,Admin!$B$18,Admin!$B$17)),
"")</f>
        <v>FEOR</v>
      </c>
      <c r="C363" s="437">
        <f>IFERROR(INDEX('Historikus berek_2021-2'!$A$1:$F$903,MATCH(AB363,'Historikus berek_2021-2'!$A$1:$A$903,0),4),"")</f>
        <v>880000</v>
      </c>
      <c r="D363" s="438">
        <f t="shared" si="784"/>
        <v>283218.3908045977</v>
      </c>
      <c r="E363" s="437">
        <f t="shared" si="785"/>
        <v>310575</v>
      </c>
      <c r="F363" s="439">
        <f t="shared" si="786"/>
        <v>30912.968390804599</v>
      </c>
      <c r="G363" s="440">
        <f t="shared" si="787"/>
        <v>320036.78160919534</v>
      </c>
      <c r="H363" s="441">
        <f>IFERROR(INDEX('FEOR kodok'!$A$2:$J$1126,MATCH(Bérköltség!AB363,'FEOR kodok'!$B$2:$B$1126,0),8),"NA")</f>
        <v>2910</v>
      </c>
      <c r="I363" s="436">
        <f ca="1">IFERROR(INDEX('FEOR kodok'!$A$2:$J$1126,MATCH(Bérköltség!AB363,'FEOR kodok'!$B$2:$B$1126,0),10),"NA")</f>
        <v>44</v>
      </c>
      <c r="J363" s="442" t="str">
        <f t="shared" ca="1" si="788"/>
        <v>40–49 éves</v>
      </c>
      <c r="K363" s="436" t="str">
        <f>IFERROR(INDEX(admin_feor[#All],MATCH(Bérköltség!H363,admin_feor[[#All],[Foglalkozás]],0),2),"NA")</f>
        <v>Egyéb magasan képzett ügyintéző</v>
      </c>
      <c r="L363" s="438">
        <f ca="1">IFERROR(
INDEX('Admin - FEOR'!$A$4:$F$465,MATCH(Bérköltség!H363,'Admin - FEOR'!$A$4:$A$465,0),
IF(J363="30 év alatt",3,
IF(J363="30–39 éves",4,
IF(J363="40–49 éves",5,
IF(J363="50 év és afelett",6
)))))*1,"NA")</f>
        <v>657296</v>
      </c>
      <c r="M363" s="438">
        <f t="shared" si="789"/>
        <v>965000</v>
      </c>
      <c r="N363" s="443">
        <f t="shared" ca="1" si="790"/>
        <v>1.468136121321292</v>
      </c>
      <c r="O363" s="438">
        <f ca="1">IFERROR(
INDEX('Admin - FEOR'!$A$4:$F$465,MATCH(Bérköltség!H363,'Admin - FEOR'!$A$4:$A$465,0),
IF(J363="30 év alatt",3,
IF(J363="30–39 éves",4,
IF(J363="40–49 éves",5,
IF(J363="50 év és afelett",6
)))))*1.5,"NA")</f>
        <v>985944</v>
      </c>
      <c r="P363" s="438">
        <f t="shared" ca="1" si="791"/>
        <v>317315.31034482759</v>
      </c>
      <c r="Q363" s="438">
        <f t="shared" si="792"/>
        <v>310575</v>
      </c>
      <c r="R363" s="444">
        <f t="shared" si="793"/>
        <v>0.32183908045977011</v>
      </c>
      <c r="S363" s="438">
        <f t="shared" ca="1" si="794"/>
        <v>0</v>
      </c>
      <c r="T363" s="438">
        <f t="shared" ca="1" si="795"/>
        <v>0</v>
      </c>
      <c r="U363" s="445">
        <f t="shared" ca="1" si="796"/>
        <v>0</v>
      </c>
      <c r="V363" s="446">
        <f t="shared" ca="1" si="797"/>
        <v>350950</v>
      </c>
      <c r="W363" s="447" t="str">
        <f t="shared" ca="1" si="798"/>
        <v>Indoklás szükséges mivel a FEOR: 146,8%</v>
      </c>
      <c r="X363" s="571">
        <f t="shared" ca="1" si="799"/>
        <v>0</v>
      </c>
      <c r="Y363" s="554">
        <f t="shared" ca="1" si="800"/>
        <v>310575</v>
      </c>
      <c r="Z363" s="554">
        <f t="shared" ca="1" si="801"/>
        <v>40375</v>
      </c>
      <c r="AA363" s="101"/>
      <c r="AB363" s="448">
        <v>8409092557</v>
      </c>
      <c r="AC363" s="449" t="s">
        <v>204</v>
      </c>
      <c r="AD363" s="113" t="s">
        <v>46</v>
      </c>
      <c r="AE363" s="450" t="s">
        <v>56</v>
      </c>
      <c r="AF363" s="99" t="s">
        <v>126</v>
      </c>
      <c r="AG363" s="99" t="s">
        <v>4560</v>
      </c>
      <c r="AH363" s="451" t="s">
        <v>97</v>
      </c>
      <c r="AI363" s="154">
        <v>44986</v>
      </c>
      <c r="AJ363" s="100" t="str">
        <f>IF(AI363&gt;0,
(IF(AI363&lt;Hónapok!$A$10,Admin!$A$28,
(IF(AI363&lt;Hónapok!$A$22,Admin!$B$28,
(IF(AI363&lt;Hónapok!$A$34,Admin!$C$28,
(IF(AI363&lt;Hónapok!$A$46,Admin!$D$28,"")))))))),"")</f>
        <v>3. mérföldkő</v>
      </c>
      <c r="AK363" s="470" t="s">
        <v>7</v>
      </c>
      <c r="AL363" s="101" t="s">
        <v>26</v>
      </c>
      <c r="AM363" s="900">
        <v>965000</v>
      </c>
      <c r="AN363" s="860">
        <f t="shared" si="877"/>
        <v>125450</v>
      </c>
      <c r="AO363" s="101">
        <v>174</v>
      </c>
      <c r="AP363" s="111">
        <v>56</v>
      </c>
      <c r="AQ363" s="454">
        <f t="shared" si="779"/>
        <v>0.32183908045977011</v>
      </c>
      <c r="AR363" s="455">
        <f t="shared" si="780"/>
        <v>310575</v>
      </c>
      <c r="AS363" s="455">
        <f t="shared" si="781"/>
        <v>40375</v>
      </c>
      <c r="AT363" s="102">
        <f t="shared" si="782"/>
        <v>-2.977785718560888E-7</v>
      </c>
      <c r="AU363" s="116">
        <v>0.13</v>
      </c>
      <c r="AV363" s="565" t="str">
        <f>VLOOKUP(LEFT(AB363,10),Törzsszám!$A$1:$B$908,2,0)</f>
        <v>10001077</v>
      </c>
      <c r="AW363" s="681">
        <f t="shared" ca="1" si="783"/>
        <v>0</v>
      </c>
      <c r="AX363" s="471" t="s">
        <v>4561</v>
      </c>
      <c r="AY363" s="486"/>
      <c r="AZ363" s="502"/>
      <c r="BA363" s="671"/>
      <c r="BB363" s="649"/>
      <c r="BC363" s="649"/>
      <c r="BD363" s="672"/>
      <c r="BE363" s="450"/>
      <c r="BF363" s="287"/>
    </row>
    <row r="364" spans="1:58" s="457" customFormat="1" ht="47.25" x14ac:dyDescent="0.25">
      <c r="A364" s="694" t="str">
        <f ca="1">Bérköltség!$B364</f>
        <v>FEOR</v>
      </c>
      <c r="B364" s="694" t="str">
        <f ca="1">IFERROR(
IF(AND(Bérköltség!$F364="",H364="NA"),"HIÁNYOS ADATOK",
IF(Bérköltség!$F364&lt;Bérköltség!$U364,Admin!$B$18,Admin!$B$17)),
"")</f>
        <v>FEOR</v>
      </c>
      <c r="C364" s="437">
        <f>IFERROR(INDEX('Historikus berek_2021-2'!$A$1:$F$903,MATCH(AB364,'Historikus berek_2021-2'!$A$1:$A$903,0),4),"")</f>
        <v>880000</v>
      </c>
      <c r="D364" s="438">
        <f t="shared" si="784"/>
        <v>283218.3908045977</v>
      </c>
      <c r="E364" s="437">
        <f t="shared" si="785"/>
        <v>0</v>
      </c>
      <c r="F364" s="439">
        <f t="shared" si="786"/>
        <v>0</v>
      </c>
      <c r="G364" s="440">
        <f t="shared" si="787"/>
        <v>0</v>
      </c>
      <c r="H364" s="441">
        <f>IFERROR(INDEX('FEOR kodok'!$A$2:$J$1126,MATCH(Bérköltség!AB364,'FEOR kodok'!$B$2:$B$1126,0),8),"NA")</f>
        <v>2910</v>
      </c>
      <c r="I364" s="436">
        <f ca="1">IFERROR(INDEX('FEOR kodok'!$A$2:$J$1126,MATCH(Bérköltség!AB364,'FEOR kodok'!$B$2:$B$1126,0),10),"NA")</f>
        <v>44</v>
      </c>
      <c r="J364" s="442" t="str">
        <f t="shared" ca="1" si="788"/>
        <v>40–49 éves</v>
      </c>
      <c r="K364" s="436" t="str">
        <f>IFERROR(INDEX(admin_feor[#All],MATCH(Bérköltség!H364,admin_feor[[#All],[Foglalkozás]],0),2),"NA")</f>
        <v>Egyéb magasan képzett ügyintéző</v>
      </c>
      <c r="L364" s="438">
        <f ca="1">IFERROR(
INDEX('Admin - FEOR'!$A$4:$F$465,MATCH(Bérköltség!H364,'Admin - FEOR'!$A$4:$A$465,0),
IF(J364="30 év alatt",3,
IF(J364="30–39 éves",4,
IF(J364="40–49 éves",5,
IF(J364="50 év és afelett",6
)))))*1,"NA")</f>
        <v>657296</v>
      </c>
      <c r="M364" s="438">
        <f t="shared" si="789"/>
        <v>0</v>
      </c>
      <c r="N364" s="443">
        <f t="shared" ca="1" si="790"/>
        <v>0</v>
      </c>
      <c r="O364" s="438">
        <f ca="1">IFERROR(
INDEX('Admin - FEOR'!$A$4:$F$465,MATCH(Bérköltség!H364,'Admin - FEOR'!$A$4:$A$465,0),
IF(J364="30 év alatt",3,
IF(J364="30–39 éves",4,
IF(J364="40–49 éves",5,
IF(J364="50 év és afelett",6
)))))*1.5,"NA")</f>
        <v>985944</v>
      </c>
      <c r="P364" s="438">
        <f t="shared" ca="1" si="791"/>
        <v>317315.31034482759</v>
      </c>
      <c r="Q364" s="438">
        <f t="shared" si="792"/>
        <v>0</v>
      </c>
      <c r="R364" s="444">
        <f t="shared" si="793"/>
        <v>0.32183908045977011</v>
      </c>
      <c r="S364" s="438">
        <f t="shared" ca="1" si="794"/>
        <v>0</v>
      </c>
      <c r="T364" s="438">
        <f t="shared" ca="1" si="795"/>
        <v>0</v>
      </c>
      <c r="U364" s="445">
        <f t="shared" ca="1" si="796"/>
        <v>0</v>
      </c>
      <c r="V364" s="446">
        <f t="shared" ca="1" si="797"/>
        <v>0</v>
      </c>
      <c r="W364" s="447" t="str">
        <f t="shared" ca="1" si="798"/>
        <v>Nem szükséges indoklás.</v>
      </c>
      <c r="X364" s="571">
        <f t="shared" ca="1" si="799"/>
        <v>0</v>
      </c>
      <c r="Y364" s="554">
        <f t="shared" ca="1" si="800"/>
        <v>0</v>
      </c>
      <c r="Z364" s="554">
        <f ca="1">IF(A364="FEOR",ROUND(V364-Y364,0),IF(A364="HIÁNYOS ADATOK","HIÁNYOS ADATOK",ROUND(G364-Y364,0)))</f>
        <v>0</v>
      </c>
      <c r="AA364" s="101"/>
      <c r="AB364" s="448">
        <v>8409092557</v>
      </c>
      <c r="AC364" s="449" t="s">
        <v>204</v>
      </c>
      <c r="AD364" s="113" t="s">
        <v>46</v>
      </c>
      <c r="AE364" s="450" t="s">
        <v>56</v>
      </c>
      <c r="AF364" s="99" t="s">
        <v>126</v>
      </c>
      <c r="AG364" s="99" t="s">
        <v>4560</v>
      </c>
      <c r="AH364" s="451" t="s">
        <v>97</v>
      </c>
      <c r="AI364" s="154">
        <v>45017</v>
      </c>
      <c r="AJ364" s="100" t="str">
        <f>IF(AI364&gt;0,
(IF(AI364&lt;Hónapok!$A$10,Admin!$A$28,
(IF(AI364&lt;Hónapok!$A$22,Admin!$B$28,
(IF(AI364&lt;Hónapok!$A$34,Admin!$C$28,
(IF(AI364&lt;Hónapok!$A$46,Admin!$D$28,"")))))))),"")</f>
        <v>3. mérföldkő</v>
      </c>
      <c r="AK364" s="469" t="s">
        <v>7</v>
      </c>
      <c r="AL364" s="101" t="s">
        <v>26</v>
      </c>
      <c r="AM364" s="900">
        <v>0</v>
      </c>
      <c r="AN364" s="860">
        <f t="shared" si="877"/>
        <v>0</v>
      </c>
      <c r="AO364" s="101">
        <v>174</v>
      </c>
      <c r="AP364" s="111">
        <v>56</v>
      </c>
      <c r="AQ364" s="454">
        <f t="shared" si="779"/>
        <v>0.32183908045977011</v>
      </c>
      <c r="AR364" s="455">
        <f t="shared" si="780"/>
        <v>0</v>
      </c>
      <c r="AS364" s="455">
        <f t="shared" si="781"/>
        <v>0</v>
      </c>
      <c r="AT364" s="102" t="str">
        <f t="shared" si="782"/>
        <v/>
      </c>
      <c r="AU364" s="116">
        <v>0.13</v>
      </c>
      <c r="AV364" s="565" t="str">
        <f>VLOOKUP(LEFT(AB364,10),Törzsszám!$A$1:$B$908,2,0)</f>
        <v>10001077</v>
      </c>
      <c r="AW364" s="681">
        <f t="shared" ca="1" si="783"/>
        <v>0</v>
      </c>
      <c r="AX364" s="471" t="s">
        <v>4581</v>
      </c>
      <c r="AY364" s="486"/>
      <c r="AZ364" s="502"/>
      <c r="BA364" s="671"/>
      <c r="BB364" s="649"/>
      <c r="BC364" s="649"/>
      <c r="BD364" s="672"/>
      <c r="BE364" s="450"/>
      <c r="BF364" s="287"/>
    </row>
    <row r="365" spans="1:58" s="457" customFormat="1" ht="47.25" x14ac:dyDescent="0.25">
      <c r="A365" s="694" t="str">
        <f ca="1">Bérköltség!$B365</f>
        <v>FEOR</v>
      </c>
      <c r="B365" s="694" t="str">
        <f ca="1">IFERROR(
IF(AND(Bérköltség!$F365="",H365="NA"),"HIÁNYOS ADATOK",
IF(Bérköltség!$F365&lt;Bérköltség!$U365,Admin!$B$18,Admin!$B$17)),
"")</f>
        <v>FEOR</v>
      </c>
      <c r="C365" s="437">
        <f>IFERROR(INDEX('Historikus berek_2021-2'!$A$1:$F$903,MATCH(AB365,'Historikus berek_2021-2'!$A$1:$A$903,0),4),"")</f>
        <v>880000</v>
      </c>
      <c r="D365" s="438">
        <f t="shared" si="784"/>
        <v>566436.7816091954</v>
      </c>
      <c r="E365" s="437">
        <f t="shared" si="785"/>
        <v>310897</v>
      </c>
      <c r="F365" s="439">
        <f t="shared" si="786"/>
        <v>0</v>
      </c>
      <c r="G365" s="440">
        <f t="shared" si="787"/>
        <v>351313.61</v>
      </c>
      <c r="H365" s="441">
        <f>IFERROR(INDEX('FEOR kodok'!$A$2:$J$1126,MATCH(Bérköltség!AB365,'FEOR kodok'!$B$2:$B$1126,0),8),"NA")</f>
        <v>2910</v>
      </c>
      <c r="I365" s="436">
        <f ca="1">IFERROR(INDEX('FEOR kodok'!$A$2:$J$1126,MATCH(Bérköltség!AB365,'FEOR kodok'!$B$2:$B$1126,0),10),"NA")</f>
        <v>44</v>
      </c>
      <c r="J365" s="442" t="str">
        <f t="shared" ca="1" si="788"/>
        <v>40–49 éves</v>
      </c>
      <c r="K365" s="436" t="str">
        <f>IFERROR(INDEX(admin_feor[#All],MATCH(Bérköltség!H365,admin_feor[[#All],[Foglalkozás]],0),2),"NA")</f>
        <v>Egyéb magasan képzett ügyintéző</v>
      </c>
      <c r="L365" s="438">
        <f ca="1">IFERROR(
INDEX('Admin - FEOR'!$A$4:$F$465,MATCH(Bérköltség!H365,'Admin - FEOR'!$A$4:$A$465,0),
IF(J365="30 év alatt",3,
IF(J365="30–39 éves",4,
IF(J365="40–49 éves",5,
IF(J365="50 év és afelett",6
)))))*1,"NA")</f>
        <v>657296</v>
      </c>
      <c r="M365" s="438">
        <f t="shared" si="789"/>
        <v>483000</v>
      </c>
      <c r="N365" s="443">
        <f t="shared" ca="1" si="790"/>
        <v>0.73482875295148609</v>
      </c>
      <c r="O365" s="438">
        <f ca="1">IFERROR(
INDEX('Admin - FEOR'!$A$4:$F$465,MATCH(Bérköltség!H365,'Admin - FEOR'!$A$4:$A$465,0),
IF(J365="30 év alatt",3,
IF(J365="30–39 éves",4,
IF(J365="40–49 éves",5,
IF(J365="50 év és afelett",6
)))))*1.5,"NA")</f>
        <v>985944</v>
      </c>
      <c r="P365" s="438">
        <f t="shared" ca="1" si="791"/>
        <v>634630.62068965519</v>
      </c>
      <c r="Q365" s="438">
        <f t="shared" si="792"/>
        <v>310897</v>
      </c>
      <c r="R365" s="444">
        <f t="shared" si="793"/>
        <v>0.64367816091954022</v>
      </c>
      <c r="S365" s="438">
        <f t="shared" ca="1" si="794"/>
        <v>0</v>
      </c>
      <c r="T365" s="438">
        <f t="shared" ca="1" si="795"/>
        <v>0</v>
      </c>
      <c r="U365" s="445">
        <f t="shared" ca="1" si="796"/>
        <v>0</v>
      </c>
      <c r="V365" s="446">
        <f t="shared" ca="1" si="797"/>
        <v>351314</v>
      </c>
      <c r="W365" s="447" t="str">
        <f t="shared" ca="1" si="798"/>
        <v>Nem szükséges indoklás.</v>
      </c>
      <c r="X365" s="571">
        <f t="shared" ca="1" si="799"/>
        <v>0</v>
      </c>
      <c r="Y365" s="554">
        <f t="shared" ca="1" si="800"/>
        <v>310897</v>
      </c>
      <c r="Z365" s="554">
        <f t="shared" ca="1" si="801"/>
        <v>40417</v>
      </c>
      <c r="AA365" s="101"/>
      <c r="AB365" s="448">
        <v>8409092557</v>
      </c>
      <c r="AC365" s="449" t="s">
        <v>204</v>
      </c>
      <c r="AD365" s="113" t="s">
        <v>46</v>
      </c>
      <c r="AE365" s="450" t="s">
        <v>56</v>
      </c>
      <c r="AF365" s="99" t="s">
        <v>126</v>
      </c>
      <c r="AG365" s="99" t="s">
        <v>205</v>
      </c>
      <c r="AH365" s="451" t="s">
        <v>97</v>
      </c>
      <c r="AI365" s="154">
        <v>45047</v>
      </c>
      <c r="AJ365" s="100" t="str">
        <f>IF(AI365&gt;0,
(IF(AI365&lt;Hónapok!$A$10,Admin!$A$28,
(IF(AI365&lt;Hónapok!$A$22,Admin!$B$28,
(IF(AI365&lt;Hónapok!$A$34,Admin!$C$28,
(IF(AI365&lt;Hónapok!$A$46,Admin!$D$28,"")))))))),"")</f>
        <v>3. mérföldkő</v>
      </c>
      <c r="AK365" s="469" t="s">
        <v>7</v>
      </c>
      <c r="AL365" s="101" t="s">
        <v>26</v>
      </c>
      <c r="AM365" s="900">
        <v>483000</v>
      </c>
      <c r="AN365" s="860">
        <f t="shared" si="877"/>
        <v>62790</v>
      </c>
      <c r="AO365" s="101">
        <v>87</v>
      </c>
      <c r="AP365" s="111">
        <v>56</v>
      </c>
      <c r="AQ365" s="454">
        <f t="shared" si="779"/>
        <v>0.64367816091954022</v>
      </c>
      <c r="AR365" s="455">
        <f t="shared" si="780"/>
        <v>310897</v>
      </c>
      <c r="AS365" s="455">
        <f t="shared" si="781"/>
        <v>40417</v>
      </c>
      <c r="AT365" s="102">
        <f t="shared" si="782"/>
        <v>-9.281073748423907E-7</v>
      </c>
      <c r="AU365" s="116">
        <v>0.13</v>
      </c>
      <c r="AV365" s="565" t="str">
        <f>VLOOKUP(LEFT(AB365,10),Törzsszám!$A$1:$B$908,2,0)</f>
        <v>10001077</v>
      </c>
      <c r="AW365" s="681">
        <f t="shared" ca="1" si="783"/>
        <v>0</v>
      </c>
      <c r="AX365" s="471" t="s">
        <v>4596</v>
      </c>
      <c r="AY365" s="486"/>
      <c r="AZ365" s="502"/>
      <c r="BA365" s="671"/>
      <c r="BB365" s="649"/>
      <c r="BC365" s="649"/>
      <c r="BD365" s="672"/>
      <c r="BE365" s="450"/>
      <c r="BF365" s="287"/>
    </row>
    <row r="366" spans="1:58" s="492" customFormat="1" ht="47.25" x14ac:dyDescent="0.25">
      <c r="A366" s="694" t="str">
        <f ca="1">Bérköltség!$B366</f>
        <v>FEOR</v>
      </c>
      <c r="B366" s="694" t="str">
        <f ca="1">IFERROR(
IF(AND(Bérköltség!$F366="",H366="NA"),"HIÁNYOS ADATOK",
IF(Bérköltség!$F366&lt;Bérköltség!$U366,Admin!$B$18,Admin!$B$17)),
"")</f>
        <v>FEOR</v>
      </c>
      <c r="C366" s="437">
        <f>IFERROR(INDEX('Historikus berek_2021-2'!$A$1:$F$903,MATCH(AB366,'Historikus berek_2021-2'!$A$1:$A$903,0),4),"")</f>
        <v>880000</v>
      </c>
      <c r="D366" s="438">
        <f t="shared" si="784"/>
        <v>566436.7816091954</v>
      </c>
      <c r="E366" s="437">
        <f t="shared" si="785"/>
        <v>310897</v>
      </c>
      <c r="F366" s="439">
        <f t="shared" si="786"/>
        <v>0</v>
      </c>
      <c r="G366" s="440">
        <f t="shared" si="787"/>
        <v>351313.61</v>
      </c>
      <c r="H366" s="441">
        <f>IFERROR(INDEX('FEOR kodok'!$A$2:$J$1126,MATCH(Bérköltség!AB366,'FEOR kodok'!$B$2:$B$1126,0),8),"NA")</f>
        <v>2910</v>
      </c>
      <c r="I366" s="436">
        <f ca="1">IFERROR(INDEX('FEOR kodok'!$A$2:$J$1126,MATCH(Bérköltség!AB366,'FEOR kodok'!$B$2:$B$1126,0),10),"NA")</f>
        <v>44</v>
      </c>
      <c r="J366" s="442" t="str">
        <f t="shared" ca="1" si="788"/>
        <v>40–49 éves</v>
      </c>
      <c r="K366" s="436" t="str">
        <f>IFERROR(INDEX(admin_feor[#All],MATCH(Bérköltség!H366,admin_feor[[#All],[Foglalkozás]],0),2),"NA")</f>
        <v>Egyéb magasan képzett ügyintéző</v>
      </c>
      <c r="L366" s="438">
        <f ca="1">IFERROR(
INDEX('Admin - FEOR'!$A$4:$F$465,MATCH(Bérköltség!H366,'Admin - FEOR'!$A$4:$A$465,0),
IF(J366="30 év alatt",3,
IF(J366="30–39 éves",4,
IF(J366="40–49 éves",5,
IF(J366="50 év és afelett",6
)))))*1,"NA")</f>
        <v>657296</v>
      </c>
      <c r="M366" s="438">
        <f t="shared" ref="M366" si="878">AM366</f>
        <v>483000</v>
      </c>
      <c r="N366" s="443">
        <f t="shared" ref="N366" ca="1" si="879">IFERROR(
M366/L366,"NA")</f>
        <v>0.73482875295148609</v>
      </c>
      <c r="O366" s="438">
        <f ca="1">IFERROR(
INDEX('Admin - FEOR'!$A$4:$F$465,MATCH(Bérköltség!H366,'Admin - FEOR'!$A$4:$A$465,0),
IF(J366="30 év alatt",3,
IF(J366="30–39 éves",4,
IF(J366="40–49 éves",5,
IF(J366="50 év és afelett",6
)))))*1.5,"NA")</f>
        <v>985944</v>
      </c>
      <c r="P366" s="438">
        <f t="shared" ref="P366" ca="1" si="880">IFERROR(
AQ366*O366,"NA")</f>
        <v>634630.62068965519</v>
      </c>
      <c r="Q366" s="438">
        <f t="shared" ref="Q366" si="881">IFERROR(AR366,"")</f>
        <v>310897</v>
      </c>
      <c r="R366" s="444">
        <f t="shared" ref="R366" si="882">IFERROR(AQ366,"")</f>
        <v>0.64367816091954022</v>
      </c>
      <c r="S366" s="438">
        <f t="shared" ca="1" si="794"/>
        <v>0</v>
      </c>
      <c r="T366" s="438">
        <f t="shared" ca="1" si="795"/>
        <v>0</v>
      </c>
      <c r="U366" s="445">
        <f t="shared" ca="1" si="796"/>
        <v>0</v>
      </c>
      <c r="V366" s="446">
        <f t="shared" ca="1" si="797"/>
        <v>351314</v>
      </c>
      <c r="W366" s="447" t="str">
        <f t="shared" ca="1" si="798"/>
        <v>Nem szükséges indoklás.</v>
      </c>
      <c r="X366" s="571">
        <f t="shared" ca="1" si="799"/>
        <v>0</v>
      </c>
      <c r="Y366" s="554">
        <f t="shared" ca="1" si="800"/>
        <v>310897</v>
      </c>
      <c r="Z366" s="554">
        <f t="shared" ca="1" si="801"/>
        <v>40417</v>
      </c>
      <c r="AA366" s="101"/>
      <c r="AB366" s="448">
        <v>8409092557</v>
      </c>
      <c r="AC366" s="449" t="s">
        <v>204</v>
      </c>
      <c r="AD366" s="113" t="s">
        <v>46</v>
      </c>
      <c r="AE366" s="450" t="s">
        <v>56</v>
      </c>
      <c r="AF366" s="99" t="s">
        <v>126</v>
      </c>
      <c r="AG366" s="99" t="s">
        <v>4560</v>
      </c>
      <c r="AH366" s="451" t="s">
        <v>97</v>
      </c>
      <c r="AI366" s="154">
        <v>45078</v>
      </c>
      <c r="AJ366" s="100" t="str">
        <f>IF(AI366&gt;0,
(IF(AI366&lt;Hónapok!$A$10,Admin!$A$28,
(IF(AI366&lt;Hónapok!$A$22,Admin!$B$28,
(IF(AI366&lt;Hónapok!$A$34,Admin!$C$28,
(IF(AI366&lt;Hónapok!$A$46,Admin!$D$28,"")))))))),"")</f>
        <v>3. mérföldkő</v>
      </c>
      <c r="AK366" s="469" t="s">
        <v>7</v>
      </c>
      <c r="AL366" s="101" t="s">
        <v>26</v>
      </c>
      <c r="AM366" s="900">
        <v>483000</v>
      </c>
      <c r="AN366" s="860">
        <f t="shared" si="877"/>
        <v>62790</v>
      </c>
      <c r="AO366" s="101">
        <v>87</v>
      </c>
      <c r="AP366" s="111">
        <v>56</v>
      </c>
      <c r="AQ366" s="843">
        <f t="shared" si="779"/>
        <v>0.64367816091954022</v>
      </c>
      <c r="AR366" s="455">
        <f t="shared" si="780"/>
        <v>310897</v>
      </c>
      <c r="AS366" s="455">
        <f t="shared" si="781"/>
        <v>40417</v>
      </c>
      <c r="AT366" s="102">
        <f t="shared" si="782"/>
        <v>-9.281073748423907E-7</v>
      </c>
      <c r="AU366" s="116">
        <v>0.13</v>
      </c>
      <c r="AV366" s="565" t="str">
        <f>VLOOKUP(LEFT(AB366,10),Törzsszám!$A$1:$B$908,2,0)</f>
        <v>10001077</v>
      </c>
      <c r="AW366" s="681">
        <f t="shared" ca="1" si="783"/>
        <v>0</v>
      </c>
      <c r="AX366" s="471" t="s">
        <v>4606</v>
      </c>
      <c r="AY366" s="486"/>
      <c r="AZ366" s="502"/>
      <c r="BA366" s="671"/>
      <c r="BB366" s="649"/>
      <c r="BC366" s="649"/>
      <c r="BD366" s="672"/>
      <c r="BE366" s="450"/>
      <c r="BF366" s="366"/>
    </row>
    <row r="367" spans="1:58" s="492" customFormat="1" ht="31.5" x14ac:dyDescent="0.25">
      <c r="A367" s="694" t="str">
        <f ca="1">Bérköltség!$B367</f>
        <v>FEOR</v>
      </c>
      <c r="B367" s="694" t="str">
        <f ca="1">IFERROR(
IF(AND(Bérköltség!$F367="",H367="NA"),"HIÁNYOS ADATOK",
IF(Bérköltség!$F367&lt;Bérköltség!$U367,Admin!$B$18,Admin!$B$17)),
"")</f>
        <v>FEOR</v>
      </c>
      <c r="C367" s="437">
        <f>IFERROR(INDEX('Historikus berek_2021-2'!$A$1:$F$903,MATCH(AB367,'Historikus berek_2021-2'!$A$1:$A$903,0),4),"")</f>
        <v>756166.66666666663</v>
      </c>
      <c r="D367" s="438">
        <f t="shared" si="784"/>
        <v>104298.85057471263</v>
      </c>
      <c r="E367" s="437">
        <f t="shared" si="785"/>
        <v>151724</v>
      </c>
      <c r="F367" s="439">
        <f t="shared" si="786"/>
        <v>53590.41885057473</v>
      </c>
      <c r="G367" s="440">
        <f t="shared" si="787"/>
        <v>117857.70114942527</v>
      </c>
      <c r="H367" s="441">
        <f>IFERROR(INDEX('FEOR kodok'!$A$2:$J$1126,MATCH(Bérköltség!AB367,'FEOR kodok'!$B$2:$B$1126,0),8),"NA")</f>
        <v>2139</v>
      </c>
      <c r="I367" s="436">
        <f ca="1">IFERROR(INDEX('FEOR kodok'!$A$2:$J$1126,MATCH(Bérköltség!AB367,'FEOR kodok'!$B$2:$B$1126,0),10),"NA")</f>
        <v>35</v>
      </c>
      <c r="J367" s="442" t="str">
        <f t="shared" ca="1" si="788"/>
        <v>30–39 éves</v>
      </c>
      <c r="K367" s="436" t="str">
        <f>IFERROR(INDEX(admin_feor[#All],MATCH(Bérköltség!H367,admin_feor[[#All],[Foglalkozás]],0),2),"NA")</f>
        <v>Egyéb, máshova nem sorolható mérnök</v>
      </c>
      <c r="L367" s="438">
        <f ca="1">IFERROR(
INDEX('Admin - FEOR'!$A$4:$F$465,MATCH(Bérköltség!H367,'Admin - FEOR'!$A$4:$A$465,0),
IF(J367="30 év alatt",3,
IF(J367="30–39 éves",4,
IF(J367="40–49 éves",5,
IF(J367="50 év és afelett",6
)))))*1,"NA")</f>
        <v>845378</v>
      </c>
      <c r="M367" s="438">
        <f t="shared" si="789"/>
        <v>1100000</v>
      </c>
      <c r="N367" s="443">
        <f t="shared" ca="1" si="790"/>
        <v>1.3011930757601924</v>
      </c>
      <c r="O367" s="438">
        <f ca="1">IFERROR(
INDEX('Admin - FEOR'!$A$4:$F$465,MATCH(Bérköltség!H367,'Admin - FEOR'!$A$4:$A$465,0),
IF(J367="30 év alatt",3,
IF(J367="30–39 éves",4,
IF(J367="40–49 éves",5,
IF(J367="50 év és afelett",6
)))))*1.5,"NA")</f>
        <v>1268067</v>
      </c>
      <c r="P367" s="438">
        <f t="shared" ca="1" si="791"/>
        <v>174905.79310344826</v>
      </c>
      <c r="Q367" s="438">
        <f t="shared" si="792"/>
        <v>151724</v>
      </c>
      <c r="R367" s="444">
        <f t="shared" si="793"/>
        <v>0.13793103448275862</v>
      </c>
      <c r="S367" s="438">
        <f t="shared" ca="1" si="794"/>
        <v>0</v>
      </c>
      <c r="T367" s="438">
        <f t="shared" ca="1" si="795"/>
        <v>0</v>
      </c>
      <c r="U367" s="445">
        <f t="shared" ca="1" si="796"/>
        <v>0</v>
      </c>
      <c r="V367" s="446">
        <f t="shared" ca="1" si="797"/>
        <v>171448</v>
      </c>
      <c r="W367" s="447" t="str">
        <f t="shared" ca="1" si="798"/>
        <v>Indoklás szükséges mivel a FEOR: 130,1%</v>
      </c>
      <c r="X367" s="571">
        <f t="shared" ca="1" si="799"/>
        <v>0</v>
      </c>
      <c r="Y367" s="554">
        <f t="shared" ca="1" si="800"/>
        <v>151724</v>
      </c>
      <c r="Z367" s="554">
        <f t="shared" ca="1" si="801"/>
        <v>19724</v>
      </c>
      <c r="AA367" s="573">
        <v>2</v>
      </c>
      <c r="AB367" s="448">
        <v>8442983112</v>
      </c>
      <c r="AC367" s="449" t="s">
        <v>177</v>
      </c>
      <c r="AD367" s="483" t="s">
        <v>45</v>
      </c>
      <c r="AE367" s="450" t="s">
        <v>158</v>
      </c>
      <c r="AF367" s="99" t="s">
        <v>120</v>
      </c>
      <c r="AG367" s="99" t="s">
        <v>157</v>
      </c>
      <c r="AH367" s="451" t="s">
        <v>131</v>
      </c>
      <c r="AI367" s="154">
        <v>44743</v>
      </c>
      <c r="AJ367" s="100" t="str">
        <f>IF(AI367&gt;0,
(IF(AI367&lt;Hónapok!$A$10,Admin!$A$28,
(IF(AI367&lt;Hónapok!$A$22,Admin!$B$28,
(IF(AI367&lt;Hónapok!$A$34,Admin!$C$28,
(IF(AI367&lt;Hónapok!$A$46,Admin!$D$28,"")))))))),"")</f>
        <v>2. mérföldkő</v>
      </c>
      <c r="AK367" s="469" t="s">
        <v>7</v>
      </c>
      <c r="AL367" s="101" t="s">
        <v>26</v>
      </c>
      <c r="AM367" s="900">
        <v>1100000</v>
      </c>
      <c r="AN367" s="860">
        <f t="shared" si="877"/>
        <v>143000</v>
      </c>
      <c r="AO367" s="101">
        <v>174</v>
      </c>
      <c r="AP367" s="111">
        <v>24</v>
      </c>
      <c r="AQ367" s="454">
        <f t="shared" si="779"/>
        <v>0.13793103448275862</v>
      </c>
      <c r="AR367" s="455">
        <f t="shared" si="780"/>
        <v>151724</v>
      </c>
      <c r="AS367" s="455">
        <f t="shared" si="781"/>
        <v>19724</v>
      </c>
      <c r="AT367" s="102">
        <f t="shared" si="782"/>
        <v>1.2539184951476656E-7</v>
      </c>
      <c r="AU367" s="116">
        <v>0.13</v>
      </c>
      <c r="AV367" s="565" t="str">
        <f>VLOOKUP(LEFT(AB367,10),Törzsszám!$A$1:$B$908,2,0)</f>
        <v>10000360</v>
      </c>
      <c r="AW367" s="681">
        <f t="shared" ca="1" si="783"/>
        <v>0</v>
      </c>
      <c r="AX367" s="456" t="s">
        <v>209</v>
      </c>
      <c r="AY367" s="486"/>
      <c r="AZ367" s="502"/>
      <c r="BA367" s="671">
        <v>48825</v>
      </c>
      <c r="BB367" s="649">
        <v>6347</v>
      </c>
      <c r="BC367" s="649">
        <f t="shared" ref="BC367:BD373" ca="1" si="883">Y367-BA367</f>
        <v>102899</v>
      </c>
      <c r="BD367" s="672">
        <f t="shared" ca="1" si="883"/>
        <v>13377</v>
      </c>
      <c r="BE367" s="450" t="s">
        <v>178</v>
      </c>
      <c r="BF367" s="366"/>
    </row>
    <row r="368" spans="1:58" s="492" customFormat="1" ht="31.5" x14ac:dyDescent="0.25">
      <c r="A368" s="694" t="str">
        <f ca="1">Bérköltség!$B368</f>
        <v>FEOR</v>
      </c>
      <c r="B368" s="694" t="str">
        <f ca="1">IFERROR(
IF(AND(Bérköltség!$F368="",H368="NA"),"HIÁNYOS ADATOK",
IF(Bérköltség!$F368&lt;Bérköltség!$U368,Admin!$B$18,Admin!$B$17)),
"")</f>
        <v>FEOR</v>
      </c>
      <c r="C368" s="437">
        <f>IFERROR(INDEX('Historikus berek_2021-2'!$A$1:$F$903,MATCH(AB368,'Historikus berek_2021-2'!$A$1:$A$903,0),4),"")</f>
        <v>756166.66666666663</v>
      </c>
      <c r="D368" s="438">
        <f t="shared" si="784"/>
        <v>104298.85057471263</v>
      </c>
      <c r="E368" s="437">
        <f t="shared" si="785"/>
        <v>151724</v>
      </c>
      <c r="F368" s="439">
        <f t="shared" si="786"/>
        <v>53590.41885057473</v>
      </c>
      <c r="G368" s="440">
        <f t="shared" si="787"/>
        <v>117857.70114942527</v>
      </c>
      <c r="H368" s="441">
        <f>IFERROR(INDEX('FEOR kodok'!$A$2:$J$1126,MATCH(Bérköltség!AB368,'FEOR kodok'!$B$2:$B$1126,0),8),"NA")</f>
        <v>2139</v>
      </c>
      <c r="I368" s="436">
        <f ca="1">IFERROR(INDEX('FEOR kodok'!$A$2:$J$1126,MATCH(Bérköltség!AB368,'FEOR kodok'!$B$2:$B$1126,0),10),"NA")</f>
        <v>35</v>
      </c>
      <c r="J368" s="442" t="str">
        <f t="shared" ca="1" si="788"/>
        <v>30–39 éves</v>
      </c>
      <c r="K368" s="436" t="str">
        <f>IFERROR(INDEX(admin_feor[#All],MATCH(Bérköltség!H368,admin_feor[[#All],[Foglalkozás]],0),2),"NA")</f>
        <v>Egyéb, máshova nem sorolható mérnök</v>
      </c>
      <c r="L368" s="438">
        <f ca="1">IFERROR(
INDEX('Admin - FEOR'!$A$4:$F$465,MATCH(Bérköltség!H368,'Admin - FEOR'!$A$4:$A$465,0),
IF(J368="30 év alatt",3,
IF(J368="30–39 éves",4,
IF(J368="40–49 éves",5,
IF(J368="50 év és afelett",6
)))))*1,"NA")</f>
        <v>845378</v>
      </c>
      <c r="M368" s="438">
        <f t="shared" si="789"/>
        <v>1099999</v>
      </c>
      <c r="N368" s="443">
        <f t="shared" ca="1" si="790"/>
        <v>1.3011918928573962</v>
      </c>
      <c r="O368" s="438">
        <f ca="1">IFERROR(
INDEX('Admin - FEOR'!$A$4:$F$465,MATCH(Bérköltség!H368,'Admin - FEOR'!$A$4:$A$465,0),
IF(J368="30 év alatt",3,
IF(J368="30–39 éves",4,
IF(J368="40–49 éves",5,
IF(J368="50 év és afelett",6
)))))*1.5,"NA")</f>
        <v>1268067</v>
      </c>
      <c r="P368" s="438">
        <f t="shared" ca="1" si="791"/>
        <v>174905.79310344826</v>
      </c>
      <c r="Q368" s="438">
        <f t="shared" si="792"/>
        <v>151724</v>
      </c>
      <c r="R368" s="444">
        <f t="shared" si="793"/>
        <v>0.13793103448275862</v>
      </c>
      <c r="S368" s="438">
        <f t="shared" ca="1" si="794"/>
        <v>0</v>
      </c>
      <c r="T368" s="438">
        <f t="shared" ca="1" si="795"/>
        <v>0</v>
      </c>
      <c r="U368" s="445">
        <f t="shared" ca="1" si="796"/>
        <v>0</v>
      </c>
      <c r="V368" s="446">
        <f t="shared" ca="1" si="797"/>
        <v>171448</v>
      </c>
      <c r="W368" s="447" t="str">
        <f t="shared" ca="1" si="798"/>
        <v>Indoklás szükséges mivel a FEOR: 130,1%</v>
      </c>
      <c r="X368" s="571">
        <f t="shared" ca="1" si="799"/>
        <v>0</v>
      </c>
      <c r="Y368" s="554">
        <f t="shared" ca="1" si="800"/>
        <v>151724</v>
      </c>
      <c r="Z368" s="554">
        <f t="shared" ca="1" si="801"/>
        <v>19724</v>
      </c>
      <c r="AA368" s="573">
        <v>2</v>
      </c>
      <c r="AB368" s="448">
        <v>8442983112</v>
      </c>
      <c r="AC368" s="449" t="s">
        <v>177</v>
      </c>
      <c r="AD368" s="483" t="s">
        <v>45</v>
      </c>
      <c r="AE368" s="450" t="s">
        <v>158</v>
      </c>
      <c r="AF368" s="99" t="s">
        <v>120</v>
      </c>
      <c r="AG368" s="99" t="s">
        <v>157</v>
      </c>
      <c r="AH368" s="451" t="s">
        <v>131</v>
      </c>
      <c r="AI368" s="154">
        <v>44774</v>
      </c>
      <c r="AJ368" s="100" t="str">
        <f>IF(AI368&gt;0,
(IF(AI368&lt;Hónapok!$A$10,Admin!$A$28,
(IF(AI368&lt;Hónapok!$A$22,Admin!$B$28,
(IF(AI368&lt;Hónapok!$A$34,Admin!$C$28,
(IF(AI368&lt;Hónapok!$A$46,Admin!$D$28,"")))))))),"")</f>
        <v>2. mérföldkő</v>
      </c>
      <c r="AK368" s="469" t="s">
        <v>7</v>
      </c>
      <c r="AL368" s="101" t="s">
        <v>26</v>
      </c>
      <c r="AM368" s="900">
        <v>1099999</v>
      </c>
      <c r="AN368" s="860">
        <f t="shared" si="877"/>
        <v>143000</v>
      </c>
      <c r="AO368" s="101">
        <v>174</v>
      </c>
      <c r="AP368" s="111">
        <v>24</v>
      </c>
      <c r="AQ368" s="454">
        <f t="shared" si="779"/>
        <v>0.13793103448275862</v>
      </c>
      <c r="AR368" s="455">
        <f t="shared" si="780"/>
        <v>151724</v>
      </c>
      <c r="AS368" s="455">
        <f t="shared" si="781"/>
        <v>19724</v>
      </c>
      <c r="AT368" s="102">
        <f t="shared" si="782"/>
        <v>0</v>
      </c>
      <c r="AU368" s="116">
        <v>0.13</v>
      </c>
      <c r="AV368" s="565" t="str">
        <f>VLOOKUP(LEFT(AB368,10),Törzsszám!$A$1:$B$908,2,0)</f>
        <v>10000360</v>
      </c>
      <c r="AW368" s="615">
        <f t="shared" ca="1" si="783"/>
        <v>0</v>
      </c>
      <c r="AX368" s="537" t="s">
        <v>218</v>
      </c>
      <c r="AY368" s="486"/>
      <c r="AZ368" s="502"/>
      <c r="BA368" s="671">
        <v>48825</v>
      </c>
      <c r="BB368" s="649">
        <v>6347</v>
      </c>
      <c r="BC368" s="649">
        <f t="shared" ca="1" si="883"/>
        <v>102899</v>
      </c>
      <c r="BD368" s="672">
        <f t="shared" ca="1" si="883"/>
        <v>13377</v>
      </c>
      <c r="BE368" s="450" t="s">
        <v>178</v>
      </c>
      <c r="BF368" s="366"/>
    </row>
    <row r="369" spans="1:59" s="457" customFormat="1" ht="31.5" x14ac:dyDescent="0.25">
      <c r="A369" s="694" t="str">
        <f ca="1">Bérköltség!$B369</f>
        <v>FEOR</v>
      </c>
      <c r="B369" s="694" t="str">
        <f ca="1">IFERROR(
IF(AND(Bérköltség!$F369="",H369="NA"),"HIÁNYOS ADATOK",
IF(Bérköltség!$F369&lt;Bérköltség!$U369,Admin!$B$18,Admin!$B$17)),
"")</f>
        <v>FEOR</v>
      </c>
      <c r="C369" s="437">
        <f>IFERROR(INDEX('Historikus berek_2021-2'!$A$1:$F$903,MATCH(AB369,'Historikus berek_2021-2'!$A$1:$A$903,0),4),"")</f>
        <v>756166.66666666663</v>
      </c>
      <c r="D369" s="438">
        <f t="shared" si="784"/>
        <v>104298.85057471263</v>
      </c>
      <c r="E369" s="437">
        <f t="shared" si="785"/>
        <v>151724</v>
      </c>
      <c r="F369" s="439">
        <f t="shared" si="786"/>
        <v>53590.41885057473</v>
      </c>
      <c r="G369" s="440">
        <f t="shared" si="787"/>
        <v>117857.70114942527</v>
      </c>
      <c r="H369" s="441">
        <f>IFERROR(INDEX('FEOR kodok'!$A$2:$J$1126,MATCH(Bérköltség!AB369,'FEOR kodok'!$B$2:$B$1126,0),8),"NA")</f>
        <v>2139</v>
      </c>
      <c r="I369" s="436">
        <f ca="1">IFERROR(INDEX('FEOR kodok'!$A$2:$J$1126,MATCH(Bérköltség!AB369,'FEOR kodok'!$B$2:$B$1126,0),10),"NA")</f>
        <v>35</v>
      </c>
      <c r="J369" s="442" t="str">
        <f t="shared" ca="1" si="788"/>
        <v>30–39 éves</v>
      </c>
      <c r="K369" s="436" t="str">
        <f>IFERROR(INDEX(admin_feor[#All],MATCH(Bérköltség!H369,admin_feor[[#All],[Foglalkozás]],0),2),"NA")</f>
        <v>Egyéb, máshova nem sorolható mérnök</v>
      </c>
      <c r="L369" s="438">
        <f ca="1">IFERROR(
INDEX('Admin - FEOR'!$A$4:$F$465,MATCH(Bérköltség!H369,'Admin - FEOR'!$A$4:$A$465,0),
IF(J369="30 év alatt",3,
IF(J369="30–39 éves",4,
IF(J369="40–49 éves",5,
IF(J369="50 év és afelett",6
)))))*1,"NA")</f>
        <v>845378</v>
      </c>
      <c r="M369" s="438">
        <f t="shared" si="789"/>
        <v>1099999</v>
      </c>
      <c r="N369" s="443">
        <f t="shared" ca="1" si="790"/>
        <v>1.3011918928573962</v>
      </c>
      <c r="O369" s="438">
        <f ca="1">IFERROR(
INDEX('Admin - FEOR'!$A$4:$F$465,MATCH(Bérköltség!H369,'Admin - FEOR'!$A$4:$A$465,0),
IF(J369="30 év alatt",3,
IF(J369="30–39 éves",4,
IF(J369="40–49 éves",5,
IF(J369="50 év és afelett",6
)))))*1.5,"NA")</f>
        <v>1268067</v>
      </c>
      <c r="P369" s="438">
        <f t="shared" ca="1" si="791"/>
        <v>174905.79310344826</v>
      </c>
      <c r="Q369" s="438">
        <f t="shared" si="792"/>
        <v>151724</v>
      </c>
      <c r="R369" s="444">
        <f t="shared" si="793"/>
        <v>0.13793103448275862</v>
      </c>
      <c r="S369" s="438">
        <f t="shared" ca="1" si="794"/>
        <v>0</v>
      </c>
      <c r="T369" s="438">
        <f t="shared" ca="1" si="795"/>
        <v>0</v>
      </c>
      <c r="U369" s="445">
        <f t="shared" ca="1" si="796"/>
        <v>0</v>
      </c>
      <c r="V369" s="446">
        <f t="shared" ca="1" si="797"/>
        <v>171448</v>
      </c>
      <c r="W369" s="447" t="str">
        <f t="shared" ca="1" si="798"/>
        <v>Indoklás szükséges mivel a FEOR: 130,1%</v>
      </c>
      <c r="X369" s="571">
        <f t="shared" ca="1" si="799"/>
        <v>0</v>
      </c>
      <c r="Y369" s="554">
        <f t="shared" ca="1" si="800"/>
        <v>151724</v>
      </c>
      <c r="Z369" s="554">
        <f t="shared" ca="1" si="801"/>
        <v>19724</v>
      </c>
      <c r="AA369" s="573">
        <v>2</v>
      </c>
      <c r="AB369" s="448">
        <v>8442983112</v>
      </c>
      <c r="AC369" s="449" t="s">
        <v>177</v>
      </c>
      <c r="AD369" s="483" t="s">
        <v>45</v>
      </c>
      <c r="AE369" s="450" t="s">
        <v>158</v>
      </c>
      <c r="AF369" s="99" t="s">
        <v>120</v>
      </c>
      <c r="AG369" s="99" t="s">
        <v>157</v>
      </c>
      <c r="AH369" s="451" t="s">
        <v>131</v>
      </c>
      <c r="AI369" s="154">
        <v>44805</v>
      </c>
      <c r="AJ369" s="100" t="str">
        <f>IF(AI369&gt;0,
(IF(AI369&lt;Hónapok!$A$10,Admin!$A$28,
(IF(AI369&lt;Hónapok!$A$22,Admin!$B$28,
(IF(AI369&lt;Hónapok!$A$34,Admin!$C$28,
(IF(AI369&lt;Hónapok!$A$46,Admin!$D$28,"")))))))),"")</f>
        <v>2. mérföldkő</v>
      </c>
      <c r="AK369" s="469" t="s">
        <v>7</v>
      </c>
      <c r="AL369" s="101" t="s">
        <v>26</v>
      </c>
      <c r="AM369" s="900">
        <v>1099999</v>
      </c>
      <c r="AN369" s="860">
        <f t="shared" si="877"/>
        <v>143000</v>
      </c>
      <c r="AO369" s="101">
        <v>174</v>
      </c>
      <c r="AP369" s="111">
        <v>24</v>
      </c>
      <c r="AQ369" s="454">
        <f t="shared" si="779"/>
        <v>0.13793103448275862</v>
      </c>
      <c r="AR369" s="455">
        <f t="shared" si="780"/>
        <v>151724</v>
      </c>
      <c r="AS369" s="455">
        <f t="shared" si="781"/>
        <v>19724</v>
      </c>
      <c r="AT369" s="102">
        <f t="shared" si="782"/>
        <v>0</v>
      </c>
      <c r="AU369" s="116">
        <v>0.13</v>
      </c>
      <c r="AV369" s="565" t="str">
        <f>VLOOKUP(LEFT(AB369,10),Törzsszám!$A$1:$B$908,2,0)</f>
        <v>10000360</v>
      </c>
      <c r="AW369" s="615">
        <f t="shared" ca="1" si="783"/>
        <v>0</v>
      </c>
      <c r="AX369" s="479" t="s">
        <v>228</v>
      </c>
      <c r="AY369" s="486"/>
      <c r="AZ369" s="502"/>
      <c r="BA369" s="671">
        <v>48825</v>
      </c>
      <c r="BB369" s="649">
        <v>6347</v>
      </c>
      <c r="BC369" s="649">
        <f t="shared" ca="1" si="883"/>
        <v>102899</v>
      </c>
      <c r="BD369" s="672">
        <f t="shared" ca="1" si="883"/>
        <v>13377</v>
      </c>
      <c r="BE369" s="450" t="s">
        <v>178</v>
      </c>
      <c r="BF369" s="363"/>
    </row>
    <row r="370" spans="1:59" s="457" customFormat="1" ht="31.5" x14ac:dyDescent="0.25">
      <c r="A370" s="694" t="str">
        <f ca="1">Bérköltség!$B370</f>
        <v>FEOR</v>
      </c>
      <c r="B370" s="694" t="str">
        <f ca="1">IFERROR(
IF(AND(Bérköltség!$F370="",H370="NA"),"HIÁNYOS ADATOK",
IF(Bérköltség!$F370&lt;Bérköltség!$U370,Admin!$B$18,Admin!$B$17)),
"")</f>
        <v>FEOR</v>
      </c>
      <c r="C370" s="437">
        <f>IFERROR(INDEX('Historikus berek_2021-2'!$A$1:$F$903,MATCH(AB370,'Historikus berek_2021-2'!$A$1:$A$903,0),4),"")</f>
        <v>756166.66666666663</v>
      </c>
      <c r="D370" s="438">
        <f t="shared" si="784"/>
        <v>278130.26819923369</v>
      </c>
      <c r="E370" s="437">
        <f t="shared" si="785"/>
        <v>404598</v>
      </c>
      <c r="F370" s="439">
        <f t="shared" si="786"/>
        <v>142908.53693486587</v>
      </c>
      <c r="G370" s="440">
        <f t="shared" si="787"/>
        <v>314287.20306513406</v>
      </c>
      <c r="H370" s="441">
        <f>IFERROR(INDEX('FEOR kodok'!$A$2:$J$1126,MATCH(Bérköltség!AB370,'FEOR kodok'!$B$2:$B$1126,0),8),"NA")</f>
        <v>2139</v>
      </c>
      <c r="I370" s="436">
        <f ca="1">IFERROR(INDEX('FEOR kodok'!$A$2:$J$1126,MATCH(Bérköltség!AB370,'FEOR kodok'!$B$2:$B$1126,0),10),"NA")</f>
        <v>35</v>
      </c>
      <c r="J370" s="442" t="str">
        <f t="shared" ca="1" si="788"/>
        <v>30–39 éves</v>
      </c>
      <c r="K370" s="436" t="str">
        <f>IFERROR(INDEX(admin_feor[#All],MATCH(Bérköltség!H370,admin_feor[[#All],[Foglalkozás]],0),2),"NA")</f>
        <v>Egyéb, máshova nem sorolható mérnök</v>
      </c>
      <c r="L370" s="438">
        <f ca="1">IFERROR(
INDEX('Admin - FEOR'!$A$4:$F$465,MATCH(Bérköltség!H370,'Admin - FEOR'!$A$4:$A$465,0),
IF(J370="30 év alatt",3,
IF(J370="30–39 éves",4,
IF(J370="40–49 éves",5,
IF(J370="50 év és afelett",6
)))))*1,"NA")</f>
        <v>845378</v>
      </c>
      <c r="M370" s="438">
        <f t="shared" si="789"/>
        <v>1100000</v>
      </c>
      <c r="N370" s="443">
        <f t="shared" ca="1" si="790"/>
        <v>1.3011930757601924</v>
      </c>
      <c r="O370" s="438">
        <f ca="1">IFERROR(
INDEX('Admin - FEOR'!$A$4:$F$465,MATCH(Bérköltség!H370,'Admin - FEOR'!$A$4:$A$465,0),
IF(J370="30 év alatt",3,
IF(J370="30–39 éves",4,
IF(J370="40–49 éves",5,
IF(J370="50 év és afelett",6
)))))*1.5,"NA")</f>
        <v>1268067</v>
      </c>
      <c r="P370" s="438">
        <f t="shared" ca="1" si="791"/>
        <v>466415.44827586209</v>
      </c>
      <c r="Q370" s="438">
        <f t="shared" si="792"/>
        <v>404598</v>
      </c>
      <c r="R370" s="444">
        <f t="shared" si="793"/>
        <v>0.36781609195402298</v>
      </c>
      <c r="S370" s="438">
        <f t="shared" ca="1" si="794"/>
        <v>0</v>
      </c>
      <c r="T370" s="438">
        <f t="shared" ca="1" si="795"/>
        <v>0</v>
      </c>
      <c r="U370" s="445">
        <f t="shared" ca="1" si="796"/>
        <v>0</v>
      </c>
      <c r="V370" s="446">
        <f t="shared" ca="1" si="797"/>
        <v>457196</v>
      </c>
      <c r="W370" s="447" t="str">
        <f t="shared" ca="1" si="798"/>
        <v>Indoklás szükséges mivel a FEOR: 130,1%</v>
      </c>
      <c r="X370" s="571">
        <f t="shared" ca="1" si="799"/>
        <v>0</v>
      </c>
      <c r="Y370" s="554">
        <f t="shared" ca="1" si="800"/>
        <v>404598</v>
      </c>
      <c r="Z370" s="554">
        <f t="shared" ca="1" si="801"/>
        <v>52598</v>
      </c>
      <c r="AA370" s="573">
        <v>2</v>
      </c>
      <c r="AB370" s="448">
        <v>8442983112</v>
      </c>
      <c r="AC370" s="449" t="s">
        <v>177</v>
      </c>
      <c r="AD370" s="483" t="s">
        <v>45</v>
      </c>
      <c r="AE370" s="450" t="s">
        <v>158</v>
      </c>
      <c r="AF370" s="99" t="s">
        <v>120</v>
      </c>
      <c r="AG370" s="99" t="s">
        <v>157</v>
      </c>
      <c r="AH370" s="451" t="s">
        <v>131</v>
      </c>
      <c r="AI370" s="154">
        <v>44835</v>
      </c>
      <c r="AJ370" s="100" t="str">
        <f>IF(AI370&gt;0,
(IF(AI370&lt;Hónapok!$A$10,Admin!$A$28,
(IF(AI370&lt;Hónapok!$A$22,Admin!$B$28,
(IF(AI370&lt;Hónapok!$A$34,Admin!$C$28,
(IF(AI370&lt;Hónapok!$A$46,Admin!$D$28,"")))))))),"")</f>
        <v>2. mérföldkő</v>
      </c>
      <c r="AK370" s="469" t="s">
        <v>7</v>
      </c>
      <c r="AL370" s="101" t="s">
        <v>26</v>
      </c>
      <c r="AM370" s="900">
        <v>1100000</v>
      </c>
      <c r="AN370" s="860">
        <f t="shared" si="877"/>
        <v>143000</v>
      </c>
      <c r="AO370" s="101">
        <v>174</v>
      </c>
      <c r="AP370" s="111">
        <v>64</v>
      </c>
      <c r="AQ370" s="454">
        <f t="shared" si="779"/>
        <v>0.36781609195402298</v>
      </c>
      <c r="AR370" s="455">
        <f t="shared" si="780"/>
        <v>404598</v>
      </c>
      <c r="AS370" s="455">
        <f t="shared" si="781"/>
        <v>52598</v>
      </c>
      <c r="AT370" s="102">
        <f t="shared" si="782"/>
        <v>-2.7168234068009056E-7</v>
      </c>
      <c r="AU370" s="116">
        <v>0.13</v>
      </c>
      <c r="AV370" s="565" t="str">
        <f>VLOOKUP(LEFT(AB370,10),Törzsszám!$A$1:$B$908,2,0)</f>
        <v>10000360</v>
      </c>
      <c r="AW370" s="615">
        <f t="shared" ca="1" si="783"/>
        <v>0</v>
      </c>
      <c r="AX370" s="479" t="s">
        <v>251</v>
      </c>
      <c r="AY370" s="486"/>
      <c r="AZ370" s="502"/>
      <c r="BA370" s="671">
        <v>130200</v>
      </c>
      <c r="BB370" s="649">
        <v>16926</v>
      </c>
      <c r="BC370" s="649">
        <f t="shared" ca="1" si="883"/>
        <v>274398</v>
      </c>
      <c r="BD370" s="672">
        <f t="shared" ca="1" si="883"/>
        <v>35672</v>
      </c>
      <c r="BE370" s="450" t="s">
        <v>178</v>
      </c>
      <c r="BF370" s="287"/>
    </row>
    <row r="371" spans="1:59" s="457" customFormat="1" ht="31.5" x14ac:dyDescent="0.25">
      <c r="A371" s="694" t="str">
        <f ca="1">Bérköltség!$B371</f>
        <v>FEOR</v>
      </c>
      <c r="B371" s="694" t="str">
        <f ca="1">IFERROR(
IF(AND(Bérköltség!$F371="",H371="NA"),"HIÁNYOS ADATOK",
IF(Bérköltség!$F371&lt;Bérköltség!$U371,Admin!$B$18,Admin!$B$17)),
"")</f>
        <v>FEOR</v>
      </c>
      <c r="C371" s="437">
        <f>IFERROR(INDEX('Historikus berek_2021-2'!$A$1:$F$903,MATCH(AB371,'Historikus berek_2021-2'!$A$1:$A$903,0),4),"")</f>
        <v>756166.66666666663</v>
      </c>
      <c r="D371" s="438">
        <f t="shared" si="784"/>
        <v>278130.26819923369</v>
      </c>
      <c r="E371" s="437">
        <f t="shared" si="785"/>
        <v>404598</v>
      </c>
      <c r="F371" s="439">
        <f t="shared" si="786"/>
        <v>142908.53693486587</v>
      </c>
      <c r="G371" s="440">
        <f t="shared" si="787"/>
        <v>314287.20306513406</v>
      </c>
      <c r="H371" s="441">
        <f>IFERROR(INDEX('FEOR kodok'!$A$2:$J$1126,MATCH(Bérköltség!AB371,'FEOR kodok'!$B$2:$B$1126,0),8),"NA")</f>
        <v>2139</v>
      </c>
      <c r="I371" s="436">
        <f ca="1">IFERROR(INDEX('FEOR kodok'!$A$2:$J$1126,MATCH(Bérköltség!AB371,'FEOR kodok'!$B$2:$B$1126,0),10),"NA")</f>
        <v>35</v>
      </c>
      <c r="J371" s="442" t="str">
        <f t="shared" ca="1" si="788"/>
        <v>30–39 éves</v>
      </c>
      <c r="K371" s="436" t="str">
        <f>IFERROR(INDEX(admin_feor[#All],MATCH(Bérköltség!H371,admin_feor[[#All],[Foglalkozás]],0),2),"NA")</f>
        <v>Egyéb, máshova nem sorolható mérnök</v>
      </c>
      <c r="L371" s="438">
        <f ca="1">IFERROR(
INDEX('Admin - FEOR'!$A$4:$F$465,MATCH(Bérköltség!H371,'Admin - FEOR'!$A$4:$A$465,0),
IF(J371="30 év alatt",3,
IF(J371="30–39 éves",4,
IF(J371="40–49 éves",5,
IF(J371="50 év és afelett",6
)))))*1,"NA")</f>
        <v>845378</v>
      </c>
      <c r="M371" s="438">
        <f t="shared" si="789"/>
        <v>1100000</v>
      </c>
      <c r="N371" s="443">
        <f t="shared" ca="1" si="790"/>
        <v>1.3011930757601924</v>
      </c>
      <c r="O371" s="438">
        <f ca="1">IFERROR(
INDEX('Admin - FEOR'!$A$4:$F$465,MATCH(Bérköltség!H371,'Admin - FEOR'!$A$4:$A$465,0),
IF(J371="30 év alatt",3,
IF(J371="30–39 éves",4,
IF(J371="40–49 éves",5,
IF(J371="50 év és afelett",6
)))))*1.5,"NA")</f>
        <v>1268067</v>
      </c>
      <c r="P371" s="438">
        <f t="shared" ca="1" si="791"/>
        <v>466415.44827586209</v>
      </c>
      <c r="Q371" s="438">
        <f t="shared" si="792"/>
        <v>404598</v>
      </c>
      <c r="R371" s="444">
        <f t="shared" si="793"/>
        <v>0.36781609195402298</v>
      </c>
      <c r="S371" s="438">
        <f t="shared" ca="1" si="794"/>
        <v>0</v>
      </c>
      <c r="T371" s="438">
        <f t="shared" ca="1" si="795"/>
        <v>0</v>
      </c>
      <c r="U371" s="445">
        <f t="shared" ca="1" si="796"/>
        <v>0</v>
      </c>
      <c r="V371" s="446">
        <f t="shared" ca="1" si="797"/>
        <v>457196</v>
      </c>
      <c r="W371" s="447" t="str">
        <f t="shared" ca="1" si="798"/>
        <v>Indoklás szükséges mivel a FEOR: 130,1%</v>
      </c>
      <c r="X371" s="571">
        <f t="shared" ca="1" si="799"/>
        <v>0</v>
      </c>
      <c r="Y371" s="554">
        <f t="shared" ca="1" si="800"/>
        <v>404598</v>
      </c>
      <c r="Z371" s="554">
        <f t="shared" ca="1" si="801"/>
        <v>52598</v>
      </c>
      <c r="AA371" s="573">
        <v>2</v>
      </c>
      <c r="AB371" s="448">
        <v>8442983112</v>
      </c>
      <c r="AC371" s="449" t="s">
        <v>177</v>
      </c>
      <c r="AD371" s="483" t="s">
        <v>45</v>
      </c>
      <c r="AE371" s="450" t="s">
        <v>158</v>
      </c>
      <c r="AF371" s="99" t="s">
        <v>120</v>
      </c>
      <c r="AG371" s="99" t="s">
        <v>157</v>
      </c>
      <c r="AH371" s="451" t="s">
        <v>131</v>
      </c>
      <c r="AI371" s="154">
        <v>44866</v>
      </c>
      <c r="AJ371" s="100" t="str">
        <f>IF(AI371&gt;0,
(IF(AI371&lt;Hónapok!$A$10,Admin!$A$28,
(IF(AI371&lt;Hónapok!$A$22,Admin!$B$28,
(IF(AI371&lt;Hónapok!$A$34,Admin!$C$28,
(IF(AI371&lt;Hónapok!$A$46,Admin!$D$28,"")))))))),"")</f>
        <v>2. mérföldkő</v>
      </c>
      <c r="AK371" s="469" t="s">
        <v>7</v>
      </c>
      <c r="AL371" s="101" t="s">
        <v>26</v>
      </c>
      <c r="AM371" s="900">
        <v>1100000</v>
      </c>
      <c r="AN371" s="860">
        <f t="shared" si="877"/>
        <v>143000</v>
      </c>
      <c r="AO371" s="101">
        <v>174</v>
      </c>
      <c r="AP371" s="111">
        <v>64</v>
      </c>
      <c r="AQ371" s="454">
        <f t="shared" si="779"/>
        <v>0.36781609195402298</v>
      </c>
      <c r="AR371" s="455">
        <f t="shared" si="780"/>
        <v>404598</v>
      </c>
      <c r="AS371" s="455">
        <f t="shared" si="781"/>
        <v>52598</v>
      </c>
      <c r="AT371" s="102">
        <f t="shared" si="782"/>
        <v>-2.7168234068009056E-7</v>
      </c>
      <c r="AU371" s="116">
        <v>0.13</v>
      </c>
      <c r="AV371" s="565" t="str">
        <f>VLOOKUP(LEFT(AB371,10),Törzsszám!$A$1:$B$908,2,0)</f>
        <v>10000360</v>
      </c>
      <c r="AW371" s="615">
        <f t="shared" ca="1" si="783"/>
        <v>0</v>
      </c>
      <c r="AX371" s="479" t="s">
        <v>260</v>
      </c>
      <c r="AY371" s="486"/>
      <c r="AZ371" s="502"/>
      <c r="BA371" s="671">
        <v>130200</v>
      </c>
      <c r="BB371" s="649">
        <v>16926</v>
      </c>
      <c r="BC371" s="649">
        <f t="shared" ca="1" si="883"/>
        <v>274398</v>
      </c>
      <c r="BD371" s="672">
        <f t="shared" ca="1" si="883"/>
        <v>35672</v>
      </c>
      <c r="BE371" s="450" t="s">
        <v>178</v>
      </c>
      <c r="BF371" s="287"/>
    </row>
    <row r="372" spans="1:59" s="457" customFormat="1" ht="31.5" x14ac:dyDescent="0.25">
      <c r="A372" s="694" t="str">
        <f ca="1">Bérköltség!$B372</f>
        <v>FEOR</v>
      </c>
      <c r="B372" s="694" t="str">
        <f ca="1">IFERROR(
IF(AND(Bérköltség!$F372="",H372="NA"),"HIÁNYOS ADATOK",
IF(Bérköltség!$F372&lt;Bérköltség!$U372,Admin!$B$18,Admin!$B$17)),
"")</f>
        <v>FEOR</v>
      </c>
      <c r="C372" s="437">
        <f>IFERROR(INDEX('Historikus berek_2021-2'!$A$1:$F$903,MATCH(AB372,'Historikus berek_2021-2'!$A$1:$A$903,0),4),"")</f>
        <v>756166.66666666663</v>
      </c>
      <c r="D372" s="438">
        <f t="shared" si="784"/>
        <v>278130.26819923369</v>
      </c>
      <c r="E372" s="437">
        <f t="shared" si="785"/>
        <v>404598</v>
      </c>
      <c r="F372" s="439">
        <f t="shared" si="786"/>
        <v>142908.53693486587</v>
      </c>
      <c r="G372" s="440">
        <f t="shared" si="787"/>
        <v>314287.20306513406</v>
      </c>
      <c r="H372" s="441">
        <f>IFERROR(INDEX('FEOR kodok'!$A$2:$J$1126,MATCH(Bérköltség!AB372,'FEOR kodok'!$B$2:$B$1126,0),8),"NA")</f>
        <v>2139</v>
      </c>
      <c r="I372" s="436">
        <f ca="1">IFERROR(INDEX('FEOR kodok'!$A$2:$J$1126,MATCH(Bérköltség!AB372,'FEOR kodok'!$B$2:$B$1126,0),10),"NA")</f>
        <v>35</v>
      </c>
      <c r="J372" s="442" t="str">
        <f t="shared" ca="1" si="788"/>
        <v>30–39 éves</v>
      </c>
      <c r="K372" s="436" t="str">
        <f>IFERROR(INDEX(admin_feor[#All],MATCH(Bérköltség!H372,admin_feor[[#All],[Foglalkozás]],0),2),"NA")</f>
        <v>Egyéb, máshova nem sorolható mérnök</v>
      </c>
      <c r="L372" s="438">
        <f ca="1">IFERROR(
INDEX('Admin - FEOR'!$A$4:$F$465,MATCH(Bérköltség!H372,'Admin - FEOR'!$A$4:$A$465,0),
IF(J372="30 év alatt",3,
IF(J372="30–39 éves",4,
IF(J372="40–49 éves",5,
IF(J372="50 év és afelett",6
)))))*1,"NA")</f>
        <v>845378</v>
      </c>
      <c r="M372" s="438">
        <f t="shared" si="789"/>
        <v>1100000</v>
      </c>
      <c r="N372" s="443">
        <f t="shared" ca="1" si="790"/>
        <v>1.3011930757601924</v>
      </c>
      <c r="O372" s="438">
        <f ca="1">IFERROR(
INDEX('Admin - FEOR'!$A$4:$F$465,MATCH(Bérköltség!H372,'Admin - FEOR'!$A$4:$A$465,0),
IF(J372="30 év alatt",3,
IF(J372="30–39 éves",4,
IF(J372="40–49 éves",5,
IF(J372="50 év és afelett",6
)))))*1.5,"NA")</f>
        <v>1268067</v>
      </c>
      <c r="P372" s="438">
        <f t="shared" ca="1" si="791"/>
        <v>466415.44827586209</v>
      </c>
      <c r="Q372" s="438">
        <f t="shared" si="792"/>
        <v>404598</v>
      </c>
      <c r="R372" s="444">
        <f t="shared" si="793"/>
        <v>0.36781609195402298</v>
      </c>
      <c r="S372" s="438">
        <f t="shared" ca="1" si="794"/>
        <v>0</v>
      </c>
      <c r="T372" s="438">
        <f t="shared" ca="1" si="795"/>
        <v>0</v>
      </c>
      <c r="U372" s="445">
        <f t="shared" ca="1" si="796"/>
        <v>0</v>
      </c>
      <c r="V372" s="446">
        <f t="shared" ca="1" si="797"/>
        <v>457196</v>
      </c>
      <c r="W372" s="447" t="str">
        <f t="shared" ca="1" si="798"/>
        <v>Indoklás szükséges mivel a FEOR: 130,1%</v>
      </c>
      <c r="X372" s="571">
        <f t="shared" ca="1" si="799"/>
        <v>0</v>
      </c>
      <c r="Y372" s="554">
        <f t="shared" ca="1" si="800"/>
        <v>404598</v>
      </c>
      <c r="Z372" s="554">
        <f t="shared" ca="1" si="801"/>
        <v>52598</v>
      </c>
      <c r="AA372" s="573">
        <v>2</v>
      </c>
      <c r="AB372" s="448">
        <v>8442983112</v>
      </c>
      <c r="AC372" s="449" t="s">
        <v>177</v>
      </c>
      <c r="AD372" s="483" t="s">
        <v>45</v>
      </c>
      <c r="AE372" s="450" t="s">
        <v>158</v>
      </c>
      <c r="AF372" s="99" t="s">
        <v>120</v>
      </c>
      <c r="AG372" s="99" t="s">
        <v>157</v>
      </c>
      <c r="AH372" s="451" t="s">
        <v>131</v>
      </c>
      <c r="AI372" s="154">
        <v>44896</v>
      </c>
      <c r="AJ372" s="100" t="str">
        <f>IF(AI372&gt;0,
(IF(AI372&lt;Hónapok!$A$10,Admin!$A$28,
(IF(AI372&lt;Hónapok!$A$22,Admin!$B$28,
(IF(AI372&lt;Hónapok!$A$34,Admin!$C$28,
(IF(AI372&lt;Hónapok!$A$46,Admin!$D$28,"")))))))),"")</f>
        <v>2. mérföldkő</v>
      </c>
      <c r="AK372" s="469" t="s">
        <v>7</v>
      </c>
      <c r="AL372" s="101" t="s">
        <v>26</v>
      </c>
      <c r="AM372" s="900">
        <v>1100000</v>
      </c>
      <c r="AN372" s="860">
        <f t="shared" si="877"/>
        <v>143000</v>
      </c>
      <c r="AO372" s="101">
        <v>174</v>
      </c>
      <c r="AP372" s="111">
        <v>64</v>
      </c>
      <c r="AQ372" s="454">
        <f t="shared" si="779"/>
        <v>0.36781609195402298</v>
      </c>
      <c r="AR372" s="455">
        <f t="shared" si="780"/>
        <v>404598</v>
      </c>
      <c r="AS372" s="455">
        <f t="shared" si="781"/>
        <v>52598</v>
      </c>
      <c r="AT372" s="102">
        <f t="shared" si="782"/>
        <v>-2.7168234068009056E-7</v>
      </c>
      <c r="AU372" s="116">
        <v>0.13</v>
      </c>
      <c r="AV372" s="565" t="str">
        <f>VLOOKUP(LEFT(AB372,10),Törzsszám!$A$1:$B$908,2,0)</f>
        <v>10000360</v>
      </c>
      <c r="AW372" s="615">
        <f t="shared" ca="1" si="783"/>
        <v>0</v>
      </c>
      <c r="AX372" s="473" t="s">
        <v>262</v>
      </c>
      <c r="AY372" s="486"/>
      <c r="AZ372" s="502"/>
      <c r="BA372" s="671">
        <v>130200</v>
      </c>
      <c r="BB372" s="649">
        <v>16926</v>
      </c>
      <c r="BC372" s="649">
        <f t="shared" ca="1" si="883"/>
        <v>274398</v>
      </c>
      <c r="BD372" s="672">
        <f t="shared" ca="1" si="883"/>
        <v>35672</v>
      </c>
      <c r="BE372" s="450" t="s">
        <v>178</v>
      </c>
      <c r="BF372" s="287"/>
    </row>
    <row r="373" spans="1:59" s="457" customFormat="1" ht="31.5" x14ac:dyDescent="0.25">
      <c r="A373" s="694" t="str">
        <f ca="1">Bérköltség!$B373</f>
        <v>FEOR</v>
      </c>
      <c r="B373" s="694" t="str">
        <f ca="1">IFERROR(
IF(AND(Bérköltség!$F373="",H373="NA"),"HIÁNYOS ADATOK",
IF(Bérköltség!$F373&lt;Bérköltség!$U373,Admin!$B$18,Admin!$B$17)),
"")</f>
        <v>FEOR</v>
      </c>
      <c r="C373" s="437">
        <f>IFERROR(INDEX('Historikus berek_2021-2'!$A$1:$F$903,MATCH(AB373,'Historikus berek_2021-2'!$A$1:$A$903,0),4),"")</f>
        <v>756166.66666666663</v>
      </c>
      <c r="D373" s="438">
        <f t="shared" si="784"/>
        <v>278130.26819923369</v>
      </c>
      <c r="E373" s="437">
        <f t="shared" si="785"/>
        <v>349425</v>
      </c>
      <c r="F373" s="439">
        <f t="shared" si="786"/>
        <v>80563.046934865881</v>
      </c>
      <c r="G373" s="440">
        <f t="shared" si="787"/>
        <v>314287.20306513406</v>
      </c>
      <c r="H373" s="441">
        <f>IFERROR(INDEX('FEOR kodok'!$A$2:$J$1126,MATCH(Bérköltség!AB373,'FEOR kodok'!$B$2:$B$1126,0),8),"NA")</f>
        <v>2139</v>
      </c>
      <c r="I373" s="436">
        <f ca="1">IFERROR(INDEX('FEOR kodok'!$A$2:$J$1126,MATCH(Bérköltség!AB373,'FEOR kodok'!$B$2:$B$1126,0),10),"NA")</f>
        <v>35</v>
      </c>
      <c r="J373" s="442" t="str">
        <f t="shared" ca="1" si="788"/>
        <v>30–39 éves</v>
      </c>
      <c r="K373" s="436" t="str">
        <f>IFERROR(INDEX(admin_feor[#All],MATCH(Bérköltség!H373,admin_feor[[#All],[Foglalkozás]],0),2),"NA")</f>
        <v>Egyéb, máshova nem sorolható mérnök</v>
      </c>
      <c r="L373" s="438">
        <f ca="1">IFERROR(
INDEX('Admin - FEOR'!$A$4:$F$465,MATCH(Bérköltség!H373,'Admin - FEOR'!$A$4:$A$465,0),
IF(J373="30 év alatt",3,
IF(J373="30–39 éves",4,
IF(J373="40–49 éves",5,
IF(J373="50 év és afelett",6
)))))*1,"NA")</f>
        <v>845378</v>
      </c>
      <c r="M373" s="438">
        <f t="shared" si="789"/>
        <v>949999</v>
      </c>
      <c r="N373" s="443">
        <f t="shared" ca="1" si="790"/>
        <v>1.1237564734355519</v>
      </c>
      <c r="O373" s="438">
        <f ca="1">IFERROR(
INDEX('Admin - FEOR'!$A$4:$F$465,MATCH(Bérköltség!H373,'Admin - FEOR'!$A$4:$A$465,0),
IF(J373="30 év alatt",3,
IF(J373="30–39 éves",4,
IF(J373="40–49 éves",5,
IF(J373="50 év és afelett",6
)))))*1.5,"NA")</f>
        <v>1268067</v>
      </c>
      <c r="P373" s="438">
        <f t="shared" ca="1" si="791"/>
        <v>466415.44827586209</v>
      </c>
      <c r="Q373" s="438">
        <f t="shared" si="792"/>
        <v>349425</v>
      </c>
      <c r="R373" s="444">
        <f t="shared" si="793"/>
        <v>0.36781609195402298</v>
      </c>
      <c r="S373" s="438">
        <f t="shared" ca="1" si="794"/>
        <v>0</v>
      </c>
      <c r="T373" s="438">
        <f t="shared" ca="1" si="795"/>
        <v>0</v>
      </c>
      <c r="U373" s="445">
        <f t="shared" ca="1" si="796"/>
        <v>0</v>
      </c>
      <c r="V373" s="446">
        <f t="shared" ca="1" si="797"/>
        <v>394850</v>
      </c>
      <c r="W373" s="447" t="str">
        <f t="shared" ca="1" si="798"/>
        <v>Indoklás szükséges mivel a FEOR: 112,4%</v>
      </c>
      <c r="X373" s="571">
        <f t="shared" ca="1" si="799"/>
        <v>0</v>
      </c>
      <c r="Y373" s="554">
        <f t="shared" ca="1" si="800"/>
        <v>349425</v>
      </c>
      <c r="Z373" s="554">
        <f t="shared" ca="1" si="801"/>
        <v>45425</v>
      </c>
      <c r="AA373" s="573">
        <v>2</v>
      </c>
      <c r="AB373" s="448">
        <v>8442983112</v>
      </c>
      <c r="AC373" s="449" t="s">
        <v>177</v>
      </c>
      <c r="AD373" s="483" t="s">
        <v>45</v>
      </c>
      <c r="AE373" s="450" t="s">
        <v>158</v>
      </c>
      <c r="AF373" s="99" t="s">
        <v>120</v>
      </c>
      <c r="AG373" s="99" t="s">
        <v>157</v>
      </c>
      <c r="AH373" s="451" t="s">
        <v>131</v>
      </c>
      <c r="AI373" s="154">
        <v>44927</v>
      </c>
      <c r="AJ373" s="100" t="str">
        <f>IF(AI373&gt;0,
(IF(AI373&lt;Hónapok!$A$10,Admin!$A$28,
(IF(AI373&lt;Hónapok!$A$22,Admin!$B$28,
(IF(AI373&lt;Hónapok!$A$34,Admin!$C$28,
(IF(AI373&lt;Hónapok!$A$46,Admin!$D$28,"")))))))),"")</f>
        <v>2. mérföldkő</v>
      </c>
      <c r="AK373" s="467" t="s">
        <v>7</v>
      </c>
      <c r="AL373" s="101" t="s">
        <v>26</v>
      </c>
      <c r="AM373" s="900">
        <v>949999</v>
      </c>
      <c r="AN373" s="860">
        <f t="shared" si="877"/>
        <v>123500</v>
      </c>
      <c r="AO373" s="101">
        <v>174</v>
      </c>
      <c r="AP373" s="111">
        <v>64</v>
      </c>
      <c r="AQ373" s="454">
        <f t="shared" si="779"/>
        <v>0.36781609195402298</v>
      </c>
      <c r="AR373" s="455">
        <f t="shared" si="780"/>
        <v>349425</v>
      </c>
      <c r="AS373" s="455">
        <f t="shared" si="781"/>
        <v>45425</v>
      </c>
      <c r="AT373" s="102">
        <f t="shared" si="782"/>
        <v>-8.469458401272334E-8</v>
      </c>
      <c r="AU373" s="116">
        <v>0.13</v>
      </c>
      <c r="AV373" s="565" t="str">
        <f>VLOOKUP(LEFT(AB373,10),Törzsszám!$A$1:$B$908,2,0)</f>
        <v>10000360</v>
      </c>
      <c r="AW373" s="615">
        <f t="shared" ca="1" si="783"/>
        <v>0</v>
      </c>
      <c r="AX373" s="471" t="s">
        <v>2518</v>
      </c>
      <c r="AY373" s="486"/>
      <c r="AZ373" s="502"/>
      <c r="BA373" s="671">
        <v>130200</v>
      </c>
      <c r="BB373" s="649">
        <v>16926</v>
      </c>
      <c r="BC373" s="649">
        <f t="shared" ca="1" si="883"/>
        <v>219225</v>
      </c>
      <c r="BD373" s="672">
        <f t="shared" ca="1" si="883"/>
        <v>28499</v>
      </c>
      <c r="BE373" s="450" t="s">
        <v>178</v>
      </c>
      <c r="BF373" s="287"/>
    </row>
    <row r="374" spans="1:59" s="457" customFormat="1" ht="31.5" x14ac:dyDescent="0.25">
      <c r="A374" s="694" t="str">
        <f ca="1">Bérköltség!$B374</f>
        <v>FEOR</v>
      </c>
      <c r="B374" s="694" t="str">
        <f ca="1">IFERROR(
IF(AND(Bérköltség!$F374="",H374="NA"),"HIÁNYOS ADATOK",
IF(Bérköltség!$F374&lt;Bérköltség!$U374,Admin!$B$18,Admin!$B$17)),
"")</f>
        <v>FEOR</v>
      </c>
      <c r="C374" s="437">
        <f>IFERROR(INDEX('Historikus berek_2021-2'!$A$1:$F$903,MATCH(AB374,'Historikus berek_2021-2'!$A$1:$A$903,0),4),"")</f>
        <v>756166.66666666663</v>
      </c>
      <c r="D374" s="438">
        <f t="shared" si="784"/>
        <v>217289.27203065131</v>
      </c>
      <c r="E374" s="437">
        <f t="shared" si="785"/>
        <v>272989</v>
      </c>
      <c r="F374" s="439">
        <f t="shared" si="786"/>
        <v>62940.692605363991</v>
      </c>
      <c r="G374" s="440">
        <f t="shared" si="787"/>
        <v>245536.87739463596</v>
      </c>
      <c r="H374" s="441">
        <f>IFERROR(INDEX('FEOR kodok'!$A$2:$J$1126,MATCH(Bérköltség!AB374,'FEOR kodok'!$B$2:$B$1126,0),8),"NA")</f>
        <v>2139</v>
      </c>
      <c r="I374" s="436">
        <f ca="1">IFERROR(INDEX('FEOR kodok'!$A$2:$J$1126,MATCH(Bérköltség!AB374,'FEOR kodok'!$B$2:$B$1126,0),10),"NA")</f>
        <v>35</v>
      </c>
      <c r="J374" s="442" t="str">
        <f t="shared" ca="1" si="788"/>
        <v>30–39 éves</v>
      </c>
      <c r="K374" s="436" t="str">
        <f>IFERROR(INDEX(admin_feor[#All],MATCH(Bérköltség!H374,admin_feor[[#All],[Foglalkozás]],0),2),"NA")</f>
        <v>Egyéb, máshova nem sorolható mérnök</v>
      </c>
      <c r="L374" s="438">
        <f ca="1">IFERROR(
INDEX('Admin - FEOR'!$A$4:$F$465,MATCH(Bérköltség!H374,'Admin - FEOR'!$A$4:$A$465,0),
IF(J374="30 év alatt",3,
IF(J374="30–39 éves",4,
IF(J374="40–49 éves",5,
IF(J374="50 év és afelett",6
)))))*1,"NA")</f>
        <v>845378</v>
      </c>
      <c r="M374" s="438">
        <f t="shared" si="789"/>
        <v>950000</v>
      </c>
      <c r="N374" s="443">
        <f t="shared" ca="1" si="790"/>
        <v>1.123757656338348</v>
      </c>
      <c r="O374" s="438">
        <f ca="1">IFERROR(
INDEX('Admin - FEOR'!$A$4:$F$465,MATCH(Bérköltség!H374,'Admin - FEOR'!$A$4:$A$465,0),
IF(J374="30 év alatt",3,
IF(J374="30–39 éves",4,
IF(J374="40–49 éves",5,
IF(J374="50 év és afelett",6
)))))*1.5,"NA")</f>
        <v>1268067</v>
      </c>
      <c r="P374" s="438">
        <f t="shared" ca="1" si="791"/>
        <v>364387.06896551722</v>
      </c>
      <c r="Q374" s="438">
        <f t="shared" si="792"/>
        <v>272989</v>
      </c>
      <c r="R374" s="444">
        <f t="shared" si="793"/>
        <v>0.28735632183908044</v>
      </c>
      <c r="S374" s="438">
        <f t="shared" ca="1" si="794"/>
        <v>0</v>
      </c>
      <c r="T374" s="438">
        <f t="shared" ca="1" si="795"/>
        <v>0</v>
      </c>
      <c r="U374" s="445">
        <f t="shared" ca="1" si="796"/>
        <v>0</v>
      </c>
      <c r="V374" s="446">
        <f t="shared" ca="1" si="797"/>
        <v>308478</v>
      </c>
      <c r="W374" s="447" t="str">
        <f t="shared" ca="1" si="798"/>
        <v>Indoklás szükséges mivel a FEOR: 112,4%</v>
      </c>
      <c r="X374" s="571">
        <f t="shared" ca="1" si="799"/>
        <v>0</v>
      </c>
      <c r="Y374" s="554">
        <f t="shared" ca="1" si="800"/>
        <v>272989</v>
      </c>
      <c r="Z374" s="554">
        <f t="shared" ca="1" si="801"/>
        <v>35489</v>
      </c>
      <c r="AA374" s="101"/>
      <c r="AB374" s="448">
        <v>8442983112</v>
      </c>
      <c r="AC374" s="449" t="s">
        <v>177</v>
      </c>
      <c r="AD374" s="483" t="s">
        <v>45</v>
      </c>
      <c r="AE374" s="450" t="s">
        <v>158</v>
      </c>
      <c r="AF374" s="99" t="s">
        <v>120</v>
      </c>
      <c r="AG374" s="99" t="s">
        <v>157</v>
      </c>
      <c r="AH374" s="451" t="s">
        <v>131</v>
      </c>
      <c r="AI374" s="154">
        <v>44958</v>
      </c>
      <c r="AJ374" s="100" t="str">
        <f>IF(AI374&gt;0,
(IF(AI374&lt;Hónapok!$A$10,Admin!$A$28,
(IF(AI374&lt;Hónapok!$A$22,Admin!$B$28,
(IF(AI374&lt;Hónapok!$A$34,Admin!$C$28,
(IF(AI374&lt;Hónapok!$A$46,Admin!$D$28,"")))))))),"")</f>
        <v>2. mérföldkő</v>
      </c>
      <c r="AK374" s="469" t="s">
        <v>7</v>
      </c>
      <c r="AL374" s="101" t="s">
        <v>26</v>
      </c>
      <c r="AM374" s="900">
        <v>950000</v>
      </c>
      <c r="AN374" s="860">
        <f t="shared" si="877"/>
        <v>123500</v>
      </c>
      <c r="AO374" s="101">
        <v>174</v>
      </c>
      <c r="AP374" s="111">
        <v>50</v>
      </c>
      <c r="AQ374" s="682">
        <f t="shared" si="779"/>
        <v>0.28735632183908044</v>
      </c>
      <c r="AR374" s="455">
        <f t="shared" si="780"/>
        <v>272989</v>
      </c>
      <c r="AS374" s="455">
        <f t="shared" si="781"/>
        <v>35489</v>
      </c>
      <c r="AT374" s="102">
        <f t="shared" si="782"/>
        <v>-5.202661826908539E-7</v>
      </c>
      <c r="AU374" s="116">
        <v>0.13</v>
      </c>
      <c r="AV374" s="565" t="str">
        <f>VLOOKUP(LEFT(AB374,10),Törzsszám!$A$1:$B$908,2,0)</f>
        <v>10000360</v>
      </c>
      <c r="AW374" s="681">
        <f t="shared" ca="1" si="783"/>
        <v>0</v>
      </c>
      <c r="AX374" s="537" t="s">
        <v>4557</v>
      </c>
      <c r="AY374" s="486"/>
      <c r="AZ374" s="502"/>
      <c r="BA374" s="671"/>
      <c r="BB374" s="649"/>
      <c r="BC374" s="649"/>
      <c r="BD374" s="672"/>
      <c r="BE374" s="450" t="s">
        <v>178</v>
      </c>
      <c r="BF374" s="287"/>
    </row>
    <row r="375" spans="1:59" s="457" customFormat="1" ht="31.5" x14ac:dyDescent="0.25">
      <c r="A375" s="694" t="str">
        <f ca="1">Bérköltség!$B375</f>
        <v>FEOR</v>
      </c>
      <c r="B375" s="694" t="str">
        <f ca="1">IFERROR(
IF(AND(Bérköltség!$F375="",H375="NA"),"HIÁNYOS ADATOK",
IF(Bérköltség!$F375&lt;Bérköltség!$U375,Admin!$B$18,Admin!$B$17)),
"")</f>
        <v>FEOR</v>
      </c>
      <c r="C375" s="437">
        <f>IFERROR(INDEX('Historikus berek_2021-2'!$A$1:$F$903,MATCH(AB375,'Historikus berek_2021-2'!$A$1:$A$903,0),4),"")</f>
        <v>756166.66666666663</v>
      </c>
      <c r="D375" s="438">
        <f t="shared" si="784"/>
        <v>217289.27203065131</v>
      </c>
      <c r="E375" s="437">
        <f t="shared" si="785"/>
        <v>250653</v>
      </c>
      <c r="F375" s="439">
        <f t="shared" si="786"/>
        <v>37701.012605363998</v>
      </c>
      <c r="G375" s="440">
        <f t="shared" si="787"/>
        <v>245536.87739463596</v>
      </c>
      <c r="H375" s="441">
        <f>IFERROR(INDEX('FEOR kodok'!$A$2:$J$1126,MATCH(Bérköltség!AB375,'FEOR kodok'!$B$2:$B$1126,0),8),"NA")</f>
        <v>2139</v>
      </c>
      <c r="I375" s="436">
        <f ca="1">IFERROR(INDEX('FEOR kodok'!$A$2:$J$1126,MATCH(Bérköltség!AB375,'FEOR kodok'!$B$2:$B$1126,0),10),"NA")</f>
        <v>35</v>
      </c>
      <c r="J375" s="442" t="str">
        <f t="shared" ca="1" si="788"/>
        <v>30–39 éves</v>
      </c>
      <c r="K375" s="436" t="str">
        <f>IFERROR(INDEX(admin_feor[#All],MATCH(Bérköltség!H375,admin_feor[[#All],[Foglalkozás]],0),2),"NA")</f>
        <v>Egyéb, máshova nem sorolható mérnök</v>
      </c>
      <c r="L375" s="438">
        <f ca="1">IFERROR(
INDEX('Admin - FEOR'!$A$4:$F$465,MATCH(Bérköltség!H375,'Admin - FEOR'!$A$4:$A$465,0),
IF(J375="30 év alatt",3,
IF(J375="30–39 éves",4,
IF(J375="40–49 éves",5,
IF(J375="50 év és afelett",6
)))))*1,"NA")</f>
        <v>845378</v>
      </c>
      <c r="M375" s="438">
        <f t="shared" si="789"/>
        <v>872273</v>
      </c>
      <c r="N375" s="443">
        <f t="shared" ca="1" si="790"/>
        <v>1.0318141707023367</v>
      </c>
      <c r="O375" s="438">
        <f ca="1">IFERROR(
INDEX('Admin - FEOR'!$A$4:$F$465,MATCH(Bérköltség!H375,'Admin - FEOR'!$A$4:$A$465,0),
IF(J375="30 év alatt",3,
IF(J375="30–39 éves",4,
IF(J375="40–49 éves",5,
IF(J375="50 év és afelett",6
)))))*1.5,"NA")</f>
        <v>1268067</v>
      </c>
      <c r="P375" s="438">
        <f t="shared" ca="1" si="791"/>
        <v>364387.06896551722</v>
      </c>
      <c r="Q375" s="438">
        <f t="shared" si="792"/>
        <v>250653</v>
      </c>
      <c r="R375" s="444">
        <f t="shared" si="793"/>
        <v>0.28735632183908044</v>
      </c>
      <c r="S375" s="438">
        <f t="shared" ca="1" si="794"/>
        <v>0</v>
      </c>
      <c r="T375" s="438">
        <f t="shared" ca="1" si="795"/>
        <v>0</v>
      </c>
      <c r="U375" s="445">
        <f t="shared" ca="1" si="796"/>
        <v>0</v>
      </c>
      <c r="V375" s="446">
        <f t="shared" ca="1" si="797"/>
        <v>283238</v>
      </c>
      <c r="W375" s="447" t="str">
        <f t="shared" ca="1" si="798"/>
        <v>Indoklás szükséges mivel a FEOR: 103,2%</v>
      </c>
      <c r="X375" s="571">
        <f t="shared" ca="1" si="799"/>
        <v>0</v>
      </c>
      <c r="Y375" s="554">
        <f t="shared" ca="1" si="800"/>
        <v>250653</v>
      </c>
      <c r="Z375" s="554">
        <f t="shared" ca="1" si="801"/>
        <v>32585</v>
      </c>
      <c r="AA375" s="101"/>
      <c r="AB375" s="448">
        <v>8442983112</v>
      </c>
      <c r="AC375" s="449" t="s">
        <v>177</v>
      </c>
      <c r="AD375" s="482" t="s">
        <v>45</v>
      </c>
      <c r="AE375" s="450" t="s">
        <v>158</v>
      </c>
      <c r="AF375" s="99" t="s">
        <v>120</v>
      </c>
      <c r="AG375" s="99" t="s">
        <v>157</v>
      </c>
      <c r="AH375" s="451" t="s">
        <v>131</v>
      </c>
      <c r="AI375" s="154">
        <v>44986</v>
      </c>
      <c r="AJ375" s="100" t="str">
        <f>IF(AI375&gt;0,
(IF(AI375&lt;Hónapok!$A$10,Admin!$A$28,
(IF(AI375&lt;Hónapok!$A$22,Admin!$B$28,
(IF(AI375&lt;Hónapok!$A$34,Admin!$C$28,
(IF(AI375&lt;Hónapok!$A$46,Admin!$D$28,"")))))))),"")</f>
        <v>3. mérföldkő</v>
      </c>
      <c r="AK375" s="470" t="s">
        <v>7</v>
      </c>
      <c r="AL375" s="101" t="s">
        <v>26</v>
      </c>
      <c r="AM375" s="900">
        <v>872273</v>
      </c>
      <c r="AN375" s="860">
        <f t="shared" si="877"/>
        <v>113395</v>
      </c>
      <c r="AO375" s="101">
        <v>174</v>
      </c>
      <c r="AP375" s="111">
        <v>50</v>
      </c>
      <c r="AQ375" s="682">
        <f t="shared" si="779"/>
        <v>0.28735632183908044</v>
      </c>
      <c r="AR375" s="455">
        <f t="shared" si="780"/>
        <v>250653</v>
      </c>
      <c r="AS375" s="455">
        <f t="shared" si="781"/>
        <v>32585</v>
      </c>
      <c r="AT375" s="102">
        <f t="shared" si="782"/>
        <v>1.8448300043161225E-7</v>
      </c>
      <c r="AU375" s="116">
        <v>0.13</v>
      </c>
      <c r="AV375" s="565" t="str">
        <f>VLOOKUP(LEFT(AB375,10),Törzsszám!$A$1:$B$908,2,0)</f>
        <v>10000360</v>
      </c>
      <c r="AW375" s="681">
        <f t="shared" ca="1" si="783"/>
        <v>0</v>
      </c>
      <c r="AX375" s="471" t="s">
        <v>4561</v>
      </c>
      <c r="AY375" s="486"/>
      <c r="AZ375" s="502"/>
      <c r="BA375" s="671"/>
      <c r="BB375" s="649"/>
      <c r="BC375" s="649"/>
      <c r="BD375" s="672"/>
      <c r="BE375" s="450" t="s">
        <v>178</v>
      </c>
    </row>
    <row r="376" spans="1:59" s="457" customFormat="1" ht="31.5" x14ac:dyDescent="0.25">
      <c r="A376" s="694" t="str">
        <f ca="1">Bérköltség!$B376</f>
        <v>FEOR</v>
      </c>
      <c r="B376" s="694" t="str">
        <f ca="1">IFERROR(
IF(AND(Bérköltség!$F376="",H376="NA"),"HIÁNYOS ADATOK",
IF(Bérköltség!$F376&lt;Bérköltség!$U376,Admin!$B$18,Admin!$B$17)),
"")</f>
        <v>FEOR</v>
      </c>
      <c r="C376" s="437">
        <f>IFERROR(INDEX('Historikus berek_2021-2'!$A$1:$F$903,MATCH(AB376,'Historikus berek_2021-2'!$A$1:$A$903,0),4),"")</f>
        <v>756166.66666666663</v>
      </c>
      <c r="D376" s="438">
        <f t="shared" si="784"/>
        <v>217289.27203065131</v>
      </c>
      <c r="E376" s="437">
        <f t="shared" si="785"/>
        <v>272989</v>
      </c>
      <c r="F376" s="439">
        <f t="shared" si="786"/>
        <v>62940.692605363991</v>
      </c>
      <c r="G376" s="440">
        <f t="shared" si="787"/>
        <v>245536.87739463596</v>
      </c>
      <c r="H376" s="441">
        <f>IFERROR(INDEX('FEOR kodok'!$A$2:$J$1126,MATCH(Bérköltség!AB376,'FEOR kodok'!$B$2:$B$1126,0),8),"NA")</f>
        <v>2139</v>
      </c>
      <c r="I376" s="436">
        <f ca="1">IFERROR(INDEX('FEOR kodok'!$A$2:$J$1126,MATCH(Bérköltség!AB376,'FEOR kodok'!$B$2:$B$1126,0),10),"NA")</f>
        <v>35</v>
      </c>
      <c r="J376" s="442" t="str">
        <f t="shared" ca="1" si="788"/>
        <v>30–39 éves</v>
      </c>
      <c r="K376" s="436" t="str">
        <f>IFERROR(INDEX(admin_feor[#All],MATCH(Bérköltség!H376,admin_feor[[#All],[Foglalkozás]],0),2),"NA")</f>
        <v>Egyéb, máshova nem sorolható mérnök</v>
      </c>
      <c r="L376" s="438">
        <f ca="1">IFERROR(
INDEX('Admin - FEOR'!$A$4:$F$465,MATCH(Bérköltség!H376,'Admin - FEOR'!$A$4:$A$465,0),
IF(J376="30 év alatt",3,
IF(J376="30–39 éves",4,
IF(J376="40–49 éves",5,
IF(J376="50 év és afelett",6
)))))*1,"NA")</f>
        <v>845378</v>
      </c>
      <c r="M376" s="438">
        <f t="shared" si="789"/>
        <v>950000</v>
      </c>
      <c r="N376" s="443">
        <f t="shared" ca="1" si="790"/>
        <v>1.123757656338348</v>
      </c>
      <c r="O376" s="438">
        <f ca="1">IFERROR(
INDEX('Admin - FEOR'!$A$4:$F$465,MATCH(Bérköltség!H376,'Admin - FEOR'!$A$4:$A$465,0),
IF(J376="30 év alatt",3,
IF(J376="30–39 éves",4,
IF(J376="40–49 éves",5,
IF(J376="50 év és afelett",6
)))))*1.5,"NA")</f>
        <v>1268067</v>
      </c>
      <c r="P376" s="438">
        <f t="shared" ca="1" si="791"/>
        <v>364387.06896551722</v>
      </c>
      <c r="Q376" s="438">
        <f t="shared" si="792"/>
        <v>272989</v>
      </c>
      <c r="R376" s="444">
        <f t="shared" si="793"/>
        <v>0.28735632183908044</v>
      </c>
      <c r="S376" s="438">
        <f t="shared" ca="1" si="794"/>
        <v>0</v>
      </c>
      <c r="T376" s="438">
        <f t="shared" ca="1" si="795"/>
        <v>0</v>
      </c>
      <c r="U376" s="445">
        <f t="shared" ca="1" si="796"/>
        <v>0</v>
      </c>
      <c r="V376" s="446">
        <f t="shared" ca="1" si="797"/>
        <v>308478</v>
      </c>
      <c r="W376" s="447" t="str">
        <f t="shared" ca="1" si="798"/>
        <v>Indoklás szükséges mivel a FEOR: 112,4%</v>
      </c>
      <c r="X376" s="571">
        <f t="shared" ca="1" si="799"/>
        <v>0</v>
      </c>
      <c r="Y376" s="554">
        <f t="shared" ca="1" si="800"/>
        <v>272989</v>
      </c>
      <c r="Z376" s="554">
        <f t="shared" ca="1" si="801"/>
        <v>35489</v>
      </c>
      <c r="AA376" s="333"/>
      <c r="AB376" s="315">
        <v>8442983112</v>
      </c>
      <c r="AC376" s="489" t="s">
        <v>177</v>
      </c>
      <c r="AD376" s="483" t="s">
        <v>45</v>
      </c>
      <c r="AE376" s="485" t="s">
        <v>158</v>
      </c>
      <c r="AF376" s="364" t="s">
        <v>120</v>
      </c>
      <c r="AG376" s="364" t="s">
        <v>157</v>
      </c>
      <c r="AH376" s="490" t="s">
        <v>131</v>
      </c>
      <c r="AI376" s="365">
        <v>45017</v>
      </c>
      <c r="AJ376" s="100" t="str">
        <f>IF(AI376&gt;0,
(IF(AI376&lt;Hónapok!$A$10,Admin!$A$28,
(IF(AI376&lt;Hónapok!$A$22,Admin!$B$28,
(IF(AI376&lt;Hónapok!$A$34,Admin!$C$28,
(IF(AI376&lt;Hónapok!$A$46,Admin!$D$28,"")))))))),"")</f>
        <v>3. mérföldkő</v>
      </c>
      <c r="AK376" s="469" t="s">
        <v>7</v>
      </c>
      <c r="AL376" s="333" t="s">
        <v>26</v>
      </c>
      <c r="AM376" s="900">
        <v>950000</v>
      </c>
      <c r="AN376" s="860">
        <f t="shared" si="877"/>
        <v>123500</v>
      </c>
      <c r="AO376" s="333">
        <v>174</v>
      </c>
      <c r="AP376" s="491">
        <v>50</v>
      </c>
      <c r="AQ376" s="682">
        <f t="shared" si="779"/>
        <v>0.28735632183908044</v>
      </c>
      <c r="AR376" s="455">
        <f t="shared" si="780"/>
        <v>272989</v>
      </c>
      <c r="AS376" s="455">
        <f t="shared" si="781"/>
        <v>35489</v>
      </c>
      <c r="AT376" s="102">
        <f t="shared" si="782"/>
        <v>-5.202661826908539E-7</v>
      </c>
      <c r="AU376" s="116">
        <v>0.13</v>
      </c>
      <c r="AV376" s="565" t="str">
        <f>VLOOKUP(LEFT(AB376,10),Törzsszám!$A$1:$B$908,2,0)</f>
        <v>10000360</v>
      </c>
      <c r="AW376" s="681">
        <f t="shared" ca="1" si="783"/>
        <v>0</v>
      </c>
      <c r="AX376" s="471" t="s">
        <v>4581</v>
      </c>
      <c r="AY376" s="551"/>
      <c r="AZ376" s="551"/>
      <c r="BA376" s="675"/>
      <c r="BB376" s="652"/>
      <c r="BC376" s="649"/>
      <c r="BD376" s="672"/>
      <c r="BE376" s="485" t="s">
        <v>178</v>
      </c>
      <c r="BG376" s="498"/>
    </row>
    <row r="377" spans="1:59" s="457" customFormat="1" ht="31.5" x14ac:dyDescent="0.25">
      <c r="A377" s="694" t="str">
        <f ca="1">Bérköltség!$B377</f>
        <v>FEOR</v>
      </c>
      <c r="B377" s="694" t="str">
        <f ca="1">IFERROR(
IF(AND(Bérköltség!$F377="",H377="NA"),"HIÁNYOS ADATOK",
IF(Bérköltség!$F377&lt;Bérköltség!$U377,Admin!$B$18,Admin!$B$17)),
"")</f>
        <v>FEOR</v>
      </c>
      <c r="C377" s="437">
        <f>IFERROR(INDEX('Historikus berek_2021-2'!$A$1:$F$903,MATCH(AB377,'Historikus berek_2021-2'!$A$1:$A$903,0),4),"")</f>
        <v>756166.66666666663</v>
      </c>
      <c r="D377" s="438">
        <f t="shared" si="784"/>
        <v>217289.27203065131</v>
      </c>
      <c r="E377" s="437">
        <f t="shared" si="785"/>
        <v>272989</v>
      </c>
      <c r="F377" s="439">
        <f t="shared" si="786"/>
        <v>62940.692605363991</v>
      </c>
      <c r="G377" s="440">
        <f t="shared" si="787"/>
        <v>245536.87739463596</v>
      </c>
      <c r="H377" s="441">
        <f>IFERROR(INDEX('FEOR kodok'!$A$2:$J$1126,MATCH(Bérköltség!AB377,'FEOR kodok'!$B$2:$B$1126,0),8),"NA")</f>
        <v>2139</v>
      </c>
      <c r="I377" s="436">
        <f ca="1">IFERROR(INDEX('FEOR kodok'!$A$2:$J$1126,MATCH(Bérköltség!AB377,'FEOR kodok'!$B$2:$B$1126,0),10),"NA")</f>
        <v>35</v>
      </c>
      <c r="J377" s="442" t="str">
        <f t="shared" ca="1" si="788"/>
        <v>30–39 éves</v>
      </c>
      <c r="K377" s="436" t="str">
        <f>IFERROR(INDEX(admin_feor[#All],MATCH(Bérköltség!H377,admin_feor[[#All],[Foglalkozás]],0),2),"NA")</f>
        <v>Egyéb, máshova nem sorolható mérnök</v>
      </c>
      <c r="L377" s="438">
        <f ca="1">IFERROR(
INDEX('Admin - FEOR'!$A$4:$F$465,MATCH(Bérköltség!H377,'Admin - FEOR'!$A$4:$A$465,0),
IF(J377="30 év alatt",3,
IF(J377="30–39 éves",4,
IF(J377="40–49 éves",5,
IF(J377="50 év és afelett",6
)))))*1,"NA")</f>
        <v>845378</v>
      </c>
      <c r="M377" s="438">
        <f t="shared" si="789"/>
        <v>950000</v>
      </c>
      <c r="N377" s="443">
        <f t="shared" ca="1" si="790"/>
        <v>1.123757656338348</v>
      </c>
      <c r="O377" s="438">
        <f ca="1">IFERROR(
INDEX('Admin - FEOR'!$A$4:$F$465,MATCH(Bérköltség!H377,'Admin - FEOR'!$A$4:$A$465,0),
IF(J377="30 év alatt",3,
IF(J377="30–39 éves",4,
IF(J377="40–49 éves",5,
IF(J377="50 év és afelett",6
)))))*1.5,"NA")</f>
        <v>1268067</v>
      </c>
      <c r="P377" s="438">
        <f t="shared" ca="1" si="791"/>
        <v>364387.06896551722</v>
      </c>
      <c r="Q377" s="438">
        <f t="shared" si="792"/>
        <v>272989</v>
      </c>
      <c r="R377" s="444">
        <f t="shared" si="793"/>
        <v>0.28735632183908044</v>
      </c>
      <c r="S377" s="438">
        <f t="shared" ca="1" si="794"/>
        <v>0</v>
      </c>
      <c r="T377" s="438">
        <f t="shared" ca="1" si="795"/>
        <v>0</v>
      </c>
      <c r="U377" s="445">
        <f t="shared" ca="1" si="796"/>
        <v>0</v>
      </c>
      <c r="V377" s="446">
        <f t="shared" ca="1" si="797"/>
        <v>308478</v>
      </c>
      <c r="W377" s="447" t="str">
        <f t="shared" ca="1" si="798"/>
        <v>Indoklás szükséges mivel a FEOR: 112,4%</v>
      </c>
      <c r="X377" s="571">
        <f t="shared" ca="1" si="799"/>
        <v>0</v>
      </c>
      <c r="Y377" s="554">
        <f t="shared" ca="1" si="800"/>
        <v>272989</v>
      </c>
      <c r="Z377" s="554">
        <f t="shared" ca="1" si="801"/>
        <v>35489</v>
      </c>
      <c r="AA377" s="333"/>
      <c r="AB377" s="315">
        <v>8442983112</v>
      </c>
      <c r="AC377" s="489" t="s">
        <v>177</v>
      </c>
      <c r="AD377" s="483" t="s">
        <v>45</v>
      </c>
      <c r="AE377" s="485" t="s">
        <v>158</v>
      </c>
      <c r="AF377" s="364" t="s">
        <v>120</v>
      </c>
      <c r="AG377" s="364" t="s">
        <v>157</v>
      </c>
      <c r="AH377" s="490" t="s">
        <v>131</v>
      </c>
      <c r="AI377" s="365">
        <v>45047</v>
      </c>
      <c r="AJ377" s="100" t="str">
        <f>IF(AI377&gt;0,
(IF(AI377&lt;Hónapok!$A$10,Admin!$A$28,
(IF(AI377&lt;Hónapok!$A$22,Admin!$B$28,
(IF(AI377&lt;Hónapok!$A$34,Admin!$C$28,
(IF(AI377&lt;Hónapok!$A$46,Admin!$D$28,"")))))))),"")</f>
        <v>3. mérföldkő</v>
      </c>
      <c r="AK377" s="469" t="s">
        <v>7</v>
      </c>
      <c r="AL377" s="333" t="s">
        <v>26</v>
      </c>
      <c r="AM377" s="900">
        <v>950000</v>
      </c>
      <c r="AN377" s="860">
        <f t="shared" si="877"/>
        <v>123500</v>
      </c>
      <c r="AO377" s="333">
        <v>174</v>
      </c>
      <c r="AP377" s="491">
        <v>50</v>
      </c>
      <c r="AQ377" s="682">
        <f t="shared" si="779"/>
        <v>0.28735632183908044</v>
      </c>
      <c r="AR377" s="455">
        <f t="shared" si="780"/>
        <v>272989</v>
      </c>
      <c r="AS377" s="455">
        <f t="shared" si="781"/>
        <v>35489</v>
      </c>
      <c r="AT377" s="102">
        <f t="shared" si="782"/>
        <v>-5.202661826908539E-7</v>
      </c>
      <c r="AU377" s="116">
        <v>0.13</v>
      </c>
      <c r="AV377" s="565" t="str">
        <f>VLOOKUP(LEFT(AB377,10),Törzsszám!$A$1:$B$908,2,0)</f>
        <v>10000360</v>
      </c>
      <c r="AW377" s="681">
        <f t="shared" ca="1" si="783"/>
        <v>0</v>
      </c>
      <c r="AX377" s="471" t="s">
        <v>4596</v>
      </c>
      <c r="AY377" s="495"/>
      <c r="AZ377" s="551"/>
      <c r="BA377" s="675"/>
      <c r="BB377" s="652"/>
      <c r="BC377" s="649"/>
      <c r="BD377" s="672"/>
      <c r="BE377" s="485" t="s">
        <v>178</v>
      </c>
      <c r="BG377" s="498"/>
    </row>
    <row r="378" spans="1:59" s="457" customFormat="1" ht="31.5" x14ac:dyDescent="0.25">
      <c r="A378" s="694" t="str">
        <f ca="1">Bérköltség!$B378</f>
        <v>FEOR</v>
      </c>
      <c r="B378" s="694" t="str">
        <f ca="1">IFERROR(
IF(AND(Bérköltség!$F378="",H378="NA"),"HIÁNYOS ADATOK",
IF(Bérköltség!$F378&lt;Bérköltség!$U378,Admin!$B$18,Admin!$B$17)),
"")</f>
        <v>FEOR</v>
      </c>
      <c r="C378" s="437">
        <f>IFERROR(INDEX('Historikus berek_2021-2'!$A$1:$F$903,MATCH(AB378,'Historikus berek_2021-2'!$A$1:$A$903,0),4),"")</f>
        <v>756166.66666666663</v>
      </c>
      <c r="D378" s="438">
        <f t="shared" ref="D378:D383" si="884">IFERROR(C378*AQ378,"NA")</f>
        <v>225980.84291187741</v>
      </c>
      <c r="E378" s="437">
        <f t="shared" ref="E378:E383" si="885">AR378</f>
        <v>328736</v>
      </c>
      <c r="F378" s="439">
        <f t="shared" ref="F378:F383" si="886">IFERROR(IF((E378*(1+AU378)-D378*(1+AU378))&lt;0,0,(E378*(1+AU378)-D378*(1+AU378))),"")</f>
        <v>116113.32750957855</v>
      </c>
      <c r="G378" s="440">
        <f t="shared" ref="G378:G383" si="887">IFERROR((E378*(1+AU378)-F378),"")</f>
        <v>255358.35249042144</v>
      </c>
      <c r="H378" s="441">
        <f>IFERROR(INDEX('FEOR kodok'!$A$2:$J$1126,MATCH(Bérköltség!AB378,'FEOR kodok'!$B$2:$B$1126,0),8),"NA")</f>
        <v>2139</v>
      </c>
      <c r="I378" s="436">
        <f ca="1">IFERROR(INDEX('FEOR kodok'!$A$2:$J$1126,MATCH(Bérköltség!AB378,'FEOR kodok'!$B$2:$B$1126,0),10),"NA")</f>
        <v>35</v>
      </c>
      <c r="J378" s="442" t="str">
        <f t="shared" ref="J378:J383" ca="1" si="888">IF(I378="NA","NA",
IF(I378&lt;30,"30 év alatt",
IF(AND(I378&gt;=30,I378&lt;=39),"30–39 éves",
IF(AND(I378&gt;=40,I378&lt;=49),"40–49 éves",
IF(I378&gt;=50,"50 év és afelett",
"")))))</f>
        <v>30–39 éves</v>
      </c>
      <c r="K378" s="436" t="str">
        <f>IFERROR(INDEX(admin_feor[#All],MATCH(Bérköltség!H378,admin_feor[[#All],[Foglalkozás]],0),2),"NA")</f>
        <v>Egyéb, máshova nem sorolható mérnök</v>
      </c>
      <c r="L378" s="438">
        <f ca="1">IFERROR(
INDEX('Admin - FEOR'!$A$4:$F$465,MATCH(Bérköltség!H378,'Admin - FEOR'!$A$4:$A$465,0),
IF(J378="30 év alatt",3,
IF(J378="30–39 éves",4,
IF(J378="40–49 éves",5,
IF(J378="50 év és afelett",6
)))))*1,"NA")</f>
        <v>845378</v>
      </c>
      <c r="M378" s="438">
        <f t="shared" ref="M378:M383" si="889">AM378</f>
        <v>1100000</v>
      </c>
      <c r="N378" s="443">
        <f t="shared" ref="N378:N383" ca="1" si="890">IFERROR(
M378/L378,"NA")</f>
        <v>1.3011930757601924</v>
      </c>
      <c r="O378" s="438">
        <f ca="1">IFERROR(
INDEX('Admin - FEOR'!$A$4:$F$465,MATCH(Bérköltség!H378,'Admin - FEOR'!$A$4:$A$465,0),
IF(J378="30 év alatt",3,
IF(J378="30–39 éves",4,
IF(J378="40–49 éves",5,
IF(J378="50 év és afelett",6
)))))*1.5,"NA")</f>
        <v>1268067</v>
      </c>
      <c r="P378" s="438">
        <f t="shared" ref="P378:P383" ca="1" si="891">IFERROR(
AQ378*O378,"NA")</f>
        <v>378962.55172413797</v>
      </c>
      <c r="Q378" s="438">
        <f t="shared" ref="Q378:Q383" si="892">IFERROR(AR378,"")</f>
        <v>328736</v>
      </c>
      <c r="R378" s="444">
        <f t="shared" ref="R378:R383" si="893">IFERROR(AQ378,"")</f>
        <v>0.2988505747126437</v>
      </c>
      <c r="S378" s="438">
        <f t="shared" ref="S378:S383" ca="1" si="894">IFERROR(
IF(AR378-P378&lt;0,0,AR378-P378),"NA")</f>
        <v>0</v>
      </c>
      <c r="T378" s="438">
        <f t="shared" ref="T378:T383" ca="1" si="895">IFERROR(
S378*AU378,"NA")</f>
        <v>0</v>
      </c>
      <c r="U378" s="445">
        <f t="shared" ref="U378:U383" ca="1" si="896">IFERROR(
S378+T378,"NA")</f>
        <v>0</v>
      </c>
      <c r="V378" s="446">
        <f t="shared" ref="V378:V383" ca="1" si="897">IFERROR(
IF(U378&gt;0,AR378+AS378-U378,AR378+AS378),"NA")</f>
        <v>371472</v>
      </c>
      <c r="W378" s="447" t="str">
        <f t="shared" ref="W378:W383" ca="1" si="898">IF(P378="NA","FEOR hiányzik",
IF(AND(N378&gt;1,A378="FEOR"),CONCATENATE("Indoklás szükséges mivel a FEOR: ",ROUND(N378*100,1),"%"),"Nem szükséges indoklás.")
)</f>
        <v>Indoklás szükséges mivel a FEOR: 130,1%</v>
      </c>
      <c r="X378" s="571">
        <f t="shared" ref="X378:X383" ca="1" si="899">IF(A378="FEOR",U378,IF(A378="HIÁNYOS ADATOK","HIÁNYOS ADATOK",F378))</f>
        <v>0</v>
      </c>
      <c r="Y378" s="554">
        <f t="shared" ref="Y378:Y383" ca="1" si="900">IF(A378="FEOR",ROUND(V378/(1+AU378),0),IF(A378="HIÁNYOS ADATOK","HIÁNYOS ADATOK",ROUND(G378/(1+AU378),0)))</f>
        <v>328736</v>
      </c>
      <c r="Z378" s="554">
        <f t="shared" ref="Z378:Z383" ca="1" si="901">IF(A378="FEOR",ROUND(V378-Y378,0),IF(A378="HIÁNYOS ADATOK","HIÁNYOS ADATOK",ROUND(G378-Y378,0)))</f>
        <v>42736</v>
      </c>
      <c r="AA378" s="333"/>
      <c r="AB378" s="315">
        <v>8442983112</v>
      </c>
      <c r="AC378" s="489" t="s">
        <v>177</v>
      </c>
      <c r="AD378" s="483" t="s">
        <v>45</v>
      </c>
      <c r="AE378" s="485" t="s">
        <v>158</v>
      </c>
      <c r="AF378" s="364" t="s">
        <v>120</v>
      </c>
      <c r="AG378" s="364" t="s">
        <v>157</v>
      </c>
      <c r="AH378" s="490" t="s">
        <v>131</v>
      </c>
      <c r="AI378" s="365">
        <v>45078</v>
      </c>
      <c r="AJ378" s="100" t="str">
        <f>IF(AI378&gt;0,
(IF(AI378&lt;Hónapok!$A$10,Admin!$A$28,
(IF(AI378&lt;Hónapok!$A$22,Admin!$B$28,
(IF(AI378&lt;Hónapok!$A$34,Admin!$C$28,
(IF(AI378&lt;Hónapok!$A$46,Admin!$D$28,"")))))))),"")</f>
        <v>3. mérföldkő</v>
      </c>
      <c r="AK378" s="469" t="s">
        <v>7</v>
      </c>
      <c r="AL378" s="333" t="s">
        <v>26</v>
      </c>
      <c r="AM378" s="900">
        <v>1100000</v>
      </c>
      <c r="AN378" s="860">
        <f t="shared" ref="AN378:AN383" si="902">IFERROR(ROUND(AM378*AU378,0),"")</f>
        <v>143000</v>
      </c>
      <c r="AO378" s="333">
        <v>174</v>
      </c>
      <c r="AP378" s="491">
        <v>52</v>
      </c>
      <c r="AQ378" s="102">
        <f t="shared" ref="AQ378:AQ383" si="903">IFERROR(AP378/AO378,"")</f>
        <v>0.2988505747126437</v>
      </c>
      <c r="AR378" s="455">
        <f t="shared" ref="AR378:AR383" si="904">IFERROR(ROUND(AM378*AP378/AO378,0),"")</f>
        <v>328736</v>
      </c>
      <c r="AS378" s="455">
        <f t="shared" ref="AS378:AS383" si="905">IFERROR(ROUND(AR378*AU378,0),"")</f>
        <v>42736</v>
      </c>
      <c r="AT378" s="102">
        <f t="shared" ref="AT378:AT383" si="906">IFERROR(AP378/AO378-AR378/AM378,"")</f>
        <v>-3.3437826540971827E-7</v>
      </c>
      <c r="AU378" s="116">
        <v>0.13</v>
      </c>
      <c r="AV378" s="565" t="str">
        <f>VLOOKUP(LEFT(AB378,10),Törzsszám!$A$1:$B$908,2,0)</f>
        <v>10000360</v>
      </c>
      <c r="AW378" s="681"/>
      <c r="AX378" s="471" t="s">
        <v>4606</v>
      </c>
      <c r="AY378" s="495"/>
      <c r="AZ378" s="551"/>
      <c r="BA378" s="675"/>
      <c r="BB378" s="652"/>
      <c r="BC378" s="649"/>
      <c r="BD378" s="672"/>
      <c r="BE378" s="485" t="s">
        <v>178</v>
      </c>
      <c r="BG378" s="498"/>
    </row>
    <row r="379" spans="1:59" s="457" customFormat="1" ht="31.5" x14ac:dyDescent="0.25">
      <c r="A379" s="694" t="str">
        <f ca="1">Bérköltség!$B379</f>
        <v>FEOR</v>
      </c>
      <c r="B379" s="694" t="str">
        <f ca="1">IFERROR(
IF(AND(Bérköltség!$F379="",H379="NA"),"HIÁNYOS ADATOK",
IF(Bérköltség!$F379&lt;Bérköltség!$U379,Admin!$B$18,Admin!$B$17)),
"")</f>
        <v>FEOR</v>
      </c>
      <c r="C379" s="437">
        <f>IFERROR(INDEX('Historikus berek_2021-2'!$A$1:$F$903,MATCH(AB379,'Historikus berek_2021-2'!$A$1:$A$903,0),4),"")</f>
        <v>756166.66666666663</v>
      </c>
      <c r="D379" s="438">
        <f t="shared" si="884"/>
        <v>225980.84291187741</v>
      </c>
      <c r="E379" s="437">
        <f t="shared" si="885"/>
        <v>328736</v>
      </c>
      <c r="F379" s="439">
        <f t="shared" si="886"/>
        <v>116113.32750957855</v>
      </c>
      <c r="G379" s="440">
        <f t="shared" si="887"/>
        <v>255358.35249042144</v>
      </c>
      <c r="H379" s="441">
        <f>IFERROR(INDEX('FEOR kodok'!$A$2:$J$1126,MATCH(Bérköltség!AB379,'FEOR kodok'!$B$2:$B$1126,0),8),"NA")</f>
        <v>2139</v>
      </c>
      <c r="I379" s="436">
        <f ca="1">IFERROR(INDEX('FEOR kodok'!$A$2:$J$1126,MATCH(Bérköltség!AB379,'FEOR kodok'!$B$2:$B$1126,0),10),"NA")</f>
        <v>35</v>
      </c>
      <c r="J379" s="442" t="str">
        <f t="shared" ca="1" si="888"/>
        <v>30–39 éves</v>
      </c>
      <c r="K379" s="436" t="str">
        <f>IFERROR(INDEX(admin_feor[#All],MATCH(Bérköltség!H379,admin_feor[[#All],[Foglalkozás]],0),2),"NA")</f>
        <v>Egyéb, máshova nem sorolható mérnök</v>
      </c>
      <c r="L379" s="438">
        <f ca="1">IFERROR(
INDEX('Admin - FEOR'!$A$4:$F$465,MATCH(Bérköltség!H379,'Admin - FEOR'!$A$4:$A$465,0),
IF(J379="30 év alatt",3,
IF(J379="30–39 éves",4,
IF(J379="40–49 éves",5,
IF(J379="50 év és afelett",6
)))))*1,"NA")</f>
        <v>845378</v>
      </c>
      <c r="M379" s="438">
        <f t="shared" si="889"/>
        <v>1100000</v>
      </c>
      <c r="N379" s="443">
        <f t="shared" ca="1" si="890"/>
        <v>1.3011930757601924</v>
      </c>
      <c r="O379" s="438">
        <f ca="1">IFERROR(
INDEX('Admin - FEOR'!$A$4:$F$465,MATCH(Bérköltség!H379,'Admin - FEOR'!$A$4:$A$465,0),
IF(J379="30 év alatt",3,
IF(J379="30–39 éves",4,
IF(J379="40–49 éves",5,
IF(J379="50 év és afelett",6
)))))*1.5,"NA")</f>
        <v>1268067</v>
      </c>
      <c r="P379" s="438">
        <f t="shared" ca="1" si="891"/>
        <v>378962.55172413797</v>
      </c>
      <c r="Q379" s="438">
        <f t="shared" si="892"/>
        <v>328736</v>
      </c>
      <c r="R379" s="444">
        <f t="shared" si="893"/>
        <v>0.2988505747126437</v>
      </c>
      <c r="S379" s="438">
        <f t="shared" ca="1" si="894"/>
        <v>0</v>
      </c>
      <c r="T379" s="438">
        <f t="shared" ca="1" si="895"/>
        <v>0</v>
      </c>
      <c r="U379" s="445">
        <f t="shared" ca="1" si="896"/>
        <v>0</v>
      </c>
      <c r="V379" s="446">
        <f t="shared" ca="1" si="897"/>
        <v>371472</v>
      </c>
      <c r="W379" s="447" t="str">
        <f t="shared" ca="1" si="898"/>
        <v>Indoklás szükséges mivel a FEOR: 130,1%</v>
      </c>
      <c r="X379" s="571">
        <f t="shared" ca="1" si="899"/>
        <v>0</v>
      </c>
      <c r="Y379" s="554">
        <f t="shared" ca="1" si="900"/>
        <v>328736</v>
      </c>
      <c r="Z379" s="554">
        <f t="shared" ca="1" si="901"/>
        <v>42736</v>
      </c>
      <c r="AA379" s="333"/>
      <c r="AB379" s="315">
        <v>8442983112</v>
      </c>
      <c r="AC379" s="489" t="s">
        <v>177</v>
      </c>
      <c r="AD379" s="483" t="s">
        <v>45</v>
      </c>
      <c r="AE379" s="485" t="s">
        <v>158</v>
      </c>
      <c r="AF379" s="364" t="s">
        <v>120</v>
      </c>
      <c r="AG379" s="364" t="s">
        <v>157</v>
      </c>
      <c r="AH379" s="490" t="s">
        <v>131</v>
      </c>
      <c r="AI379" s="365">
        <v>45108</v>
      </c>
      <c r="AJ379" s="100" t="str">
        <f>IF(AI379&gt;0,
(IF(AI379&lt;Hónapok!$A$10,Admin!$A$28,
(IF(AI379&lt;Hónapok!$A$22,Admin!$B$28,
(IF(AI379&lt;Hónapok!$A$34,Admin!$C$28,
(IF(AI379&lt;Hónapok!$A$46,Admin!$D$28,"")))))))),"")</f>
        <v>3. mérföldkő</v>
      </c>
      <c r="AK379" s="469" t="s">
        <v>7</v>
      </c>
      <c r="AL379" s="333" t="s">
        <v>26</v>
      </c>
      <c r="AM379" s="900">
        <v>1100000</v>
      </c>
      <c r="AN379" s="860">
        <f t="shared" si="902"/>
        <v>143000</v>
      </c>
      <c r="AO379" s="333">
        <v>174</v>
      </c>
      <c r="AP379" s="491">
        <v>52</v>
      </c>
      <c r="AQ379" s="682">
        <f t="shared" si="903"/>
        <v>0.2988505747126437</v>
      </c>
      <c r="AR379" s="455">
        <f t="shared" si="904"/>
        <v>328736</v>
      </c>
      <c r="AS379" s="455">
        <f t="shared" si="905"/>
        <v>42736</v>
      </c>
      <c r="AT379" s="102">
        <f t="shared" si="906"/>
        <v>-3.3437826540971827E-7</v>
      </c>
      <c r="AU379" s="116">
        <v>0.13</v>
      </c>
      <c r="AV379" s="565" t="str">
        <f>VLOOKUP(LEFT(AB379,10),Törzsszám!$A$1:$B$908,2,0)</f>
        <v>10000360</v>
      </c>
      <c r="AW379" s="681"/>
      <c r="AX379" s="471" t="s">
        <v>4610</v>
      </c>
      <c r="AY379" s="495"/>
      <c r="AZ379" s="551"/>
      <c r="BA379" s="675"/>
      <c r="BB379" s="652"/>
      <c r="BC379" s="649"/>
      <c r="BD379" s="672"/>
      <c r="BE379" s="485" t="s">
        <v>178</v>
      </c>
      <c r="BG379" s="498"/>
    </row>
    <row r="380" spans="1:59" s="457" customFormat="1" ht="31.5" x14ac:dyDescent="0.25">
      <c r="A380" s="694" t="str">
        <f ca="1">Bérköltség!$B380</f>
        <v>FEOR</v>
      </c>
      <c r="B380" s="694" t="str">
        <f ca="1">IFERROR(
IF(AND(Bérköltség!$F380="",H380="NA"),"HIÁNYOS ADATOK",
IF(Bérköltség!$F380&lt;Bérköltség!$U380,Admin!$B$18,Admin!$B$17)),
"")</f>
        <v>FEOR</v>
      </c>
      <c r="C380" s="437">
        <f>IFERROR(INDEX('Historikus berek_2021-2'!$A$1:$F$903,MATCH(AB380,'Historikus berek_2021-2'!$A$1:$A$903,0),4),"")</f>
        <v>756166.66666666663</v>
      </c>
      <c r="D380" s="438">
        <f t="shared" si="884"/>
        <v>225980.84291187741</v>
      </c>
      <c r="E380" s="437">
        <f t="shared" si="885"/>
        <v>328736</v>
      </c>
      <c r="F380" s="439">
        <f t="shared" si="886"/>
        <v>116113.32750957855</v>
      </c>
      <c r="G380" s="440">
        <f t="shared" si="887"/>
        <v>255358.35249042144</v>
      </c>
      <c r="H380" s="441">
        <f>IFERROR(INDEX('FEOR kodok'!$A$2:$J$1126,MATCH(Bérköltség!AB380,'FEOR kodok'!$B$2:$B$1126,0),8),"NA")</f>
        <v>2139</v>
      </c>
      <c r="I380" s="436">
        <f ca="1">IFERROR(INDEX('FEOR kodok'!$A$2:$J$1126,MATCH(Bérköltség!AB380,'FEOR kodok'!$B$2:$B$1126,0),10),"NA")</f>
        <v>35</v>
      </c>
      <c r="J380" s="442" t="str">
        <f t="shared" ca="1" si="888"/>
        <v>30–39 éves</v>
      </c>
      <c r="K380" s="436" t="str">
        <f>IFERROR(INDEX(admin_feor[#All],MATCH(Bérköltség!H380,admin_feor[[#All],[Foglalkozás]],0),2),"NA")</f>
        <v>Egyéb, máshova nem sorolható mérnök</v>
      </c>
      <c r="L380" s="438">
        <f ca="1">IFERROR(
INDEX('Admin - FEOR'!$A$4:$F$465,MATCH(Bérköltség!H380,'Admin - FEOR'!$A$4:$A$465,0),
IF(J380="30 év alatt",3,
IF(J380="30–39 éves",4,
IF(J380="40–49 éves",5,
IF(J380="50 év és afelett",6
)))))*1,"NA")</f>
        <v>845378</v>
      </c>
      <c r="M380" s="438">
        <f t="shared" si="889"/>
        <v>1100000</v>
      </c>
      <c r="N380" s="443">
        <f t="shared" ca="1" si="890"/>
        <v>1.3011930757601924</v>
      </c>
      <c r="O380" s="438">
        <f ca="1">IFERROR(
INDEX('Admin - FEOR'!$A$4:$F$465,MATCH(Bérköltség!H380,'Admin - FEOR'!$A$4:$A$465,0),
IF(J380="30 év alatt",3,
IF(J380="30–39 éves",4,
IF(J380="40–49 éves",5,
IF(J380="50 év és afelett",6
)))))*1.5,"NA")</f>
        <v>1268067</v>
      </c>
      <c r="P380" s="438">
        <f t="shared" ca="1" si="891"/>
        <v>378962.55172413797</v>
      </c>
      <c r="Q380" s="438">
        <f t="shared" si="892"/>
        <v>328736</v>
      </c>
      <c r="R380" s="444">
        <f t="shared" si="893"/>
        <v>0.2988505747126437</v>
      </c>
      <c r="S380" s="438">
        <f t="shared" ca="1" si="894"/>
        <v>0</v>
      </c>
      <c r="T380" s="438">
        <f t="shared" ca="1" si="895"/>
        <v>0</v>
      </c>
      <c r="U380" s="445">
        <f t="shared" ca="1" si="896"/>
        <v>0</v>
      </c>
      <c r="V380" s="446">
        <f t="shared" ca="1" si="897"/>
        <v>371472</v>
      </c>
      <c r="W380" s="447" t="str">
        <f t="shared" ca="1" si="898"/>
        <v>Indoklás szükséges mivel a FEOR: 130,1%</v>
      </c>
      <c r="X380" s="571">
        <f t="shared" ca="1" si="899"/>
        <v>0</v>
      </c>
      <c r="Y380" s="554">
        <f t="shared" ca="1" si="900"/>
        <v>328736</v>
      </c>
      <c r="Z380" s="554">
        <f t="shared" ca="1" si="901"/>
        <v>42736</v>
      </c>
      <c r="AA380" s="333"/>
      <c r="AB380" s="315">
        <v>8442983112</v>
      </c>
      <c r="AC380" s="489" t="s">
        <v>177</v>
      </c>
      <c r="AD380" s="483" t="s">
        <v>45</v>
      </c>
      <c r="AE380" s="485" t="s">
        <v>158</v>
      </c>
      <c r="AF380" s="364" t="s">
        <v>120</v>
      </c>
      <c r="AG380" s="364" t="s">
        <v>157</v>
      </c>
      <c r="AH380" s="490" t="s">
        <v>131</v>
      </c>
      <c r="AI380" s="365">
        <v>45139</v>
      </c>
      <c r="AJ380" s="100" t="str">
        <f>IF(AI380&gt;0,
(IF(AI380&lt;Hónapok!$A$10,Admin!$A$28,
(IF(AI380&lt;Hónapok!$A$22,Admin!$B$28,
(IF(AI380&lt;Hónapok!$A$34,Admin!$C$28,
(IF(AI380&lt;Hónapok!$A$46,Admin!$D$28,"")))))))),"")</f>
        <v>3. mérföldkő</v>
      </c>
      <c r="AK380" s="469" t="s">
        <v>7</v>
      </c>
      <c r="AL380" s="333" t="s">
        <v>26</v>
      </c>
      <c r="AM380" s="900">
        <v>1100000</v>
      </c>
      <c r="AN380" s="860">
        <f t="shared" si="902"/>
        <v>143000</v>
      </c>
      <c r="AO380" s="333">
        <v>174</v>
      </c>
      <c r="AP380" s="491">
        <v>52</v>
      </c>
      <c r="AQ380" s="682">
        <f t="shared" si="903"/>
        <v>0.2988505747126437</v>
      </c>
      <c r="AR380" s="455">
        <f t="shared" si="904"/>
        <v>328736</v>
      </c>
      <c r="AS380" s="455">
        <f t="shared" si="905"/>
        <v>42736</v>
      </c>
      <c r="AT380" s="102">
        <f t="shared" si="906"/>
        <v>-3.3437826540971827E-7</v>
      </c>
      <c r="AU380" s="116">
        <v>0.13</v>
      </c>
      <c r="AV380" s="565" t="str">
        <f>VLOOKUP(LEFT(AB380,10),Törzsszám!$A$1:$B$908,2,0)</f>
        <v>10000360</v>
      </c>
      <c r="AW380" s="681"/>
      <c r="AX380" s="471" t="s">
        <v>4613</v>
      </c>
      <c r="AY380" s="495"/>
      <c r="AZ380" s="551"/>
      <c r="BA380" s="675"/>
      <c r="BB380" s="652"/>
      <c r="BC380" s="649"/>
      <c r="BD380" s="672"/>
      <c r="BE380" s="485" t="s">
        <v>178</v>
      </c>
      <c r="BG380" s="498"/>
    </row>
    <row r="381" spans="1:59" s="457" customFormat="1" ht="31.5" x14ac:dyDescent="0.25">
      <c r="A381" s="694" t="str">
        <f ca="1">Bérköltség!$B381</f>
        <v>FEOR</v>
      </c>
      <c r="B381" s="694" t="str">
        <f ca="1">IFERROR(
IF(AND(Bérköltség!$F381="",H381="NA"),"HIÁNYOS ADATOK",
IF(Bérköltség!$F381&lt;Bérköltség!$U381,Admin!$B$18,Admin!$B$17)),
"")</f>
        <v>FEOR</v>
      </c>
      <c r="C381" s="437">
        <f>IFERROR(INDEX('Historikus berek_2021-2'!$A$1:$F$903,MATCH(AB381,'Historikus berek_2021-2'!$A$1:$A$903,0),4),"")</f>
        <v>756166.66666666663</v>
      </c>
      <c r="D381" s="438">
        <f t="shared" si="884"/>
        <v>225980.84291187741</v>
      </c>
      <c r="E381" s="437">
        <f t="shared" si="885"/>
        <v>328736</v>
      </c>
      <c r="F381" s="439">
        <f t="shared" si="886"/>
        <v>116113.32750957855</v>
      </c>
      <c r="G381" s="440">
        <f t="shared" si="887"/>
        <v>255358.35249042144</v>
      </c>
      <c r="H381" s="441">
        <f>IFERROR(INDEX('FEOR kodok'!$A$2:$J$1126,MATCH(Bérköltség!AB381,'FEOR kodok'!$B$2:$B$1126,0),8),"NA")</f>
        <v>2139</v>
      </c>
      <c r="I381" s="436">
        <f ca="1">IFERROR(INDEX('FEOR kodok'!$A$2:$J$1126,MATCH(Bérköltség!AB381,'FEOR kodok'!$B$2:$B$1126,0),10),"NA")</f>
        <v>35</v>
      </c>
      <c r="J381" s="442" t="str">
        <f t="shared" ca="1" si="888"/>
        <v>30–39 éves</v>
      </c>
      <c r="K381" s="436" t="str">
        <f>IFERROR(INDEX(admin_feor[#All],MATCH(Bérköltség!H381,admin_feor[[#All],[Foglalkozás]],0),2),"NA")</f>
        <v>Egyéb, máshova nem sorolható mérnök</v>
      </c>
      <c r="L381" s="438">
        <f ca="1">IFERROR(
INDEX('Admin - FEOR'!$A$4:$F$465,MATCH(Bérköltség!H381,'Admin - FEOR'!$A$4:$A$465,0),
IF(J381="30 év alatt",3,
IF(J381="30–39 éves",4,
IF(J381="40–49 éves",5,
IF(J381="50 év és afelett",6
)))))*1,"NA")</f>
        <v>845378</v>
      </c>
      <c r="M381" s="438">
        <f t="shared" si="889"/>
        <v>1100000</v>
      </c>
      <c r="N381" s="443">
        <f t="shared" ca="1" si="890"/>
        <v>1.3011930757601924</v>
      </c>
      <c r="O381" s="438">
        <f ca="1">IFERROR(
INDEX('Admin - FEOR'!$A$4:$F$465,MATCH(Bérköltség!H381,'Admin - FEOR'!$A$4:$A$465,0),
IF(J381="30 év alatt",3,
IF(J381="30–39 éves",4,
IF(J381="40–49 éves",5,
IF(J381="50 év és afelett",6
)))))*1.5,"NA")</f>
        <v>1268067</v>
      </c>
      <c r="P381" s="438">
        <f t="shared" ca="1" si="891"/>
        <v>378962.55172413797</v>
      </c>
      <c r="Q381" s="438">
        <f t="shared" si="892"/>
        <v>328736</v>
      </c>
      <c r="R381" s="444">
        <f t="shared" si="893"/>
        <v>0.2988505747126437</v>
      </c>
      <c r="S381" s="438">
        <f t="shared" ca="1" si="894"/>
        <v>0</v>
      </c>
      <c r="T381" s="438">
        <f t="shared" ca="1" si="895"/>
        <v>0</v>
      </c>
      <c r="U381" s="445">
        <f t="shared" ca="1" si="896"/>
        <v>0</v>
      </c>
      <c r="V381" s="446">
        <f t="shared" ca="1" si="897"/>
        <v>371472</v>
      </c>
      <c r="W381" s="447" t="str">
        <f t="shared" ca="1" si="898"/>
        <v>Indoklás szükséges mivel a FEOR: 130,1%</v>
      </c>
      <c r="X381" s="914">
        <f t="shared" ca="1" si="899"/>
        <v>0</v>
      </c>
      <c r="Y381" s="554">
        <f t="shared" ca="1" si="900"/>
        <v>328736</v>
      </c>
      <c r="Z381" s="554">
        <f t="shared" ca="1" si="901"/>
        <v>42736</v>
      </c>
      <c r="AA381" s="333"/>
      <c r="AB381" s="315">
        <v>8442983112</v>
      </c>
      <c r="AC381" s="489" t="s">
        <v>177</v>
      </c>
      <c r="AD381" s="482" t="s">
        <v>45</v>
      </c>
      <c r="AE381" s="485" t="s">
        <v>158</v>
      </c>
      <c r="AF381" s="364" t="s">
        <v>120</v>
      </c>
      <c r="AG381" s="364" t="s">
        <v>157</v>
      </c>
      <c r="AH381" s="490" t="s">
        <v>131</v>
      </c>
      <c r="AI381" s="365">
        <v>45170</v>
      </c>
      <c r="AJ381" s="100" t="str">
        <f>IF(AI381&gt;0,
(IF(AI381&lt;Hónapok!$A$10,Admin!$A$28,
(IF(AI381&lt;Hónapok!$A$22,Admin!$B$28,
(IF(AI381&lt;Hónapok!$A$34,Admin!$C$28,
(IF(AI381&lt;Hónapok!$A$46,Admin!$D$28,"")))))))),"")</f>
        <v>3. mérföldkő</v>
      </c>
      <c r="AK381" s="469" t="s">
        <v>7</v>
      </c>
      <c r="AL381" s="333" t="s">
        <v>26</v>
      </c>
      <c r="AM381" s="900">
        <v>1100000</v>
      </c>
      <c r="AN381" s="860">
        <f t="shared" si="902"/>
        <v>143000</v>
      </c>
      <c r="AO381" s="333">
        <v>174</v>
      </c>
      <c r="AP381" s="491">
        <v>52</v>
      </c>
      <c r="AQ381" s="682">
        <f t="shared" si="903"/>
        <v>0.2988505747126437</v>
      </c>
      <c r="AR381" s="455">
        <f t="shared" si="904"/>
        <v>328736</v>
      </c>
      <c r="AS381" s="455">
        <f t="shared" si="905"/>
        <v>42736</v>
      </c>
      <c r="AT381" s="102">
        <f t="shared" si="906"/>
        <v>-3.3437826540971827E-7</v>
      </c>
      <c r="AU381" s="116">
        <v>0.13</v>
      </c>
      <c r="AV381" s="565" t="str">
        <f>VLOOKUP(LEFT(AB381,10),Törzsszám!$A$1:$B$908,2,0)</f>
        <v>10000360</v>
      </c>
      <c r="AW381" s="681"/>
      <c r="AX381" s="471" t="s">
        <v>4618</v>
      </c>
      <c r="AY381" s="495"/>
      <c r="AZ381" s="551"/>
      <c r="BA381" s="675"/>
      <c r="BB381" s="652"/>
      <c r="BC381" s="649"/>
      <c r="BD381" s="672"/>
      <c r="BE381" s="485" t="s">
        <v>178</v>
      </c>
      <c r="BG381" s="498"/>
    </row>
    <row r="382" spans="1:59" s="457" customFormat="1" ht="31.5" x14ac:dyDescent="0.25">
      <c r="A382" s="694" t="str">
        <f ca="1">Bérköltség!$B382</f>
        <v>FEOR</v>
      </c>
      <c r="B382" s="694" t="str">
        <f ca="1">IFERROR(
IF(AND(Bérköltség!$F382="",H382="NA"),"HIÁNYOS ADATOK",
IF(Bérköltség!$F382&lt;Bérköltség!$U382,Admin!$B$18,Admin!$B$17)),
"")</f>
        <v>FEOR</v>
      </c>
      <c r="C382" s="437">
        <f>IFERROR(INDEX('Historikus berek_2021-2'!$A$1:$F$903,MATCH(AB382,'Historikus berek_2021-2'!$A$1:$A$903,0),4),"")</f>
        <v>756166.66666666663</v>
      </c>
      <c r="D382" s="438">
        <f t="shared" si="884"/>
        <v>225980.84291187741</v>
      </c>
      <c r="E382" s="437">
        <f t="shared" si="885"/>
        <v>328736</v>
      </c>
      <c r="F382" s="439">
        <f t="shared" si="886"/>
        <v>116113.32750957855</v>
      </c>
      <c r="G382" s="440">
        <f t="shared" si="887"/>
        <v>255358.35249042144</v>
      </c>
      <c r="H382" s="441">
        <f>IFERROR(INDEX('FEOR kodok'!$A$2:$J$1126,MATCH(Bérköltség!AB382,'FEOR kodok'!$B$2:$B$1126,0),8),"NA")</f>
        <v>2139</v>
      </c>
      <c r="I382" s="436">
        <f ca="1">IFERROR(INDEX('FEOR kodok'!$A$2:$J$1126,MATCH(Bérköltség!AB382,'FEOR kodok'!$B$2:$B$1126,0),10),"NA")</f>
        <v>35</v>
      </c>
      <c r="J382" s="442" t="str">
        <f t="shared" ca="1" si="888"/>
        <v>30–39 éves</v>
      </c>
      <c r="K382" s="436" t="str">
        <f>IFERROR(INDEX(admin_feor[#All],MATCH(Bérköltség!H382,admin_feor[[#All],[Foglalkozás]],0),2),"NA")</f>
        <v>Egyéb, máshova nem sorolható mérnök</v>
      </c>
      <c r="L382" s="438">
        <f ca="1">IFERROR(
INDEX('Admin - FEOR'!$A$4:$F$465,MATCH(Bérköltség!H382,'Admin - FEOR'!$A$4:$A$465,0),
IF(J382="30 év alatt",3,
IF(J382="30–39 éves",4,
IF(J382="40–49 éves",5,
IF(J382="50 év és afelett",6
)))))*1,"NA")</f>
        <v>845378</v>
      </c>
      <c r="M382" s="438">
        <f t="shared" si="889"/>
        <v>1100000</v>
      </c>
      <c r="N382" s="443">
        <f t="shared" ca="1" si="890"/>
        <v>1.3011930757601924</v>
      </c>
      <c r="O382" s="438">
        <f ca="1">IFERROR(
INDEX('Admin - FEOR'!$A$4:$F$465,MATCH(Bérköltség!H382,'Admin - FEOR'!$A$4:$A$465,0),
IF(J382="30 év alatt",3,
IF(J382="30–39 éves",4,
IF(J382="40–49 éves",5,
IF(J382="50 év és afelett",6
)))))*1.5,"NA")</f>
        <v>1268067</v>
      </c>
      <c r="P382" s="438">
        <f t="shared" ca="1" si="891"/>
        <v>378962.55172413797</v>
      </c>
      <c r="Q382" s="438">
        <f t="shared" si="892"/>
        <v>328736</v>
      </c>
      <c r="R382" s="444">
        <f t="shared" si="893"/>
        <v>0.2988505747126437</v>
      </c>
      <c r="S382" s="438">
        <f t="shared" ca="1" si="894"/>
        <v>0</v>
      </c>
      <c r="T382" s="438">
        <f t="shared" ca="1" si="895"/>
        <v>0</v>
      </c>
      <c r="U382" s="445">
        <f t="shared" ca="1" si="896"/>
        <v>0</v>
      </c>
      <c r="V382" s="446">
        <f t="shared" ca="1" si="897"/>
        <v>371472</v>
      </c>
      <c r="W382" s="447" t="str">
        <f t="shared" ca="1" si="898"/>
        <v>Indoklás szükséges mivel a FEOR: 130,1%</v>
      </c>
      <c r="X382" s="571">
        <f t="shared" ca="1" si="899"/>
        <v>0</v>
      </c>
      <c r="Y382" s="554">
        <f t="shared" ca="1" si="900"/>
        <v>328736</v>
      </c>
      <c r="Z382" s="554">
        <f t="shared" ca="1" si="901"/>
        <v>42736</v>
      </c>
      <c r="AA382" s="333"/>
      <c r="AB382" s="315">
        <v>8442983112</v>
      </c>
      <c r="AC382" s="489" t="s">
        <v>177</v>
      </c>
      <c r="AD382" s="483" t="s">
        <v>45</v>
      </c>
      <c r="AE382" s="485" t="s">
        <v>158</v>
      </c>
      <c r="AF382" s="364" t="s">
        <v>120</v>
      </c>
      <c r="AG382" s="364" t="s">
        <v>157</v>
      </c>
      <c r="AH382" s="490" t="s">
        <v>131</v>
      </c>
      <c r="AI382" s="365">
        <v>45200</v>
      </c>
      <c r="AJ382" s="100" t="str">
        <f>IF(AI382&gt;0,
(IF(AI382&lt;Hónapok!$A$10,Admin!$A$28,
(IF(AI382&lt;Hónapok!$A$22,Admin!$B$28,
(IF(AI382&lt;Hónapok!$A$34,Admin!$C$28,
(IF(AI382&lt;Hónapok!$A$46,Admin!$D$28,"")))))))),"")</f>
        <v>3. mérföldkő</v>
      </c>
      <c r="AK382" s="469" t="s">
        <v>8</v>
      </c>
      <c r="AL382" s="333" t="s">
        <v>26</v>
      </c>
      <c r="AM382" s="900">
        <v>1100000</v>
      </c>
      <c r="AN382" s="860">
        <f t="shared" si="902"/>
        <v>143000</v>
      </c>
      <c r="AO382" s="333">
        <v>174</v>
      </c>
      <c r="AP382" s="491">
        <v>52</v>
      </c>
      <c r="AQ382" s="682">
        <f t="shared" si="903"/>
        <v>0.2988505747126437</v>
      </c>
      <c r="AR382" s="455">
        <f t="shared" si="904"/>
        <v>328736</v>
      </c>
      <c r="AS382" s="455">
        <f t="shared" si="905"/>
        <v>42736</v>
      </c>
      <c r="AT382" s="102">
        <f t="shared" si="906"/>
        <v>-3.3437826540971827E-7</v>
      </c>
      <c r="AU382" s="116">
        <v>0.13</v>
      </c>
      <c r="AV382" s="565" t="str">
        <f>VLOOKUP(LEFT(AB382,10),Törzsszám!$A$1:$B$908,2,0)</f>
        <v>10000360</v>
      </c>
      <c r="AW382" s="681"/>
      <c r="AX382" s="539"/>
      <c r="AY382" s="495"/>
      <c r="AZ382" s="551"/>
      <c r="BA382" s="675"/>
      <c r="BB382" s="652"/>
      <c r="BC382" s="649"/>
      <c r="BD382" s="672"/>
      <c r="BE382" s="485" t="s">
        <v>178</v>
      </c>
      <c r="BG382" s="498"/>
    </row>
    <row r="383" spans="1:59" s="457" customFormat="1" ht="31.5" x14ac:dyDescent="0.25">
      <c r="A383" s="694" t="str">
        <f ca="1">Bérköltség!$B383</f>
        <v>FEOR</v>
      </c>
      <c r="B383" s="694" t="str">
        <f ca="1">IFERROR(
IF(AND(Bérköltség!$F383="",H383="NA"),"HIÁNYOS ADATOK",
IF(Bérköltség!$F383&lt;Bérköltség!$U383,Admin!$B$18,Admin!$B$17)),
"")</f>
        <v>FEOR</v>
      </c>
      <c r="C383" s="437">
        <f>IFERROR(INDEX('Historikus berek_2021-2'!$A$1:$F$903,MATCH(AB383,'Historikus berek_2021-2'!$A$1:$A$903,0),4),"")</f>
        <v>756166.66666666663</v>
      </c>
      <c r="D383" s="438">
        <f t="shared" si="884"/>
        <v>225980.84291187741</v>
      </c>
      <c r="E383" s="437">
        <f t="shared" si="885"/>
        <v>328736</v>
      </c>
      <c r="F383" s="439">
        <f t="shared" si="886"/>
        <v>116113.32750957855</v>
      </c>
      <c r="G383" s="440">
        <f t="shared" si="887"/>
        <v>255358.35249042144</v>
      </c>
      <c r="H383" s="441">
        <f>IFERROR(INDEX('FEOR kodok'!$A$2:$J$1126,MATCH(Bérköltség!AB383,'FEOR kodok'!$B$2:$B$1126,0),8),"NA")</f>
        <v>2139</v>
      </c>
      <c r="I383" s="436">
        <f ca="1">IFERROR(INDEX('FEOR kodok'!$A$2:$J$1126,MATCH(Bérköltség!AB383,'FEOR kodok'!$B$2:$B$1126,0),10),"NA")</f>
        <v>35</v>
      </c>
      <c r="J383" s="442" t="str">
        <f t="shared" ca="1" si="888"/>
        <v>30–39 éves</v>
      </c>
      <c r="K383" s="436" t="str">
        <f>IFERROR(INDEX(admin_feor[#All],MATCH(Bérköltség!H383,admin_feor[[#All],[Foglalkozás]],0),2),"NA")</f>
        <v>Egyéb, máshova nem sorolható mérnök</v>
      </c>
      <c r="L383" s="438">
        <f ca="1">IFERROR(
INDEX('Admin - FEOR'!$A$4:$F$465,MATCH(Bérköltség!H383,'Admin - FEOR'!$A$4:$A$465,0),
IF(J383="30 év alatt",3,
IF(J383="30–39 éves",4,
IF(J383="40–49 éves",5,
IF(J383="50 év és afelett",6
)))))*1,"NA")</f>
        <v>845378</v>
      </c>
      <c r="M383" s="438">
        <f t="shared" si="889"/>
        <v>1100000</v>
      </c>
      <c r="N383" s="443">
        <f t="shared" ca="1" si="890"/>
        <v>1.3011930757601924</v>
      </c>
      <c r="O383" s="438">
        <f ca="1">IFERROR(
INDEX('Admin - FEOR'!$A$4:$F$465,MATCH(Bérköltség!H383,'Admin - FEOR'!$A$4:$A$465,0),
IF(J383="30 év alatt",3,
IF(J383="30–39 éves",4,
IF(J383="40–49 éves",5,
IF(J383="50 év és afelett",6
)))))*1.5,"NA")</f>
        <v>1268067</v>
      </c>
      <c r="P383" s="438">
        <f t="shared" ca="1" si="891"/>
        <v>378962.55172413797</v>
      </c>
      <c r="Q383" s="438">
        <f t="shared" si="892"/>
        <v>328736</v>
      </c>
      <c r="R383" s="444">
        <f t="shared" si="893"/>
        <v>0.2988505747126437</v>
      </c>
      <c r="S383" s="438">
        <f t="shared" ca="1" si="894"/>
        <v>0</v>
      </c>
      <c r="T383" s="438">
        <f t="shared" ca="1" si="895"/>
        <v>0</v>
      </c>
      <c r="U383" s="445">
        <f t="shared" ca="1" si="896"/>
        <v>0</v>
      </c>
      <c r="V383" s="446">
        <f t="shared" ca="1" si="897"/>
        <v>371472</v>
      </c>
      <c r="W383" s="447" t="str">
        <f t="shared" ca="1" si="898"/>
        <v>Indoklás szükséges mivel a FEOR: 130,1%</v>
      </c>
      <c r="X383" s="571">
        <f t="shared" ca="1" si="899"/>
        <v>0</v>
      </c>
      <c r="Y383" s="554">
        <f t="shared" ca="1" si="900"/>
        <v>328736</v>
      </c>
      <c r="Z383" s="554">
        <f t="shared" ca="1" si="901"/>
        <v>42736</v>
      </c>
      <c r="AA383" s="333"/>
      <c r="AB383" s="315">
        <v>8442983112</v>
      </c>
      <c r="AC383" s="489" t="s">
        <v>177</v>
      </c>
      <c r="AD383" s="483" t="s">
        <v>45</v>
      </c>
      <c r="AE383" s="485" t="s">
        <v>158</v>
      </c>
      <c r="AF383" s="364" t="s">
        <v>120</v>
      </c>
      <c r="AG383" s="364" t="s">
        <v>157</v>
      </c>
      <c r="AH383" s="490" t="s">
        <v>131</v>
      </c>
      <c r="AI383" s="365">
        <v>45231</v>
      </c>
      <c r="AJ383" s="100" t="str">
        <f>IF(AI383&gt;0,
(IF(AI383&lt;Hónapok!$A$10,Admin!$A$28,
(IF(AI383&lt;Hónapok!$A$22,Admin!$B$28,
(IF(AI383&lt;Hónapok!$A$34,Admin!$C$28,
(IF(AI383&lt;Hónapok!$A$46,Admin!$D$28,"")))))))),"")</f>
        <v>3. mérföldkő</v>
      </c>
      <c r="AK383" s="469" t="s">
        <v>8</v>
      </c>
      <c r="AL383" s="333" t="s">
        <v>26</v>
      </c>
      <c r="AM383" s="900">
        <v>1100000</v>
      </c>
      <c r="AN383" s="860">
        <f t="shared" si="902"/>
        <v>143000</v>
      </c>
      <c r="AO383" s="333">
        <v>174</v>
      </c>
      <c r="AP383" s="491">
        <v>52</v>
      </c>
      <c r="AQ383" s="682">
        <f t="shared" si="903"/>
        <v>0.2988505747126437</v>
      </c>
      <c r="AR383" s="455">
        <f t="shared" si="904"/>
        <v>328736</v>
      </c>
      <c r="AS383" s="455">
        <f t="shared" si="905"/>
        <v>42736</v>
      </c>
      <c r="AT383" s="102">
        <f t="shared" si="906"/>
        <v>-3.3437826540971827E-7</v>
      </c>
      <c r="AU383" s="116">
        <v>0.13</v>
      </c>
      <c r="AV383" s="565" t="str">
        <f>VLOOKUP(LEFT(AB383,10),Törzsszám!$A$1:$B$908,2,0)</f>
        <v>10000360</v>
      </c>
      <c r="AW383" s="681"/>
      <c r="AX383" s="539"/>
      <c r="AY383" s="495"/>
      <c r="AZ383" s="551"/>
      <c r="BA383" s="675"/>
      <c r="BB383" s="652"/>
      <c r="BC383" s="649"/>
      <c r="BD383" s="672"/>
      <c r="BE383" s="485" t="s">
        <v>178</v>
      </c>
      <c r="BG383" s="498"/>
    </row>
    <row r="384" spans="1:59" s="457" customFormat="1" ht="31.5" x14ac:dyDescent="0.25">
      <c r="A384" s="694" t="str">
        <f ca="1">Bérköltség!$B384</f>
        <v>FEOR</v>
      </c>
      <c r="B384" s="694" t="str">
        <f ca="1">IFERROR(
IF(AND(Bérköltség!$F384="",H384="NA"),"HIÁNYOS ADATOK",
IF(Bérköltség!$F384&lt;Bérköltség!$U384,Admin!$B$18,Admin!$B$17)),
"")</f>
        <v>FEOR</v>
      </c>
      <c r="C384" s="437">
        <f>IFERROR(INDEX('Historikus berek_2021-2'!$A$1:$F$903,MATCH(AB384,'Historikus berek_2021-2'!$A$1:$A$903,0),4),"")</f>
        <v>334933.33333333331</v>
      </c>
      <c r="D384" s="438">
        <f t="shared" si="784"/>
        <v>288735.63218390802</v>
      </c>
      <c r="E384" s="437">
        <f t="shared" si="785"/>
        <v>482759</v>
      </c>
      <c r="F384" s="439">
        <f t="shared" si="786"/>
        <v>219246.40563218389</v>
      </c>
      <c r="G384" s="440">
        <f t="shared" si="787"/>
        <v>326271.26436781604</v>
      </c>
      <c r="H384" s="441">
        <f>IFERROR(INDEX('FEOR kodok'!$A$2:$J$1126,MATCH(Bérköltség!AB384,'FEOR kodok'!$B$2:$B$1126,0),8),"NA")</f>
        <v>2410</v>
      </c>
      <c r="I384" s="436">
        <f ca="1">IFERROR(INDEX('FEOR kodok'!$A$2:$J$1126,MATCH(Bérköltség!AB384,'FEOR kodok'!$B$2:$B$1126,0),10),"NA")</f>
        <v>36</v>
      </c>
      <c r="J384" s="442" t="str">
        <f t="shared" ca="1" si="788"/>
        <v>30–39 éves</v>
      </c>
      <c r="K384" s="436" t="str">
        <f>IFERROR(INDEX(admin_feor[#All],MATCH(Bérköltség!H384,admin_feor[[#All],[Foglalkozás]],0),2),"NA")</f>
        <v>Egyetemi, főiskolai oktató, tanár</v>
      </c>
      <c r="L384" s="438">
        <f ca="1">IFERROR(
INDEX('Admin - FEOR'!$A$4:$F$465,MATCH(Bérköltség!H384,'Admin - FEOR'!$A$4:$A$465,0),
IF(J384="30 év alatt",3,
IF(J384="30–39 éves",4,
IF(J384="40–49 éves",5,
IF(J384="50 év és afelett",6
)))))*1,"NA")</f>
        <v>571548</v>
      </c>
      <c r="M384" s="438">
        <f t="shared" si="789"/>
        <v>560000</v>
      </c>
      <c r="N384" s="443">
        <f t="shared" ca="1" si="790"/>
        <v>0.97979522279843512</v>
      </c>
      <c r="O384" s="438">
        <f ca="1">IFERROR(
INDEX('Admin - FEOR'!$A$4:$F$465,MATCH(Bérköltség!H384,'Admin - FEOR'!$A$4:$A$465,0),
IF(J384="30 év alatt",3,
IF(J384="30–39 éves",4,
IF(J384="40–49 éves",5,
IF(J384="50 év és afelett",6
)))))*1.5,"NA")</f>
        <v>857322</v>
      </c>
      <c r="P384" s="438">
        <f t="shared" ca="1" si="791"/>
        <v>739070.68965517241</v>
      </c>
      <c r="Q384" s="438">
        <f t="shared" si="792"/>
        <v>482759</v>
      </c>
      <c r="R384" s="444">
        <f t="shared" si="793"/>
        <v>0.86206896551724133</v>
      </c>
      <c r="S384" s="438">
        <f t="shared" ca="1" si="794"/>
        <v>0</v>
      </c>
      <c r="T384" s="438">
        <f t="shared" ca="1" si="795"/>
        <v>0</v>
      </c>
      <c r="U384" s="445">
        <f t="shared" ca="1" si="796"/>
        <v>0</v>
      </c>
      <c r="V384" s="446">
        <f t="shared" ca="1" si="797"/>
        <v>545518</v>
      </c>
      <c r="W384" s="447" t="str">
        <f t="shared" ca="1" si="798"/>
        <v>Nem szükséges indoklás.</v>
      </c>
      <c r="X384" s="571">
        <f t="shared" ca="1" si="799"/>
        <v>0</v>
      </c>
      <c r="Y384" s="554">
        <f t="shared" ca="1" si="800"/>
        <v>482759</v>
      </c>
      <c r="Z384" s="554">
        <f t="shared" ca="1" si="801"/>
        <v>62759</v>
      </c>
      <c r="AA384" s="573">
        <v>2</v>
      </c>
      <c r="AB384" s="315">
        <v>8438311180</v>
      </c>
      <c r="AC384" s="489" t="s">
        <v>159</v>
      </c>
      <c r="AD384" s="483" t="s">
        <v>45</v>
      </c>
      <c r="AE384" s="485" t="s">
        <v>158</v>
      </c>
      <c r="AF384" s="364" t="s">
        <v>121</v>
      </c>
      <c r="AG384" s="364" t="s">
        <v>128</v>
      </c>
      <c r="AH384" s="490" t="s">
        <v>131</v>
      </c>
      <c r="AI384" s="365">
        <v>44743</v>
      </c>
      <c r="AJ384" s="100" t="str">
        <f>IF(AI384&gt;0,
(IF(AI384&lt;Hónapok!$A$10,Admin!$A$28,
(IF(AI384&lt;Hónapok!$A$22,Admin!$B$28,
(IF(AI384&lt;Hónapok!$A$34,Admin!$C$28,
(IF(AI384&lt;Hónapok!$A$46,Admin!$D$28,"")))))))),"")</f>
        <v>2. mérföldkő</v>
      </c>
      <c r="AK384" s="469" t="s">
        <v>7</v>
      </c>
      <c r="AL384" s="333" t="s">
        <v>26</v>
      </c>
      <c r="AM384" s="907">
        <v>560000</v>
      </c>
      <c r="AN384" s="860">
        <f t="shared" si="877"/>
        <v>72800</v>
      </c>
      <c r="AO384" s="333">
        <v>174</v>
      </c>
      <c r="AP384" s="491">
        <v>150</v>
      </c>
      <c r="AQ384" s="454">
        <f t="shared" si="779"/>
        <v>0.86206896551724133</v>
      </c>
      <c r="AR384" s="455">
        <f t="shared" si="780"/>
        <v>482759</v>
      </c>
      <c r="AS384" s="455">
        <f t="shared" si="781"/>
        <v>62759</v>
      </c>
      <c r="AT384" s="102">
        <f t="shared" si="782"/>
        <v>-6.7733990150031786E-7</v>
      </c>
      <c r="AU384" s="116">
        <v>0.13</v>
      </c>
      <c r="AV384" s="565" t="str">
        <f>VLOOKUP(LEFT(AB384,10),Törzsszám!$A$1:$B$908,2,0)</f>
        <v>10000251</v>
      </c>
      <c r="AW384" s="615">
        <f t="shared" ca="1" si="783"/>
        <v>0</v>
      </c>
      <c r="AX384" s="539" t="s">
        <v>209</v>
      </c>
      <c r="AY384" s="495"/>
      <c r="AZ384" s="551"/>
      <c r="BA384" s="675">
        <v>305157</v>
      </c>
      <c r="BB384" s="652">
        <v>39670</v>
      </c>
      <c r="BC384" s="649">
        <f t="shared" ref="BC384:BD390" ca="1" si="907">Y384-BA384</f>
        <v>177602</v>
      </c>
      <c r="BD384" s="672">
        <f t="shared" ca="1" si="907"/>
        <v>23089</v>
      </c>
      <c r="BE384" s="485" t="s">
        <v>144</v>
      </c>
      <c r="BG384" s="498"/>
    </row>
    <row r="385" spans="1:59" s="457" customFormat="1" ht="31.5" x14ac:dyDescent="0.25">
      <c r="A385" s="694" t="str">
        <f ca="1">Bérköltség!$B385</f>
        <v>FEOR</v>
      </c>
      <c r="B385" s="694" t="str">
        <f ca="1">IFERROR(
IF(AND(Bérköltség!$F385="",H385="NA"),"HIÁNYOS ADATOK",
IF(Bérköltség!$F385&lt;Bérköltség!$U385,Admin!$B$18,Admin!$B$17)),
"")</f>
        <v>FEOR</v>
      </c>
      <c r="C385" s="437">
        <f>IFERROR(INDEX('Historikus berek_2021-2'!$A$1:$F$903,MATCH(AB385,'Historikus berek_2021-2'!$A$1:$A$903,0),4),"")</f>
        <v>334933.33333333331</v>
      </c>
      <c r="D385" s="438">
        <f t="shared" si="784"/>
        <v>288735.63218390802</v>
      </c>
      <c r="E385" s="437">
        <f t="shared" si="785"/>
        <v>482759</v>
      </c>
      <c r="F385" s="439">
        <f t="shared" si="786"/>
        <v>219246.40563218389</v>
      </c>
      <c r="G385" s="440">
        <f t="shared" si="787"/>
        <v>326271.26436781604</v>
      </c>
      <c r="H385" s="441">
        <f>IFERROR(INDEX('FEOR kodok'!$A$2:$J$1126,MATCH(Bérköltség!AB385,'FEOR kodok'!$B$2:$B$1126,0),8),"NA")</f>
        <v>2410</v>
      </c>
      <c r="I385" s="436">
        <f ca="1">IFERROR(INDEX('FEOR kodok'!$A$2:$J$1126,MATCH(Bérköltség!AB385,'FEOR kodok'!$B$2:$B$1126,0),10),"NA")</f>
        <v>36</v>
      </c>
      <c r="J385" s="442" t="str">
        <f t="shared" ca="1" si="788"/>
        <v>30–39 éves</v>
      </c>
      <c r="K385" s="436" t="str">
        <f>IFERROR(INDEX(admin_feor[#All],MATCH(Bérköltség!H385,admin_feor[[#All],[Foglalkozás]],0),2),"NA")</f>
        <v>Egyetemi, főiskolai oktató, tanár</v>
      </c>
      <c r="L385" s="438">
        <f ca="1">IFERROR(
INDEX('Admin - FEOR'!$A$4:$F$465,MATCH(Bérköltség!H385,'Admin - FEOR'!$A$4:$A$465,0),
IF(J385="30 év alatt",3,
IF(J385="30–39 éves",4,
IF(J385="40–49 éves",5,
IF(J385="50 év és afelett",6
)))))*1,"NA")</f>
        <v>571548</v>
      </c>
      <c r="M385" s="438">
        <f t="shared" si="789"/>
        <v>560000</v>
      </c>
      <c r="N385" s="443">
        <f t="shared" ca="1" si="790"/>
        <v>0.97979522279843512</v>
      </c>
      <c r="O385" s="438">
        <f ca="1">IFERROR(
INDEX('Admin - FEOR'!$A$4:$F$465,MATCH(Bérköltség!H385,'Admin - FEOR'!$A$4:$A$465,0),
IF(J385="30 év alatt",3,
IF(J385="30–39 éves",4,
IF(J385="40–49 éves",5,
IF(J385="50 év és afelett",6
)))))*1.5,"NA")</f>
        <v>857322</v>
      </c>
      <c r="P385" s="438">
        <f t="shared" ca="1" si="791"/>
        <v>739070.68965517241</v>
      </c>
      <c r="Q385" s="438">
        <f t="shared" si="792"/>
        <v>482759</v>
      </c>
      <c r="R385" s="444">
        <f t="shared" si="793"/>
        <v>0.86206896551724133</v>
      </c>
      <c r="S385" s="438">
        <f t="shared" ca="1" si="794"/>
        <v>0</v>
      </c>
      <c r="T385" s="438">
        <f t="shared" ca="1" si="795"/>
        <v>0</v>
      </c>
      <c r="U385" s="445">
        <f t="shared" ca="1" si="796"/>
        <v>0</v>
      </c>
      <c r="V385" s="446">
        <f t="shared" ca="1" si="797"/>
        <v>545518</v>
      </c>
      <c r="W385" s="447" t="str">
        <f t="shared" ca="1" si="798"/>
        <v>Nem szükséges indoklás.</v>
      </c>
      <c r="X385" s="571">
        <f t="shared" ca="1" si="799"/>
        <v>0</v>
      </c>
      <c r="Y385" s="554">
        <f t="shared" ca="1" si="800"/>
        <v>482759</v>
      </c>
      <c r="Z385" s="554">
        <f t="shared" ca="1" si="801"/>
        <v>62759</v>
      </c>
      <c r="AA385" s="573">
        <v>2</v>
      </c>
      <c r="AB385" s="448">
        <v>8438311180</v>
      </c>
      <c r="AC385" s="449" t="s">
        <v>159</v>
      </c>
      <c r="AD385" s="483" t="s">
        <v>45</v>
      </c>
      <c r="AE385" s="450" t="s">
        <v>158</v>
      </c>
      <c r="AF385" s="99" t="s">
        <v>121</v>
      </c>
      <c r="AG385" s="99" t="s">
        <v>128</v>
      </c>
      <c r="AH385" s="451" t="s">
        <v>131</v>
      </c>
      <c r="AI385" s="362">
        <v>44774</v>
      </c>
      <c r="AJ385" s="100" t="str">
        <f>IF(AI385&gt;0,
(IF(AI385&lt;Hónapok!$A$10,Admin!$A$28,
(IF(AI385&lt;Hónapok!$A$22,Admin!$B$28,
(IF(AI385&lt;Hónapok!$A$34,Admin!$C$28,
(IF(AI385&lt;Hónapok!$A$46,Admin!$D$28,"")))))))),"")</f>
        <v>2. mérföldkő</v>
      </c>
      <c r="AK385" s="497" t="s">
        <v>7</v>
      </c>
      <c r="AL385" s="488" t="s">
        <v>26</v>
      </c>
      <c r="AM385" s="907">
        <v>560000</v>
      </c>
      <c r="AN385" s="860">
        <f t="shared" si="877"/>
        <v>72800</v>
      </c>
      <c r="AO385" s="488">
        <v>174</v>
      </c>
      <c r="AP385" s="493">
        <v>150</v>
      </c>
      <c r="AQ385" s="454">
        <f t="shared" si="779"/>
        <v>0.86206896551724133</v>
      </c>
      <c r="AR385" s="455">
        <f t="shared" si="780"/>
        <v>482759</v>
      </c>
      <c r="AS385" s="455">
        <f t="shared" si="781"/>
        <v>62759</v>
      </c>
      <c r="AT385" s="102">
        <f t="shared" si="782"/>
        <v>-6.7733990150031786E-7</v>
      </c>
      <c r="AU385" s="116">
        <v>0.13</v>
      </c>
      <c r="AV385" s="565" t="str">
        <f>VLOOKUP(LEFT(AB385,10),Törzsszám!$A$1:$B$908,2,0)</f>
        <v>10000251</v>
      </c>
      <c r="AW385" s="615">
        <f t="shared" ca="1" si="783"/>
        <v>0</v>
      </c>
      <c r="AX385" s="468" t="s">
        <v>218</v>
      </c>
      <c r="AY385" s="486"/>
      <c r="AZ385" s="502"/>
      <c r="BA385" s="671">
        <v>305157</v>
      </c>
      <c r="BB385" s="649">
        <v>39670</v>
      </c>
      <c r="BC385" s="649">
        <f t="shared" ca="1" si="907"/>
        <v>177602</v>
      </c>
      <c r="BD385" s="672">
        <f t="shared" ca="1" si="907"/>
        <v>23089</v>
      </c>
      <c r="BE385" s="450" t="s">
        <v>144</v>
      </c>
      <c r="BG385" s="498"/>
    </row>
    <row r="386" spans="1:59" s="457" customFormat="1" ht="31.5" x14ac:dyDescent="0.25">
      <c r="A386" s="694" t="str">
        <f ca="1">Bérköltség!$B386</f>
        <v>FEOR</v>
      </c>
      <c r="B386" s="694" t="str">
        <f ca="1">IFERROR(
IF(AND(Bérköltség!$F386="",H386="NA"),"HIÁNYOS ADATOK",
IF(Bérköltség!$F386&lt;Bérköltség!$U386,Admin!$B$18,Admin!$B$17)),
"")</f>
        <v>FEOR</v>
      </c>
      <c r="C386" s="437">
        <f>IFERROR(INDEX('Historikus berek_2021-2'!$A$1:$F$903,MATCH(AB386,'Historikus berek_2021-2'!$A$1:$A$903,0),4),"")</f>
        <v>334933.33333333331</v>
      </c>
      <c r="D386" s="438">
        <f t="shared" si="784"/>
        <v>288735.63218390802</v>
      </c>
      <c r="E386" s="437">
        <f t="shared" si="785"/>
        <v>482759</v>
      </c>
      <c r="F386" s="439">
        <f t="shared" si="786"/>
        <v>219246.40563218389</v>
      </c>
      <c r="G386" s="440">
        <f t="shared" si="787"/>
        <v>326271.26436781604</v>
      </c>
      <c r="H386" s="441">
        <f>IFERROR(INDEX('FEOR kodok'!$A$2:$J$1126,MATCH(Bérköltség!AB386,'FEOR kodok'!$B$2:$B$1126,0),8),"NA")</f>
        <v>2410</v>
      </c>
      <c r="I386" s="436">
        <f ca="1">IFERROR(INDEX('FEOR kodok'!$A$2:$J$1126,MATCH(Bérköltség!AB386,'FEOR kodok'!$B$2:$B$1126,0),10),"NA")</f>
        <v>36</v>
      </c>
      <c r="J386" s="442" t="str">
        <f t="shared" ca="1" si="788"/>
        <v>30–39 éves</v>
      </c>
      <c r="K386" s="436" t="str">
        <f>IFERROR(INDEX(admin_feor[#All],MATCH(Bérköltség!H386,admin_feor[[#All],[Foglalkozás]],0),2),"NA")</f>
        <v>Egyetemi, főiskolai oktató, tanár</v>
      </c>
      <c r="L386" s="438">
        <f ca="1">IFERROR(
INDEX('Admin - FEOR'!$A$4:$F$465,MATCH(Bérköltség!H386,'Admin - FEOR'!$A$4:$A$465,0),
IF(J386="30 év alatt",3,
IF(J386="30–39 éves",4,
IF(J386="40–49 éves",5,
IF(J386="50 év és afelett",6
)))))*1,"NA")</f>
        <v>571548</v>
      </c>
      <c r="M386" s="438">
        <f t="shared" si="789"/>
        <v>560000</v>
      </c>
      <c r="N386" s="443">
        <f t="shared" ca="1" si="790"/>
        <v>0.97979522279843512</v>
      </c>
      <c r="O386" s="438">
        <f ca="1">IFERROR(
INDEX('Admin - FEOR'!$A$4:$F$465,MATCH(Bérköltség!H386,'Admin - FEOR'!$A$4:$A$465,0),
IF(J386="30 év alatt",3,
IF(J386="30–39 éves",4,
IF(J386="40–49 éves",5,
IF(J386="50 év és afelett",6
)))))*1.5,"NA")</f>
        <v>857322</v>
      </c>
      <c r="P386" s="438">
        <f t="shared" ca="1" si="791"/>
        <v>739070.68965517241</v>
      </c>
      <c r="Q386" s="438">
        <f t="shared" si="792"/>
        <v>482759</v>
      </c>
      <c r="R386" s="444">
        <f t="shared" si="793"/>
        <v>0.86206896551724133</v>
      </c>
      <c r="S386" s="438">
        <f t="shared" ca="1" si="794"/>
        <v>0</v>
      </c>
      <c r="T386" s="438">
        <f t="shared" ca="1" si="795"/>
        <v>0</v>
      </c>
      <c r="U386" s="445">
        <f t="shared" ca="1" si="796"/>
        <v>0</v>
      </c>
      <c r="V386" s="446">
        <f t="shared" ca="1" si="797"/>
        <v>545518</v>
      </c>
      <c r="W386" s="447" t="str">
        <f t="shared" ca="1" si="798"/>
        <v>Nem szükséges indoklás.</v>
      </c>
      <c r="X386" s="571">
        <f t="shared" ca="1" si="799"/>
        <v>0</v>
      </c>
      <c r="Y386" s="554">
        <f t="shared" ca="1" si="800"/>
        <v>482759</v>
      </c>
      <c r="Z386" s="554">
        <f t="shared" ca="1" si="801"/>
        <v>62759</v>
      </c>
      <c r="AA386" s="573">
        <v>2</v>
      </c>
      <c r="AB386" s="448">
        <v>8438311180</v>
      </c>
      <c r="AC386" s="449" t="s">
        <v>159</v>
      </c>
      <c r="AD386" s="483" t="s">
        <v>45</v>
      </c>
      <c r="AE386" s="450" t="s">
        <v>158</v>
      </c>
      <c r="AF386" s="99" t="s">
        <v>121</v>
      </c>
      <c r="AG386" s="99" t="s">
        <v>128</v>
      </c>
      <c r="AH386" s="451" t="s">
        <v>131</v>
      </c>
      <c r="AI386" s="154">
        <v>44805</v>
      </c>
      <c r="AJ386" s="100" t="str">
        <f>IF(AI386&gt;0,
(IF(AI386&lt;Hónapok!$A$10,Admin!$A$28,
(IF(AI386&lt;Hónapok!$A$22,Admin!$B$28,
(IF(AI386&lt;Hónapok!$A$34,Admin!$C$28,
(IF(AI386&lt;Hónapok!$A$46,Admin!$D$28,"")))))))),"")</f>
        <v>2. mérföldkő</v>
      </c>
      <c r="AK386" s="469" t="s">
        <v>7</v>
      </c>
      <c r="AL386" s="101" t="s">
        <v>26</v>
      </c>
      <c r="AM386" s="907">
        <v>560000</v>
      </c>
      <c r="AN386" s="860">
        <f t="shared" si="877"/>
        <v>72800</v>
      </c>
      <c r="AO386" s="101">
        <v>174</v>
      </c>
      <c r="AP386" s="111">
        <v>150</v>
      </c>
      <c r="AQ386" s="454">
        <f t="shared" si="779"/>
        <v>0.86206896551724133</v>
      </c>
      <c r="AR386" s="455">
        <f t="shared" si="780"/>
        <v>482759</v>
      </c>
      <c r="AS386" s="455">
        <f t="shared" si="781"/>
        <v>62759</v>
      </c>
      <c r="AT386" s="102">
        <f t="shared" si="782"/>
        <v>-6.7733990150031786E-7</v>
      </c>
      <c r="AU386" s="116">
        <v>0.13</v>
      </c>
      <c r="AV386" s="565" t="str">
        <f>VLOOKUP(LEFT(AB386,10),Törzsszám!$A$1:$B$908,2,0)</f>
        <v>10000251</v>
      </c>
      <c r="AW386" s="615">
        <f t="shared" ca="1" si="783"/>
        <v>0</v>
      </c>
      <c r="AX386" s="471" t="s">
        <v>228</v>
      </c>
      <c r="AY386" s="486"/>
      <c r="AZ386" s="502"/>
      <c r="BA386" s="671">
        <v>305157</v>
      </c>
      <c r="BB386" s="649">
        <v>39670</v>
      </c>
      <c r="BC386" s="649">
        <f t="shared" ca="1" si="907"/>
        <v>177602</v>
      </c>
      <c r="BD386" s="672">
        <f t="shared" ca="1" si="907"/>
        <v>23089</v>
      </c>
      <c r="BE386" s="450" t="s">
        <v>144</v>
      </c>
      <c r="BG386" s="498"/>
    </row>
    <row r="387" spans="1:59" s="457" customFormat="1" ht="31.5" x14ac:dyDescent="0.25">
      <c r="A387" s="694" t="str">
        <f ca="1">Bérköltség!$B387</f>
        <v>FEOR</v>
      </c>
      <c r="B387" s="694" t="str">
        <f ca="1">IFERROR(
IF(AND(Bérköltség!$F387="",H387="NA"),"HIÁNYOS ADATOK",
IF(Bérköltség!$F387&lt;Bérköltség!$U387,Admin!$B$18,Admin!$B$17)),
"")</f>
        <v>FEOR</v>
      </c>
      <c r="C387" s="437">
        <f>IFERROR(INDEX('Historikus berek_2021-2'!$A$1:$F$903,MATCH(AB387,'Historikus berek_2021-2'!$A$1:$A$903,0),4),"")</f>
        <v>334933.33333333331</v>
      </c>
      <c r="D387" s="438">
        <f t="shared" si="784"/>
        <v>288735.63218390802</v>
      </c>
      <c r="E387" s="437">
        <f t="shared" si="785"/>
        <v>482759</v>
      </c>
      <c r="F387" s="439">
        <f t="shared" si="786"/>
        <v>219246.40563218389</v>
      </c>
      <c r="G387" s="440">
        <f t="shared" si="787"/>
        <v>326271.26436781604</v>
      </c>
      <c r="H387" s="441">
        <f>IFERROR(INDEX('FEOR kodok'!$A$2:$J$1126,MATCH(Bérköltség!AB387,'FEOR kodok'!$B$2:$B$1126,0),8),"NA")</f>
        <v>2410</v>
      </c>
      <c r="I387" s="436">
        <f ca="1">IFERROR(INDEX('FEOR kodok'!$A$2:$J$1126,MATCH(Bérköltség!AB387,'FEOR kodok'!$B$2:$B$1126,0),10),"NA")</f>
        <v>36</v>
      </c>
      <c r="J387" s="442" t="str">
        <f t="shared" ca="1" si="788"/>
        <v>30–39 éves</v>
      </c>
      <c r="K387" s="436" t="str">
        <f>IFERROR(INDEX(admin_feor[#All],MATCH(Bérköltség!H387,admin_feor[[#All],[Foglalkozás]],0),2),"NA")</f>
        <v>Egyetemi, főiskolai oktató, tanár</v>
      </c>
      <c r="L387" s="438">
        <f ca="1">IFERROR(
INDEX('Admin - FEOR'!$A$4:$F$465,MATCH(Bérköltség!H387,'Admin - FEOR'!$A$4:$A$465,0),
IF(J387="30 év alatt",3,
IF(J387="30–39 éves",4,
IF(J387="40–49 éves",5,
IF(J387="50 év és afelett",6
)))))*1,"NA")</f>
        <v>571548</v>
      </c>
      <c r="M387" s="438">
        <f t="shared" si="789"/>
        <v>560000</v>
      </c>
      <c r="N387" s="443">
        <f t="shared" ca="1" si="790"/>
        <v>0.97979522279843512</v>
      </c>
      <c r="O387" s="438">
        <f ca="1">IFERROR(
INDEX('Admin - FEOR'!$A$4:$F$465,MATCH(Bérköltség!H387,'Admin - FEOR'!$A$4:$A$465,0),
IF(J387="30 év alatt",3,
IF(J387="30–39 éves",4,
IF(J387="40–49 éves",5,
IF(J387="50 év és afelett",6
)))))*1.5,"NA")</f>
        <v>857322</v>
      </c>
      <c r="P387" s="438">
        <f t="shared" ca="1" si="791"/>
        <v>739070.68965517241</v>
      </c>
      <c r="Q387" s="438">
        <f t="shared" si="792"/>
        <v>482759</v>
      </c>
      <c r="R387" s="444">
        <f t="shared" si="793"/>
        <v>0.86206896551724133</v>
      </c>
      <c r="S387" s="438">
        <f t="shared" ca="1" si="794"/>
        <v>0</v>
      </c>
      <c r="T387" s="438">
        <f t="shared" ca="1" si="795"/>
        <v>0</v>
      </c>
      <c r="U387" s="445">
        <f t="shared" ca="1" si="796"/>
        <v>0</v>
      </c>
      <c r="V387" s="446">
        <f t="shared" ca="1" si="797"/>
        <v>545518</v>
      </c>
      <c r="W387" s="447" t="str">
        <f t="shared" ca="1" si="798"/>
        <v>Nem szükséges indoklás.</v>
      </c>
      <c r="X387" s="571">
        <f t="shared" ca="1" si="799"/>
        <v>0</v>
      </c>
      <c r="Y387" s="554">
        <f t="shared" ca="1" si="800"/>
        <v>482759</v>
      </c>
      <c r="Z387" s="554">
        <f t="shared" ca="1" si="801"/>
        <v>62759</v>
      </c>
      <c r="AA387" s="573">
        <v>2</v>
      </c>
      <c r="AB387" s="448">
        <v>8438311180</v>
      </c>
      <c r="AC387" s="449" t="s">
        <v>159</v>
      </c>
      <c r="AD387" s="483" t="s">
        <v>45</v>
      </c>
      <c r="AE387" s="450" t="s">
        <v>158</v>
      </c>
      <c r="AF387" s="99" t="s">
        <v>121</v>
      </c>
      <c r="AG387" s="99" t="s">
        <v>128</v>
      </c>
      <c r="AH387" s="451" t="s">
        <v>131</v>
      </c>
      <c r="AI387" s="154">
        <v>44835</v>
      </c>
      <c r="AJ387" s="100" t="str">
        <f>IF(AI387&gt;0,
(IF(AI387&lt;Hónapok!$A$10,Admin!$A$28,
(IF(AI387&lt;Hónapok!$A$22,Admin!$B$28,
(IF(AI387&lt;Hónapok!$A$34,Admin!$C$28,
(IF(AI387&lt;Hónapok!$A$46,Admin!$D$28,"")))))))),"")</f>
        <v>2. mérföldkő</v>
      </c>
      <c r="AK387" s="469" t="s">
        <v>7</v>
      </c>
      <c r="AL387" s="101" t="s">
        <v>26</v>
      </c>
      <c r="AM387" s="907">
        <v>560000</v>
      </c>
      <c r="AN387" s="860">
        <f t="shared" si="877"/>
        <v>72800</v>
      </c>
      <c r="AO387" s="101">
        <v>174</v>
      </c>
      <c r="AP387" s="111">
        <v>150</v>
      </c>
      <c r="AQ387" s="454">
        <f t="shared" si="779"/>
        <v>0.86206896551724133</v>
      </c>
      <c r="AR387" s="455">
        <f t="shared" si="780"/>
        <v>482759</v>
      </c>
      <c r="AS387" s="455">
        <f t="shared" si="781"/>
        <v>62759</v>
      </c>
      <c r="AT387" s="102">
        <f t="shared" si="782"/>
        <v>-6.7733990150031786E-7</v>
      </c>
      <c r="AU387" s="116">
        <v>0.13</v>
      </c>
      <c r="AV387" s="565" t="str">
        <f>VLOOKUP(LEFT(AB387,10),Törzsszám!$A$1:$B$908,2,0)</f>
        <v>10000251</v>
      </c>
      <c r="AW387" s="615">
        <f t="shared" ca="1" si="783"/>
        <v>0</v>
      </c>
      <c r="AX387" s="471" t="s">
        <v>251</v>
      </c>
      <c r="AY387" s="486"/>
      <c r="AZ387" s="502"/>
      <c r="BA387" s="671">
        <v>305157</v>
      </c>
      <c r="BB387" s="649">
        <v>39670</v>
      </c>
      <c r="BC387" s="649">
        <f t="shared" ca="1" si="907"/>
        <v>177602</v>
      </c>
      <c r="BD387" s="672">
        <f t="shared" ca="1" si="907"/>
        <v>23089</v>
      </c>
      <c r="BE387" s="450" t="s">
        <v>144</v>
      </c>
    </row>
    <row r="388" spans="1:59" s="457" customFormat="1" ht="31.5" x14ac:dyDescent="0.25">
      <c r="A388" s="694" t="str">
        <f ca="1">Bérköltség!$B388</f>
        <v>FEOR</v>
      </c>
      <c r="B388" s="694" t="str">
        <f ca="1">IFERROR(
IF(AND(Bérköltség!$F388="",H388="NA"),"HIÁNYOS ADATOK",
IF(Bérköltség!$F388&lt;Bérköltség!$U388,Admin!$B$18,Admin!$B$17)),
"")</f>
        <v>FEOR</v>
      </c>
      <c r="C388" s="437">
        <f>IFERROR(INDEX('Historikus berek_2021-2'!$A$1:$F$903,MATCH(AB388,'Historikus berek_2021-2'!$A$1:$A$903,0),4),"")</f>
        <v>334933.33333333331</v>
      </c>
      <c r="D388" s="438">
        <f t="shared" si="784"/>
        <v>288735.63218390802</v>
      </c>
      <c r="E388" s="437">
        <f t="shared" si="785"/>
        <v>482759</v>
      </c>
      <c r="F388" s="439">
        <f t="shared" si="786"/>
        <v>219246.40563218389</v>
      </c>
      <c r="G388" s="440">
        <f t="shared" si="787"/>
        <v>326271.26436781604</v>
      </c>
      <c r="H388" s="441">
        <f>IFERROR(INDEX('FEOR kodok'!$A$2:$J$1126,MATCH(Bérköltség!AB388,'FEOR kodok'!$B$2:$B$1126,0),8),"NA")</f>
        <v>2410</v>
      </c>
      <c r="I388" s="436">
        <f ca="1">IFERROR(INDEX('FEOR kodok'!$A$2:$J$1126,MATCH(Bérköltség!AB388,'FEOR kodok'!$B$2:$B$1126,0),10),"NA")</f>
        <v>36</v>
      </c>
      <c r="J388" s="442" t="str">
        <f t="shared" ca="1" si="788"/>
        <v>30–39 éves</v>
      </c>
      <c r="K388" s="436" t="str">
        <f>IFERROR(INDEX(admin_feor[#All],MATCH(Bérköltség!H388,admin_feor[[#All],[Foglalkozás]],0),2),"NA")</f>
        <v>Egyetemi, főiskolai oktató, tanár</v>
      </c>
      <c r="L388" s="438">
        <f ca="1">IFERROR(
INDEX('Admin - FEOR'!$A$4:$F$465,MATCH(Bérköltség!H388,'Admin - FEOR'!$A$4:$A$465,0),
IF(J388="30 év alatt",3,
IF(J388="30–39 éves",4,
IF(J388="40–49 éves",5,
IF(J388="50 év és afelett",6
)))))*1,"NA")</f>
        <v>571548</v>
      </c>
      <c r="M388" s="438">
        <f t="shared" si="789"/>
        <v>560000</v>
      </c>
      <c r="N388" s="443">
        <f t="shared" ca="1" si="790"/>
        <v>0.97979522279843512</v>
      </c>
      <c r="O388" s="438">
        <f ca="1">IFERROR(
INDEX('Admin - FEOR'!$A$4:$F$465,MATCH(Bérköltség!H388,'Admin - FEOR'!$A$4:$A$465,0),
IF(J388="30 év alatt",3,
IF(J388="30–39 éves",4,
IF(J388="40–49 éves",5,
IF(J388="50 év és afelett",6
)))))*1.5,"NA")</f>
        <v>857322</v>
      </c>
      <c r="P388" s="438">
        <f t="shared" ca="1" si="791"/>
        <v>739070.68965517241</v>
      </c>
      <c r="Q388" s="438">
        <f t="shared" si="792"/>
        <v>482759</v>
      </c>
      <c r="R388" s="444">
        <f t="shared" si="793"/>
        <v>0.86206896551724133</v>
      </c>
      <c r="S388" s="438">
        <f t="shared" ca="1" si="794"/>
        <v>0</v>
      </c>
      <c r="T388" s="438">
        <f t="shared" ca="1" si="795"/>
        <v>0</v>
      </c>
      <c r="U388" s="445">
        <f t="shared" ca="1" si="796"/>
        <v>0</v>
      </c>
      <c r="V388" s="446">
        <f t="shared" ca="1" si="797"/>
        <v>545518</v>
      </c>
      <c r="W388" s="447" t="str">
        <f t="shared" ca="1" si="798"/>
        <v>Nem szükséges indoklás.</v>
      </c>
      <c r="X388" s="571">
        <f t="shared" ca="1" si="799"/>
        <v>0</v>
      </c>
      <c r="Y388" s="554">
        <f t="shared" ca="1" si="800"/>
        <v>482759</v>
      </c>
      <c r="Z388" s="554">
        <f t="shared" ca="1" si="801"/>
        <v>62759</v>
      </c>
      <c r="AA388" s="573">
        <v>2</v>
      </c>
      <c r="AB388" s="448">
        <v>8438311180</v>
      </c>
      <c r="AC388" s="449" t="s">
        <v>159</v>
      </c>
      <c r="AD388" s="483" t="s">
        <v>45</v>
      </c>
      <c r="AE388" s="450" t="s">
        <v>158</v>
      </c>
      <c r="AF388" s="99" t="s">
        <v>121</v>
      </c>
      <c r="AG388" s="99" t="s">
        <v>128</v>
      </c>
      <c r="AH388" s="451" t="s">
        <v>131</v>
      </c>
      <c r="AI388" s="154">
        <v>44866</v>
      </c>
      <c r="AJ388" s="100" t="str">
        <f>IF(AI388&gt;0,
(IF(AI388&lt;Hónapok!$A$10,Admin!$A$28,
(IF(AI388&lt;Hónapok!$A$22,Admin!$B$28,
(IF(AI388&lt;Hónapok!$A$34,Admin!$C$28,
(IF(AI388&lt;Hónapok!$A$46,Admin!$D$28,"")))))))),"")</f>
        <v>2. mérföldkő</v>
      </c>
      <c r="AK388" s="469" t="s">
        <v>7</v>
      </c>
      <c r="AL388" s="101" t="s">
        <v>26</v>
      </c>
      <c r="AM388" s="907">
        <v>560000</v>
      </c>
      <c r="AN388" s="860">
        <f t="shared" si="877"/>
        <v>72800</v>
      </c>
      <c r="AO388" s="101">
        <v>174</v>
      </c>
      <c r="AP388" s="111">
        <v>150</v>
      </c>
      <c r="AQ388" s="454">
        <f t="shared" si="779"/>
        <v>0.86206896551724133</v>
      </c>
      <c r="AR388" s="455">
        <f t="shared" si="780"/>
        <v>482759</v>
      </c>
      <c r="AS388" s="455">
        <f t="shared" si="781"/>
        <v>62759</v>
      </c>
      <c r="AT388" s="102">
        <f t="shared" si="782"/>
        <v>-6.7733990150031786E-7</v>
      </c>
      <c r="AU388" s="116">
        <v>0.13</v>
      </c>
      <c r="AV388" s="565" t="str">
        <f>VLOOKUP(LEFT(AB388,10),Törzsszám!$A$1:$B$908,2,0)</f>
        <v>10000251</v>
      </c>
      <c r="AW388" s="615">
        <f t="shared" ca="1" si="783"/>
        <v>0</v>
      </c>
      <c r="AX388" s="471" t="s">
        <v>260</v>
      </c>
      <c r="AY388" s="486"/>
      <c r="AZ388" s="502"/>
      <c r="BA388" s="671">
        <v>305157</v>
      </c>
      <c r="BB388" s="649">
        <v>39670</v>
      </c>
      <c r="BC388" s="649">
        <f t="shared" ca="1" si="907"/>
        <v>177602</v>
      </c>
      <c r="BD388" s="672">
        <f t="shared" ca="1" si="907"/>
        <v>23089</v>
      </c>
      <c r="BE388" s="450" t="s">
        <v>144</v>
      </c>
    </row>
    <row r="389" spans="1:59" s="457" customFormat="1" ht="31.5" x14ac:dyDescent="0.25">
      <c r="A389" s="694" t="str">
        <f ca="1">Bérköltség!$B389</f>
        <v>FEOR</v>
      </c>
      <c r="B389" s="694" t="str">
        <f ca="1">IFERROR(
IF(AND(Bérköltség!$F389="",H389="NA"),"HIÁNYOS ADATOK",
IF(Bérköltség!$F389&lt;Bérköltség!$U389,Admin!$B$18,Admin!$B$17)),
"")</f>
        <v>FEOR</v>
      </c>
      <c r="C389" s="437">
        <f>IFERROR(INDEX('Historikus berek_2021-2'!$A$1:$F$903,MATCH(AB389,'Historikus berek_2021-2'!$A$1:$A$903,0),4),"")</f>
        <v>334933.33333333331</v>
      </c>
      <c r="D389" s="438">
        <f t="shared" si="784"/>
        <v>288735.63218390802</v>
      </c>
      <c r="E389" s="437">
        <f t="shared" si="785"/>
        <v>482759</v>
      </c>
      <c r="F389" s="439">
        <f t="shared" si="786"/>
        <v>219246.40563218389</v>
      </c>
      <c r="G389" s="440">
        <f t="shared" si="787"/>
        <v>326271.26436781604</v>
      </c>
      <c r="H389" s="441">
        <f>IFERROR(INDEX('FEOR kodok'!$A$2:$J$1126,MATCH(Bérköltség!AB389,'FEOR kodok'!$B$2:$B$1126,0),8),"NA")</f>
        <v>2410</v>
      </c>
      <c r="I389" s="436">
        <f ca="1">IFERROR(INDEX('FEOR kodok'!$A$2:$J$1126,MATCH(Bérköltség!AB389,'FEOR kodok'!$B$2:$B$1126,0),10),"NA")</f>
        <v>36</v>
      </c>
      <c r="J389" s="442" t="str">
        <f t="shared" ca="1" si="788"/>
        <v>30–39 éves</v>
      </c>
      <c r="K389" s="436" t="str">
        <f>IFERROR(INDEX(admin_feor[#All],MATCH(Bérköltség!H389,admin_feor[[#All],[Foglalkozás]],0),2),"NA")</f>
        <v>Egyetemi, főiskolai oktató, tanár</v>
      </c>
      <c r="L389" s="438">
        <f ca="1">IFERROR(
INDEX('Admin - FEOR'!$A$4:$F$465,MATCH(Bérköltség!H389,'Admin - FEOR'!$A$4:$A$465,0),
IF(J389="30 év alatt",3,
IF(J389="30–39 éves",4,
IF(J389="40–49 éves",5,
IF(J389="50 év és afelett",6
)))))*1,"NA")</f>
        <v>571548</v>
      </c>
      <c r="M389" s="438">
        <f t="shared" si="789"/>
        <v>560000</v>
      </c>
      <c r="N389" s="443">
        <f t="shared" ca="1" si="790"/>
        <v>0.97979522279843512</v>
      </c>
      <c r="O389" s="438">
        <f ca="1">IFERROR(
INDEX('Admin - FEOR'!$A$4:$F$465,MATCH(Bérköltség!H389,'Admin - FEOR'!$A$4:$A$465,0),
IF(J389="30 év alatt",3,
IF(J389="30–39 éves",4,
IF(J389="40–49 éves",5,
IF(J389="50 év és afelett",6
)))))*1.5,"NA")</f>
        <v>857322</v>
      </c>
      <c r="P389" s="438">
        <f t="shared" ca="1" si="791"/>
        <v>739070.68965517241</v>
      </c>
      <c r="Q389" s="438">
        <f t="shared" si="792"/>
        <v>482759</v>
      </c>
      <c r="R389" s="444">
        <f t="shared" si="793"/>
        <v>0.86206896551724133</v>
      </c>
      <c r="S389" s="438">
        <f t="shared" ca="1" si="794"/>
        <v>0</v>
      </c>
      <c r="T389" s="438">
        <f t="shared" ca="1" si="795"/>
        <v>0</v>
      </c>
      <c r="U389" s="445">
        <f t="shared" ca="1" si="796"/>
        <v>0</v>
      </c>
      <c r="V389" s="446">
        <f t="shared" ca="1" si="797"/>
        <v>545518</v>
      </c>
      <c r="W389" s="447" t="str">
        <f t="shared" ca="1" si="798"/>
        <v>Nem szükséges indoklás.</v>
      </c>
      <c r="X389" s="571">
        <f t="shared" ca="1" si="799"/>
        <v>0</v>
      </c>
      <c r="Y389" s="554">
        <f t="shared" ca="1" si="800"/>
        <v>482759</v>
      </c>
      <c r="Z389" s="554">
        <f t="shared" ca="1" si="801"/>
        <v>62759</v>
      </c>
      <c r="AA389" s="573">
        <v>2</v>
      </c>
      <c r="AB389" s="448">
        <v>8438311180</v>
      </c>
      <c r="AC389" s="449" t="s">
        <v>159</v>
      </c>
      <c r="AD389" s="483" t="s">
        <v>45</v>
      </c>
      <c r="AE389" s="450" t="s">
        <v>158</v>
      </c>
      <c r="AF389" s="99" t="s">
        <v>121</v>
      </c>
      <c r="AG389" s="99" t="s">
        <v>128</v>
      </c>
      <c r="AH389" s="451" t="s">
        <v>131</v>
      </c>
      <c r="AI389" s="154">
        <v>44896</v>
      </c>
      <c r="AJ389" s="100" t="str">
        <f>IF(AI389&gt;0,
(IF(AI389&lt;Hónapok!$A$10,Admin!$A$28,
(IF(AI389&lt;Hónapok!$A$22,Admin!$B$28,
(IF(AI389&lt;Hónapok!$A$34,Admin!$C$28,
(IF(AI389&lt;Hónapok!$A$46,Admin!$D$28,"")))))))),"")</f>
        <v>2. mérföldkő</v>
      </c>
      <c r="AK389" s="469" t="s">
        <v>7</v>
      </c>
      <c r="AL389" s="101" t="s">
        <v>26</v>
      </c>
      <c r="AM389" s="907">
        <v>560000</v>
      </c>
      <c r="AN389" s="860">
        <f t="shared" si="877"/>
        <v>72800</v>
      </c>
      <c r="AO389" s="101">
        <v>174</v>
      </c>
      <c r="AP389" s="111">
        <v>150</v>
      </c>
      <c r="AQ389" s="454">
        <f t="shared" si="779"/>
        <v>0.86206896551724133</v>
      </c>
      <c r="AR389" s="455">
        <f t="shared" si="780"/>
        <v>482759</v>
      </c>
      <c r="AS389" s="455">
        <f t="shared" si="781"/>
        <v>62759</v>
      </c>
      <c r="AT389" s="102">
        <f t="shared" si="782"/>
        <v>-6.7733990150031786E-7</v>
      </c>
      <c r="AU389" s="116">
        <v>0.13</v>
      </c>
      <c r="AV389" s="565" t="str">
        <f>VLOOKUP(LEFT(AB389,10),Törzsszám!$A$1:$B$908,2,0)</f>
        <v>10000251</v>
      </c>
      <c r="AW389" s="615">
        <f t="shared" ca="1" si="783"/>
        <v>0</v>
      </c>
      <c r="AX389" s="473" t="s">
        <v>262</v>
      </c>
      <c r="AY389" s="486"/>
      <c r="AZ389" s="502"/>
      <c r="BA389" s="671">
        <v>305157</v>
      </c>
      <c r="BB389" s="649">
        <v>39670</v>
      </c>
      <c r="BC389" s="649">
        <f t="shared" ca="1" si="907"/>
        <v>177602</v>
      </c>
      <c r="BD389" s="672">
        <f t="shared" ca="1" si="907"/>
        <v>23089</v>
      </c>
      <c r="BE389" s="450" t="s">
        <v>144</v>
      </c>
      <c r="BF389" s="499"/>
    </row>
    <row r="390" spans="1:59" s="457" customFormat="1" ht="31.5" x14ac:dyDescent="0.25">
      <c r="A390" s="694" t="str">
        <f ca="1">Bérköltség!$B390</f>
        <v>FEOR</v>
      </c>
      <c r="B390" s="694" t="str">
        <f ca="1">IFERROR(
IF(AND(Bérköltség!$F390="",H390="NA"),"HIÁNYOS ADATOK",
IF(Bérköltség!$F390&lt;Bérköltség!$U390,Admin!$B$18,Admin!$B$17)),
"")</f>
        <v>FEOR</v>
      </c>
      <c r="C390" s="437">
        <f>IFERROR(INDEX('Historikus berek_2021-2'!$A$1:$F$903,MATCH(AB390,'Historikus berek_2021-2'!$A$1:$A$903,0),4),"")</f>
        <v>334933.33333333331</v>
      </c>
      <c r="D390" s="438">
        <f t="shared" si="784"/>
        <v>296435.24904214556</v>
      </c>
      <c r="E390" s="437">
        <f t="shared" si="785"/>
        <v>659368</v>
      </c>
      <c r="F390" s="439">
        <f t="shared" si="786"/>
        <v>410114.00858237554</v>
      </c>
      <c r="G390" s="440">
        <f t="shared" si="787"/>
        <v>334971.83141762443</v>
      </c>
      <c r="H390" s="441">
        <f>IFERROR(INDEX('FEOR kodok'!$A$2:$J$1126,MATCH(Bérköltség!AB390,'FEOR kodok'!$B$2:$B$1126,0),8),"NA")</f>
        <v>2410</v>
      </c>
      <c r="I390" s="436">
        <f ca="1">IFERROR(INDEX('FEOR kodok'!$A$2:$J$1126,MATCH(Bérköltség!AB390,'FEOR kodok'!$B$2:$B$1126,0),10),"NA")</f>
        <v>36</v>
      </c>
      <c r="J390" s="442" t="str">
        <f t="shared" ca="1" si="788"/>
        <v>30–39 éves</v>
      </c>
      <c r="K390" s="436" t="str">
        <f>IFERROR(INDEX(admin_feor[#All],MATCH(Bérköltség!H390,admin_feor[[#All],[Foglalkozás]],0),2),"NA")</f>
        <v>Egyetemi, főiskolai oktató, tanár</v>
      </c>
      <c r="L390" s="438">
        <f ca="1">IFERROR(
INDEX('Admin - FEOR'!$A$4:$F$465,MATCH(Bérköltség!H390,'Admin - FEOR'!$A$4:$A$465,0),
IF(J390="30 év alatt",3,
IF(J390="30–39 éves",4,
IF(J390="40–49 éves",5,
IF(J390="50 év és afelett",6
)))))*1,"NA")</f>
        <v>571548</v>
      </c>
      <c r="M390" s="438">
        <f t="shared" si="789"/>
        <v>745000</v>
      </c>
      <c r="N390" s="443">
        <f t="shared" ca="1" si="790"/>
        <v>1.3034775731872039</v>
      </c>
      <c r="O390" s="438">
        <f ca="1">IFERROR(
INDEX('Admin - FEOR'!$A$4:$F$465,MATCH(Bérköltség!H390,'Admin - FEOR'!$A$4:$A$465,0),
IF(J390="30 év alatt",3,
IF(J390="30–39 éves",4,
IF(J390="40–49 éves",5,
IF(J390="50 év és afelett",6
)))))*1.5,"NA")</f>
        <v>857322</v>
      </c>
      <c r="P390" s="438">
        <f t="shared" ca="1" si="791"/>
        <v>758779.24137931038</v>
      </c>
      <c r="Q390" s="438">
        <f t="shared" si="792"/>
        <v>659368</v>
      </c>
      <c r="R390" s="444">
        <f t="shared" si="793"/>
        <v>0.88505747126436785</v>
      </c>
      <c r="S390" s="438">
        <f t="shared" ca="1" si="794"/>
        <v>0</v>
      </c>
      <c r="T390" s="438">
        <f t="shared" ca="1" si="795"/>
        <v>0</v>
      </c>
      <c r="U390" s="445">
        <f t="shared" ca="1" si="796"/>
        <v>0</v>
      </c>
      <c r="V390" s="446">
        <f t="shared" ca="1" si="797"/>
        <v>745086</v>
      </c>
      <c r="W390" s="447" t="str">
        <f t="shared" ca="1" si="798"/>
        <v>Indoklás szükséges mivel a FEOR: 130,3%</v>
      </c>
      <c r="X390" s="571">
        <f t="shared" ca="1" si="799"/>
        <v>0</v>
      </c>
      <c r="Y390" s="554">
        <f t="shared" ca="1" si="800"/>
        <v>659368</v>
      </c>
      <c r="Z390" s="554">
        <f t="shared" ca="1" si="801"/>
        <v>85718</v>
      </c>
      <c r="AA390" s="573">
        <v>2</v>
      </c>
      <c r="AB390" s="448">
        <v>8438311180</v>
      </c>
      <c r="AC390" s="449" t="s">
        <v>159</v>
      </c>
      <c r="AD390" s="482" t="s">
        <v>45</v>
      </c>
      <c r="AE390" s="450" t="s">
        <v>158</v>
      </c>
      <c r="AF390" s="99" t="s">
        <v>121</v>
      </c>
      <c r="AG390" s="99" t="s">
        <v>128</v>
      </c>
      <c r="AH390" s="451" t="s">
        <v>131</v>
      </c>
      <c r="AI390" s="154">
        <v>44927</v>
      </c>
      <c r="AJ390" s="100" t="str">
        <f>IF(AI390&gt;0,
(IF(AI390&lt;Hónapok!$A$10,Admin!$A$28,
(IF(AI390&lt;Hónapok!$A$22,Admin!$B$28,
(IF(AI390&lt;Hónapok!$A$34,Admin!$C$28,
(IF(AI390&lt;Hónapok!$A$46,Admin!$D$28,"")))))))),"")</f>
        <v>2. mérföldkő</v>
      </c>
      <c r="AK390" s="469" t="s">
        <v>7</v>
      </c>
      <c r="AL390" s="101" t="s">
        <v>26</v>
      </c>
      <c r="AM390" s="900">
        <v>745000</v>
      </c>
      <c r="AN390" s="860">
        <f t="shared" ref="AN390:AN441" si="908">IFERROR(ROUND(AM390*AU390,0),"")</f>
        <v>96850</v>
      </c>
      <c r="AO390" s="101">
        <v>174</v>
      </c>
      <c r="AP390" s="111">
        <v>154</v>
      </c>
      <c r="AQ390" s="454">
        <f t="shared" si="779"/>
        <v>0.88505747126436785</v>
      </c>
      <c r="AR390" s="455">
        <f t="shared" si="780"/>
        <v>659368</v>
      </c>
      <c r="AS390" s="455">
        <f t="shared" si="781"/>
        <v>85718</v>
      </c>
      <c r="AT390" s="102">
        <f t="shared" si="782"/>
        <v>-2.4685643751354291E-7</v>
      </c>
      <c r="AU390" s="116">
        <v>0.13</v>
      </c>
      <c r="AV390" s="565" t="str">
        <f>VLOOKUP(LEFT(AB390,10),Törzsszám!$A$1:$B$908,2,0)</f>
        <v>10000251</v>
      </c>
      <c r="AW390" s="681">
        <f t="shared" ca="1" si="783"/>
        <v>0</v>
      </c>
      <c r="AX390" s="473" t="s">
        <v>2518</v>
      </c>
      <c r="AY390" s="486"/>
      <c r="AZ390" s="502" t="s">
        <v>4607</v>
      </c>
      <c r="BA390" s="671">
        <v>313294</v>
      </c>
      <c r="BB390" s="649">
        <v>40728</v>
      </c>
      <c r="BC390" s="649">
        <f t="shared" ca="1" si="907"/>
        <v>346074</v>
      </c>
      <c r="BD390" s="672">
        <f t="shared" ca="1" si="907"/>
        <v>44990</v>
      </c>
      <c r="BE390" s="450" t="s">
        <v>144</v>
      </c>
    </row>
    <row r="391" spans="1:59" s="457" customFormat="1" ht="31.5" x14ac:dyDescent="0.25">
      <c r="A391" s="694" t="str">
        <f ca="1">Bérköltség!$B391</f>
        <v>FEOR</v>
      </c>
      <c r="B391" s="694" t="str">
        <f ca="1">IFERROR(
IF(AND(Bérköltség!$F391="",H391="NA"),"HIÁNYOS ADATOK",
IF(Bérköltség!$F391&lt;Bérköltség!$U391,Admin!$B$18,Admin!$B$17)),
"")</f>
        <v>FEOR</v>
      </c>
      <c r="C391" s="437">
        <f>IFERROR(INDEX('Historikus berek_2021-2'!$A$1:$F$903,MATCH(AB391,'Historikus berek_2021-2'!$A$1:$A$903,0),4),"")</f>
        <v>334933.33333333331</v>
      </c>
      <c r="D391" s="438">
        <f t="shared" si="784"/>
        <v>296435.24904214556</v>
      </c>
      <c r="E391" s="437">
        <f t="shared" si="785"/>
        <v>659368</v>
      </c>
      <c r="F391" s="439">
        <f t="shared" si="786"/>
        <v>410114.00858237554</v>
      </c>
      <c r="G391" s="440">
        <f t="shared" si="787"/>
        <v>334971.83141762443</v>
      </c>
      <c r="H391" s="441">
        <f>IFERROR(INDEX('FEOR kodok'!$A$2:$J$1126,MATCH(Bérköltség!AB391,'FEOR kodok'!$B$2:$B$1126,0),8),"NA")</f>
        <v>2410</v>
      </c>
      <c r="I391" s="436">
        <f ca="1">IFERROR(INDEX('FEOR kodok'!$A$2:$J$1126,MATCH(Bérköltség!AB391,'FEOR kodok'!$B$2:$B$1126,0),10),"NA")</f>
        <v>36</v>
      </c>
      <c r="J391" s="442" t="str">
        <f t="shared" ca="1" si="788"/>
        <v>30–39 éves</v>
      </c>
      <c r="K391" s="436" t="str">
        <f>IFERROR(INDEX(admin_feor[#All],MATCH(Bérköltség!H391,admin_feor[[#All],[Foglalkozás]],0),2),"NA")</f>
        <v>Egyetemi, főiskolai oktató, tanár</v>
      </c>
      <c r="L391" s="438">
        <f ca="1">IFERROR(
INDEX('Admin - FEOR'!$A$4:$F$465,MATCH(Bérköltség!H391,'Admin - FEOR'!$A$4:$A$465,0),
IF(J391="30 év alatt",3,
IF(J391="30–39 éves",4,
IF(J391="40–49 éves",5,
IF(J391="50 év és afelett",6
)))))*1,"NA")</f>
        <v>571548</v>
      </c>
      <c r="M391" s="438">
        <f t="shared" si="789"/>
        <v>745000</v>
      </c>
      <c r="N391" s="443">
        <f t="shared" ca="1" si="790"/>
        <v>1.3034775731872039</v>
      </c>
      <c r="O391" s="438">
        <f ca="1">IFERROR(
INDEX('Admin - FEOR'!$A$4:$F$465,MATCH(Bérköltség!H391,'Admin - FEOR'!$A$4:$A$465,0),
IF(J391="30 év alatt",3,
IF(J391="30–39 éves",4,
IF(J391="40–49 éves",5,
IF(J391="50 év és afelett",6
)))))*1.5,"NA")</f>
        <v>857322</v>
      </c>
      <c r="P391" s="438">
        <f t="shared" ca="1" si="791"/>
        <v>758779.24137931038</v>
      </c>
      <c r="Q391" s="438">
        <f t="shared" si="792"/>
        <v>659368</v>
      </c>
      <c r="R391" s="444">
        <f t="shared" si="793"/>
        <v>0.88505747126436785</v>
      </c>
      <c r="S391" s="438">
        <f t="shared" ca="1" si="794"/>
        <v>0</v>
      </c>
      <c r="T391" s="438">
        <f t="shared" ca="1" si="795"/>
        <v>0</v>
      </c>
      <c r="U391" s="445">
        <f t="shared" ca="1" si="796"/>
        <v>0</v>
      </c>
      <c r="V391" s="446">
        <f t="shared" ca="1" si="797"/>
        <v>745086</v>
      </c>
      <c r="W391" s="447" t="str">
        <f t="shared" ca="1" si="798"/>
        <v>Indoklás szükséges mivel a FEOR: 130,3%</v>
      </c>
      <c r="X391" s="571">
        <f t="shared" ca="1" si="799"/>
        <v>0</v>
      </c>
      <c r="Y391" s="554">
        <f t="shared" ca="1" si="800"/>
        <v>659368</v>
      </c>
      <c r="Z391" s="554">
        <f t="shared" ca="1" si="801"/>
        <v>85718</v>
      </c>
      <c r="AA391" s="101"/>
      <c r="AB391" s="448">
        <v>8438311180</v>
      </c>
      <c r="AC391" s="449" t="s">
        <v>159</v>
      </c>
      <c r="AD391" s="483" t="s">
        <v>45</v>
      </c>
      <c r="AE391" s="450" t="s">
        <v>158</v>
      </c>
      <c r="AF391" s="99" t="s">
        <v>121</v>
      </c>
      <c r="AG391" s="99" t="s">
        <v>128</v>
      </c>
      <c r="AH391" s="451" t="s">
        <v>131</v>
      </c>
      <c r="AI391" s="154">
        <v>44958</v>
      </c>
      <c r="AJ391" s="100" t="str">
        <f>IF(AI391&gt;0,
(IF(AI391&lt;Hónapok!$A$10,Admin!$A$28,
(IF(AI391&lt;Hónapok!$A$22,Admin!$B$28,
(IF(AI391&lt;Hónapok!$A$34,Admin!$C$28,
(IF(AI391&lt;Hónapok!$A$46,Admin!$D$28,"")))))))),"")</f>
        <v>2. mérföldkő</v>
      </c>
      <c r="AK391" s="467" t="s">
        <v>7</v>
      </c>
      <c r="AL391" s="101" t="s">
        <v>26</v>
      </c>
      <c r="AM391" s="900">
        <v>745000</v>
      </c>
      <c r="AN391" s="860">
        <f t="shared" si="908"/>
        <v>96850</v>
      </c>
      <c r="AO391" s="101">
        <v>174</v>
      </c>
      <c r="AP391" s="111">
        <v>154</v>
      </c>
      <c r="AQ391" s="454">
        <f t="shared" si="779"/>
        <v>0.88505747126436785</v>
      </c>
      <c r="AR391" s="455">
        <f t="shared" si="780"/>
        <v>659368</v>
      </c>
      <c r="AS391" s="455">
        <f t="shared" si="781"/>
        <v>85718</v>
      </c>
      <c r="AT391" s="102">
        <f t="shared" si="782"/>
        <v>-2.4685643751354291E-7</v>
      </c>
      <c r="AU391" s="116">
        <v>0.13</v>
      </c>
      <c r="AV391" s="565" t="str">
        <f>VLOOKUP(LEFT(AB391,10),Törzsszám!$A$1:$B$908,2,0)</f>
        <v>10000251</v>
      </c>
      <c r="AW391" s="681">
        <f t="shared" ca="1" si="783"/>
        <v>0</v>
      </c>
      <c r="AX391" s="537" t="s">
        <v>4557</v>
      </c>
      <c r="AY391" s="486"/>
      <c r="AZ391" s="502"/>
      <c r="BA391" s="671"/>
      <c r="BB391" s="649"/>
      <c r="BC391" s="649"/>
      <c r="BD391" s="672"/>
      <c r="BE391" s="450" t="s">
        <v>144</v>
      </c>
    </row>
    <row r="392" spans="1:59" s="457" customFormat="1" ht="31.5" x14ac:dyDescent="0.25">
      <c r="A392" s="694" t="str">
        <f ca="1">Bérköltség!$B392</f>
        <v>FEOR</v>
      </c>
      <c r="B392" s="694" t="str">
        <f ca="1">IFERROR(
IF(AND(Bérköltség!$F392="",H392="NA"),"HIÁNYOS ADATOK",
IF(Bérköltség!$F392&lt;Bérköltség!$U392,Admin!$B$18,Admin!$B$17)),
"")</f>
        <v>FEOR</v>
      </c>
      <c r="C392" s="437">
        <f>IFERROR(INDEX('Historikus berek_2021-2'!$A$1:$F$903,MATCH(AB392,'Historikus berek_2021-2'!$A$1:$A$903,0),4),"")</f>
        <v>334933.33333333331</v>
      </c>
      <c r="D392" s="438">
        <f t="shared" si="784"/>
        <v>296435.24904214556</v>
      </c>
      <c r="E392" s="437">
        <f t="shared" si="785"/>
        <v>659368</v>
      </c>
      <c r="F392" s="439">
        <f t="shared" si="786"/>
        <v>410114.00858237554</v>
      </c>
      <c r="G392" s="440">
        <f t="shared" si="787"/>
        <v>334971.83141762443</v>
      </c>
      <c r="H392" s="441">
        <f>IFERROR(INDEX('FEOR kodok'!$A$2:$J$1126,MATCH(Bérköltség!AB392,'FEOR kodok'!$B$2:$B$1126,0),8),"NA")</f>
        <v>2410</v>
      </c>
      <c r="I392" s="436">
        <f ca="1">IFERROR(INDEX('FEOR kodok'!$A$2:$J$1126,MATCH(Bérköltség!AB392,'FEOR kodok'!$B$2:$B$1126,0),10),"NA")</f>
        <v>36</v>
      </c>
      <c r="J392" s="442" t="str">
        <f t="shared" ca="1" si="788"/>
        <v>30–39 éves</v>
      </c>
      <c r="K392" s="436" t="str">
        <f>IFERROR(INDEX(admin_feor[#All],MATCH(Bérköltség!H392,admin_feor[[#All],[Foglalkozás]],0),2),"NA")</f>
        <v>Egyetemi, főiskolai oktató, tanár</v>
      </c>
      <c r="L392" s="438">
        <f ca="1">IFERROR(
INDEX('Admin - FEOR'!$A$4:$F$465,MATCH(Bérköltség!H392,'Admin - FEOR'!$A$4:$A$465,0),
IF(J392="30 év alatt",3,
IF(J392="30–39 éves",4,
IF(J392="40–49 éves",5,
IF(J392="50 év és afelett",6
)))))*1,"NA")</f>
        <v>571548</v>
      </c>
      <c r="M392" s="438">
        <f t="shared" si="789"/>
        <v>745000</v>
      </c>
      <c r="N392" s="443">
        <f t="shared" ca="1" si="790"/>
        <v>1.3034775731872039</v>
      </c>
      <c r="O392" s="438">
        <f ca="1">IFERROR(
INDEX('Admin - FEOR'!$A$4:$F$465,MATCH(Bérköltség!H392,'Admin - FEOR'!$A$4:$A$465,0),
IF(J392="30 év alatt",3,
IF(J392="30–39 éves",4,
IF(J392="40–49 éves",5,
IF(J392="50 év és afelett",6
)))))*1.5,"NA")</f>
        <v>857322</v>
      </c>
      <c r="P392" s="438">
        <f t="shared" ca="1" si="791"/>
        <v>758779.24137931038</v>
      </c>
      <c r="Q392" s="438">
        <f t="shared" si="792"/>
        <v>659368</v>
      </c>
      <c r="R392" s="444">
        <f t="shared" si="793"/>
        <v>0.88505747126436785</v>
      </c>
      <c r="S392" s="438">
        <f t="shared" ca="1" si="794"/>
        <v>0</v>
      </c>
      <c r="T392" s="438">
        <f t="shared" ca="1" si="795"/>
        <v>0</v>
      </c>
      <c r="U392" s="445">
        <f t="shared" ca="1" si="796"/>
        <v>0</v>
      </c>
      <c r="V392" s="446">
        <f t="shared" ca="1" si="797"/>
        <v>745086</v>
      </c>
      <c r="W392" s="447" t="str">
        <f t="shared" ca="1" si="798"/>
        <v>Indoklás szükséges mivel a FEOR: 130,3%</v>
      </c>
      <c r="X392" s="571">
        <f t="shared" ca="1" si="799"/>
        <v>0</v>
      </c>
      <c r="Y392" s="554">
        <f t="shared" ca="1" si="800"/>
        <v>659368</v>
      </c>
      <c r="Z392" s="554">
        <f t="shared" ca="1" si="801"/>
        <v>85718</v>
      </c>
      <c r="AA392" s="101"/>
      <c r="AB392" s="448">
        <v>8438311180</v>
      </c>
      <c r="AC392" s="449" t="s">
        <v>159</v>
      </c>
      <c r="AD392" s="483" t="s">
        <v>45</v>
      </c>
      <c r="AE392" s="450" t="s">
        <v>158</v>
      </c>
      <c r="AF392" s="99" t="s">
        <v>121</v>
      </c>
      <c r="AG392" s="99" t="s">
        <v>128</v>
      </c>
      <c r="AH392" s="451" t="s">
        <v>131</v>
      </c>
      <c r="AI392" s="154">
        <v>44986</v>
      </c>
      <c r="AJ392" s="100" t="str">
        <f>IF(AI392&gt;0,
(IF(AI392&lt;Hónapok!$A$10,Admin!$A$28,
(IF(AI392&lt;Hónapok!$A$22,Admin!$B$28,
(IF(AI392&lt;Hónapok!$A$34,Admin!$C$28,
(IF(AI392&lt;Hónapok!$A$46,Admin!$D$28,"")))))))),"")</f>
        <v>3. mérföldkő</v>
      </c>
      <c r="AK392" s="470" t="s">
        <v>7</v>
      </c>
      <c r="AL392" s="101" t="s">
        <v>26</v>
      </c>
      <c r="AM392" s="900">
        <v>745000</v>
      </c>
      <c r="AN392" s="860">
        <f t="shared" si="908"/>
        <v>96850</v>
      </c>
      <c r="AO392" s="101">
        <v>174</v>
      </c>
      <c r="AP392" s="111">
        <v>154</v>
      </c>
      <c r="AQ392" s="454">
        <f t="shared" si="779"/>
        <v>0.88505747126436785</v>
      </c>
      <c r="AR392" s="455">
        <f t="shared" si="780"/>
        <v>659368</v>
      </c>
      <c r="AS392" s="455">
        <f t="shared" si="781"/>
        <v>85718</v>
      </c>
      <c r="AT392" s="102">
        <f t="shared" si="782"/>
        <v>-2.4685643751354291E-7</v>
      </c>
      <c r="AU392" s="116">
        <v>0.13</v>
      </c>
      <c r="AV392" s="565" t="str">
        <f>VLOOKUP(LEFT(AB392,10),Törzsszám!$A$1:$B$908,2,0)</f>
        <v>10000251</v>
      </c>
      <c r="AW392" s="681">
        <f t="shared" ca="1" si="783"/>
        <v>0</v>
      </c>
      <c r="AX392" s="471" t="s">
        <v>4561</v>
      </c>
      <c r="AY392" s="486"/>
      <c r="AZ392" s="502"/>
      <c r="BA392" s="671"/>
      <c r="BB392" s="649"/>
      <c r="BC392" s="649"/>
      <c r="BD392" s="672"/>
      <c r="BE392" s="450" t="s">
        <v>144</v>
      </c>
    </row>
    <row r="393" spans="1:59" s="457" customFormat="1" ht="31.5" x14ac:dyDescent="0.25">
      <c r="A393" s="694" t="str">
        <f ca="1">Bérköltség!$B393</f>
        <v>FEOR</v>
      </c>
      <c r="B393" s="694" t="str">
        <f ca="1">IFERROR(
IF(AND(Bérköltség!$F393="",H393="NA"),"HIÁNYOS ADATOK",
IF(Bérköltség!$F393&lt;Bérköltség!$U393,Admin!$B$18,Admin!$B$17)),
"")</f>
        <v>FEOR</v>
      </c>
      <c r="C393" s="437">
        <f>IFERROR(INDEX('Historikus berek_2021-2'!$A$1:$F$903,MATCH(AB393,'Historikus berek_2021-2'!$A$1:$A$903,0),4),"")</f>
        <v>334933.33333333331</v>
      </c>
      <c r="D393" s="438">
        <f t="shared" si="784"/>
        <v>296435.24904214556</v>
      </c>
      <c r="E393" s="437">
        <f t="shared" si="785"/>
        <v>659368</v>
      </c>
      <c r="F393" s="439">
        <f t="shared" si="786"/>
        <v>410114.00858237554</v>
      </c>
      <c r="G393" s="440">
        <f t="shared" si="787"/>
        <v>334971.83141762443</v>
      </c>
      <c r="H393" s="441">
        <f>IFERROR(INDEX('FEOR kodok'!$A$2:$J$1126,MATCH(Bérköltség!AB393,'FEOR kodok'!$B$2:$B$1126,0),8),"NA")</f>
        <v>2410</v>
      </c>
      <c r="I393" s="436">
        <f ca="1">IFERROR(INDEX('FEOR kodok'!$A$2:$J$1126,MATCH(Bérköltség!AB393,'FEOR kodok'!$B$2:$B$1126,0),10),"NA")</f>
        <v>36</v>
      </c>
      <c r="J393" s="442" t="str">
        <f t="shared" ca="1" si="788"/>
        <v>30–39 éves</v>
      </c>
      <c r="K393" s="436" t="str">
        <f>IFERROR(INDEX(admin_feor[#All],MATCH(Bérköltség!H393,admin_feor[[#All],[Foglalkozás]],0),2),"NA")</f>
        <v>Egyetemi, főiskolai oktató, tanár</v>
      </c>
      <c r="L393" s="438">
        <f ca="1">IFERROR(
INDEX('Admin - FEOR'!$A$4:$F$465,MATCH(Bérköltség!H393,'Admin - FEOR'!$A$4:$A$465,0),
IF(J393="30 év alatt",3,
IF(J393="30–39 éves",4,
IF(J393="40–49 éves",5,
IF(J393="50 év és afelett",6
)))))*1,"NA")</f>
        <v>571548</v>
      </c>
      <c r="M393" s="438">
        <f t="shared" si="789"/>
        <v>745000</v>
      </c>
      <c r="N393" s="443">
        <f t="shared" ca="1" si="790"/>
        <v>1.3034775731872039</v>
      </c>
      <c r="O393" s="438">
        <f ca="1">IFERROR(
INDEX('Admin - FEOR'!$A$4:$F$465,MATCH(Bérköltség!H393,'Admin - FEOR'!$A$4:$A$465,0),
IF(J393="30 év alatt",3,
IF(J393="30–39 éves",4,
IF(J393="40–49 éves",5,
IF(J393="50 év és afelett",6
)))))*1.5,"NA")</f>
        <v>857322</v>
      </c>
      <c r="P393" s="438">
        <f t="shared" ca="1" si="791"/>
        <v>758779.24137931038</v>
      </c>
      <c r="Q393" s="438">
        <f t="shared" si="792"/>
        <v>659368</v>
      </c>
      <c r="R393" s="444">
        <f t="shared" si="793"/>
        <v>0.88505747126436785</v>
      </c>
      <c r="S393" s="438">
        <f t="shared" ca="1" si="794"/>
        <v>0</v>
      </c>
      <c r="T393" s="438">
        <f t="shared" ca="1" si="795"/>
        <v>0</v>
      </c>
      <c r="U393" s="445">
        <f t="shared" ca="1" si="796"/>
        <v>0</v>
      </c>
      <c r="V393" s="446">
        <f t="shared" ca="1" si="797"/>
        <v>745086</v>
      </c>
      <c r="W393" s="447" t="str">
        <f t="shared" ca="1" si="798"/>
        <v>Indoklás szükséges mivel a FEOR: 130,3%</v>
      </c>
      <c r="X393" s="571">
        <f t="shared" ca="1" si="799"/>
        <v>0</v>
      </c>
      <c r="Y393" s="554">
        <f t="shared" ca="1" si="800"/>
        <v>659368</v>
      </c>
      <c r="Z393" s="554">
        <f t="shared" ca="1" si="801"/>
        <v>85718</v>
      </c>
      <c r="AA393" s="101"/>
      <c r="AB393" s="448">
        <v>8438311180</v>
      </c>
      <c r="AC393" s="449" t="s">
        <v>159</v>
      </c>
      <c r="AD393" s="483" t="s">
        <v>45</v>
      </c>
      <c r="AE393" s="450" t="s">
        <v>158</v>
      </c>
      <c r="AF393" s="99" t="s">
        <v>121</v>
      </c>
      <c r="AG393" s="99" t="s">
        <v>128</v>
      </c>
      <c r="AH393" s="451" t="s">
        <v>131</v>
      </c>
      <c r="AI393" s="154">
        <v>45017</v>
      </c>
      <c r="AJ393" s="100" t="str">
        <f>IF(AI393&gt;0,
(IF(AI393&lt;Hónapok!$A$10,Admin!$A$28,
(IF(AI393&lt;Hónapok!$A$22,Admin!$B$28,
(IF(AI393&lt;Hónapok!$A$34,Admin!$C$28,
(IF(AI393&lt;Hónapok!$A$46,Admin!$D$28,"")))))))),"")</f>
        <v>3. mérföldkő</v>
      </c>
      <c r="AK393" s="467" t="s">
        <v>7</v>
      </c>
      <c r="AL393" s="101" t="s">
        <v>26</v>
      </c>
      <c r="AM393" s="900">
        <v>745000</v>
      </c>
      <c r="AN393" s="860">
        <f t="shared" si="908"/>
        <v>96850</v>
      </c>
      <c r="AO393" s="101">
        <v>174</v>
      </c>
      <c r="AP393" s="111">
        <v>154</v>
      </c>
      <c r="AQ393" s="454">
        <f t="shared" si="779"/>
        <v>0.88505747126436785</v>
      </c>
      <c r="AR393" s="455">
        <f t="shared" si="780"/>
        <v>659368</v>
      </c>
      <c r="AS393" s="455">
        <f t="shared" si="781"/>
        <v>85718</v>
      </c>
      <c r="AT393" s="102">
        <f t="shared" si="782"/>
        <v>-2.4685643751354291E-7</v>
      </c>
      <c r="AU393" s="116">
        <v>0.13</v>
      </c>
      <c r="AV393" s="565" t="str">
        <f>VLOOKUP(LEFT(AB393,10),Törzsszám!$A$1:$B$908,2,0)</f>
        <v>10000251</v>
      </c>
      <c r="AW393" s="681">
        <f t="shared" ca="1" si="783"/>
        <v>0</v>
      </c>
      <c r="AX393" s="471" t="s">
        <v>4581</v>
      </c>
      <c r="AY393" s="486"/>
      <c r="AZ393" s="502"/>
      <c r="BA393" s="671"/>
      <c r="BB393" s="649"/>
      <c r="BC393" s="649"/>
      <c r="BD393" s="672"/>
      <c r="BE393" s="450" t="s">
        <v>144</v>
      </c>
    </row>
    <row r="394" spans="1:59" s="457" customFormat="1" ht="31.5" x14ac:dyDescent="0.25">
      <c r="A394" s="694" t="str">
        <f ca="1">Bérköltség!$B394</f>
        <v>FEOR</v>
      </c>
      <c r="B394" s="694" t="str">
        <f ca="1">IFERROR(
IF(AND(Bérköltség!$F394="",H394="NA"),"HIÁNYOS ADATOK",
IF(Bérköltség!$F394&lt;Bérköltség!$U394,Admin!$B$18,Admin!$B$17)),
"")</f>
        <v>FEOR</v>
      </c>
      <c r="C394" s="437">
        <f>IFERROR(INDEX('Historikus berek_2021-2'!$A$1:$F$903,MATCH(AB394,'Historikus berek_2021-2'!$A$1:$A$903,0),4),"")</f>
        <v>334933.33333333331</v>
      </c>
      <c r="D394" s="438">
        <f t="shared" si="784"/>
        <v>296435.24904214556</v>
      </c>
      <c r="E394" s="437">
        <f t="shared" si="785"/>
        <v>659368</v>
      </c>
      <c r="F394" s="439">
        <f t="shared" si="786"/>
        <v>410114.00858237554</v>
      </c>
      <c r="G394" s="440">
        <f t="shared" si="787"/>
        <v>334971.83141762443</v>
      </c>
      <c r="H394" s="441">
        <f>IFERROR(INDEX('FEOR kodok'!$A$2:$J$1126,MATCH(Bérköltség!AB394,'FEOR kodok'!$B$2:$B$1126,0),8),"NA")</f>
        <v>2410</v>
      </c>
      <c r="I394" s="436">
        <f ca="1">IFERROR(INDEX('FEOR kodok'!$A$2:$J$1126,MATCH(Bérköltség!AB394,'FEOR kodok'!$B$2:$B$1126,0),10),"NA")</f>
        <v>36</v>
      </c>
      <c r="J394" s="442" t="str">
        <f t="shared" ca="1" si="788"/>
        <v>30–39 éves</v>
      </c>
      <c r="K394" s="436" t="str">
        <f>IFERROR(INDEX(admin_feor[#All],MATCH(Bérköltség!H394,admin_feor[[#All],[Foglalkozás]],0),2),"NA")</f>
        <v>Egyetemi, főiskolai oktató, tanár</v>
      </c>
      <c r="L394" s="438">
        <f ca="1">IFERROR(
INDEX('Admin - FEOR'!$A$4:$F$465,MATCH(Bérköltség!H394,'Admin - FEOR'!$A$4:$A$465,0),
IF(J394="30 év alatt",3,
IF(J394="30–39 éves",4,
IF(J394="40–49 éves",5,
IF(J394="50 év és afelett",6
)))))*1,"NA")</f>
        <v>571548</v>
      </c>
      <c r="M394" s="438">
        <f t="shared" si="789"/>
        <v>745000</v>
      </c>
      <c r="N394" s="443">
        <f t="shared" ca="1" si="790"/>
        <v>1.3034775731872039</v>
      </c>
      <c r="O394" s="438">
        <f ca="1">IFERROR(
INDEX('Admin - FEOR'!$A$4:$F$465,MATCH(Bérköltség!H394,'Admin - FEOR'!$A$4:$A$465,0),
IF(J394="30 év alatt",3,
IF(J394="30–39 éves",4,
IF(J394="40–49 éves",5,
IF(J394="50 év és afelett",6
)))))*1.5,"NA")</f>
        <v>857322</v>
      </c>
      <c r="P394" s="438">
        <f t="shared" ca="1" si="791"/>
        <v>758779.24137931038</v>
      </c>
      <c r="Q394" s="438">
        <f t="shared" si="792"/>
        <v>659368</v>
      </c>
      <c r="R394" s="444">
        <f t="shared" si="793"/>
        <v>0.88505747126436785</v>
      </c>
      <c r="S394" s="438">
        <f t="shared" ca="1" si="794"/>
        <v>0</v>
      </c>
      <c r="T394" s="438">
        <f t="shared" ca="1" si="795"/>
        <v>0</v>
      </c>
      <c r="U394" s="445">
        <f t="shared" ca="1" si="796"/>
        <v>0</v>
      </c>
      <c r="V394" s="446">
        <f t="shared" ca="1" si="797"/>
        <v>745086</v>
      </c>
      <c r="W394" s="447" t="str">
        <f t="shared" ca="1" si="798"/>
        <v>Indoklás szükséges mivel a FEOR: 130,3%</v>
      </c>
      <c r="X394" s="571">
        <f t="shared" ca="1" si="799"/>
        <v>0</v>
      </c>
      <c r="Y394" s="554">
        <f t="shared" ca="1" si="800"/>
        <v>659368</v>
      </c>
      <c r="Z394" s="554">
        <f t="shared" ca="1" si="801"/>
        <v>85718</v>
      </c>
      <c r="AA394" s="101"/>
      <c r="AB394" s="448">
        <v>8438311180</v>
      </c>
      <c r="AC394" s="449" t="s">
        <v>159</v>
      </c>
      <c r="AD394" s="483" t="s">
        <v>45</v>
      </c>
      <c r="AE394" s="450" t="s">
        <v>158</v>
      </c>
      <c r="AF394" s="99" t="s">
        <v>121</v>
      </c>
      <c r="AG394" s="99" t="s">
        <v>128</v>
      </c>
      <c r="AH394" s="451" t="s">
        <v>131</v>
      </c>
      <c r="AI394" s="154">
        <v>45047</v>
      </c>
      <c r="AJ394" s="100" t="str">
        <f>IF(AI394&gt;0,
(IF(AI394&lt;Hónapok!$A$10,Admin!$A$28,
(IF(AI394&lt;Hónapok!$A$22,Admin!$B$28,
(IF(AI394&lt;Hónapok!$A$34,Admin!$C$28,
(IF(AI394&lt;Hónapok!$A$46,Admin!$D$28,"")))))))),"")</f>
        <v>3. mérföldkő</v>
      </c>
      <c r="AK394" s="469" t="s">
        <v>7</v>
      </c>
      <c r="AL394" s="101" t="s">
        <v>26</v>
      </c>
      <c r="AM394" s="900">
        <v>745000</v>
      </c>
      <c r="AN394" s="860">
        <f t="shared" si="908"/>
        <v>96850</v>
      </c>
      <c r="AO394" s="101">
        <v>174</v>
      </c>
      <c r="AP394" s="111">
        <v>154</v>
      </c>
      <c r="AQ394" s="454">
        <f t="shared" si="779"/>
        <v>0.88505747126436785</v>
      </c>
      <c r="AR394" s="455">
        <f t="shared" si="780"/>
        <v>659368</v>
      </c>
      <c r="AS394" s="455">
        <f t="shared" si="781"/>
        <v>85718</v>
      </c>
      <c r="AT394" s="102">
        <f t="shared" si="782"/>
        <v>-2.4685643751354291E-7</v>
      </c>
      <c r="AU394" s="116">
        <v>0.13</v>
      </c>
      <c r="AV394" s="565" t="str">
        <f>VLOOKUP(LEFT(AB394,10),Törzsszám!$A$1:$B$908,2,0)</f>
        <v>10000251</v>
      </c>
      <c r="AW394" s="681">
        <f t="shared" ca="1" si="783"/>
        <v>0</v>
      </c>
      <c r="AX394" s="471" t="s">
        <v>4596</v>
      </c>
      <c r="AY394" s="502"/>
      <c r="AZ394" s="502"/>
      <c r="BA394" s="671"/>
      <c r="BB394" s="649"/>
      <c r="BC394" s="649"/>
      <c r="BD394" s="672"/>
      <c r="BE394" s="450" t="s">
        <v>144</v>
      </c>
    </row>
    <row r="395" spans="1:59" s="457" customFormat="1" ht="31.5" x14ac:dyDescent="0.25">
      <c r="A395" s="694" t="str">
        <f ca="1">Bérköltség!$B395</f>
        <v>FEOR</v>
      </c>
      <c r="B395" s="694" t="str">
        <f ca="1">IFERROR(
IF(AND(Bérköltség!$F395="",H395="NA"),"HIÁNYOS ADATOK",
IF(Bérköltség!$F395&lt;Bérköltség!$U395,Admin!$B$18,Admin!$B$17)),
"")</f>
        <v>FEOR</v>
      </c>
      <c r="C395" s="437">
        <f>IFERROR(INDEX('Historikus berek_2021-2'!$A$1:$F$903,MATCH(AB395,'Historikus berek_2021-2'!$A$1:$A$903,0),4),"")</f>
        <v>334933.33333333331</v>
      </c>
      <c r="D395" s="438">
        <f t="shared" ref="D395:D397" si="909">IFERROR(C395*AQ395,"NA")</f>
        <v>277186.20689655171</v>
      </c>
      <c r="E395" s="437">
        <f t="shared" ref="E395:E397" si="910">AR395</f>
        <v>767585</v>
      </c>
      <c r="F395" s="439">
        <f t="shared" ref="F395:F397" si="911">IFERROR(IF((E395*(1+AU395)-D395*(1+AU395))&lt;0,0,(E395*(1+AU395)-D395*(1+AU395))),"")</f>
        <v>554150.63620689651</v>
      </c>
      <c r="G395" s="440">
        <f t="shared" ref="G395:G397" si="912">IFERROR((E395*(1+AU395)-F395),"")</f>
        <v>313220.41379310342</v>
      </c>
      <c r="H395" s="441">
        <f>IFERROR(INDEX('FEOR kodok'!$A$2:$J$1126,MATCH(Bérköltség!AB395,'FEOR kodok'!$B$2:$B$1126,0),8),"NA")</f>
        <v>2410</v>
      </c>
      <c r="I395" s="436">
        <f ca="1">IFERROR(INDEX('FEOR kodok'!$A$2:$J$1126,MATCH(Bérköltség!AB395,'FEOR kodok'!$B$2:$B$1126,0),10),"NA")</f>
        <v>36</v>
      </c>
      <c r="J395" s="442" t="str">
        <f t="shared" ref="J395:J397" ca="1" si="913">IF(I395="NA","NA",
IF(I395&lt;30,"30 év alatt",
IF(AND(I395&gt;=30,I395&lt;=39),"30–39 éves",
IF(AND(I395&gt;=40,I395&lt;=49),"40–49 éves",
IF(I395&gt;=50,"50 év és afelett",
"")))))</f>
        <v>30–39 éves</v>
      </c>
      <c r="K395" s="436" t="str">
        <f>IFERROR(INDEX(admin_feor[#All],MATCH(Bérköltség!H395,admin_feor[[#All],[Foglalkozás]],0),2),"NA")</f>
        <v>Egyetemi, főiskolai oktató, tanár</v>
      </c>
      <c r="L395" s="438">
        <f ca="1">IFERROR(
INDEX('Admin - FEOR'!$A$4:$F$465,MATCH(Bérköltség!H395,'Admin - FEOR'!$A$4:$A$465,0),
IF(J395="30 év alatt",3,
IF(J395="30–39 éves",4,
IF(J395="40–49 éves",5,
IF(J395="50 év és afelett",6
)))))*1,"NA")</f>
        <v>571548</v>
      </c>
      <c r="M395" s="438">
        <f t="shared" ref="M395:M397" si="914">AM395</f>
        <v>927499</v>
      </c>
      <c r="N395" s="443">
        <f t="shared" ref="N395:N397" ca="1" si="915">IFERROR(
M395/L395,"NA")</f>
        <v>1.6227840881255817</v>
      </c>
      <c r="O395" s="438">
        <f ca="1">IFERROR(
INDEX('Admin - FEOR'!$A$4:$F$465,MATCH(Bérköltség!H395,'Admin - FEOR'!$A$4:$A$465,0),
IF(J395="30 év alatt",3,
IF(J395="30–39 éves",4,
IF(J395="40–49 éves",5,
IF(J395="50 év és afelett",6
)))))*1.5,"NA")</f>
        <v>857322</v>
      </c>
      <c r="P395" s="438">
        <f t="shared" ref="P395:P397" ca="1" si="916">IFERROR(
AQ395*O395,"NA")</f>
        <v>709507.86206896557</v>
      </c>
      <c r="Q395" s="438">
        <f t="shared" ref="Q395:Q397" si="917">IFERROR(AR395,"")</f>
        <v>767585</v>
      </c>
      <c r="R395" s="444">
        <f t="shared" ref="R395:R397" si="918">IFERROR(AQ395,"")</f>
        <v>0.82758620689655171</v>
      </c>
      <c r="S395" s="438">
        <f t="shared" ref="S395:S397" ca="1" si="919">IFERROR(
IF(AR395-P395&lt;0,0,AR395-P395),"NA")</f>
        <v>58077.137931034435</v>
      </c>
      <c r="T395" s="438">
        <f t="shared" ref="T395:T397" ca="1" si="920">IFERROR(
S395*AU395,"NA")</f>
        <v>7550.0279310344768</v>
      </c>
      <c r="U395" s="445">
        <f t="shared" ref="U395:U397" ca="1" si="921">IFERROR(
S395+T395,"NA")</f>
        <v>65627.165862068912</v>
      </c>
      <c r="V395" s="446">
        <f t="shared" ref="V395:V397" ca="1" si="922">IFERROR(
IF(U395&gt;0,AR395+AS395-U395,AR395+AS395),"NA")</f>
        <v>801743.83413793112</v>
      </c>
      <c r="W395" s="447" t="str">
        <f t="shared" ref="W395:W397" ca="1" si="923">IF(P395="NA","FEOR hiányzik",
IF(AND(N395&gt;1,A395="FEOR"),CONCATENATE("Indoklás szükséges mivel a FEOR: ",ROUND(N395*100,1),"%"),"Nem szükséges indoklás.")
)</f>
        <v>Indoklás szükséges mivel a FEOR: 162,3%</v>
      </c>
      <c r="X395" s="571">
        <f t="shared" ref="X395:X397" ca="1" si="924">IF(A395="FEOR",U395,IF(A395="HIÁNYOS ADATOK","HIÁNYOS ADATOK",F395))</f>
        <v>65627.165862068912</v>
      </c>
      <c r="Y395" s="554">
        <f t="shared" ref="Y395" ca="1" si="925">IF(A395="FEOR",ROUND(V395/(1+AU395),0),IF(A395="HIÁNYOS ADATOK","HIÁNYOS ADATOK",ROUND(G395/(1+AU395),0)))</f>
        <v>709508</v>
      </c>
      <c r="Z395" s="554">
        <f t="shared" ref="Z395" ca="1" si="926">IF(A395="FEOR",ROUND(V395-Y395,0),IF(A395="HIÁNYOS ADATOK","HIÁNYOS ADATOK",ROUND(G395-Y395,0)))</f>
        <v>92236</v>
      </c>
      <c r="AA395" s="101"/>
      <c r="AB395" s="448">
        <v>8438311180</v>
      </c>
      <c r="AC395" s="449" t="s">
        <v>159</v>
      </c>
      <c r="AD395" s="483" t="s">
        <v>45</v>
      </c>
      <c r="AE395" s="450" t="s">
        <v>158</v>
      </c>
      <c r="AF395" s="99" t="s">
        <v>121</v>
      </c>
      <c r="AG395" s="99" t="s">
        <v>128</v>
      </c>
      <c r="AH395" s="451" t="s">
        <v>131</v>
      </c>
      <c r="AI395" s="154">
        <v>45078</v>
      </c>
      <c r="AJ395" s="100" t="str">
        <f>IF(AI395&gt;0,
(IF(AI395&lt;Hónapok!$A$10,Admin!$A$28,
(IF(AI395&lt;Hónapok!$A$22,Admin!$B$28,
(IF(AI395&lt;Hónapok!$A$34,Admin!$C$28,
(IF(AI395&lt;Hónapok!$A$46,Admin!$D$28,"")))))))),"")</f>
        <v>3. mérföldkő</v>
      </c>
      <c r="AK395" s="469" t="s">
        <v>7</v>
      </c>
      <c r="AL395" s="101" t="s">
        <v>26</v>
      </c>
      <c r="AM395" s="900">
        <f>927500-1</f>
        <v>927499</v>
      </c>
      <c r="AN395" s="860">
        <f t="shared" ref="AN395:AN397" si="927">IFERROR(ROUND(AM395*AU395,0),"")</f>
        <v>120575</v>
      </c>
      <c r="AO395" s="101">
        <v>174</v>
      </c>
      <c r="AP395" s="111">
        <v>144</v>
      </c>
      <c r="AQ395" s="102">
        <f t="shared" ref="AQ395:AQ397" si="928">IFERROR(AP395/AO395,"")</f>
        <v>0.82758620689655171</v>
      </c>
      <c r="AR395" s="455">
        <f t="shared" ref="AR395:AR397" si="929">IFERROR(ROUND(AM395*AP395/AO395,0),"")</f>
        <v>767585</v>
      </c>
      <c r="AS395" s="455">
        <f t="shared" ref="AS395:AS397" si="930">IFERROR(ROUND(AR395*AU395,0),"")</f>
        <v>99786</v>
      </c>
      <c r="AT395" s="102">
        <f t="shared" ref="AT395:AT397" si="931">IFERROR(AP395/AO395-AR395/AM395,"")</f>
        <v>4.0896038144833113E-7</v>
      </c>
      <c r="AU395" s="116">
        <v>0.13</v>
      </c>
      <c r="AV395" s="565" t="str">
        <f>VLOOKUP(LEFT(AB395,10),Törzsszám!$A$1:$B$908,2,0)</f>
        <v>10000251</v>
      </c>
      <c r="AW395" s="681">
        <f t="shared" ref="AW395:AW397" ca="1" si="932">(Y395+Z395)-(AR395+AS395)</f>
        <v>-65627</v>
      </c>
      <c r="AX395" s="471" t="s">
        <v>4606</v>
      </c>
      <c r="AY395" s="502"/>
      <c r="AZ395" s="502"/>
      <c r="BA395" s="671"/>
      <c r="BB395" s="649"/>
      <c r="BC395" s="649"/>
      <c r="BD395" s="672"/>
      <c r="BE395" s="450" t="s">
        <v>144</v>
      </c>
    </row>
    <row r="396" spans="1:59" s="457" customFormat="1" ht="31.5" x14ac:dyDescent="0.25">
      <c r="A396" s="694" t="str">
        <f ca="1">Bérköltség!$B396</f>
        <v>FEOR</v>
      </c>
      <c r="B396" s="694" t="str">
        <f ca="1">IFERROR(
IF(AND(Bérköltség!$F396="",H396="NA"),"HIÁNYOS ADATOK",
IF(Bérköltség!$F396&lt;Bérköltség!$U396,Admin!$B$18,Admin!$B$17)),
"")</f>
        <v>FEOR</v>
      </c>
      <c r="C396" s="437">
        <f>IFERROR(INDEX('Historikus berek_2021-2'!$A$1:$F$903,MATCH(AB396,'Historikus berek_2021-2'!$A$1:$A$903,0),4),"")</f>
        <v>334933.33333333331</v>
      </c>
      <c r="D396" s="438">
        <f t="shared" si="909"/>
        <v>277186.20689655171</v>
      </c>
      <c r="E396" s="437">
        <f t="shared" si="910"/>
        <v>767586</v>
      </c>
      <c r="F396" s="439">
        <f t="shared" si="911"/>
        <v>554151.76620689651</v>
      </c>
      <c r="G396" s="440">
        <f t="shared" si="912"/>
        <v>313220.41379310342</v>
      </c>
      <c r="H396" s="441">
        <f>IFERROR(INDEX('FEOR kodok'!$A$2:$J$1126,MATCH(Bérköltség!AB396,'FEOR kodok'!$B$2:$B$1126,0),8),"NA")</f>
        <v>2410</v>
      </c>
      <c r="I396" s="436">
        <f ca="1">IFERROR(INDEX('FEOR kodok'!$A$2:$J$1126,MATCH(Bérköltség!AB396,'FEOR kodok'!$B$2:$B$1126,0),10),"NA")</f>
        <v>36</v>
      </c>
      <c r="J396" s="442" t="str">
        <f t="shared" ca="1" si="913"/>
        <v>30–39 éves</v>
      </c>
      <c r="K396" s="436" t="str">
        <f>IFERROR(INDEX(admin_feor[#All],MATCH(Bérköltség!H396,admin_feor[[#All],[Foglalkozás]],0),2),"NA")</f>
        <v>Egyetemi, főiskolai oktató, tanár</v>
      </c>
      <c r="L396" s="438">
        <f ca="1">IFERROR(
INDEX('Admin - FEOR'!$A$4:$F$465,MATCH(Bérköltség!H396,'Admin - FEOR'!$A$4:$A$465,0),
IF(J396="30 év alatt",3,
IF(J396="30–39 éves",4,
IF(J396="40–49 éves",5,
IF(J396="50 év és afelett",6
)))))*1,"NA")</f>
        <v>571548</v>
      </c>
      <c r="M396" s="438">
        <f t="shared" si="914"/>
        <v>927500</v>
      </c>
      <c r="N396" s="443">
        <f t="shared" ca="1" si="915"/>
        <v>1.6227858377599083</v>
      </c>
      <c r="O396" s="438">
        <f ca="1">IFERROR(
INDEX('Admin - FEOR'!$A$4:$F$465,MATCH(Bérköltség!H396,'Admin - FEOR'!$A$4:$A$465,0),
IF(J396="30 év alatt",3,
IF(J396="30–39 éves",4,
IF(J396="40–49 éves",5,
IF(J396="50 év és afelett",6
)))))*1.5,"NA")</f>
        <v>857322</v>
      </c>
      <c r="P396" s="438">
        <f t="shared" ca="1" si="916"/>
        <v>709507.86206896557</v>
      </c>
      <c r="Q396" s="438">
        <f t="shared" si="917"/>
        <v>767586</v>
      </c>
      <c r="R396" s="444">
        <f t="shared" si="918"/>
        <v>0.82758620689655171</v>
      </c>
      <c r="S396" s="438">
        <f t="shared" ca="1" si="919"/>
        <v>58078.137931034435</v>
      </c>
      <c r="T396" s="438">
        <f t="shared" ca="1" si="920"/>
        <v>7550.1579310344769</v>
      </c>
      <c r="U396" s="445">
        <f t="shared" ca="1" si="921"/>
        <v>65628.295862068917</v>
      </c>
      <c r="V396" s="446">
        <f t="shared" ca="1" si="922"/>
        <v>801743.70413793111</v>
      </c>
      <c r="W396" s="447" t="str">
        <f t="shared" ca="1" si="923"/>
        <v>Indoklás szükséges mivel a FEOR: 162,3%</v>
      </c>
      <c r="X396" s="571">
        <f t="shared" ca="1" si="924"/>
        <v>65628.295862068917</v>
      </c>
      <c r="Y396" s="554">
        <f t="shared" ref="Y396:Y397" ca="1" si="933">IF(A396="FEOR",ROUND(V396/(1+AU396),0),IF(A396="HIÁNYOS ADATOK","HIÁNYOS ADATOK",ROUND(G396/(1+AU396),0)))</f>
        <v>709508</v>
      </c>
      <c r="Z396" s="554">
        <f t="shared" ref="Z396:Z397" ca="1" si="934">IF(A396="FEOR",ROUND(V396-Y396,0),IF(A396="HIÁNYOS ADATOK","HIÁNYOS ADATOK",ROUND(G396-Y396,0)))</f>
        <v>92236</v>
      </c>
      <c r="AA396" s="101"/>
      <c r="AB396" s="448">
        <v>8438311180</v>
      </c>
      <c r="AC396" s="449" t="s">
        <v>159</v>
      </c>
      <c r="AD396" s="483" t="s">
        <v>45</v>
      </c>
      <c r="AE396" s="450" t="s">
        <v>158</v>
      </c>
      <c r="AF396" s="99" t="s">
        <v>121</v>
      </c>
      <c r="AG396" s="99" t="s">
        <v>128</v>
      </c>
      <c r="AH396" s="451" t="s">
        <v>131</v>
      </c>
      <c r="AI396" s="154">
        <v>45108</v>
      </c>
      <c r="AJ396" s="100" t="str">
        <f>IF(AI396&gt;0,
(IF(AI396&lt;Hónapok!$A$10,Admin!$A$28,
(IF(AI396&lt;Hónapok!$A$22,Admin!$B$28,
(IF(AI396&lt;Hónapok!$A$34,Admin!$C$28,
(IF(AI396&lt;Hónapok!$A$46,Admin!$D$28,"")))))))),"")</f>
        <v>3. mérföldkő</v>
      </c>
      <c r="AK396" s="469" t="s">
        <v>7</v>
      </c>
      <c r="AL396" s="101" t="s">
        <v>26</v>
      </c>
      <c r="AM396" s="900">
        <v>927500</v>
      </c>
      <c r="AN396" s="860">
        <f t="shared" si="927"/>
        <v>120575</v>
      </c>
      <c r="AO396" s="101">
        <v>174</v>
      </c>
      <c r="AP396" s="111">
        <v>144</v>
      </c>
      <c r="AQ396" s="682">
        <f t="shared" si="928"/>
        <v>0.82758620689655171</v>
      </c>
      <c r="AR396" s="455">
        <f t="shared" si="929"/>
        <v>767586</v>
      </c>
      <c r="AS396" s="455">
        <f t="shared" si="930"/>
        <v>99786</v>
      </c>
      <c r="AT396" s="102">
        <f t="shared" si="931"/>
        <v>2.2306905844704517E-7</v>
      </c>
      <c r="AU396" s="116">
        <v>0.13</v>
      </c>
      <c r="AV396" s="565" t="str">
        <f>VLOOKUP(LEFT(AB396,10),Törzsszám!$A$1:$B$908,2,0)</f>
        <v>10000251</v>
      </c>
      <c r="AW396" s="681">
        <f t="shared" ca="1" si="932"/>
        <v>-65628</v>
      </c>
      <c r="AX396" s="471" t="s">
        <v>4610</v>
      </c>
      <c r="AY396" s="502"/>
      <c r="AZ396" s="502"/>
      <c r="BA396" s="671"/>
      <c r="BB396" s="649"/>
      <c r="BC396" s="649"/>
      <c r="BD396" s="672"/>
      <c r="BE396" s="450" t="s">
        <v>144</v>
      </c>
    </row>
    <row r="397" spans="1:59" s="457" customFormat="1" ht="31.5" x14ac:dyDescent="0.25">
      <c r="A397" s="694" t="str">
        <f ca="1">Bérköltség!$B397</f>
        <v>FEOR</v>
      </c>
      <c r="B397" s="694" t="str">
        <f ca="1">IFERROR(
IF(AND(Bérköltség!$F397="",H397="NA"),"HIÁNYOS ADATOK",
IF(Bérköltség!$F397&lt;Bérköltség!$U397,Admin!$B$18,Admin!$B$17)),
"")</f>
        <v>FEOR</v>
      </c>
      <c r="C397" s="437">
        <f>IFERROR(INDEX('Historikus berek_2021-2'!$A$1:$F$903,MATCH(AB397,'Historikus berek_2021-2'!$A$1:$A$903,0),4),"")</f>
        <v>334933.33333333331</v>
      </c>
      <c r="D397" s="438">
        <f t="shared" si="909"/>
        <v>277186.20689655171</v>
      </c>
      <c r="E397" s="437">
        <f t="shared" si="910"/>
        <v>767585</v>
      </c>
      <c r="F397" s="439">
        <f t="shared" si="911"/>
        <v>554150.63620689651</v>
      </c>
      <c r="G397" s="440">
        <f t="shared" si="912"/>
        <v>313220.41379310342</v>
      </c>
      <c r="H397" s="441">
        <f>IFERROR(INDEX('FEOR kodok'!$A$2:$J$1126,MATCH(Bérköltség!AB397,'FEOR kodok'!$B$2:$B$1126,0),8),"NA")</f>
        <v>2410</v>
      </c>
      <c r="I397" s="436">
        <f ca="1">IFERROR(INDEX('FEOR kodok'!$A$2:$J$1126,MATCH(Bérköltség!AB397,'FEOR kodok'!$B$2:$B$1126,0),10),"NA")</f>
        <v>36</v>
      </c>
      <c r="J397" s="442" t="str">
        <f t="shared" ca="1" si="913"/>
        <v>30–39 éves</v>
      </c>
      <c r="K397" s="436" t="str">
        <f>IFERROR(INDEX(admin_feor[#All],MATCH(Bérköltség!H397,admin_feor[[#All],[Foglalkozás]],0),2),"NA")</f>
        <v>Egyetemi, főiskolai oktató, tanár</v>
      </c>
      <c r="L397" s="438">
        <f ca="1">IFERROR(
INDEX('Admin - FEOR'!$A$4:$F$465,MATCH(Bérköltség!H397,'Admin - FEOR'!$A$4:$A$465,0),
IF(J397="30 év alatt",3,
IF(J397="30–39 éves",4,
IF(J397="40–49 éves",5,
IF(J397="50 év és afelett",6
)))))*1,"NA")</f>
        <v>571548</v>
      </c>
      <c r="M397" s="438">
        <f t="shared" si="914"/>
        <v>927499</v>
      </c>
      <c r="N397" s="443">
        <f t="shared" ca="1" si="915"/>
        <v>1.6227840881255817</v>
      </c>
      <c r="O397" s="438">
        <f ca="1">IFERROR(
INDEX('Admin - FEOR'!$A$4:$F$465,MATCH(Bérköltség!H397,'Admin - FEOR'!$A$4:$A$465,0),
IF(J397="30 év alatt",3,
IF(J397="30–39 éves",4,
IF(J397="40–49 éves",5,
IF(J397="50 év és afelett",6
)))))*1.5,"NA")</f>
        <v>857322</v>
      </c>
      <c r="P397" s="438">
        <f t="shared" ca="1" si="916"/>
        <v>709507.86206896557</v>
      </c>
      <c r="Q397" s="438">
        <f t="shared" si="917"/>
        <v>767585</v>
      </c>
      <c r="R397" s="444">
        <f t="shared" si="918"/>
        <v>0.82758620689655171</v>
      </c>
      <c r="S397" s="438">
        <f t="shared" ca="1" si="919"/>
        <v>58077.137931034435</v>
      </c>
      <c r="T397" s="438">
        <f t="shared" ca="1" si="920"/>
        <v>7550.0279310344768</v>
      </c>
      <c r="U397" s="445">
        <f t="shared" ca="1" si="921"/>
        <v>65627.165862068912</v>
      </c>
      <c r="V397" s="446">
        <f t="shared" ca="1" si="922"/>
        <v>801743.83413793112</v>
      </c>
      <c r="W397" s="447" t="str">
        <f t="shared" ca="1" si="923"/>
        <v>Indoklás szükséges mivel a FEOR: 162,3%</v>
      </c>
      <c r="X397" s="571">
        <f t="shared" ca="1" si="924"/>
        <v>65627.165862068912</v>
      </c>
      <c r="Y397" s="554">
        <f t="shared" ca="1" si="933"/>
        <v>709508</v>
      </c>
      <c r="Z397" s="554">
        <f t="shared" ca="1" si="934"/>
        <v>92236</v>
      </c>
      <c r="AA397" s="101"/>
      <c r="AB397" s="448">
        <v>8438311180</v>
      </c>
      <c r="AC397" s="449" t="s">
        <v>159</v>
      </c>
      <c r="AD397" s="483" t="s">
        <v>45</v>
      </c>
      <c r="AE397" s="450" t="s">
        <v>158</v>
      </c>
      <c r="AF397" s="99" t="s">
        <v>121</v>
      </c>
      <c r="AG397" s="99" t="s">
        <v>128</v>
      </c>
      <c r="AH397" s="451" t="s">
        <v>131</v>
      </c>
      <c r="AI397" s="154">
        <v>45139</v>
      </c>
      <c r="AJ397" s="100" t="str">
        <f>IF(AI397&gt;0,
(IF(AI397&lt;Hónapok!$A$10,Admin!$A$28,
(IF(AI397&lt;Hónapok!$A$22,Admin!$B$28,
(IF(AI397&lt;Hónapok!$A$34,Admin!$C$28,
(IF(AI397&lt;Hónapok!$A$46,Admin!$D$28,"")))))))),"")</f>
        <v>3. mérföldkő</v>
      </c>
      <c r="AK397" s="469" t="s">
        <v>7</v>
      </c>
      <c r="AL397" s="101" t="s">
        <v>26</v>
      </c>
      <c r="AM397" s="900">
        <f>927500-1</f>
        <v>927499</v>
      </c>
      <c r="AN397" s="860">
        <f t="shared" si="927"/>
        <v>120575</v>
      </c>
      <c r="AO397" s="101">
        <v>174</v>
      </c>
      <c r="AP397" s="111">
        <v>144</v>
      </c>
      <c r="AQ397" s="454">
        <f t="shared" si="928"/>
        <v>0.82758620689655171</v>
      </c>
      <c r="AR397" s="455">
        <f t="shared" si="929"/>
        <v>767585</v>
      </c>
      <c r="AS397" s="455">
        <f t="shared" si="930"/>
        <v>99786</v>
      </c>
      <c r="AT397" s="102">
        <f t="shared" si="931"/>
        <v>4.0896038144833113E-7</v>
      </c>
      <c r="AU397" s="116">
        <v>0.13</v>
      </c>
      <c r="AV397" s="565" t="str">
        <f>VLOOKUP(LEFT(AB397,10),Törzsszám!$A$1:$B$908,2,0)</f>
        <v>10000251</v>
      </c>
      <c r="AW397" s="681">
        <f t="shared" ca="1" si="932"/>
        <v>-65627</v>
      </c>
      <c r="AX397" s="471" t="s">
        <v>4613</v>
      </c>
      <c r="AY397" s="502"/>
      <c r="AZ397" s="502"/>
      <c r="BA397" s="671"/>
      <c r="BB397" s="649"/>
      <c r="BC397" s="649"/>
      <c r="BD397" s="672"/>
      <c r="BE397" s="450" t="s">
        <v>144</v>
      </c>
    </row>
    <row r="398" spans="1:59" s="457" customFormat="1" ht="31.5" x14ac:dyDescent="0.25">
      <c r="A398" s="694" t="str">
        <f ca="1">Bérköltség!$B398</f>
        <v>FEOR</v>
      </c>
      <c r="B398" s="694" t="str">
        <f ca="1">IFERROR(
IF(AND(Bérköltség!$F398="",H398="NA"),"HIÁNYOS ADATOK",
IF(Bérköltség!$F398&lt;Bérköltség!$U398,Admin!$B$18,Admin!$B$17)),
"")</f>
        <v>FEOR</v>
      </c>
      <c r="C398" s="437">
        <f>IFERROR(INDEX('Historikus berek_2021-2'!$A$1:$F$903,MATCH(AB398,'Historikus berek_2021-2'!$A$1:$A$903,0),4),"")</f>
        <v>334933.33333333331</v>
      </c>
      <c r="D398" s="438">
        <f t="shared" ref="D398:D400" si="935">IFERROR(C398*AQ398,"NA")</f>
        <v>296435.24904214556</v>
      </c>
      <c r="E398" s="437">
        <f t="shared" ref="E398:E400" si="936">AR398</f>
        <v>776638</v>
      </c>
      <c r="F398" s="439">
        <f t="shared" ref="F398:F400" si="937">IFERROR(IF((E398*(1+AU398)-D398*(1+AU398))&lt;0,0,(E398*(1+AU398)-D398*(1+AU398))),"")</f>
        <v>542629.10858237557</v>
      </c>
      <c r="G398" s="440">
        <f t="shared" ref="G398:G400" si="938">IFERROR((E398*(1+AU398)-F398),"")</f>
        <v>334971.83141762437</v>
      </c>
      <c r="H398" s="441">
        <f>IFERROR(INDEX('FEOR kodok'!$A$2:$J$1126,MATCH(Bérköltség!AB398,'FEOR kodok'!$B$2:$B$1126,0),8),"NA")</f>
        <v>2410</v>
      </c>
      <c r="I398" s="436">
        <f ca="1">IFERROR(INDEX('FEOR kodok'!$A$2:$J$1126,MATCH(Bérköltség!AB398,'FEOR kodok'!$B$2:$B$1126,0),10),"NA")</f>
        <v>36</v>
      </c>
      <c r="J398" s="442" t="str">
        <f t="shared" ref="J398:J400" ca="1" si="939">IF(I398="NA","NA",
IF(I398&lt;30,"30 év alatt",
IF(AND(I398&gt;=30,I398&lt;=39),"30–39 éves",
IF(AND(I398&gt;=40,I398&lt;=49),"40–49 éves",
IF(I398&gt;=50,"50 év és afelett",
"")))))</f>
        <v>30–39 éves</v>
      </c>
      <c r="K398" s="436" t="str">
        <f>IFERROR(INDEX(admin_feor[#All],MATCH(Bérköltség!H398,admin_feor[[#All],[Foglalkozás]],0),2),"NA")</f>
        <v>Egyetemi, főiskolai oktató, tanár</v>
      </c>
      <c r="L398" s="438">
        <f ca="1">IFERROR(
INDEX('Admin - FEOR'!$A$4:$F$465,MATCH(Bérköltség!H398,'Admin - FEOR'!$A$4:$A$465,0),
IF(J398="30 év alatt",3,
IF(J398="30–39 éves",4,
IF(J398="40–49 éves",5,
IF(J398="50 év és afelett",6
)))))*1,"NA")</f>
        <v>571548</v>
      </c>
      <c r="M398" s="438">
        <f t="shared" ref="M398:M400" si="940">AM398</f>
        <v>877500</v>
      </c>
      <c r="N398" s="443">
        <f t="shared" ref="N398:N400" ca="1" si="941">IFERROR(
M398/L398,"NA")</f>
        <v>1.5353041214386194</v>
      </c>
      <c r="O398" s="438">
        <f ca="1">IFERROR(
INDEX('Admin - FEOR'!$A$4:$F$465,MATCH(Bérköltség!H398,'Admin - FEOR'!$A$4:$A$465,0),
IF(J398="30 év alatt",3,
IF(J398="30–39 éves",4,
IF(J398="40–49 éves",5,
IF(J398="50 év és afelett",6
)))))*1.5,"NA")</f>
        <v>857322</v>
      </c>
      <c r="P398" s="438">
        <f t="shared" ref="P398:P400" ca="1" si="942">IFERROR(
AQ398*O398,"NA")</f>
        <v>758779.24137931038</v>
      </c>
      <c r="Q398" s="438">
        <f t="shared" ref="Q398:Q400" si="943">IFERROR(AR398,"")</f>
        <v>776638</v>
      </c>
      <c r="R398" s="444">
        <f t="shared" ref="R398:R400" si="944">IFERROR(AQ398,"")</f>
        <v>0.88505747126436785</v>
      </c>
      <c r="S398" s="438">
        <f t="shared" ref="S398:S400" ca="1" si="945">IFERROR(
IF(AR398-P398&lt;0,0,AR398-P398),"NA")</f>
        <v>17858.758620689623</v>
      </c>
      <c r="T398" s="438">
        <f t="shared" ref="T398:T400" ca="1" si="946">IFERROR(
S398*AU398,"NA")</f>
        <v>2321.6386206896509</v>
      </c>
      <c r="U398" s="445">
        <f t="shared" ref="U398:U400" ca="1" si="947">IFERROR(
S398+T398,"NA")</f>
        <v>20180.397241379273</v>
      </c>
      <c r="V398" s="446">
        <f t="shared" ref="V398:V400" ca="1" si="948">IFERROR(
IF(U398&gt;0,AR398+AS398-U398,AR398+AS398),"NA")</f>
        <v>857420.60275862075</v>
      </c>
      <c r="W398" s="447" t="str">
        <f t="shared" ref="W398:W400" ca="1" si="949">IF(P398="NA","FEOR hiányzik",
IF(AND(N398&gt;1,A398="FEOR"),CONCATENATE("Indoklás szükséges mivel a FEOR: ",ROUND(N398*100,1),"%"),"Nem szükséges indoklás.")
)</f>
        <v>Indoklás szükséges mivel a FEOR: 153,5%</v>
      </c>
      <c r="X398" s="571">
        <f t="shared" ref="X398:X400" ca="1" si="950">IF(A398="FEOR",U398,IF(A398="HIÁNYOS ADATOK","HIÁNYOS ADATOK",F398))</f>
        <v>20180.397241379273</v>
      </c>
      <c r="Y398" s="554">
        <f t="shared" ref="Y398:Y400" ca="1" si="951">IF(A398="FEOR",ROUND(V398/(1+AU398),0),IF(A398="HIÁNYOS ADATOK","HIÁNYOS ADATOK",ROUND(G398/(1+AU398),0)))</f>
        <v>758779</v>
      </c>
      <c r="Z398" s="554">
        <f t="shared" ref="Z398:Z400" ca="1" si="952">IF(A398="FEOR",ROUND(V398-Y398,0),IF(A398="HIÁNYOS ADATOK","HIÁNYOS ADATOK",ROUND(G398-Y398,0)))</f>
        <v>98642</v>
      </c>
      <c r="AA398" s="101"/>
      <c r="AB398" s="448">
        <v>8438311180</v>
      </c>
      <c r="AC398" s="449" t="s">
        <v>159</v>
      </c>
      <c r="AD398" s="483" t="s">
        <v>45</v>
      </c>
      <c r="AE398" s="450" t="s">
        <v>158</v>
      </c>
      <c r="AF398" s="99" t="s">
        <v>121</v>
      </c>
      <c r="AG398" s="99" t="s">
        <v>128</v>
      </c>
      <c r="AH398" s="451" t="s">
        <v>131</v>
      </c>
      <c r="AI398" s="154">
        <v>45170</v>
      </c>
      <c r="AJ398" s="100" t="str">
        <f>IF(AI398&gt;0,
(IF(AI398&lt;Hónapok!$A$10,Admin!$A$28,
(IF(AI398&lt;Hónapok!$A$22,Admin!$B$28,
(IF(AI398&lt;Hónapok!$A$34,Admin!$C$28,
(IF(AI398&lt;Hónapok!$A$46,Admin!$D$28,"")))))))),"")</f>
        <v>3. mérföldkő</v>
      </c>
      <c r="AK398" s="469" t="s">
        <v>7</v>
      </c>
      <c r="AL398" s="101" t="s">
        <v>26</v>
      </c>
      <c r="AM398" s="900">
        <v>877500</v>
      </c>
      <c r="AN398" s="860">
        <f t="shared" ref="AN398:AN400" si="953">IFERROR(ROUND(AM398*AU398,0),"")</f>
        <v>114075</v>
      </c>
      <c r="AO398" s="101">
        <v>174</v>
      </c>
      <c r="AP398" s="111">
        <v>154</v>
      </c>
      <c r="AQ398" s="454">
        <f t="shared" ref="AQ398:AQ400" si="954">IFERROR(AP398/AO398,"")</f>
        <v>0.88505747126436785</v>
      </c>
      <c r="AR398" s="455">
        <f t="shared" ref="AR398:AR400" si="955">IFERROR(ROUND(AM398*AP398/AO398,0),"")</f>
        <v>776638</v>
      </c>
      <c r="AS398" s="455">
        <f t="shared" ref="AS398:AS400" si="956">IFERROR(ROUND(AR398*AU398,0),"")</f>
        <v>100963</v>
      </c>
      <c r="AT398" s="102">
        <f t="shared" ref="AT398:AT400" si="957">IFERROR(AP398/AO398-AR398/AM398,"")</f>
        <v>-7.859318196246079E-8</v>
      </c>
      <c r="AU398" s="116">
        <v>0.13</v>
      </c>
      <c r="AV398" s="565" t="str">
        <f>VLOOKUP(LEFT(AB398,10),Törzsszám!$A$1:$B$908,2,0)</f>
        <v>10000251</v>
      </c>
      <c r="AW398" s="681">
        <f t="shared" ref="AW398:AW400" ca="1" si="958">(Y398+Z398)-(AR398+AS398)</f>
        <v>-20180</v>
      </c>
      <c r="AX398" s="471" t="s">
        <v>4618</v>
      </c>
      <c r="AY398" s="502"/>
      <c r="AZ398" s="502"/>
      <c r="BA398" s="671"/>
      <c r="BB398" s="649"/>
      <c r="BC398" s="649"/>
      <c r="BD398" s="672"/>
      <c r="BE398" s="450" t="s">
        <v>144</v>
      </c>
    </row>
    <row r="399" spans="1:59" s="457" customFormat="1" ht="31.5" x14ac:dyDescent="0.25">
      <c r="A399" s="694" t="str">
        <f ca="1">Bérköltség!$B399</f>
        <v>FEOR</v>
      </c>
      <c r="B399" s="694" t="str">
        <f ca="1">IFERROR(
IF(AND(Bérköltség!$F399="",H399="NA"),"HIÁNYOS ADATOK",
IF(Bérköltség!$F399&lt;Bérköltség!$U399,Admin!$B$18,Admin!$B$17)),
"")</f>
        <v>FEOR</v>
      </c>
      <c r="C399" s="437">
        <f>IFERROR(INDEX('Historikus berek_2021-2'!$A$1:$F$903,MATCH(AB399,'Historikus berek_2021-2'!$A$1:$A$903,0),4),"")</f>
        <v>334933.33333333331</v>
      </c>
      <c r="D399" s="438">
        <f t="shared" si="935"/>
        <v>296435.24904214556</v>
      </c>
      <c r="E399" s="437">
        <f t="shared" si="936"/>
        <v>776638</v>
      </c>
      <c r="F399" s="439">
        <f t="shared" si="937"/>
        <v>542629.10858237557</v>
      </c>
      <c r="G399" s="440">
        <f t="shared" si="938"/>
        <v>334971.83141762437</v>
      </c>
      <c r="H399" s="441">
        <f>IFERROR(INDEX('FEOR kodok'!$A$2:$J$1126,MATCH(Bérköltség!AB399,'FEOR kodok'!$B$2:$B$1126,0),8),"NA")</f>
        <v>2410</v>
      </c>
      <c r="I399" s="436">
        <f ca="1">IFERROR(INDEX('FEOR kodok'!$A$2:$J$1126,MATCH(Bérköltség!AB399,'FEOR kodok'!$B$2:$B$1126,0),10),"NA")</f>
        <v>36</v>
      </c>
      <c r="J399" s="442" t="str">
        <f t="shared" ca="1" si="939"/>
        <v>30–39 éves</v>
      </c>
      <c r="K399" s="436" t="str">
        <f>IFERROR(INDEX(admin_feor[#All],MATCH(Bérköltség!H399,admin_feor[[#All],[Foglalkozás]],0),2),"NA")</f>
        <v>Egyetemi, főiskolai oktató, tanár</v>
      </c>
      <c r="L399" s="438">
        <f ca="1">IFERROR(
INDEX('Admin - FEOR'!$A$4:$F$465,MATCH(Bérköltség!H399,'Admin - FEOR'!$A$4:$A$465,0),
IF(J399="30 év alatt",3,
IF(J399="30–39 éves",4,
IF(J399="40–49 éves",5,
IF(J399="50 év és afelett",6
)))))*1,"NA")</f>
        <v>571548</v>
      </c>
      <c r="M399" s="438">
        <f t="shared" si="940"/>
        <v>877500</v>
      </c>
      <c r="N399" s="443">
        <f t="shared" ca="1" si="941"/>
        <v>1.5353041214386194</v>
      </c>
      <c r="O399" s="438">
        <f ca="1">IFERROR(
INDEX('Admin - FEOR'!$A$4:$F$465,MATCH(Bérköltség!H399,'Admin - FEOR'!$A$4:$A$465,0),
IF(J399="30 év alatt",3,
IF(J399="30–39 éves",4,
IF(J399="40–49 éves",5,
IF(J399="50 év és afelett",6
)))))*1.5,"NA")</f>
        <v>857322</v>
      </c>
      <c r="P399" s="438">
        <f t="shared" ca="1" si="942"/>
        <v>758779.24137931038</v>
      </c>
      <c r="Q399" s="438">
        <f t="shared" si="943"/>
        <v>776638</v>
      </c>
      <c r="R399" s="444">
        <f t="shared" si="944"/>
        <v>0.88505747126436785</v>
      </c>
      <c r="S399" s="438">
        <f t="shared" ca="1" si="945"/>
        <v>17858.758620689623</v>
      </c>
      <c r="T399" s="438">
        <f t="shared" ca="1" si="946"/>
        <v>2321.6386206896509</v>
      </c>
      <c r="U399" s="445">
        <f t="shared" ca="1" si="947"/>
        <v>20180.397241379273</v>
      </c>
      <c r="V399" s="446">
        <f t="shared" ca="1" si="948"/>
        <v>857420.60275862075</v>
      </c>
      <c r="W399" s="447" t="str">
        <f t="shared" ca="1" si="949"/>
        <v>Indoklás szükséges mivel a FEOR: 153,5%</v>
      </c>
      <c r="X399" s="571">
        <f t="shared" ca="1" si="950"/>
        <v>20180.397241379273</v>
      </c>
      <c r="Y399" s="554">
        <f t="shared" ca="1" si="951"/>
        <v>758779</v>
      </c>
      <c r="Z399" s="554">
        <f t="shared" ca="1" si="952"/>
        <v>98642</v>
      </c>
      <c r="AA399" s="101"/>
      <c r="AB399" s="448">
        <v>8438311180</v>
      </c>
      <c r="AC399" s="449" t="s">
        <v>159</v>
      </c>
      <c r="AD399" s="483" t="s">
        <v>45</v>
      </c>
      <c r="AE399" s="450" t="s">
        <v>158</v>
      </c>
      <c r="AF399" s="99" t="s">
        <v>121</v>
      </c>
      <c r="AG399" s="99" t="s">
        <v>128</v>
      </c>
      <c r="AH399" s="451" t="s">
        <v>131</v>
      </c>
      <c r="AI399" s="154">
        <v>45200</v>
      </c>
      <c r="AJ399" s="100" t="str">
        <f>IF(AI399&gt;0,
(IF(AI399&lt;Hónapok!$A$10,Admin!$A$28,
(IF(AI399&lt;Hónapok!$A$22,Admin!$B$28,
(IF(AI399&lt;Hónapok!$A$34,Admin!$C$28,
(IF(AI399&lt;Hónapok!$A$46,Admin!$D$28,"")))))))),"")</f>
        <v>3. mérföldkő</v>
      </c>
      <c r="AK399" s="469" t="s">
        <v>8</v>
      </c>
      <c r="AL399" s="101" t="s">
        <v>26</v>
      </c>
      <c r="AM399" s="900">
        <v>877500</v>
      </c>
      <c r="AN399" s="860">
        <f t="shared" si="953"/>
        <v>114075</v>
      </c>
      <c r="AO399" s="101">
        <v>174</v>
      </c>
      <c r="AP399" s="111">
        <v>154</v>
      </c>
      <c r="AQ399" s="454">
        <f t="shared" si="954"/>
        <v>0.88505747126436785</v>
      </c>
      <c r="AR399" s="455">
        <f t="shared" si="955"/>
        <v>776638</v>
      </c>
      <c r="AS399" s="455">
        <f t="shared" si="956"/>
        <v>100963</v>
      </c>
      <c r="AT399" s="102">
        <f t="shared" si="957"/>
        <v>-7.859318196246079E-8</v>
      </c>
      <c r="AU399" s="116">
        <v>0.13</v>
      </c>
      <c r="AV399" s="565" t="str">
        <f>VLOOKUP(LEFT(AB399,10),Törzsszám!$A$1:$B$908,2,0)</f>
        <v>10000251</v>
      </c>
      <c r="AW399" s="681">
        <f t="shared" ca="1" si="958"/>
        <v>-20180</v>
      </c>
      <c r="AX399" s="468"/>
      <c r="AY399" s="502"/>
      <c r="AZ399" s="502"/>
      <c r="BA399" s="671"/>
      <c r="BB399" s="649"/>
      <c r="BC399" s="649"/>
      <c r="BD399" s="672"/>
      <c r="BE399" s="450" t="s">
        <v>144</v>
      </c>
    </row>
    <row r="400" spans="1:59" s="457" customFormat="1" ht="31.5" x14ac:dyDescent="0.25">
      <c r="A400" s="694" t="str">
        <f ca="1">Bérköltség!$B400</f>
        <v>FEOR</v>
      </c>
      <c r="B400" s="694" t="str">
        <f ca="1">IFERROR(
IF(AND(Bérköltség!$F400="",H400="NA"),"HIÁNYOS ADATOK",
IF(Bérköltség!$F400&lt;Bérköltség!$U400,Admin!$B$18,Admin!$B$17)),
"")</f>
        <v>FEOR</v>
      </c>
      <c r="C400" s="437">
        <f>IFERROR(INDEX('Historikus berek_2021-2'!$A$1:$F$903,MATCH(AB400,'Historikus berek_2021-2'!$A$1:$A$903,0),4),"")</f>
        <v>334933.33333333331</v>
      </c>
      <c r="D400" s="438">
        <f t="shared" si="935"/>
        <v>296435.24904214556</v>
      </c>
      <c r="E400" s="437">
        <f t="shared" si="936"/>
        <v>776638</v>
      </c>
      <c r="F400" s="439">
        <f t="shared" si="937"/>
        <v>542629.10858237557</v>
      </c>
      <c r="G400" s="440">
        <f t="shared" si="938"/>
        <v>334971.83141762437</v>
      </c>
      <c r="H400" s="441">
        <f>IFERROR(INDEX('FEOR kodok'!$A$2:$J$1126,MATCH(Bérköltség!AB400,'FEOR kodok'!$B$2:$B$1126,0),8),"NA")</f>
        <v>2410</v>
      </c>
      <c r="I400" s="436">
        <f ca="1">IFERROR(INDEX('FEOR kodok'!$A$2:$J$1126,MATCH(Bérköltség!AB400,'FEOR kodok'!$B$2:$B$1126,0),10),"NA")</f>
        <v>36</v>
      </c>
      <c r="J400" s="442" t="str">
        <f t="shared" ca="1" si="939"/>
        <v>30–39 éves</v>
      </c>
      <c r="K400" s="436" t="str">
        <f>IFERROR(INDEX(admin_feor[#All],MATCH(Bérköltség!H400,admin_feor[[#All],[Foglalkozás]],0),2),"NA")</f>
        <v>Egyetemi, főiskolai oktató, tanár</v>
      </c>
      <c r="L400" s="438">
        <f ca="1">IFERROR(
INDEX('Admin - FEOR'!$A$4:$F$465,MATCH(Bérköltség!H400,'Admin - FEOR'!$A$4:$A$465,0),
IF(J400="30 év alatt",3,
IF(J400="30–39 éves",4,
IF(J400="40–49 éves",5,
IF(J400="50 év és afelett",6
)))))*1,"NA")</f>
        <v>571548</v>
      </c>
      <c r="M400" s="438">
        <f t="shared" si="940"/>
        <v>877500</v>
      </c>
      <c r="N400" s="443">
        <f t="shared" ca="1" si="941"/>
        <v>1.5353041214386194</v>
      </c>
      <c r="O400" s="438">
        <f ca="1">IFERROR(
INDEX('Admin - FEOR'!$A$4:$F$465,MATCH(Bérköltség!H400,'Admin - FEOR'!$A$4:$A$465,0),
IF(J400="30 év alatt",3,
IF(J400="30–39 éves",4,
IF(J400="40–49 éves",5,
IF(J400="50 év és afelett",6
)))))*1.5,"NA")</f>
        <v>857322</v>
      </c>
      <c r="P400" s="438">
        <f t="shared" ca="1" si="942"/>
        <v>758779.24137931038</v>
      </c>
      <c r="Q400" s="438">
        <f t="shared" si="943"/>
        <v>776638</v>
      </c>
      <c r="R400" s="444">
        <f t="shared" si="944"/>
        <v>0.88505747126436785</v>
      </c>
      <c r="S400" s="438">
        <f t="shared" ca="1" si="945"/>
        <v>17858.758620689623</v>
      </c>
      <c r="T400" s="438">
        <f t="shared" ca="1" si="946"/>
        <v>2321.6386206896509</v>
      </c>
      <c r="U400" s="445">
        <f t="shared" ca="1" si="947"/>
        <v>20180.397241379273</v>
      </c>
      <c r="V400" s="446">
        <f t="shared" ca="1" si="948"/>
        <v>857420.60275862075</v>
      </c>
      <c r="W400" s="447" t="str">
        <f t="shared" ca="1" si="949"/>
        <v>Indoklás szükséges mivel a FEOR: 153,5%</v>
      </c>
      <c r="X400" s="571">
        <f t="shared" ca="1" si="950"/>
        <v>20180.397241379273</v>
      </c>
      <c r="Y400" s="554">
        <f t="shared" ca="1" si="951"/>
        <v>758779</v>
      </c>
      <c r="Z400" s="554">
        <f t="shared" ca="1" si="952"/>
        <v>98642</v>
      </c>
      <c r="AA400" s="101"/>
      <c r="AB400" s="448">
        <v>8438311180</v>
      </c>
      <c r="AC400" s="449" t="s">
        <v>159</v>
      </c>
      <c r="AD400" s="483" t="s">
        <v>45</v>
      </c>
      <c r="AE400" s="450" t="s">
        <v>158</v>
      </c>
      <c r="AF400" s="99" t="s">
        <v>121</v>
      </c>
      <c r="AG400" s="99" t="s">
        <v>128</v>
      </c>
      <c r="AH400" s="451" t="s">
        <v>131</v>
      </c>
      <c r="AI400" s="154">
        <v>45231</v>
      </c>
      <c r="AJ400" s="100" t="str">
        <f>IF(AI400&gt;0,
(IF(AI400&lt;Hónapok!$A$10,Admin!$A$28,
(IF(AI400&lt;Hónapok!$A$22,Admin!$B$28,
(IF(AI400&lt;Hónapok!$A$34,Admin!$C$28,
(IF(AI400&lt;Hónapok!$A$46,Admin!$D$28,"")))))))),"")</f>
        <v>3. mérföldkő</v>
      </c>
      <c r="AK400" s="469" t="s">
        <v>8</v>
      </c>
      <c r="AL400" s="101" t="s">
        <v>26</v>
      </c>
      <c r="AM400" s="900">
        <v>877500</v>
      </c>
      <c r="AN400" s="860">
        <f t="shared" si="953"/>
        <v>114075</v>
      </c>
      <c r="AO400" s="101">
        <v>174</v>
      </c>
      <c r="AP400" s="111">
        <v>154</v>
      </c>
      <c r="AQ400" s="454">
        <f t="shared" si="954"/>
        <v>0.88505747126436785</v>
      </c>
      <c r="AR400" s="455">
        <f t="shared" si="955"/>
        <v>776638</v>
      </c>
      <c r="AS400" s="455">
        <f t="shared" si="956"/>
        <v>100963</v>
      </c>
      <c r="AT400" s="102">
        <f t="shared" si="957"/>
        <v>-7.859318196246079E-8</v>
      </c>
      <c r="AU400" s="116">
        <v>0.13</v>
      </c>
      <c r="AV400" s="565" t="str">
        <f>VLOOKUP(LEFT(AB400,10),Törzsszám!$A$1:$B$908,2,0)</f>
        <v>10000251</v>
      </c>
      <c r="AW400" s="681">
        <f t="shared" ca="1" si="958"/>
        <v>-20180</v>
      </c>
      <c r="AX400" s="468"/>
      <c r="AY400" s="502"/>
      <c r="AZ400" s="502"/>
      <c r="BA400" s="671"/>
      <c r="BB400" s="649"/>
      <c r="BC400" s="649"/>
      <c r="BD400" s="672"/>
      <c r="BE400" s="450" t="s">
        <v>144</v>
      </c>
    </row>
    <row r="401" spans="1:57" s="457" customFormat="1" ht="31.5" x14ac:dyDescent="0.25">
      <c r="A401" s="694" t="str">
        <f ca="1">Bérköltség!$B401</f>
        <v>FEOR</v>
      </c>
      <c r="B401" s="694" t="str">
        <f ca="1">IFERROR(
IF(AND(Bérköltség!$F401="",H401="NA"),"HIÁNYOS ADATOK",
IF(Bérköltség!$F401&lt;Bérköltség!$U401,Admin!$B$18,Admin!$B$17)),
"")</f>
        <v>FEOR</v>
      </c>
      <c r="C401" s="437">
        <f>IFERROR(INDEX('Historikus berek_2021-2'!$A$1:$F$903,MATCH(AB401,'Historikus berek_2021-2'!$A$1:$A$903,0),4),"")</f>
        <v>770000</v>
      </c>
      <c r="D401" s="438">
        <f t="shared" si="784"/>
        <v>442528.7356321839</v>
      </c>
      <c r="E401" s="437">
        <f t="shared" si="785"/>
        <v>479885</v>
      </c>
      <c r="F401" s="439">
        <f t="shared" si="786"/>
        <v>42212.578735632182</v>
      </c>
      <c r="G401" s="440">
        <f t="shared" si="787"/>
        <v>500057.47126436775</v>
      </c>
      <c r="H401" s="441">
        <f>IFERROR(INDEX('FEOR kodok'!$A$2:$J$1126,MATCH(Bérköltség!AB401,'FEOR kodok'!$B$2:$B$1126,0),8),"NA")</f>
        <v>2410</v>
      </c>
      <c r="I401" s="436">
        <f ca="1">IFERROR(INDEX('FEOR kodok'!$A$2:$J$1126,MATCH(Bérköltség!AB401,'FEOR kodok'!$B$2:$B$1126,0),10),"NA")</f>
        <v>44</v>
      </c>
      <c r="J401" s="442" t="str">
        <f t="shared" ca="1" si="788"/>
        <v>40–49 éves</v>
      </c>
      <c r="K401" s="436" t="str">
        <f>IFERROR(INDEX(admin_feor[#All],MATCH(Bérköltség!H401,admin_feor[[#All],[Foglalkozás]],0),2),"NA")</f>
        <v>Egyetemi, főiskolai oktató, tanár</v>
      </c>
      <c r="L401" s="438">
        <f ca="1">IFERROR(
INDEX('Admin - FEOR'!$A$4:$F$465,MATCH(Bérköltség!H401,'Admin - FEOR'!$A$4:$A$465,0),
IF(J401="30 év alatt",3,
IF(J401="30–39 éves",4,
IF(J401="40–49 éves",5,
IF(J401="50 év és afelett",6
)))))*1,"NA")</f>
        <v>629398</v>
      </c>
      <c r="M401" s="438">
        <f t="shared" si="789"/>
        <v>835000</v>
      </c>
      <c r="N401" s="443">
        <f t="shared" ca="1" si="790"/>
        <v>1.3266645270560122</v>
      </c>
      <c r="O401" s="438">
        <f ca="1">IFERROR(
INDEX('Admin - FEOR'!$A$4:$F$465,MATCH(Bérköltség!H401,'Admin - FEOR'!$A$4:$A$465,0),
IF(J401="30 év alatt",3,
IF(J401="30–39 éves",4,
IF(J401="40–49 éves",5,
IF(J401="50 év és afelett",6
)))))*1.5,"NA")</f>
        <v>944097</v>
      </c>
      <c r="P401" s="438">
        <f t="shared" ca="1" si="791"/>
        <v>542584.48275862064</v>
      </c>
      <c r="Q401" s="438">
        <f t="shared" si="792"/>
        <v>479885</v>
      </c>
      <c r="R401" s="444">
        <f t="shared" si="793"/>
        <v>0.57471264367816088</v>
      </c>
      <c r="S401" s="438">
        <f t="shared" ca="1" si="794"/>
        <v>0</v>
      </c>
      <c r="T401" s="438">
        <f t="shared" ca="1" si="795"/>
        <v>0</v>
      </c>
      <c r="U401" s="445">
        <f t="shared" ca="1" si="796"/>
        <v>0</v>
      </c>
      <c r="V401" s="446">
        <f t="shared" ca="1" si="797"/>
        <v>542270</v>
      </c>
      <c r="W401" s="447" t="str">
        <f t="shared" ca="1" si="798"/>
        <v>Indoklás szükséges mivel a FEOR: 132,7%</v>
      </c>
      <c r="X401" s="571">
        <f t="shared" ca="1" si="799"/>
        <v>0</v>
      </c>
      <c r="Y401" s="554">
        <f t="shared" ca="1" si="800"/>
        <v>479885</v>
      </c>
      <c r="Z401" s="554">
        <f t="shared" ca="1" si="801"/>
        <v>62385</v>
      </c>
      <c r="AA401" s="573">
        <v>2</v>
      </c>
      <c r="AB401" s="448">
        <v>8410920832</v>
      </c>
      <c r="AC401" s="449" t="s">
        <v>207</v>
      </c>
      <c r="AD401" s="483" t="s">
        <v>45</v>
      </c>
      <c r="AE401" s="450" t="s">
        <v>22</v>
      </c>
      <c r="AF401" s="99" t="s">
        <v>120</v>
      </c>
      <c r="AG401" s="99" t="s">
        <v>157</v>
      </c>
      <c r="AH401" s="451" t="s">
        <v>131</v>
      </c>
      <c r="AI401" s="154">
        <v>44805</v>
      </c>
      <c r="AJ401" s="100" t="str">
        <f>IF(AI401&gt;0,
(IF(AI401&lt;Hónapok!$A$10,Admin!$A$28,
(IF(AI401&lt;Hónapok!$A$22,Admin!$B$28,
(IF(AI401&lt;Hónapok!$A$34,Admin!$C$28,
(IF(AI401&lt;Hónapok!$A$46,Admin!$D$28,"")))))))),"")</f>
        <v>2. mérföldkő</v>
      </c>
      <c r="AK401" s="469" t="s">
        <v>7</v>
      </c>
      <c r="AL401" s="101" t="s">
        <v>26</v>
      </c>
      <c r="AM401" s="900">
        <v>835000</v>
      </c>
      <c r="AN401" s="860">
        <f t="shared" si="908"/>
        <v>108550</v>
      </c>
      <c r="AO401" s="101">
        <v>174</v>
      </c>
      <c r="AP401" s="111">
        <v>100</v>
      </c>
      <c r="AQ401" s="454">
        <f t="shared" si="779"/>
        <v>0.57471264367816088</v>
      </c>
      <c r="AR401" s="455">
        <f t="shared" si="780"/>
        <v>479885</v>
      </c>
      <c r="AS401" s="455">
        <f t="shared" si="781"/>
        <v>62385</v>
      </c>
      <c r="AT401" s="102">
        <f t="shared" si="782"/>
        <v>6.8827861521292277E-8</v>
      </c>
      <c r="AU401" s="116">
        <v>0.13</v>
      </c>
      <c r="AV401" s="565" t="str">
        <f>VLOOKUP(LEFT(AB401,10),Törzsszám!$A$1:$B$908,2,0)</f>
        <v>10000261</v>
      </c>
      <c r="AW401" s="681">
        <f t="shared" ca="1" si="783"/>
        <v>0</v>
      </c>
      <c r="AX401" s="468" t="s">
        <v>228</v>
      </c>
      <c r="AY401" s="486"/>
      <c r="AZ401" s="502"/>
      <c r="BA401" s="671">
        <v>406876</v>
      </c>
      <c r="BB401" s="649">
        <v>52894</v>
      </c>
      <c r="BC401" s="649">
        <f t="shared" ref="BC401:BD405" ca="1" si="959">Y401-BA401</f>
        <v>73009</v>
      </c>
      <c r="BD401" s="672">
        <f t="shared" ca="1" si="959"/>
        <v>9491</v>
      </c>
      <c r="BE401" s="450" t="s">
        <v>208</v>
      </c>
    </row>
    <row r="402" spans="1:57" s="457" customFormat="1" ht="31.5" x14ac:dyDescent="0.25">
      <c r="A402" s="694" t="str">
        <f ca="1">Bérköltség!$B402</f>
        <v>FEOR</v>
      </c>
      <c r="B402" s="694" t="str">
        <f ca="1">IFERROR(
IF(AND(Bérköltség!$F402="",H402="NA"),"HIÁNYOS ADATOK",
IF(Bérköltség!$F402&lt;Bérköltség!$U402,Admin!$B$18,Admin!$B$17)),
"")</f>
        <v>FEOR</v>
      </c>
      <c r="C402" s="437">
        <f>IFERROR(INDEX('Historikus berek_2021-2'!$A$1:$F$903,MATCH(AB402,'Historikus berek_2021-2'!$A$1:$A$903,0),4),"")</f>
        <v>770000</v>
      </c>
      <c r="D402" s="438">
        <f t="shared" si="784"/>
        <v>442528.7356321839</v>
      </c>
      <c r="E402" s="437">
        <f t="shared" si="785"/>
        <v>479885</v>
      </c>
      <c r="F402" s="439">
        <f t="shared" si="786"/>
        <v>42212.578735632182</v>
      </c>
      <c r="G402" s="440">
        <f t="shared" si="787"/>
        <v>500057.47126436775</v>
      </c>
      <c r="H402" s="441">
        <f>IFERROR(INDEX('FEOR kodok'!$A$2:$J$1126,MATCH(Bérköltség!AB402,'FEOR kodok'!$B$2:$B$1126,0),8),"NA")</f>
        <v>2410</v>
      </c>
      <c r="I402" s="436">
        <f ca="1">IFERROR(INDEX('FEOR kodok'!$A$2:$J$1126,MATCH(Bérköltség!AB402,'FEOR kodok'!$B$2:$B$1126,0),10),"NA")</f>
        <v>44</v>
      </c>
      <c r="J402" s="442" t="str">
        <f t="shared" ca="1" si="788"/>
        <v>40–49 éves</v>
      </c>
      <c r="K402" s="436" t="str">
        <f>IFERROR(INDEX(admin_feor[#All],MATCH(Bérköltség!H402,admin_feor[[#All],[Foglalkozás]],0),2),"NA")</f>
        <v>Egyetemi, főiskolai oktató, tanár</v>
      </c>
      <c r="L402" s="438">
        <f ca="1">IFERROR(
INDEX('Admin - FEOR'!$A$4:$F$465,MATCH(Bérköltség!H402,'Admin - FEOR'!$A$4:$A$465,0),
IF(J402="30 év alatt",3,
IF(J402="30–39 éves",4,
IF(J402="40–49 éves",5,
IF(J402="50 év és afelett",6
)))))*1,"NA")</f>
        <v>629398</v>
      </c>
      <c r="M402" s="438">
        <f t="shared" si="789"/>
        <v>835000</v>
      </c>
      <c r="N402" s="443">
        <f t="shared" ca="1" si="790"/>
        <v>1.3266645270560122</v>
      </c>
      <c r="O402" s="438">
        <f ca="1">IFERROR(
INDEX('Admin - FEOR'!$A$4:$F$465,MATCH(Bérköltség!H402,'Admin - FEOR'!$A$4:$A$465,0),
IF(J402="30 év alatt",3,
IF(J402="30–39 éves",4,
IF(J402="40–49 éves",5,
IF(J402="50 év és afelett",6
)))))*1.5,"NA")</f>
        <v>944097</v>
      </c>
      <c r="P402" s="438">
        <f t="shared" ca="1" si="791"/>
        <v>542584.48275862064</v>
      </c>
      <c r="Q402" s="438">
        <f t="shared" si="792"/>
        <v>479885</v>
      </c>
      <c r="R402" s="444">
        <f t="shared" si="793"/>
        <v>0.57471264367816088</v>
      </c>
      <c r="S402" s="438">
        <f t="shared" ca="1" si="794"/>
        <v>0</v>
      </c>
      <c r="T402" s="438">
        <f t="shared" ca="1" si="795"/>
        <v>0</v>
      </c>
      <c r="U402" s="445">
        <f t="shared" ca="1" si="796"/>
        <v>0</v>
      </c>
      <c r="V402" s="446">
        <f t="shared" ca="1" si="797"/>
        <v>542270</v>
      </c>
      <c r="W402" s="447" t="str">
        <f t="shared" ca="1" si="798"/>
        <v>Indoklás szükséges mivel a FEOR: 132,7%</v>
      </c>
      <c r="X402" s="571">
        <f t="shared" ca="1" si="799"/>
        <v>0</v>
      </c>
      <c r="Y402" s="554">
        <f t="shared" ca="1" si="800"/>
        <v>479885</v>
      </c>
      <c r="Z402" s="554">
        <f t="shared" ca="1" si="801"/>
        <v>62385</v>
      </c>
      <c r="AA402" s="573">
        <v>2</v>
      </c>
      <c r="AB402" s="448">
        <v>8410920832</v>
      </c>
      <c r="AC402" s="449" t="s">
        <v>207</v>
      </c>
      <c r="AD402" s="483" t="s">
        <v>45</v>
      </c>
      <c r="AE402" s="450" t="s">
        <v>22</v>
      </c>
      <c r="AF402" s="99" t="s">
        <v>120</v>
      </c>
      <c r="AG402" s="99" t="s">
        <v>157</v>
      </c>
      <c r="AH402" s="451" t="s">
        <v>131</v>
      </c>
      <c r="AI402" s="154">
        <v>44835</v>
      </c>
      <c r="AJ402" s="100" t="str">
        <f>IF(AI402&gt;0,
(IF(AI402&lt;Hónapok!$A$10,Admin!$A$28,
(IF(AI402&lt;Hónapok!$A$22,Admin!$B$28,
(IF(AI402&lt;Hónapok!$A$34,Admin!$C$28,
(IF(AI402&lt;Hónapok!$A$46,Admin!$D$28,"")))))))),"")</f>
        <v>2. mérföldkő</v>
      </c>
      <c r="AK402" s="469" t="s">
        <v>7</v>
      </c>
      <c r="AL402" s="101" t="s">
        <v>26</v>
      </c>
      <c r="AM402" s="900">
        <v>835000</v>
      </c>
      <c r="AN402" s="860">
        <f t="shared" si="908"/>
        <v>108550</v>
      </c>
      <c r="AO402" s="101">
        <v>174</v>
      </c>
      <c r="AP402" s="111">
        <v>100</v>
      </c>
      <c r="AQ402" s="454">
        <f t="shared" si="779"/>
        <v>0.57471264367816088</v>
      </c>
      <c r="AR402" s="455">
        <f t="shared" si="780"/>
        <v>479885</v>
      </c>
      <c r="AS402" s="455">
        <f t="shared" si="781"/>
        <v>62385</v>
      </c>
      <c r="AT402" s="102">
        <f t="shared" si="782"/>
        <v>6.8827861521292277E-8</v>
      </c>
      <c r="AU402" s="116">
        <v>0.13</v>
      </c>
      <c r="AV402" s="565" t="str">
        <f>VLOOKUP(LEFT(AB402,10),Törzsszám!$A$1:$B$908,2,0)</f>
        <v>10000261</v>
      </c>
      <c r="AW402" s="681">
        <f t="shared" ca="1" si="783"/>
        <v>0</v>
      </c>
      <c r="AX402" s="468" t="s">
        <v>251</v>
      </c>
      <c r="AY402" s="486"/>
      <c r="AZ402" s="502"/>
      <c r="BA402" s="671">
        <v>406876</v>
      </c>
      <c r="BB402" s="649">
        <v>52894</v>
      </c>
      <c r="BC402" s="649">
        <f t="shared" ca="1" si="959"/>
        <v>73009</v>
      </c>
      <c r="BD402" s="672">
        <f t="shared" ca="1" si="959"/>
        <v>9491</v>
      </c>
      <c r="BE402" s="450" t="s">
        <v>208</v>
      </c>
    </row>
    <row r="403" spans="1:57" s="457" customFormat="1" ht="31.5" x14ac:dyDescent="0.25">
      <c r="A403" s="694" t="str">
        <f ca="1">Bérköltség!$B403</f>
        <v>FEOR</v>
      </c>
      <c r="B403" s="694" t="str">
        <f ca="1">IFERROR(
IF(AND(Bérköltség!$F403="",H403="NA"),"HIÁNYOS ADATOK",
IF(Bérköltség!$F403&lt;Bérköltség!$U403,Admin!$B$18,Admin!$B$17)),
"")</f>
        <v>FEOR</v>
      </c>
      <c r="C403" s="437">
        <f>IFERROR(INDEX('Historikus berek_2021-2'!$A$1:$F$903,MATCH(AB403,'Historikus berek_2021-2'!$A$1:$A$903,0),4),"")</f>
        <v>770000</v>
      </c>
      <c r="D403" s="438">
        <f t="shared" si="784"/>
        <v>442528.7356321839</v>
      </c>
      <c r="E403" s="437">
        <f t="shared" si="785"/>
        <v>479885</v>
      </c>
      <c r="F403" s="439">
        <f t="shared" si="786"/>
        <v>42212.578735632182</v>
      </c>
      <c r="G403" s="440">
        <f t="shared" si="787"/>
        <v>500057.47126436775</v>
      </c>
      <c r="H403" s="441">
        <f>IFERROR(INDEX('FEOR kodok'!$A$2:$J$1126,MATCH(Bérköltség!AB403,'FEOR kodok'!$B$2:$B$1126,0),8),"NA")</f>
        <v>2410</v>
      </c>
      <c r="I403" s="436">
        <f ca="1">IFERROR(INDEX('FEOR kodok'!$A$2:$J$1126,MATCH(Bérköltség!AB403,'FEOR kodok'!$B$2:$B$1126,0),10),"NA")</f>
        <v>44</v>
      </c>
      <c r="J403" s="442" t="str">
        <f t="shared" ca="1" si="788"/>
        <v>40–49 éves</v>
      </c>
      <c r="K403" s="436" t="str">
        <f>IFERROR(INDEX(admin_feor[#All],MATCH(Bérköltség!H403,admin_feor[[#All],[Foglalkozás]],0),2),"NA")</f>
        <v>Egyetemi, főiskolai oktató, tanár</v>
      </c>
      <c r="L403" s="438">
        <f ca="1">IFERROR(
INDEX('Admin - FEOR'!$A$4:$F$465,MATCH(Bérköltség!H403,'Admin - FEOR'!$A$4:$A$465,0),
IF(J403="30 év alatt",3,
IF(J403="30–39 éves",4,
IF(J403="40–49 éves",5,
IF(J403="50 év és afelett",6
)))))*1,"NA")</f>
        <v>629398</v>
      </c>
      <c r="M403" s="438">
        <f t="shared" si="789"/>
        <v>835000</v>
      </c>
      <c r="N403" s="443">
        <f t="shared" ca="1" si="790"/>
        <v>1.3266645270560122</v>
      </c>
      <c r="O403" s="438">
        <f ca="1">IFERROR(
INDEX('Admin - FEOR'!$A$4:$F$465,MATCH(Bérköltség!H403,'Admin - FEOR'!$A$4:$A$465,0),
IF(J403="30 év alatt",3,
IF(J403="30–39 éves",4,
IF(J403="40–49 éves",5,
IF(J403="50 év és afelett",6
)))))*1.5,"NA")</f>
        <v>944097</v>
      </c>
      <c r="P403" s="438">
        <f t="shared" ca="1" si="791"/>
        <v>542584.48275862064</v>
      </c>
      <c r="Q403" s="438">
        <f t="shared" si="792"/>
        <v>479885</v>
      </c>
      <c r="R403" s="444">
        <f t="shared" si="793"/>
        <v>0.57471264367816088</v>
      </c>
      <c r="S403" s="438">
        <f t="shared" ca="1" si="794"/>
        <v>0</v>
      </c>
      <c r="T403" s="438">
        <f t="shared" ca="1" si="795"/>
        <v>0</v>
      </c>
      <c r="U403" s="445">
        <f t="shared" ca="1" si="796"/>
        <v>0</v>
      </c>
      <c r="V403" s="446">
        <f t="shared" ca="1" si="797"/>
        <v>542270</v>
      </c>
      <c r="W403" s="447" t="str">
        <f t="shared" ca="1" si="798"/>
        <v>Indoklás szükséges mivel a FEOR: 132,7%</v>
      </c>
      <c r="X403" s="571">
        <f t="shared" ca="1" si="799"/>
        <v>0</v>
      </c>
      <c r="Y403" s="554">
        <f t="shared" ca="1" si="800"/>
        <v>479885</v>
      </c>
      <c r="Z403" s="554">
        <f t="shared" ca="1" si="801"/>
        <v>62385</v>
      </c>
      <c r="AA403" s="573">
        <v>2</v>
      </c>
      <c r="AB403" s="448">
        <v>8410920832</v>
      </c>
      <c r="AC403" s="449" t="s">
        <v>207</v>
      </c>
      <c r="AD403" s="483" t="s">
        <v>45</v>
      </c>
      <c r="AE403" s="450" t="s">
        <v>22</v>
      </c>
      <c r="AF403" s="99" t="s">
        <v>120</v>
      </c>
      <c r="AG403" s="99" t="s">
        <v>157</v>
      </c>
      <c r="AH403" s="451" t="s">
        <v>131</v>
      </c>
      <c r="AI403" s="154">
        <v>44866</v>
      </c>
      <c r="AJ403" s="100" t="str">
        <f>IF(AI403&gt;0,
(IF(AI403&lt;Hónapok!$A$10,Admin!$A$28,
(IF(AI403&lt;Hónapok!$A$22,Admin!$B$28,
(IF(AI403&lt;Hónapok!$A$34,Admin!$C$28,
(IF(AI403&lt;Hónapok!$A$46,Admin!$D$28,"")))))))),"")</f>
        <v>2. mérföldkő</v>
      </c>
      <c r="AK403" s="469" t="s">
        <v>7</v>
      </c>
      <c r="AL403" s="101" t="s">
        <v>26</v>
      </c>
      <c r="AM403" s="900">
        <v>835000</v>
      </c>
      <c r="AN403" s="860">
        <f t="shared" si="908"/>
        <v>108550</v>
      </c>
      <c r="AO403" s="101">
        <v>174</v>
      </c>
      <c r="AP403" s="111">
        <v>100</v>
      </c>
      <c r="AQ403" s="454">
        <f t="shared" si="779"/>
        <v>0.57471264367816088</v>
      </c>
      <c r="AR403" s="455">
        <f t="shared" si="780"/>
        <v>479885</v>
      </c>
      <c r="AS403" s="455">
        <f t="shared" si="781"/>
        <v>62385</v>
      </c>
      <c r="AT403" s="102">
        <f t="shared" si="782"/>
        <v>6.8827861521292277E-8</v>
      </c>
      <c r="AU403" s="116">
        <v>0.13</v>
      </c>
      <c r="AV403" s="565" t="str">
        <f>VLOOKUP(LEFT(AB403,10),Törzsszám!$A$1:$B$908,2,0)</f>
        <v>10000261</v>
      </c>
      <c r="AW403" s="615">
        <f t="shared" ca="1" si="783"/>
        <v>0</v>
      </c>
      <c r="AX403" s="479" t="s">
        <v>260</v>
      </c>
      <c r="AY403" s="486"/>
      <c r="AZ403" s="502"/>
      <c r="BA403" s="671">
        <v>406876</v>
      </c>
      <c r="BB403" s="649">
        <v>52894</v>
      </c>
      <c r="BC403" s="649">
        <f t="shared" ca="1" si="959"/>
        <v>73009</v>
      </c>
      <c r="BD403" s="672">
        <f t="shared" ca="1" si="959"/>
        <v>9491</v>
      </c>
      <c r="BE403" s="450" t="s">
        <v>208</v>
      </c>
    </row>
    <row r="404" spans="1:57" s="457" customFormat="1" ht="31.5" x14ac:dyDescent="0.25">
      <c r="A404" s="694" t="str">
        <f ca="1">Bérköltség!$B404</f>
        <v>FEOR</v>
      </c>
      <c r="B404" s="694" t="str">
        <f ca="1">IFERROR(
IF(AND(Bérköltség!$F404="",H404="NA"),"HIÁNYOS ADATOK",
IF(Bérköltség!$F404&lt;Bérköltség!$U404,Admin!$B$18,Admin!$B$17)),
"")</f>
        <v>FEOR</v>
      </c>
      <c r="C404" s="437">
        <f>IFERROR(INDEX('Historikus berek_2021-2'!$A$1:$F$903,MATCH(AB404,'Historikus berek_2021-2'!$A$1:$A$903,0),4),"")</f>
        <v>770000</v>
      </c>
      <c r="D404" s="438">
        <f t="shared" si="784"/>
        <v>442528.7356321839</v>
      </c>
      <c r="E404" s="437">
        <f t="shared" si="785"/>
        <v>479885</v>
      </c>
      <c r="F404" s="439">
        <f t="shared" si="786"/>
        <v>42212.578735632182</v>
      </c>
      <c r="G404" s="440">
        <f t="shared" si="787"/>
        <v>500057.47126436775</v>
      </c>
      <c r="H404" s="441">
        <f>IFERROR(INDEX('FEOR kodok'!$A$2:$J$1126,MATCH(Bérköltség!AB404,'FEOR kodok'!$B$2:$B$1126,0),8),"NA")</f>
        <v>2410</v>
      </c>
      <c r="I404" s="436">
        <f ca="1">IFERROR(INDEX('FEOR kodok'!$A$2:$J$1126,MATCH(Bérköltség!AB404,'FEOR kodok'!$B$2:$B$1126,0),10),"NA")</f>
        <v>44</v>
      </c>
      <c r="J404" s="442" t="str">
        <f t="shared" ca="1" si="788"/>
        <v>40–49 éves</v>
      </c>
      <c r="K404" s="436" t="str">
        <f>IFERROR(INDEX(admin_feor[#All],MATCH(Bérköltség!H404,admin_feor[[#All],[Foglalkozás]],0),2),"NA")</f>
        <v>Egyetemi, főiskolai oktató, tanár</v>
      </c>
      <c r="L404" s="438">
        <f ca="1">IFERROR(
INDEX('Admin - FEOR'!$A$4:$F$465,MATCH(Bérköltség!H404,'Admin - FEOR'!$A$4:$A$465,0),
IF(J404="30 év alatt",3,
IF(J404="30–39 éves",4,
IF(J404="40–49 éves",5,
IF(J404="50 év és afelett",6
)))))*1,"NA")</f>
        <v>629398</v>
      </c>
      <c r="M404" s="438">
        <f t="shared" si="789"/>
        <v>835000</v>
      </c>
      <c r="N404" s="443">
        <f t="shared" ca="1" si="790"/>
        <v>1.3266645270560122</v>
      </c>
      <c r="O404" s="438">
        <f ca="1">IFERROR(
INDEX('Admin - FEOR'!$A$4:$F$465,MATCH(Bérköltség!H404,'Admin - FEOR'!$A$4:$A$465,0),
IF(J404="30 év alatt",3,
IF(J404="30–39 éves",4,
IF(J404="40–49 éves",5,
IF(J404="50 év és afelett",6
)))))*1.5,"NA")</f>
        <v>944097</v>
      </c>
      <c r="P404" s="438">
        <f t="shared" ca="1" si="791"/>
        <v>542584.48275862064</v>
      </c>
      <c r="Q404" s="438">
        <f t="shared" si="792"/>
        <v>479885</v>
      </c>
      <c r="R404" s="444">
        <f t="shared" si="793"/>
        <v>0.57471264367816088</v>
      </c>
      <c r="S404" s="438">
        <f t="shared" ca="1" si="794"/>
        <v>0</v>
      </c>
      <c r="T404" s="438">
        <f t="shared" ca="1" si="795"/>
        <v>0</v>
      </c>
      <c r="U404" s="445">
        <f t="shared" ca="1" si="796"/>
        <v>0</v>
      </c>
      <c r="V404" s="446">
        <f t="shared" ca="1" si="797"/>
        <v>542270</v>
      </c>
      <c r="W404" s="447" t="str">
        <f t="shared" ca="1" si="798"/>
        <v>Indoklás szükséges mivel a FEOR: 132,7%</v>
      </c>
      <c r="X404" s="571">
        <f t="shared" ca="1" si="799"/>
        <v>0</v>
      </c>
      <c r="Y404" s="554">
        <f t="shared" ca="1" si="800"/>
        <v>479885</v>
      </c>
      <c r="Z404" s="554">
        <f t="shared" ca="1" si="801"/>
        <v>62385</v>
      </c>
      <c r="AA404" s="573">
        <v>2</v>
      </c>
      <c r="AB404" s="448">
        <v>8410920832</v>
      </c>
      <c r="AC404" s="449" t="s">
        <v>207</v>
      </c>
      <c r="AD404" s="483" t="s">
        <v>45</v>
      </c>
      <c r="AE404" s="450" t="s">
        <v>22</v>
      </c>
      <c r="AF404" s="99" t="s">
        <v>120</v>
      </c>
      <c r="AG404" s="99" t="s">
        <v>157</v>
      </c>
      <c r="AH404" s="451" t="s">
        <v>131</v>
      </c>
      <c r="AI404" s="154">
        <v>44896</v>
      </c>
      <c r="AJ404" s="100" t="str">
        <f>IF(AI404&gt;0,
(IF(AI404&lt;Hónapok!$A$10,Admin!$A$28,
(IF(AI404&lt;Hónapok!$A$22,Admin!$B$28,
(IF(AI404&lt;Hónapok!$A$34,Admin!$C$28,
(IF(AI404&lt;Hónapok!$A$46,Admin!$D$28,"")))))))),"")</f>
        <v>2. mérföldkő</v>
      </c>
      <c r="AK404" s="469" t="s">
        <v>7</v>
      </c>
      <c r="AL404" s="101" t="s">
        <v>26</v>
      </c>
      <c r="AM404" s="900">
        <v>835000</v>
      </c>
      <c r="AN404" s="860">
        <f t="shared" si="908"/>
        <v>108550</v>
      </c>
      <c r="AO404" s="101">
        <v>174</v>
      </c>
      <c r="AP404" s="111">
        <v>100</v>
      </c>
      <c r="AQ404" s="454">
        <f t="shared" si="779"/>
        <v>0.57471264367816088</v>
      </c>
      <c r="AR404" s="455">
        <f t="shared" si="780"/>
        <v>479885</v>
      </c>
      <c r="AS404" s="455">
        <f t="shared" si="781"/>
        <v>62385</v>
      </c>
      <c r="AT404" s="102">
        <f t="shared" si="782"/>
        <v>6.8827861521292277E-8</v>
      </c>
      <c r="AU404" s="116">
        <v>0.13</v>
      </c>
      <c r="AV404" s="565" t="str">
        <f>VLOOKUP(LEFT(AB404,10),Törzsszám!$A$1:$B$908,2,0)</f>
        <v>10000261</v>
      </c>
      <c r="AW404" s="615">
        <f t="shared" ca="1" si="783"/>
        <v>0</v>
      </c>
      <c r="AX404" s="473" t="s">
        <v>262</v>
      </c>
      <c r="AY404" s="486"/>
      <c r="AZ404" s="502"/>
      <c r="BA404" s="671">
        <v>406876</v>
      </c>
      <c r="BB404" s="649">
        <v>52894</v>
      </c>
      <c r="BC404" s="649">
        <f t="shared" ca="1" si="959"/>
        <v>73009</v>
      </c>
      <c r="BD404" s="672">
        <f t="shared" ca="1" si="959"/>
        <v>9491</v>
      </c>
      <c r="BE404" s="450" t="s">
        <v>208</v>
      </c>
    </row>
    <row r="405" spans="1:57" s="457" customFormat="1" ht="31.5" x14ac:dyDescent="0.25">
      <c r="A405" s="694" t="str">
        <f ca="1">Bérköltség!$B405</f>
        <v>FEOR</v>
      </c>
      <c r="B405" s="694" t="str">
        <f ca="1">IFERROR(
IF(AND(Bérköltség!$F405="",H405="NA"),"HIÁNYOS ADATOK",
IF(Bérköltség!$F405&lt;Bérköltség!$U405,Admin!$B$18,Admin!$B$17)),
"")</f>
        <v>FEOR</v>
      </c>
      <c r="C405" s="437">
        <f>IFERROR(INDEX('Historikus berek_2021-2'!$A$1:$F$903,MATCH(AB405,'Historikus berek_2021-2'!$A$1:$A$903,0),4),"")</f>
        <v>770000</v>
      </c>
      <c r="D405" s="438">
        <f t="shared" si="784"/>
        <v>442528.7356321839</v>
      </c>
      <c r="E405" s="437">
        <f t="shared" si="785"/>
        <v>479885</v>
      </c>
      <c r="F405" s="439">
        <f t="shared" si="786"/>
        <v>42212.578735632182</v>
      </c>
      <c r="G405" s="440">
        <f t="shared" si="787"/>
        <v>500057.47126436775</v>
      </c>
      <c r="H405" s="441">
        <f>IFERROR(INDEX('FEOR kodok'!$A$2:$J$1126,MATCH(Bérköltség!AB405,'FEOR kodok'!$B$2:$B$1126,0),8),"NA")</f>
        <v>2410</v>
      </c>
      <c r="I405" s="436">
        <f ca="1">IFERROR(INDEX('FEOR kodok'!$A$2:$J$1126,MATCH(Bérköltség!AB405,'FEOR kodok'!$B$2:$B$1126,0),10),"NA")</f>
        <v>44</v>
      </c>
      <c r="J405" s="442" t="str">
        <f t="shared" ca="1" si="788"/>
        <v>40–49 éves</v>
      </c>
      <c r="K405" s="436" t="str">
        <f>IFERROR(INDEX(admin_feor[#All],MATCH(Bérköltség!H405,admin_feor[[#All],[Foglalkozás]],0),2),"NA")</f>
        <v>Egyetemi, főiskolai oktató, tanár</v>
      </c>
      <c r="L405" s="438">
        <f ca="1">IFERROR(
INDEX('Admin - FEOR'!$A$4:$F$465,MATCH(Bérköltség!H405,'Admin - FEOR'!$A$4:$A$465,0),
IF(J405="30 év alatt",3,
IF(J405="30–39 éves",4,
IF(J405="40–49 éves",5,
IF(J405="50 év és afelett",6
)))))*1,"NA")</f>
        <v>629398</v>
      </c>
      <c r="M405" s="438">
        <f t="shared" si="789"/>
        <v>835000</v>
      </c>
      <c r="N405" s="443">
        <f t="shared" ca="1" si="790"/>
        <v>1.3266645270560122</v>
      </c>
      <c r="O405" s="438">
        <f ca="1">IFERROR(
INDEX('Admin - FEOR'!$A$4:$F$465,MATCH(Bérköltség!H405,'Admin - FEOR'!$A$4:$A$465,0),
IF(J405="30 év alatt",3,
IF(J405="30–39 éves",4,
IF(J405="40–49 éves",5,
IF(J405="50 év és afelett",6
)))))*1.5,"NA")</f>
        <v>944097</v>
      </c>
      <c r="P405" s="438">
        <f t="shared" ca="1" si="791"/>
        <v>542584.48275862064</v>
      </c>
      <c r="Q405" s="438">
        <f t="shared" si="792"/>
        <v>479885</v>
      </c>
      <c r="R405" s="444">
        <f t="shared" si="793"/>
        <v>0.57471264367816088</v>
      </c>
      <c r="S405" s="438">
        <f t="shared" ca="1" si="794"/>
        <v>0</v>
      </c>
      <c r="T405" s="438">
        <f t="shared" ca="1" si="795"/>
        <v>0</v>
      </c>
      <c r="U405" s="445">
        <f t="shared" ca="1" si="796"/>
        <v>0</v>
      </c>
      <c r="V405" s="446">
        <f t="shared" ca="1" si="797"/>
        <v>542270</v>
      </c>
      <c r="W405" s="447" t="str">
        <f t="shared" ca="1" si="798"/>
        <v>Indoklás szükséges mivel a FEOR: 132,7%</v>
      </c>
      <c r="X405" s="571">
        <f t="shared" ca="1" si="799"/>
        <v>0</v>
      </c>
      <c r="Y405" s="554">
        <f t="shared" ca="1" si="800"/>
        <v>479885</v>
      </c>
      <c r="Z405" s="554">
        <f t="shared" ca="1" si="801"/>
        <v>62385</v>
      </c>
      <c r="AA405" s="573">
        <v>2</v>
      </c>
      <c r="AB405" s="448">
        <v>8410920832</v>
      </c>
      <c r="AC405" s="449" t="s">
        <v>207</v>
      </c>
      <c r="AD405" s="482" t="s">
        <v>45</v>
      </c>
      <c r="AE405" s="450" t="s">
        <v>22</v>
      </c>
      <c r="AF405" s="99" t="s">
        <v>120</v>
      </c>
      <c r="AG405" s="99" t="s">
        <v>157</v>
      </c>
      <c r="AH405" s="451" t="s">
        <v>131</v>
      </c>
      <c r="AI405" s="154">
        <v>44927</v>
      </c>
      <c r="AJ405" s="100" t="str">
        <f>IF(AI405&gt;0,
(IF(AI405&lt;Hónapok!$A$10,Admin!$A$28,
(IF(AI405&lt;Hónapok!$A$22,Admin!$B$28,
(IF(AI405&lt;Hónapok!$A$34,Admin!$C$28,
(IF(AI405&lt;Hónapok!$A$46,Admin!$D$28,"")))))))),"")</f>
        <v>2. mérföldkő</v>
      </c>
      <c r="AK405" s="469" t="s">
        <v>7</v>
      </c>
      <c r="AL405" s="101" t="s">
        <v>26</v>
      </c>
      <c r="AM405" s="900">
        <v>835000</v>
      </c>
      <c r="AN405" s="860">
        <f t="shared" si="908"/>
        <v>108550</v>
      </c>
      <c r="AO405" s="101">
        <v>174</v>
      </c>
      <c r="AP405" s="111">
        <v>100</v>
      </c>
      <c r="AQ405" s="454">
        <f t="shared" si="779"/>
        <v>0.57471264367816088</v>
      </c>
      <c r="AR405" s="455">
        <f t="shared" si="780"/>
        <v>479885</v>
      </c>
      <c r="AS405" s="455">
        <f t="shared" si="781"/>
        <v>62385</v>
      </c>
      <c r="AT405" s="102">
        <f t="shared" si="782"/>
        <v>6.8827861521292277E-8</v>
      </c>
      <c r="AU405" s="116">
        <v>0.13</v>
      </c>
      <c r="AV405" s="565" t="str">
        <f>VLOOKUP(LEFT(AB405,10),Törzsszám!$A$1:$B$908,2,0)</f>
        <v>10000261</v>
      </c>
      <c r="AW405" s="615">
        <f t="shared" ca="1" si="783"/>
        <v>0</v>
      </c>
      <c r="AX405" s="473" t="s">
        <v>2518</v>
      </c>
      <c r="AY405" s="486"/>
      <c r="AZ405" s="502"/>
      <c r="BA405" s="671">
        <v>406876</v>
      </c>
      <c r="BB405" s="649">
        <v>52894</v>
      </c>
      <c r="BC405" s="649">
        <f t="shared" ca="1" si="959"/>
        <v>73009</v>
      </c>
      <c r="BD405" s="672">
        <f t="shared" ca="1" si="959"/>
        <v>9491</v>
      </c>
      <c r="BE405" s="450" t="s">
        <v>208</v>
      </c>
    </row>
    <row r="406" spans="1:57" s="457" customFormat="1" ht="31.5" x14ac:dyDescent="0.25">
      <c r="A406" s="694" t="str">
        <f ca="1">Bérköltség!$B406</f>
        <v>FEOR</v>
      </c>
      <c r="B406" s="694" t="str">
        <f ca="1">IFERROR(
IF(AND(Bérköltség!$F406="",H406="NA"),"HIÁNYOS ADATOK",
IF(Bérköltség!$F406&lt;Bérköltség!$U406,Admin!$B$18,Admin!$B$17)),
"")</f>
        <v>FEOR</v>
      </c>
      <c r="C406" s="437">
        <f>IFERROR(INDEX('Historikus berek_2021-2'!$A$1:$F$903,MATCH(AB406,'Historikus berek_2021-2'!$A$1:$A$903,0),4),"")</f>
        <v>770000</v>
      </c>
      <c r="D406" s="438">
        <f t="shared" si="784"/>
        <v>442528.7356321839</v>
      </c>
      <c r="E406" s="437">
        <f t="shared" si="785"/>
        <v>479885</v>
      </c>
      <c r="F406" s="439">
        <f t="shared" si="786"/>
        <v>42212.578735632182</v>
      </c>
      <c r="G406" s="440">
        <f t="shared" si="787"/>
        <v>500057.47126436775</v>
      </c>
      <c r="H406" s="441">
        <f>IFERROR(INDEX('FEOR kodok'!$A$2:$J$1126,MATCH(Bérköltség!AB406,'FEOR kodok'!$B$2:$B$1126,0),8),"NA")</f>
        <v>2410</v>
      </c>
      <c r="I406" s="436">
        <f ca="1">IFERROR(INDEX('FEOR kodok'!$A$2:$J$1126,MATCH(Bérköltség!AB406,'FEOR kodok'!$B$2:$B$1126,0),10),"NA")</f>
        <v>44</v>
      </c>
      <c r="J406" s="442" t="str">
        <f t="shared" ca="1" si="788"/>
        <v>40–49 éves</v>
      </c>
      <c r="K406" s="436" t="str">
        <f>IFERROR(INDEX(admin_feor[#All],MATCH(Bérköltség!H406,admin_feor[[#All],[Foglalkozás]],0),2),"NA")</f>
        <v>Egyetemi, főiskolai oktató, tanár</v>
      </c>
      <c r="L406" s="438">
        <f ca="1">IFERROR(
INDEX('Admin - FEOR'!$A$4:$F$465,MATCH(Bérköltség!H406,'Admin - FEOR'!$A$4:$A$465,0),
IF(J406="30 év alatt",3,
IF(J406="30–39 éves",4,
IF(J406="40–49 éves",5,
IF(J406="50 év és afelett",6
)))))*1,"NA")</f>
        <v>629398</v>
      </c>
      <c r="M406" s="438">
        <f t="shared" si="789"/>
        <v>835000</v>
      </c>
      <c r="N406" s="443">
        <f t="shared" ca="1" si="790"/>
        <v>1.3266645270560122</v>
      </c>
      <c r="O406" s="438">
        <f ca="1">IFERROR(
INDEX('Admin - FEOR'!$A$4:$F$465,MATCH(Bérköltség!H406,'Admin - FEOR'!$A$4:$A$465,0),
IF(J406="30 év alatt",3,
IF(J406="30–39 éves",4,
IF(J406="40–49 éves",5,
IF(J406="50 év és afelett",6
)))))*1.5,"NA")</f>
        <v>944097</v>
      </c>
      <c r="P406" s="438">
        <f t="shared" ca="1" si="791"/>
        <v>542584.48275862064</v>
      </c>
      <c r="Q406" s="438">
        <f t="shared" si="792"/>
        <v>479885</v>
      </c>
      <c r="R406" s="444">
        <f t="shared" si="793"/>
        <v>0.57471264367816088</v>
      </c>
      <c r="S406" s="438">
        <f t="shared" ca="1" si="794"/>
        <v>0</v>
      </c>
      <c r="T406" s="438">
        <f t="shared" ca="1" si="795"/>
        <v>0</v>
      </c>
      <c r="U406" s="445">
        <f t="shared" ca="1" si="796"/>
        <v>0</v>
      </c>
      <c r="V406" s="446">
        <f t="shared" ca="1" si="797"/>
        <v>542270</v>
      </c>
      <c r="W406" s="447" t="str">
        <f t="shared" ca="1" si="798"/>
        <v>Indoklás szükséges mivel a FEOR: 132,7%</v>
      </c>
      <c r="X406" s="571">
        <f t="shared" ca="1" si="799"/>
        <v>0</v>
      </c>
      <c r="Y406" s="554">
        <f t="shared" ca="1" si="800"/>
        <v>479885</v>
      </c>
      <c r="Z406" s="554">
        <f t="shared" ca="1" si="801"/>
        <v>62385</v>
      </c>
      <c r="AA406" s="101"/>
      <c r="AB406" s="448">
        <v>8410920832</v>
      </c>
      <c r="AC406" s="449" t="s">
        <v>207</v>
      </c>
      <c r="AD406" s="483" t="s">
        <v>45</v>
      </c>
      <c r="AE406" s="450" t="s">
        <v>22</v>
      </c>
      <c r="AF406" s="99" t="s">
        <v>120</v>
      </c>
      <c r="AG406" s="99" t="s">
        <v>157</v>
      </c>
      <c r="AH406" s="451" t="s">
        <v>131</v>
      </c>
      <c r="AI406" s="154">
        <v>44958</v>
      </c>
      <c r="AJ406" s="100" t="str">
        <f>IF(AI406&gt;0,
(IF(AI406&lt;Hónapok!$A$10,Admin!$A$28,
(IF(AI406&lt;Hónapok!$A$22,Admin!$B$28,
(IF(AI406&lt;Hónapok!$A$34,Admin!$C$28,
(IF(AI406&lt;Hónapok!$A$46,Admin!$D$28,"")))))))),"")</f>
        <v>2. mérföldkő</v>
      </c>
      <c r="AK406" s="469" t="s">
        <v>7</v>
      </c>
      <c r="AL406" s="101" t="s">
        <v>26</v>
      </c>
      <c r="AM406" s="900">
        <v>835000</v>
      </c>
      <c r="AN406" s="860">
        <f t="shared" si="908"/>
        <v>108550</v>
      </c>
      <c r="AO406" s="101">
        <v>174</v>
      </c>
      <c r="AP406" s="111">
        <v>100</v>
      </c>
      <c r="AQ406" s="454">
        <f t="shared" si="779"/>
        <v>0.57471264367816088</v>
      </c>
      <c r="AR406" s="455">
        <f t="shared" si="780"/>
        <v>479885</v>
      </c>
      <c r="AS406" s="455">
        <f t="shared" si="781"/>
        <v>62385</v>
      </c>
      <c r="AT406" s="102">
        <f t="shared" si="782"/>
        <v>6.8827861521292277E-8</v>
      </c>
      <c r="AU406" s="116">
        <v>0.13</v>
      </c>
      <c r="AV406" s="565" t="str">
        <f>VLOOKUP(LEFT(AB406,10),Törzsszám!$A$1:$B$908,2,0)</f>
        <v>10000261</v>
      </c>
      <c r="AW406" s="615">
        <f t="shared" ca="1" si="783"/>
        <v>0</v>
      </c>
      <c r="AX406" s="537" t="s">
        <v>4557</v>
      </c>
      <c r="AY406" s="486"/>
      <c r="AZ406" s="502"/>
      <c r="BA406" s="671"/>
      <c r="BB406" s="649"/>
      <c r="BC406" s="649"/>
      <c r="BD406" s="672"/>
      <c r="BE406" s="450" t="s">
        <v>208</v>
      </c>
    </row>
    <row r="407" spans="1:57" s="457" customFormat="1" ht="31.5" x14ac:dyDescent="0.25">
      <c r="A407" s="694" t="str">
        <f ca="1">Bérköltség!$B407</f>
        <v>FEOR</v>
      </c>
      <c r="B407" s="694" t="str">
        <f ca="1">IFERROR(
IF(AND(Bérköltség!$F407="",H407="NA"),"HIÁNYOS ADATOK",
IF(Bérköltség!$F407&lt;Bérköltség!$U407,Admin!$B$18,Admin!$B$17)),
"")</f>
        <v>FEOR</v>
      </c>
      <c r="C407" s="437">
        <f>IFERROR(INDEX('Historikus berek_2021-2'!$A$1:$F$903,MATCH(AB407,'Historikus berek_2021-2'!$A$1:$A$903,0),4),"")</f>
        <v>770000</v>
      </c>
      <c r="D407" s="438">
        <f t="shared" si="784"/>
        <v>442528.7356321839</v>
      </c>
      <c r="E407" s="437">
        <f t="shared" si="785"/>
        <v>479885</v>
      </c>
      <c r="F407" s="439">
        <f t="shared" si="786"/>
        <v>42212.578735632182</v>
      </c>
      <c r="G407" s="440">
        <f t="shared" si="787"/>
        <v>500057.47126436775</v>
      </c>
      <c r="H407" s="441">
        <f>IFERROR(INDEX('FEOR kodok'!$A$2:$J$1126,MATCH(Bérköltség!AB407,'FEOR kodok'!$B$2:$B$1126,0),8),"NA")</f>
        <v>2410</v>
      </c>
      <c r="I407" s="436">
        <f ca="1">IFERROR(INDEX('FEOR kodok'!$A$2:$J$1126,MATCH(Bérköltség!AB407,'FEOR kodok'!$B$2:$B$1126,0),10),"NA")</f>
        <v>44</v>
      </c>
      <c r="J407" s="442" t="str">
        <f t="shared" ca="1" si="788"/>
        <v>40–49 éves</v>
      </c>
      <c r="K407" s="436" t="str">
        <f>IFERROR(INDEX(admin_feor[#All],MATCH(Bérköltség!H407,admin_feor[[#All],[Foglalkozás]],0),2),"NA")</f>
        <v>Egyetemi, főiskolai oktató, tanár</v>
      </c>
      <c r="L407" s="438">
        <f ca="1">IFERROR(
INDEX('Admin - FEOR'!$A$4:$F$465,MATCH(Bérköltség!H407,'Admin - FEOR'!$A$4:$A$465,0),
IF(J407="30 év alatt",3,
IF(J407="30–39 éves",4,
IF(J407="40–49 éves",5,
IF(J407="50 év és afelett",6
)))))*1,"NA")</f>
        <v>629398</v>
      </c>
      <c r="M407" s="438">
        <f t="shared" si="789"/>
        <v>835000</v>
      </c>
      <c r="N407" s="443">
        <f t="shared" ca="1" si="790"/>
        <v>1.3266645270560122</v>
      </c>
      <c r="O407" s="438">
        <f ca="1">IFERROR(
INDEX('Admin - FEOR'!$A$4:$F$465,MATCH(Bérköltség!H407,'Admin - FEOR'!$A$4:$A$465,0),
IF(J407="30 év alatt",3,
IF(J407="30–39 éves",4,
IF(J407="40–49 éves",5,
IF(J407="50 év és afelett",6
)))))*1.5,"NA")</f>
        <v>944097</v>
      </c>
      <c r="P407" s="438">
        <f t="shared" ca="1" si="791"/>
        <v>542584.48275862064</v>
      </c>
      <c r="Q407" s="438">
        <f t="shared" si="792"/>
        <v>479885</v>
      </c>
      <c r="R407" s="444">
        <f t="shared" si="793"/>
        <v>0.57471264367816088</v>
      </c>
      <c r="S407" s="438">
        <f t="shared" ca="1" si="794"/>
        <v>0</v>
      </c>
      <c r="T407" s="438">
        <f t="shared" ca="1" si="795"/>
        <v>0</v>
      </c>
      <c r="U407" s="445">
        <f t="shared" ca="1" si="796"/>
        <v>0</v>
      </c>
      <c r="V407" s="446">
        <f t="shared" ca="1" si="797"/>
        <v>542270</v>
      </c>
      <c r="W407" s="447" t="str">
        <f t="shared" ca="1" si="798"/>
        <v>Indoklás szükséges mivel a FEOR: 132,7%</v>
      </c>
      <c r="X407" s="571">
        <f t="shared" ca="1" si="799"/>
        <v>0</v>
      </c>
      <c r="Y407" s="554">
        <f t="shared" ca="1" si="800"/>
        <v>479885</v>
      </c>
      <c r="Z407" s="554">
        <f t="shared" ca="1" si="801"/>
        <v>62385</v>
      </c>
      <c r="AA407" s="101"/>
      <c r="AB407" s="448">
        <v>8410920832</v>
      </c>
      <c r="AC407" s="449" t="s">
        <v>207</v>
      </c>
      <c r="AD407" s="483" t="s">
        <v>45</v>
      </c>
      <c r="AE407" s="450" t="s">
        <v>22</v>
      </c>
      <c r="AF407" s="99" t="s">
        <v>120</v>
      </c>
      <c r="AG407" s="99" t="s">
        <v>157</v>
      </c>
      <c r="AH407" s="451" t="s">
        <v>131</v>
      </c>
      <c r="AI407" s="154">
        <v>44986</v>
      </c>
      <c r="AJ407" s="100" t="str">
        <f>IF(AI407&gt;0,
(IF(AI407&lt;Hónapok!$A$10,Admin!$A$28,
(IF(AI407&lt;Hónapok!$A$22,Admin!$B$28,
(IF(AI407&lt;Hónapok!$A$34,Admin!$C$28,
(IF(AI407&lt;Hónapok!$A$46,Admin!$D$28,"")))))))),"")</f>
        <v>3. mérföldkő</v>
      </c>
      <c r="AK407" s="470" t="s">
        <v>7</v>
      </c>
      <c r="AL407" s="101" t="s">
        <v>26</v>
      </c>
      <c r="AM407" s="900">
        <v>835000</v>
      </c>
      <c r="AN407" s="860">
        <f t="shared" si="908"/>
        <v>108550</v>
      </c>
      <c r="AO407" s="101">
        <v>174</v>
      </c>
      <c r="AP407" s="111">
        <v>100</v>
      </c>
      <c r="AQ407" s="454">
        <f t="shared" si="779"/>
        <v>0.57471264367816088</v>
      </c>
      <c r="AR407" s="455">
        <f t="shared" si="780"/>
        <v>479885</v>
      </c>
      <c r="AS407" s="455">
        <f t="shared" si="781"/>
        <v>62385</v>
      </c>
      <c r="AT407" s="102">
        <f t="shared" si="782"/>
        <v>6.8827861521292277E-8</v>
      </c>
      <c r="AU407" s="116">
        <v>0.13</v>
      </c>
      <c r="AV407" s="565" t="str">
        <f>VLOOKUP(LEFT(AB407,10),Törzsszám!$A$1:$B$908,2,0)</f>
        <v>10000261</v>
      </c>
      <c r="AW407" s="615">
        <f t="shared" ca="1" si="783"/>
        <v>0</v>
      </c>
      <c r="AX407" s="471" t="s">
        <v>4561</v>
      </c>
      <c r="AY407" s="486"/>
      <c r="AZ407" s="502"/>
      <c r="BA407" s="671"/>
      <c r="BB407" s="649"/>
      <c r="BC407" s="649"/>
      <c r="BD407" s="672"/>
      <c r="BE407" s="450" t="s">
        <v>208</v>
      </c>
    </row>
    <row r="408" spans="1:57" s="457" customFormat="1" ht="31.5" x14ac:dyDescent="0.25">
      <c r="A408" s="694" t="str">
        <f ca="1">Bérköltség!$B408</f>
        <v>FEOR</v>
      </c>
      <c r="B408" s="694" t="str">
        <f ca="1">IFERROR(
IF(AND(Bérköltség!$F408="",H408="NA"),"HIÁNYOS ADATOK",
IF(Bérköltség!$F408&lt;Bérköltség!$U408,Admin!$B$18,Admin!$B$17)),
"")</f>
        <v>FEOR</v>
      </c>
      <c r="C408" s="437">
        <f>IFERROR(INDEX('Historikus berek_2021-2'!$A$1:$F$903,MATCH(AB408,'Historikus berek_2021-2'!$A$1:$A$903,0),4),"")</f>
        <v>770000</v>
      </c>
      <c r="D408" s="438">
        <f t="shared" si="784"/>
        <v>442528.7356321839</v>
      </c>
      <c r="E408" s="437">
        <f t="shared" si="785"/>
        <v>479885</v>
      </c>
      <c r="F408" s="439">
        <f t="shared" si="786"/>
        <v>42212.578735632182</v>
      </c>
      <c r="G408" s="440">
        <f t="shared" si="787"/>
        <v>500057.47126436775</v>
      </c>
      <c r="H408" s="441">
        <f>IFERROR(INDEX('FEOR kodok'!$A$2:$J$1126,MATCH(Bérköltség!AB408,'FEOR kodok'!$B$2:$B$1126,0),8),"NA")</f>
        <v>2410</v>
      </c>
      <c r="I408" s="436">
        <f ca="1">IFERROR(INDEX('FEOR kodok'!$A$2:$J$1126,MATCH(Bérköltség!AB408,'FEOR kodok'!$B$2:$B$1126,0),10),"NA")</f>
        <v>44</v>
      </c>
      <c r="J408" s="442" t="str">
        <f t="shared" ca="1" si="788"/>
        <v>40–49 éves</v>
      </c>
      <c r="K408" s="436" t="str">
        <f>IFERROR(INDEX(admin_feor[#All],MATCH(Bérköltség!H408,admin_feor[[#All],[Foglalkozás]],0),2),"NA")</f>
        <v>Egyetemi, főiskolai oktató, tanár</v>
      </c>
      <c r="L408" s="438">
        <f ca="1">IFERROR(
INDEX('Admin - FEOR'!$A$4:$F$465,MATCH(Bérköltség!H408,'Admin - FEOR'!$A$4:$A$465,0),
IF(J408="30 év alatt",3,
IF(J408="30–39 éves",4,
IF(J408="40–49 éves",5,
IF(J408="50 év és afelett",6
)))))*1,"NA")</f>
        <v>629398</v>
      </c>
      <c r="M408" s="438">
        <f t="shared" si="789"/>
        <v>835000</v>
      </c>
      <c r="N408" s="443">
        <f t="shared" ca="1" si="790"/>
        <v>1.3266645270560122</v>
      </c>
      <c r="O408" s="438">
        <f ca="1">IFERROR(
INDEX('Admin - FEOR'!$A$4:$F$465,MATCH(Bérköltség!H408,'Admin - FEOR'!$A$4:$A$465,0),
IF(J408="30 év alatt",3,
IF(J408="30–39 éves",4,
IF(J408="40–49 éves",5,
IF(J408="50 év és afelett",6
)))))*1.5,"NA")</f>
        <v>944097</v>
      </c>
      <c r="P408" s="438">
        <f t="shared" ca="1" si="791"/>
        <v>542584.48275862064</v>
      </c>
      <c r="Q408" s="438">
        <f t="shared" si="792"/>
        <v>479885</v>
      </c>
      <c r="R408" s="444">
        <f t="shared" si="793"/>
        <v>0.57471264367816088</v>
      </c>
      <c r="S408" s="438">
        <f t="shared" ca="1" si="794"/>
        <v>0</v>
      </c>
      <c r="T408" s="438">
        <f t="shared" ca="1" si="795"/>
        <v>0</v>
      </c>
      <c r="U408" s="445">
        <f t="shared" ca="1" si="796"/>
        <v>0</v>
      </c>
      <c r="V408" s="446">
        <f t="shared" ca="1" si="797"/>
        <v>542270</v>
      </c>
      <c r="W408" s="447" t="str">
        <f t="shared" ca="1" si="798"/>
        <v>Indoklás szükséges mivel a FEOR: 132,7%</v>
      </c>
      <c r="X408" s="571">
        <f t="shared" ca="1" si="799"/>
        <v>0</v>
      </c>
      <c r="Y408" s="554">
        <f t="shared" ca="1" si="800"/>
        <v>479885</v>
      </c>
      <c r="Z408" s="554">
        <f t="shared" ca="1" si="801"/>
        <v>62385</v>
      </c>
      <c r="AA408" s="101"/>
      <c r="AB408" s="448">
        <v>8410920832</v>
      </c>
      <c r="AC408" s="449" t="s">
        <v>207</v>
      </c>
      <c r="AD408" s="483" t="s">
        <v>45</v>
      </c>
      <c r="AE408" s="450" t="s">
        <v>22</v>
      </c>
      <c r="AF408" s="99" t="s">
        <v>120</v>
      </c>
      <c r="AG408" s="99" t="s">
        <v>157</v>
      </c>
      <c r="AH408" s="451" t="s">
        <v>131</v>
      </c>
      <c r="AI408" s="154">
        <v>45017</v>
      </c>
      <c r="AJ408" s="100" t="str">
        <f>IF(AI408&gt;0,
(IF(AI408&lt;Hónapok!$A$10,Admin!$A$28,
(IF(AI408&lt;Hónapok!$A$22,Admin!$B$28,
(IF(AI408&lt;Hónapok!$A$34,Admin!$C$28,
(IF(AI408&lt;Hónapok!$A$46,Admin!$D$28,"")))))))),"")</f>
        <v>3. mérföldkő</v>
      </c>
      <c r="AK408" s="469" t="s">
        <v>7</v>
      </c>
      <c r="AL408" s="101" t="s">
        <v>26</v>
      </c>
      <c r="AM408" s="900">
        <v>835000</v>
      </c>
      <c r="AN408" s="860">
        <f t="shared" si="908"/>
        <v>108550</v>
      </c>
      <c r="AO408" s="101">
        <v>174</v>
      </c>
      <c r="AP408" s="111">
        <v>100</v>
      </c>
      <c r="AQ408" s="454">
        <f t="shared" si="779"/>
        <v>0.57471264367816088</v>
      </c>
      <c r="AR408" s="455">
        <f t="shared" si="780"/>
        <v>479885</v>
      </c>
      <c r="AS408" s="455">
        <f t="shared" si="781"/>
        <v>62385</v>
      </c>
      <c r="AT408" s="102">
        <f t="shared" si="782"/>
        <v>6.8827861521292277E-8</v>
      </c>
      <c r="AU408" s="116">
        <v>0.13</v>
      </c>
      <c r="AV408" s="565" t="str">
        <f>VLOOKUP(LEFT(AB408,10),Törzsszám!$A$1:$B$908,2,0)</f>
        <v>10000261</v>
      </c>
      <c r="AW408" s="615">
        <f t="shared" ca="1" si="783"/>
        <v>0</v>
      </c>
      <c r="AX408" s="471" t="s">
        <v>4581</v>
      </c>
      <c r="AY408" s="486"/>
      <c r="AZ408" s="502"/>
      <c r="BA408" s="671"/>
      <c r="BB408" s="649"/>
      <c r="BC408" s="649"/>
      <c r="BD408" s="672"/>
      <c r="BE408" s="450" t="s">
        <v>208</v>
      </c>
    </row>
    <row r="409" spans="1:57" s="457" customFormat="1" ht="31.5" x14ac:dyDescent="0.25">
      <c r="A409" s="694" t="str">
        <f ca="1">Bérköltség!$B409</f>
        <v>FEOR</v>
      </c>
      <c r="B409" s="694" t="str">
        <f ca="1">IFERROR(
IF(AND(Bérköltség!$F409="",H409="NA"),"HIÁNYOS ADATOK",
IF(Bérköltség!$F409&lt;Bérköltség!$U409,Admin!$B$18,Admin!$B$17)),
"")</f>
        <v>FEOR</v>
      </c>
      <c r="C409" s="437">
        <f>IFERROR(INDEX('Historikus berek_2021-2'!$A$1:$F$903,MATCH(AB409,'Historikus berek_2021-2'!$A$1:$A$903,0),4),"")</f>
        <v>770000</v>
      </c>
      <c r="D409" s="438">
        <f t="shared" si="784"/>
        <v>442528.7356321839</v>
      </c>
      <c r="E409" s="437">
        <f t="shared" si="785"/>
        <v>479885</v>
      </c>
      <c r="F409" s="439">
        <f t="shared" si="786"/>
        <v>42212.578735632182</v>
      </c>
      <c r="G409" s="440">
        <f t="shared" si="787"/>
        <v>500057.47126436775</v>
      </c>
      <c r="H409" s="441">
        <f>IFERROR(INDEX('FEOR kodok'!$A$2:$J$1126,MATCH(Bérköltség!AB409,'FEOR kodok'!$B$2:$B$1126,0),8),"NA")</f>
        <v>2410</v>
      </c>
      <c r="I409" s="436">
        <f ca="1">IFERROR(INDEX('FEOR kodok'!$A$2:$J$1126,MATCH(Bérköltség!AB409,'FEOR kodok'!$B$2:$B$1126,0),10),"NA")</f>
        <v>44</v>
      </c>
      <c r="J409" s="442" t="str">
        <f t="shared" ca="1" si="788"/>
        <v>40–49 éves</v>
      </c>
      <c r="K409" s="436" t="str">
        <f>IFERROR(INDEX(admin_feor[#All],MATCH(Bérköltség!H409,admin_feor[[#All],[Foglalkozás]],0),2),"NA")</f>
        <v>Egyetemi, főiskolai oktató, tanár</v>
      </c>
      <c r="L409" s="438">
        <f ca="1">IFERROR(
INDEX('Admin - FEOR'!$A$4:$F$465,MATCH(Bérköltség!H409,'Admin - FEOR'!$A$4:$A$465,0),
IF(J409="30 év alatt",3,
IF(J409="30–39 éves",4,
IF(J409="40–49 éves",5,
IF(J409="50 év és afelett",6
)))))*1,"NA")</f>
        <v>629398</v>
      </c>
      <c r="M409" s="438">
        <f t="shared" si="789"/>
        <v>835000</v>
      </c>
      <c r="N409" s="443">
        <f t="shared" ca="1" si="790"/>
        <v>1.3266645270560122</v>
      </c>
      <c r="O409" s="438">
        <f ca="1">IFERROR(
INDEX('Admin - FEOR'!$A$4:$F$465,MATCH(Bérköltség!H409,'Admin - FEOR'!$A$4:$A$465,0),
IF(J409="30 év alatt",3,
IF(J409="30–39 éves",4,
IF(J409="40–49 éves",5,
IF(J409="50 év és afelett",6
)))))*1.5,"NA")</f>
        <v>944097</v>
      </c>
      <c r="P409" s="438">
        <f t="shared" ca="1" si="791"/>
        <v>542584.48275862064</v>
      </c>
      <c r="Q409" s="438">
        <f t="shared" si="792"/>
        <v>479885</v>
      </c>
      <c r="R409" s="444">
        <f t="shared" si="793"/>
        <v>0.57471264367816088</v>
      </c>
      <c r="S409" s="438">
        <f t="shared" ca="1" si="794"/>
        <v>0</v>
      </c>
      <c r="T409" s="438">
        <f t="shared" ca="1" si="795"/>
        <v>0</v>
      </c>
      <c r="U409" s="445">
        <f t="shared" ca="1" si="796"/>
        <v>0</v>
      </c>
      <c r="V409" s="446">
        <f t="shared" ca="1" si="797"/>
        <v>542270</v>
      </c>
      <c r="W409" s="447" t="str">
        <f t="shared" ca="1" si="798"/>
        <v>Indoklás szükséges mivel a FEOR: 132,7%</v>
      </c>
      <c r="X409" s="571">
        <f t="shared" ca="1" si="799"/>
        <v>0</v>
      </c>
      <c r="Y409" s="554">
        <f t="shared" ca="1" si="800"/>
        <v>479885</v>
      </c>
      <c r="Z409" s="554">
        <f t="shared" ca="1" si="801"/>
        <v>62385</v>
      </c>
      <c r="AA409" s="101"/>
      <c r="AB409" s="448">
        <v>8410920832</v>
      </c>
      <c r="AC409" s="449" t="s">
        <v>207</v>
      </c>
      <c r="AD409" s="483" t="s">
        <v>45</v>
      </c>
      <c r="AE409" s="450" t="s">
        <v>22</v>
      </c>
      <c r="AF409" s="99" t="s">
        <v>120</v>
      </c>
      <c r="AG409" s="99" t="s">
        <v>157</v>
      </c>
      <c r="AH409" s="451" t="s">
        <v>131</v>
      </c>
      <c r="AI409" s="154">
        <v>45047</v>
      </c>
      <c r="AJ409" s="100" t="str">
        <f>IF(AI409&gt;0,
(IF(AI409&lt;Hónapok!$A$10,Admin!$A$28,
(IF(AI409&lt;Hónapok!$A$22,Admin!$B$28,
(IF(AI409&lt;Hónapok!$A$34,Admin!$C$28,
(IF(AI409&lt;Hónapok!$A$46,Admin!$D$28,"")))))))),"")</f>
        <v>3. mérföldkő</v>
      </c>
      <c r="AK409" s="467" t="s">
        <v>7</v>
      </c>
      <c r="AL409" s="101" t="s">
        <v>26</v>
      </c>
      <c r="AM409" s="900">
        <v>835000</v>
      </c>
      <c r="AN409" s="860">
        <f t="shared" si="908"/>
        <v>108550</v>
      </c>
      <c r="AO409" s="101">
        <v>174</v>
      </c>
      <c r="AP409" s="453">
        <v>100</v>
      </c>
      <c r="AQ409" s="454">
        <f t="shared" si="779"/>
        <v>0.57471264367816088</v>
      </c>
      <c r="AR409" s="455">
        <f t="shared" si="780"/>
        <v>479885</v>
      </c>
      <c r="AS409" s="455">
        <f t="shared" si="781"/>
        <v>62385</v>
      </c>
      <c r="AT409" s="102">
        <f t="shared" si="782"/>
        <v>6.8827861521292277E-8</v>
      </c>
      <c r="AU409" s="116">
        <v>0.13</v>
      </c>
      <c r="AV409" s="565" t="str">
        <f>VLOOKUP(LEFT(AB409,10),Törzsszám!$A$1:$B$908,2,0)</f>
        <v>10000261</v>
      </c>
      <c r="AW409" s="615">
        <f t="shared" ca="1" si="783"/>
        <v>0</v>
      </c>
      <c r="AX409" s="471" t="s">
        <v>4596</v>
      </c>
      <c r="AY409" s="486"/>
      <c r="AZ409" s="502"/>
      <c r="BA409" s="671"/>
      <c r="BB409" s="649"/>
      <c r="BC409" s="649"/>
      <c r="BD409" s="672"/>
      <c r="BE409" s="450" t="s">
        <v>208</v>
      </c>
    </row>
    <row r="410" spans="1:57" s="457" customFormat="1" ht="31.5" x14ac:dyDescent="0.25">
      <c r="A410" s="694" t="str">
        <f ca="1">Bérköltség!$B410</f>
        <v>FEOR</v>
      </c>
      <c r="B410" s="694" t="str">
        <f ca="1">IFERROR(
IF(AND(Bérköltség!$F410="",H410="NA"),"HIÁNYOS ADATOK",
IF(Bérköltség!$F410&lt;Bérköltség!$U410,Admin!$B$18,Admin!$B$17)),
"")</f>
        <v>FEOR</v>
      </c>
      <c r="C410" s="437">
        <f>IFERROR(INDEX('Historikus berek_2021-2'!$A$1:$F$903,MATCH(AB410,'Historikus berek_2021-2'!$A$1:$A$903,0),4),"")</f>
        <v>770000</v>
      </c>
      <c r="D410" s="438">
        <f t="shared" si="784"/>
        <v>442528.7356321839</v>
      </c>
      <c r="E410" s="437">
        <f t="shared" si="785"/>
        <v>479885</v>
      </c>
      <c r="F410" s="439">
        <f t="shared" si="786"/>
        <v>42212.578735632182</v>
      </c>
      <c r="G410" s="440">
        <f t="shared" si="787"/>
        <v>500057.47126436775</v>
      </c>
      <c r="H410" s="441">
        <f>IFERROR(INDEX('FEOR kodok'!$A$2:$J$1126,MATCH(Bérköltség!AB410,'FEOR kodok'!$B$2:$B$1126,0),8),"NA")</f>
        <v>2410</v>
      </c>
      <c r="I410" s="436">
        <f ca="1">IFERROR(INDEX('FEOR kodok'!$A$2:$J$1126,MATCH(Bérköltség!AB410,'FEOR kodok'!$B$2:$B$1126,0),10),"NA")</f>
        <v>44</v>
      </c>
      <c r="J410" s="442" t="str">
        <f t="shared" ca="1" si="788"/>
        <v>40–49 éves</v>
      </c>
      <c r="K410" s="436" t="str">
        <f>IFERROR(INDEX(admin_feor[#All],MATCH(Bérköltség!H410,admin_feor[[#All],[Foglalkozás]],0),2),"NA")</f>
        <v>Egyetemi, főiskolai oktató, tanár</v>
      </c>
      <c r="L410" s="438">
        <f ca="1">IFERROR(
INDEX('Admin - FEOR'!$A$4:$F$465,MATCH(Bérköltség!H410,'Admin - FEOR'!$A$4:$A$465,0),
IF(J410="30 év alatt",3,
IF(J410="30–39 éves",4,
IF(J410="40–49 éves",5,
IF(J410="50 év és afelett",6
)))))*1,"NA")</f>
        <v>629398</v>
      </c>
      <c r="M410" s="438">
        <f t="shared" si="789"/>
        <v>835000</v>
      </c>
      <c r="N410" s="443">
        <f t="shared" ca="1" si="790"/>
        <v>1.3266645270560122</v>
      </c>
      <c r="O410" s="438">
        <f ca="1">IFERROR(
INDEX('Admin - FEOR'!$A$4:$F$465,MATCH(Bérköltség!H410,'Admin - FEOR'!$A$4:$A$465,0),
IF(J410="30 év alatt",3,
IF(J410="30–39 éves",4,
IF(J410="40–49 éves",5,
IF(J410="50 év és afelett",6
)))))*1.5,"NA")</f>
        <v>944097</v>
      </c>
      <c r="P410" s="438">
        <f t="shared" ca="1" si="791"/>
        <v>542584.48275862064</v>
      </c>
      <c r="Q410" s="438">
        <f t="shared" si="792"/>
        <v>479885</v>
      </c>
      <c r="R410" s="444">
        <f t="shared" si="793"/>
        <v>0.57471264367816088</v>
      </c>
      <c r="S410" s="438">
        <f t="shared" ca="1" si="794"/>
        <v>0</v>
      </c>
      <c r="T410" s="438">
        <f t="shared" ca="1" si="795"/>
        <v>0</v>
      </c>
      <c r="U410" s="445">
        <f t="shared" ca="1" si="796"/>
        <v>0</v>
      </c>
      <c r="V410" s="446">
        <f t="shared" ca="1" si="797"/>
        <v>542270</v>
      </c>
      <c r="W410" s="447" t="str">
        <f t="shared" ca="1" si="798"/>
        <v>Indoklás szükséges mivel a FEOR: 132,7%</v>
      </c>
      <c r="X410" s="571">
        <f t="shared" ca="1" si="799"/>
        <v>0</v>
      </c>
      <c r="Y410" s="554">
        <f t="shared" ca="1" si="800"/>
        <v>479885</v>
      </c>
      <c r="Z410" s="554">
        <f t="shared" ca="1" si="801"/>
        <v>62385</v>
      </c>
      <c r="AA410" s="101"/>
      <c r="AB410" s="448">
        <v>8410920832</v>
      </c>
      <c r="AC410" s="449" t="s">
        <v>207</v>
      </c>
      <c r="AD410" s="483" t="s">
        <v>45</v>
      </c>
      <c r="AE410" s="450" t="s">
        <v>22</v>
      </c>
      <c r="AF410" s="99" t="s">
        <v>120</v>
      </c>
      <c r="AG410" s="99" t="s">
        <v>157</v>
      </c>
      <c r="AH410" s="451" t="s">
        <v>131</v>
      </c>
      <c r="AI410" s="154">
        <v>45078</v>
      </c>
      <c r="AJ410" s="100" t="str">
        <f>IF(AI410&gt;0,
(IF(AI410&lt;Hónapok!$A$10,Admin!$A$28,
(IF(AI410&lt;Hónapok!$A$22,Admin!$B$28,
(IF(AI410&lt;Hónapok!$A$34,Admin!$C$28,
(IF(AI410&lt;Hónapok!$A$46,Admin!$D$28,"")))))))),"")</f>
        <v>3. mérföldkő</v>
      </c>
      <c r="AK410" s="467" t="s">
        <v>7</v>
      </c>
      <c r="AL410" s="101" t="s">
        <v>26</v>
      </c>
      <c r="AM410" s="900">
        <v>835000</v>
      </c>
      <c r="AN410" s="860">
        <f t="shared" si="908"/>
        <v>108550</v>
      </c>
      <c r="AO410" s="101">
        <v>174</v>
      </c>
      <c r="AP410" s="111">
        <v>100</v>
      </c>
      <c r="AQ410" s="843">
        <f t="shared" si="779"/>
        <v>0.57471264367816088</v>
      </c>
      <c r="AR410" s="455">
        <f t="shared" si="780"/>
        <v>479885</v>
      </c>
      <c r="AS410" s="455">
        <f t="shared" si="781"/>
        <v>62385</v>
      </c>
      <c r="AT410" s="102">
        <f t="shared" si="782"/>
        <v>6.8827861521292277E-8</v>
      </c>
      <c r="AU410" s="116">
        <v>0.13</v>
      </c>
      <c r="AV410" s="565" t="str">
        <f>VLOOKUP(LEFT(AB410,10),Törzsszám!$A$1:$B$908,2,0)</f>
        <v>10000261</v>
      </c>
      <c r="AW410" s="615">
        <f t="shared" ca="1" si="783"/>
        <v>0</v>
      </c>
      <c r="AX410" s="471" t="s">
        <v>4606</v>
      </c>
      <c r="AY410" s="486"/>
      <c r="AZ410" s="502"/>
      <c r="BA410" s="671"/>
      <c r="BB410" s="649"/>
      <c r="BC410" s="649"/>
      <c r="BD410" s="672"/>
      <c r="BE410" s="450" t="s">
        <v>208</v>
      </c>
    </row>
    <row r="411" spans="1:57" s="457" customFormat="1" ht="31.5" x14ac:dyDescent="0.25">
      <c r="A411" s="694" t="str">
        <f ca="1">Bérköltség!$B411</f>
        <v>FEOR</v>
      </c>
      <c r="B411" s="694" t="str">
        <f ca="1">IFERROR(
IF(AND(Bérköltség!$F411="",H411="NA"),"HIÁNYOS ADATOK",
IF(Bérköltség!$F411&lt;Bérköltség!$U411,Admin!$B$18,Admin!$B$17)),
"")</f>
        <v>FEOR</v>
      </c>
      <c r="C411" s="437">
        <f>IFERROR(INDEX('Historikus berek_2021-2'!$A$1:$F$903,MATCH(AB411,'Historikus berek_2021-2'!$A$1:$A$903,0),4),"")</f>
        <v>770000</v>
      </c>
      <c r="D411" s="438">
        <f t="shared" si="784"/>
        <v>442528.7356321839</v>
      </c>
      <c r="E411" s="437">
        <f t="shared" si="785"/>
        <v>479885</v>
      </c>
      <c r="F411" s="439">
        <f t="shared" si="786"/>
        <v>42212.578735632182</v>
      </c>
      <c r="G411" s="440">
        <f t="shared" si="787"/>
        <v>500057.47126436775</v>
      </c>
      <c r="H411" s="441">
        <f>IFERROR(INDEX('FEOR kodok'!$A$2:$J$1126,MATCH(Bérköltség!AB411,'FEOR kodok'!$B$2:$B$1126,0),8),"NA")</f>
        <v>2410</v>
      </c>
      <c r="I411" s="436">
        <f ca="1">IFERROR(INDEX('FEOR kodok'!$A$2:$J$1126,MATCH(Bérköltség!AB411,'FEOR kodok'!$B$2:$B$1126,0),10),"NA")</f>
        <v>44</v>
      </c>
      <c r="J411" s="442" t="str">
        <f t="shared" ca="1" si="788"/>
        <v>40–49 éves</v>
      </c>
      <c r="K411" s="436" t="str">
        <f>IFERROR(INDEX(admin_feor[#All],MATCH(Bérköltség!H411,admin_feor[[#All],[Foglalkozás]],0),2),"NA")</f>
        <v>Egyetemi, főiskolai oktató, tanár</v>
      </c>
      <c r="L411" s="438">
        <f ca="1">IFERROR(
INDEX('Admin - FEOR'!$A$4:$F$465,MATCH(Bérköltség!H411,'Admin - FEOR'!$A$4:$A$465,0),
IF(J411="30 év alatt",3,
IF(J411="30–39 éves",4,
IF(J411="40–49 éves",5,
IF(J411="50 év és afelett",6
)))))*1,"NA")</f>
        <v>629398</v>
      </c>
      <c r="M411" s="438">
        <f t="shared" si="789"/>
        <v>835000</v>
      </c>
      <c r="N411" s="443">
        <f t="shared" ca="1" si="790"/>
        <v>1.3266645270560122</v>
      </c>
      <c r="O411" s="438">
        <f ca="1">IFERROR(
INDEX('Admin - FEOR'!$A$4:$F$465,MATCH(Bérköltség!H411,'Admin - FEOR'!$A$4:$A$465,0),
IF(J411="30 év alatt",3,
IF(J411="30–39 éves",4,
IF(J411="40–49 éves",5,
IF(J411="50 év és afelett",6
)))))*1.5,"NA")</f>
        <v>944097</v>
      </c>
      <c r="P411" s="438">
        <f t="shared" ca="1" si="791"/>
        <v>542584.48275862064</v>
      </c>
      <c r="Q411" s="438">
        <f t="shared" si="792"/>
        <v>479885</v>
      </c>
      <c r="R411" s="444">
        <f t="shared" si="793"/>
        <v>0.57471264367816088</v>
      </c>
      <c r="S411" s="438">
        <f t="shared" ca="1" si="794"/>
        <v>0</v>
      </c>
      <c r="T411" s="438">
        <f t="shared" ca="1" si="795"/>
        <v>0</v>
      </c>
      <c r="U411" s="445">
        <f t="shared" ca="1" si="796"/>
        <v>0</v>
      </c>
      <c r="V411" s="446">
        <f t="shared" ca="1" si="797"/>
        <v>542270</v>
      </c>
      <c r="W411" s="447" t="str">
        <f t="shared" ca="1" si="798"/>
        <v>Indoklás szükséges mivel a FEOR: 132,7%</v>
      </c>
      <c r="X411" s="571">
        <f t="shared" ca="1" si="799"/>
        <v>0</v>
      </c>
      <c r="Y411" s="554">
        <f t="shared" ca="1" si="800"/>
        <v>479885</v>
      </c>
      <c r="Z411" s="554">
        <f t="shared" ca="1" si="801"/>
        <v>62385</v>
      </c>
      <c r="AA411" s="101"/>
      <c r="AB411" s="448">
        <v>8410920832</v>
      </c>
      <c r="AC411" s="449" t="s">
        <v>207</v>
      </c>
      <c r="AD411" s="483" t="s">
        <v>45</v>
      </c>
      <c r="AE411" s="450" t="s">
        <v>22</v>
      </c>
      <c r="AF411" s="99" t="s">
        <v>120</v>
      </c>
      <c r="AG411" s="99" t="s">
        <v>157</v>
      </c>
      <c r="AH411" s="451" t="s">
        <v>131</v>
      </c>
      <c r="AI411" s="154">
        <v>45108</v>
      </c>
      <c r="AJ411" s="100" t="str">
        <f>IF(AI411&gt;0,
(IF(AI411&lt;Hónapok!$A$10,Admin!$A$28,
(IF(AI411&lt;Hónapok!$A$22,Admin!$B$28,
(IF(AI411&lt;Hónapok!$A$34,Admin!$C$28,
(IF(AI411&lt;Hónapok!$A$46,Admin!$D$28,"")))))))),"")</f>
        <v>3. mérföldkő</v>
      </c>
      <c r="AK411" s="467" t="s">
        <v>7</v>
      </c>
      <c r="AL411" s="101" t="s">
        <v>26</v>
      </c>
      <c r="AM411" s="900">
        <v>835000</v>
      </c>
      <c r="AN411" s="860">
        <f t="shared" si="908"/>
        <v>108550</v>
      </c>
      <c r="AO411" s="101">
        <v>174</v>
      </c>
      <c r="AP411" s="111">
        <v>100</v>
      </c>
      <c r="AQ411" s="682">
        <f t="shared" si="779"/>
        <v>0.57471264367816088</v>
      </c>
      <c r="AR411" s="455">
        <f t="shared" si="780"/>
        <v>479885</v>
      </c>
      <c r="AS411" s="455">
        <f t="shared" si="781"/>
        <v>62385</v>
      </c>
      <c r="AT411" s="102">
        <f t="shared" si="782"/>
        <v>6.8827861521292277E-8</v>
      </c>
      <c r="AU411" s="116">
        <v>0.13</v>
      </c>
      <c r="AV411" s="565" t="str">
        <f>VLOOKUP(LEFT(AB411,10),Törzsszám!$A$1:$B$908,2,0)</f>
        <v>10000261</v>
      </c>
      <c r="AW411" s="615">
        <f t="shared" ca="1" si="783"/>
        <v>0</v>
      </c>
      <c r="AX411" s="471" t="s">
        <v>4610</v>
      </c>
      <c r="AY411" s="486"/>
      <c r="AZ411" s="502"/>
      <c r="BA411" s="671"/>
      <c r="BB411" s="649"/>
      <c r="BC411" s="649"/>
      <c r="BD411" s="672"/>
      <c r="BE411" s="450" t="s">
        <v>208</v>
      </c>
    </row>
    <row r="412" spans="1:57" s="457" customFormat="1" ht="31.5" x14ac:dyDescent="0.25">
      <c r="A412" s="694" t="str">
        <f ca="1">Bérköltség!$B412</f>
        <v>FEOR</v>
      </c>
      <c r="B412" s="694" t="str">
        <f ca="1">IFERROR(
IF(AND(Bérköltség!$F412="",H412="NA"),"HIÁNYOS ADATOK",
IF(Bérköltség!$F412&lt;Bérköltség!$U412,Admin!$B$18,Admin!$B$17)),
"")</f>
        <v>FEOR</v>
      </c>
      <c r="C412" s="437">
        <f>IFERROR(INDEX('Historikus berek_2021-2'!$A$1:$F$903,MATCH(AB412,'Historikus berek_2021-2'!$A$1:$A$903,0),4),"")</f>
        <v>770000</v>
      </c>
      <c r="D412" s="438">
        <f t="shared" si="784"/>
        <v>442528.7356321839</v>
      </c>
      <c r="E412" s="437">
        <f t="shared" si="785"/>
        <v>479885</v>
      </c>
      <c r="F412" s="439">
        <f t="shared" si="786"/>
        <v>42212.578735632182</v>
      </c>
      <c r="G412" s="440">
        <f t="shared" si="787"/>
        <v>500057.47126436775</v>
      </c>
      <c r="H412" s="441">
        <f>IFERROR(INDEX('FEOR kodok'!$A$2:$J$1126,MATCH(Bérköltség!AB412,'FEOR kodok'!$B$2:$B$1126,0),8),"NA")</f>
        <v>2410</v>
      </c>
      <c r="I412" s="436">
        <f ca="1">IFERROR(INDEX('FEOR kodok'!$A$2:$J$1126,MATCH(Bérköltség!AB412,'FEOR kodok'!$B$2:$B$1126,0),10),"NA")</f>
        <v>44</v>
      </c>
      <c r="J412" s="442" t="str">
        <f t="shared" ca="1" si="788"/>
        <v>40–49 éves</v>
      </c>
      <c r="K412" s="436" t="str">
        <f>IFERROR(INDEX(admin_feor[#All],MATCH(Bérköltség!H412,admin_feor[[#All],[Foglalkozás]],0),2),"NA")</f>
        <v>Egyetemi, főiskolai oktató, tanár</v>
      </c>
      <c r="L412" s="438">
        <f ca="1">IFERROR(
INDEX('Admin - FEOR'!$A$4:$F$465,MATCH(Bérköltség!H412,'Admin - FEOR'!$A$4:$A$465,0),
IF(J412="30 év alatt",3,
IF(J412="30–39 éves",4,
IF(J412="40–49 éves",5,
IF(J412="50 év és afelett",6
)))))*1,"NA")</f>
        <v>629398</v>
      </c>
      <c r="M412" s="438">
        <f t="shared" si="789"/>
        <v>835000</v>
      </c>
      <c r="N412" s="443">
        <f t="shared" ca="1" si="790"/>
        <v>1.3266645270560122</v>
      </c>
      <c r="O412" s="438">
        <f ca="1">IFERROR(
INDEX('Admin - FEOR'!$A$4:$F$465,MATCH(Bérköltség!H412,'Admin - FEOR'!$A$4:$A$465,0),
IF(J412="30 év alatt",3,
IF(J412="30–39 éves",4,
IF(J412="40–49 éves",5,
IF(J412="50 év és afelett",6
)))))*1.5,"NA")</f>
        <v>944097</v>
      </c>
      <c r="P412" s="438">
        <f t="shared" ca="1" si="791"/>
        <v>542584.48275862064</v>
      </c>
      <c r="Q412" s="438">
        <f t="shared" si="792"/>
        <v>479885</v>
      </c>
      <c r="R412" s="444">
        <f t="shared" si="793"/>
        <v>0.57471264367816088</v>
      </c>
      <c r="S412" s="438">
        <f t="shared" ca="1" si="794"/>
        <v>0</v>
      </c>
      <c r="T412" s="438">
        <f t="shared" ca="1" si="795"/>
        <v>0</v>
      </c>
      <c r="U412" s="445">
        <f t="shared" ca="1" si="796"/>
        <v>0</v>
      </c>
      <c r="V412" s="446">
        <f t="shared" ca="1" si="797"/>
        <v>542270</v>
      </c>
      <c r="W412" s="447" t="str">
        <f t="shared" ca="1" si="798"/>
        <v>Indoklás szükséges mivel a FEOR: 132,7%</v>
      </c>
      <c r="X412" s="571">
        <f t="shared" ca="1" si="799"/>
        <v>0</v>
      </c>
      <c r="Y412" s="554">
        <f t="shared" ca="1" si="800"/>
        <v>479885</v>
      </c>
      <c r="Z412" s="554">
        <f t="shared" ca="1" si="801"/>
        <v>62385</v>
      </c>
      <c r="AA412" s="101"/>
      <c r="AB412" s="448">
        <v>8410920832</v>
      </c>
      <c r="AC412" s="449" t="s">
        <v>207</v>
      </c>
      <c r="AD412" s="483" t="s">
        <v>45</v>
      </c>
      <c r="AE412" s="450" t="s">
        <v>22</v>
      </c>
      <c r="AF412" s="99" t="s">
        <v>120</v>
      </c>
      <c r="AG412" s="99" t="s">
        <v>157</v>
      </c>
      <c r="AH412" s="451" t="s">
        <v>131</v>
      </c>
      <c r="AI412" s="154">
        <v>45139</v>
      </c>
      <c r="AJ412" s="100" t="str">
        <f>IF(AI412&gt;0,
(IF(AI412&lt;Hónapok!$A$10,Admin!$A$28,
(IF(AI412&lt;Hónapok!$A$22,Admin!$B$28,
(IF(AI412&lt;Hónapok!$A$34,Admin!$C$28,
(IF(AI412&lt;Hónapok!$A$46,Admin!$D$28,"")))))))),"")</f>
        <v>3. mérföldkő</v>
      </c>
      <c r="AK412" s="469" t="s">
        <v>7</v>
      </c>
      <c r="AL412" s="101" t="s">
        <v>26</v>
      </c>
      <c r="AM412" s="900">
        <v>835000</v>
      </c>
      <c r="AN412" s="860">
        <f t="shared" si="908"/>
        <v>108550</v>
      </c>
      <c r="AO412" s="101">
        <v>174</v>
      </c>
      <c r="AP412" s="111">
        <v>100</v>
      </c>
      <c r="AQ412" s="454">
        <f t="shared" si="779"/>
        <v>0.57471264367816088</v>
      </c>
      <c r="AR412" s="455">
        <f t="shared" si="780"/>
        <v>479885</v>
      </c>
      <c r="AS412" s="455">
        <f t="shared" si="781"/>
        <v>62385</v>
      </c>
      <c r="AT412" s="102">
        <f t="shared" si="782"/>
        <v>6.8827861521292277E-8</v>
      </c>
      <c r="AU412" s="116">
        <v>0.13</v>
      </c>
      <c r="AV412" s="565" t="str">
        <f>VLOOKUP(LEFT(AB412,10),Törzsszám!$A$1:$B$908,2,0)</f>
        <v>10000261</v>
      </c>
      <c r="AW412" s="615">
        <f t="shared" ca="1" si="783"/>
        <v>0</v>
      </c>
      <c r="AX412" s="471" t="s">
        <v>4613</v>
      </c>
      <c r="AY412" s="502"/>
      <c r="AZ412" s="502"/>
      <c r="BA412" s="671"/>
      <c r="BB412" s="649"/>
      <c r="BC412" s="649"/>
      <c r="BD412" s="672"/>
      <c r="BE412" s="450" t="s">
        <v>208</v>
      </c>
    </row>
    <row r="413" spans="1:57" s="457" customFormat="1" ht="31.5" x14ac:dyDescent="0.25">
      <c r="A413" s="694" t="str">
        <f ca="1">Bérköltség!$B413</f>
        <v>FEOR</v>
      </c>
      <c r="B413" s="694" t="str">
        <f ca="1">IFERROR(
IF(AND(Bérköltség!$F413="",H413="NA"),"HIÁNYOS ADATOK",
IF(Bérköltség!$F413&lt;Bérköltség!$U413,Admin!$B$18,Admin!$B$17)),
"")</f>
        <v>FEOR</v>
      </c>
      <c r="C413" s="437">
        <f>IFERROR(INDEX('Historikus berek_2021-2'!$A$1:$F$903,MATCH(AB413,'Historikus berek_2021-2'!$A$1:$A$903,0),4),"")</f>
        <v>770000</v>
      </c>
      <c r="D413" s="438">
        <f t="shared" ref="D413:D415" si="960">IFERROR(C413*AQ413,"NA")</f>
        <v>442528.7356321839</v>
      </c>
      <c r="E413" s="437">
        <f t="shared" ref="E413:E415" si="961">AR413</f>
        <v>479885</v>
      </c>
      <c r="F413" s="439">
        <f t="shared" ref="F413:F415" si="962">IFERROR(IF((E413*(1+AU413)-D413*(1+AU413))&lt;0,0,(E413*(1+AU413)-D413*(1+AU413))),"")</f>
        <v>42212.578735632182</v>
      </c>
      <c r="G413" s="440">
        <f t="shared" ref="G413:G415" si="963">IFERROR((E413*(1+AU413)-F413),"")</f>
        <v>500057.47126436775</v>
      </c>
      <c r="H413" s="441">
        <f>IFERROR(INDEX('FEOR kodok'!$A$2:$J$1126,MATCH(Bérköltség!AB413,'FEOR kodok'!$B$2:$B$1126,0),8),"NA")</f>
        <v>2410</v>
      </c>
      <c r="I413" s="436">
        <f ca="1">IFERROR(INDEX('FEOR kodok'!$A$2:$J$1126,MATCH(Bérköltség!AB413,'FEOR kodok'!$B$2:$B$1126,0),10),"NA")</f>
        <v>44</v>
      </c>
      <c r="J413" s="442" t="str">
        <f t="shared" ref="J413:J415" ca="1" si="964">IF(I413="NA","NA",
IF(I413&lt;30,"30 év alatt",
IF(AND(I413&gt;=30,I413&lt;=39),"30–39 éves",
IF(AND(I413&gt;=40,I413&lt;=49),"40–49 éves",
IF(I413&gt;=50,"50 év és afelett",
"")))))</f>
        <v>40–49 éves</v>
      </c>
      <c r="K413" s="436" t="str">
        <f>IFERROR(INDEX(admin_feor[#All],MATCH(Bérköltség!H413,admin_feor[[#All],[Foglalkozás]],0),2),"NA")</f>
        <v>Egyetemi, főiskolai oktató, tanár</v>
      </c>
      <c r="L413" s="438">
        <f ca="1">IFERROR(
INDEX('Admin - FEOR'!$A$4:$F$465,MATCH(Bérköltség!H413,'Admin - FEOR'!$A$4:$A$465,0),
IF(J413="30 év alatt",3,
IF(J413="30–39 éves",4,
IF(J413="40–49 éves",5,
IF(J413="50 év és afelett",6
)))))*1,"NA")</f>
        <v>629398</v>
      </c>
      <c r="M413" s="438">
        <f t="shared" ref="M413:M415" si="965">AM413</f>
        <v>835000</v>
      </c>
      <c r="N413" s="443">
        <f t="shared" ref="N413:N415" ca="1" si="966">IFERROR(
M413/L413,"NA")</f>
        <v>1.3266645270560122</v>
      </c>
      <c r="O413" s="438">
        <f ca="1">IFERROR(
INDEX('Admin - FEOR'!$A$4:$F$465,MATCH(Bérköltség!H413,'Admin - FEOR'!$A$4:$A$465,0),
IF(J413="30 év alatt",3,
IF(J413="30–39 éves",4,
IF(J413="40–49 éves",5,
IF(J413="50 év és afelett",6
)))))*1.5,"NA")</f>
        <v>944097</v>
      </c>
      <c r="P413" s="438">
        <f t="shared" ref="P413:P415" ca="1" si="967">IFERROR(
AQ413*O413,"NA")</f>
        <v>542584.48275862064</v>
      </c>
      <c r="Q413" s="438">
        <f t="shared" ref="Q413:Q415" si="968">IFERROR(AR413,"")</f>
        <v>479885</v>
      </c>
      <c r="R413" s="444">
        <f t="shared" ref="R413:R415" si="969">IFERROR(AQ413,"")</f>
        <v>0.57471264367816088</v>
      </c>
      <c r="S413" s="438">
        <f t="shared" ref="S413:S415" ca="1" si="970">IFERROR(
IF(AR413-P413&lt;0,0,AR413-P413),"NA")</f>
        <v>0</v>
      </c>
      <c r="T413" s="438">
        <f t="shared" ref="T413:T415" ca="1" si="971">IFERROR(
S413*AU413,"NA")</f>
        <v>0</v>
      </c>
      <c r="U413" s="445">
        <f t="shared" ref="U413:U415" ca="1" si="972">IFERROR(
S413+T413,"NA")</f>
        <v>0</v>
      </c>
      <c r="V413" s="446">
        <f t="shared" ref="V413:V415" ca="1" si="973">IFERROR(
IF(U413&gt;0,AR413+AS413-U413,AR413+AS413),"NA")</f>
        <v>542270</v>
      </c>
      <c r="W413" s="447" t="str">
        <f t="shared" ref="W413:W415" ca="1" si="974">IF(P413="NA","FEOR hiányzik",
IF(AND(N413&gt;1,A413="FEOR"),CONCATENATE("Indoklás szükséges mivel a FEOR: ",ROUND(N413*100,1),"%"),"Nem szükséges indoklás.")
)</f>
        <v>Indoklás szükséges mivel a FEOR: 132,7%</v>
      </c>
      <c r="X413" s="571">
        <f t="shared" ref="X413:X415" ca="1" si="975">IF(A413="FEOR",U413,IF(A413="HIÁNYOS ADATOK","HIÁNYOS ADATOK",F413))</f>
        <v>0</v>
      </c>
      <c r="Y413" s="554">
        <f t="shared" ref="Y413:Y415" ca="1" si="976">IF(A413="FEOR",ROUND(V413/(1+AU413),0),IF(A413="HIÁNYOS ADATOK","HIÁNYOS ADATOK",ROUND(G413/(1+AU413),0)))</f>
        <v>479885</v>
      </c>
      <c r="Z413" s="554">
        <f t="shared" ref="Z413:Z415" ca="1" si="977">IF(A413="FEOR",ROUND(V413-Y413,0),IF(A413="HIÁNYOS ADATOK","HIÁNYOS ADATOK",ROUND(G413-Y413,0)))</f>
        <v>62385</v>
      </c>
      <c r="AA413" s="101"/>
      <c r="AB413" s="448">
        <v>8410920832</v>
      </c>
      <c r="AC413" s="449" t="s">
        <v>207</v>
      </c>
      <c r="AD413" s="483" t="s">
        <v>45</v>
      </c>
      <c r="AE413" s="450" t="s">
        <v>22</v>
      </c>
      <c r="AF413" s="99" t="s">
        <v>120</v>
      </c>
      <c r="AG413" s="99" t="s">
        <v>157</v>
      </c>
      <c r="AH413" s="451" t="s">
        <v>131</v>
      </c>
      <c r="AI413" s="154">
        <v>45170</v>
      </c>
      <c r="AJ413" s="100" t="str">
        <f>IF(AI413&gt;0,
(IF(AI413&lt;Hónapok!$A$10,Admin!$A$28,
(IF(AI413&lt;Hónapok!$A$22,Admin!$B$28,
(IF(AI413&lt;Hónapok!$A$34,Admin!$C$28,
(IF(AI413&lt;Hónapok!$A$46,Admin!$D$28,"")))))))),"")</f>
        <v>3. mérföldkő</v>
      </c>
      <c r="AK413" s="469" t="s">
        <v>7</v>
      </c>
      <c r="AL413" s="101" t="s">
        <v>26</v>
      </c>
      <c r="AM413" s="900">
        <v>835000</v>
      </c>
      <c r="AN413" s="860">
        <f t="shared" ref="AN413:AN415" si="978">IFERROR(ROUND(AM413*AU413,0),"")</f>
        <v>108550</v>
      </c>
      <c r="AO413" s="101">
        <v>174</v>
      </c>
      <c r="AP413" s="111">
        <v>100</v>
      </c>
      <c r="AQ413" s="454">
        <f t="shared" ref="AQ413:AQ415" si="979">IFERROR(AP413/AO413,"")</f>
        <v>0.57471264367816088</v>
      </c>
      <c r="AR413" s="455">
        <f t="shared" ref="AR413:AR415" si="980">IFERROR(ROUND(AM413*AP413/AO413,0),"")</f>
        <v>479885</v>
      </c>
      <c r="AS413" s="455">
        <f t="shared" ref="AS413:AS415" si="981">IFERROR(ROUND(AR413*AU413,0),"")</f>
        <v>62385</v>
      </c>
      <c r="AT413" s="102">
        <f t="shared" ref="AT413:AT415" si="982">IFERROR(AP413/AO413-AR413/AM413,"")</f>
        <v>6.8827861521292277E-8</v>
      </c>
      <c r="AU413" s="116">
        <v>0.13</v>
      </c>
      <c r="AV413" s="565" t="str">
        <f>VLOOKUP(LEFT(AB413,10),Törzsszám!$A$1:$B$908,2,0)</f>
        <v>10000261</v>
      </c>
      <c r="AW413" s="615">
        <f t="shared" ref="AW413:AW415" ca="1" si="983">(Y413+Z413)-(AR413+AS413)</f>
        <v>0</v>
      </c>
      <c r="AX413" s="471" t="s">
        <v>4618</v>
      </c>
      <c r="AY413" s="502"/>
      <c r="AZ413" s="502"/>
      <c r="BA413" s="671"/>
      <c r="BB413" s="649"/>
      <c r="BC413" s="649"/>
      <c r="BD413" s="672"/>
      <c r="BE413" s="450" t="s">
        <v>208</v>
      </c>
    </row>
    <row r="414" spans="1:57" s="457" customFormat="1" ht="31.5" x14ac:dyDescent="0.25">
      <c r="A414" s="694" t="str">
        <f ca="1">Bérköltség!$B414</f>
        <v>FEOR</v>
      </c>
      <c r="B414" s="694" t="str">
        <f ca="1">IFERROR(
IF(AND(Bérköltség!$F414="",H414="NA"),"HIÁNYOS ADATOK",
IF(Bérköltség!$F414&lt;Bérköltség!$U414,Admin!$B$18,Admin!$B$17)),
"")</f>
        <v>FEOR</v>
      </c>
      <c r="C414" s="437">
        <f>IFERROR(INDEX('Historikus berek_2021-2'!$A$1:$F$903,MATCH(AB414,'Historikus berek_2021-2'!$A$1:$A$903,0),4),"")</f>
        <v>770000</v>
      </c>
      <c r="D414" s="438">
        <f t="shared" si="960"/>
        <v>442528.7356321839</v>
      </c>
      <c r="E414" s="437">
        <f t="shared" si="961"/>
        <v>479885</v>
      </c>
      <c r="F414" s="439">
        <f t="shared" si="962"/>
        <v>42212.578735632182</v>
      </c>
      <c r="G414" s="440">
        <f t="shared" si="963"/>
        <v>500057.47126436775</v>
      </c>
      <c r="H414" s="441">
        <f>IFERROR(INDEX('FEOR kodok'!$A$2:$J$1126,MATCH(Bérköltség!AB414,'FEOR kodok'!$B$2:$B$1126,0),8),"NA")</f>
        <v>2410</v>
      </c>
      <c r="I414" s="436">
        <f ca="1">IFERROR(INDEX('FEOR kodok'!$A$2:$J$1126,MATCH(Bérköltség!AB414,'FEOR kodok'!$B$2:$B$1126,0),10),"NA")</f>
        <v>44</v>
      </c>
      <c r="J414" s="442" t="str">
        <f t="shared" ca="1" si="964"/>
        <v>40–49 éves</v>
      </c>
      <c r="K414" s="436" t="str">
        <f>IFERROR(INDEX(admin_feor[#All],MATCH(Bérköltség!H414,admin_feor[[#All],[Foglalkozás]],0),2),"NA")</f>
        <v>Egyetemi, főiskolai oktató, tanár</v>
      </c>
      <c r="L414" s="438">
        <f ca="1">IFERROR(
INDEX('Admin - FEOR'!$A$4:$F$465,MATCH(Bérköltség!H414,'Admin - FEOR'!$A$4:$A$465,0),
IF(J414="30 év alatt",3,
IF(J414="30–39 éves",4,
IF(J414="40–49 éves",5,
IF(J414="50 év és afelett",6
)))))*1,"NA")</f>
        <v>629398</v>
      </c>
      <c r="M414" s="438">
        <f t="shared" si="965"/>
        <v>835000</v>
      </c>
      <c r="N414" s="443">
        <f t="shared" ca="1" si="966"/>
        <v>1.3266645270560122</v>
      </c>
      <c r="O414" s="438">
        <f ca="1">IFERROR(
INDEX('Admin - FEOR'!$A$4:$F$465,MATCH(Bérköltség!H414,'Admin - FEOR'!$A$4:$A$465,0),
IF(J414="30 év alatt",3,
IF(J414="30–39 éves",4,
IF(J414="40–49 éves",5,
IF(J414="50 év és afelett",6
)))))*1.5,"NA")</f>
        <v>944097</v>
      </c>
      <c r="P414" s="438">
        <f t="shared" ca="1" si="967"/>
        <v>542584.48275862064</v>
      </c>
      <c r="Q414" s="438">
        <f t="shared" si="968"/>
        <v>479885</v>
      </c>
      <c r="R414" s="444">
        <f t="shared" si="969"/>
        <v>0.57471264367816088</v>
      </c>
      <c r="S414" s="438">
        <f t="shared" ca="1" si="970"/>
        <v>0</v>
      </c>
      <c r="T414" s="438">
        <f t="shared" ca="1" si="971"/>
        <v>0</v>
      </c>
      <c r="U414" s="445">
        <f t="shared" ca="1" si="972"/>
        <v>0</v>
      </c>
      <c r="V414" s="446">
        <f t="shared" ca="1" si="973"/>
        <v>542270</v>
      </c>
      <c r="W414" s="447" t="str">
        <f t="shared" ca="1" si="974"/>
        <v>Indoklás szükséges mivel a FEOR: 132,7%</v>
      </c>
      <c r="X414" s="571">
        <f t="shared" ca="1" si="975"/>
        <v>0</v>
      </c>
      <c r="Y414" s="554">
        <f t="shared" ca="1" si="976"/>
        <v>479885</v>
      </c>
      <c r="Z414" s="554">
        <f t="shared" ca="1" si="977"/>
        <v>62385</v>
      </c>
      <c r="AA414" s="101"/>
      <c r="AB414" s="448">
        <v>8410920832</v>
      </c>
      <c r="AC414" s="449" t="s">
        <v>207</v>
      </c>
      <c r="AD414" s="483" t="s">
        <v>45</v>
      </c>
      <c r="AE414" s="450" t="s">
        <v>22</v>
      </c>
      <c r="AF414" s="99" t="s">
        <v>120</v>
      </c>
      <c r="AG414" s="99" t="s">
        <v>157</v>
      </c>
      <c r="AH414" s="451" t="s">
        <v>131</v>
      </c>
      <c r="AI414" s="154">
        <v>45200</v>
      </c>
      <c r="AJ414" s="100" t="str">
        <f>IF(AI414&gt;0,
(IF(AI414&lt;Hónapok!$A$10,Admin!$A$28,
(IF(AI414&lt;Hónapok!$A$22,Admin!$B$28,
(IF(AI414&lt;Hónapok!$A$34,Admin!$C$28,
(IF(AI414&lt;Hónapok!$A$46,Admin!$D$28,"")))))))),"")</f>
        <v>3. mérföldkő</v>
      </c>
      <c r="AK414" s="469" t="s">
        <v>8</v>
      </c>
      <c r="AL414" s="101" t="s">
        <v>26</v>
      </c>
      <c r="AM414" s="900">
        <v>835000</v>
      </c>
      <c r="AN414" s="860">
        <f t="shared" si="978"/>
        <v>108550</v>
      </c>
      <c r="AO414" s="101">
        <v>174</v>
      </c>
      <c r="AP414" s="111">
        <v>100</v>
      </c>
      <c r="AQ414" s="454">
        <f t="shared" si="979"/>
        <v>0.57471264367816088</v>
      </c>
      <c r="AR414" s="455">
        <f t="shared" si="980"/>
        <v>479885</v>
      </c>
      <c r="AS414" s="455">
        <f t="shared" si="981"/>
        <v>62385</v>
      </c>
      <c r="AT414" s="102">
        <f t="shared" si="982"/>
        <v>6.8827861521292277E-8</v>
      </c>
      <c r="AU414" s="116">
        <v>0.13</v>
      </c>
      <c r="AV414" s="565" t="str">
        <f>VLOOKUP(LEFT(AB414,10),Törzsszám!$A$1:$B$908,2,0)</f>
        <v>10000261</v>
      </c>
      <c r="AW414" s="615">
        <f t="shared" ca="1" si="983"/>
        <v>0</v>
      </c>
      <c r="AX414" s="468"/>
      <c r="AY414" s="502"/>
      <c r="AZ414" s="502"/>
      <c r="BA414" s="671"/>
      <c r="BB414" s="649"/>
      <c r="BC414" s="649"/>
      <c r="BD414" s="672"/>
      <c r="BE414" s="450" t="s">
        <v>208</v>
      </c>
    </row>
    <row r="415" spans="1:57" s="457" customFormat="1" ht="31.5" x14ac:dyDescent="0.25">
      <c r="A415" s="694" t="str">
        <f ca="1">Bérköltség!$B415</f>
        <v>FEOR</v>
      </c>
      <c r="B415" s="694" t="str">
        <f ca="1">IFERROR(
IF(AND(Bérköltség!$F415="",H415="NA"),"HIÁNYOS ADATOK",
IF(Bérköltség!$F415&lt;Bérköltség!$U415,Admin!$B$18,Admin!$B$17)),
"")</f>
        <v>FEOR</v>
      </c>
      <c r="C415" s="437">
        <f>IFERROR(INDEX('Historikus berek_2021-2'!$A$1:$F$903,MATCH(AB415,'Historikus berek_2021-2'!$A$1:$A$903,0),4),"")</f>
        <v>770000</v>
      </c>
      <c r="D415" s="438">
        <f t="shared" si="960"/>
        <v>442528.7356321839</v>
      </c>
      <c r="E415" s="437">
        <f t="shared" si="961"/>
        <v>479885</v>
      </c>
      <c r="F415" s="439">
        <f t="shared" si="962"/>
        <v>42212.578735632182</v>
      </c>
      <c r="G415" s="440">
        <f t="shared" si="963"/>
        <v>500057.47126436775</v>
      </c>
      <c r="H415" s="441">
        <f>IFERROR(INDEX('FEOR kodok'!$A$2:$J$1126,MATCH(Bérköltség!AB415,'FEOR kodok'!$B$2:$B$1126,0),8),"NA")</f>
        <v>2410</v>
      </c>
      <c r="I415" s="436">
        <f ca="1">IFERROR(INDEX('FEOR kodok'!$A$2:$J$1126,MATCH(Bérköltség!AB415,'FEOR kodok'!$B$2:$B$1126,0),10),"NA")</f>
        <v>44</v>
      </c>
      <c r="J415" s="442" t="str">
        <f t="shared" ca="1" si="964"/>
        <v>40–49 éves</v>
      </c>
      <c r="K415" s="436" t="str">
        <f>IFERROR(INDEX(admin_feor[#All],MATCH(Bérköltség!H415,admin_feor[[#All],[Foglalkozás]],0),2),"NA")</f>
        <v>Egyetemi, főiskolai oktató, tanár</v>
      </c>
      <c r="L415" s="438">
        <f ca="1">IFERROR(
INDEX('Admin - FEOR'!$A$4:$F$465,MATCH(Bérköltség!H415,'Admin - FEOR'!$A$4:$A$465,0),
IF(J415="30 év alatt",3,
IF(J415="30–39 éves",4,
IF(J415="40–49 éves",5,
IF(J415="50 év és afelett",6
)))))*1,"NA")</f>
        <v>629398</v>
      </c>
      <c r="M415" s="438">
        <f t="shared" si="965"/>
        <v>835000</v>
      </c>
      <c r="N415" s="443">
        <f t="shared" ca="1" si="966"/>
        <v>1.3266645270560122</v>
      </c>
      <c r="O415" s="438">
        <f ca="1">IFERROR(
INDEX('Admin - FEOR'!$A$4:$F$465,MATCH(Bérköltség!H415,'Admin - FEOR'!$A$4:$A$465,0),
IF(J415="30 év alatt",3,
IF(J415="30–39 éves",4,
IF(J415="40–49 éves",5,
IF(J415="50 év és afelett",6
)))))*1.5,"NA")</f>
        <v>944097</v>
      </c>
      <c r="P415" s="438">
        <f t="shared" ca="1" si="967"/>
        <v>542584.48275862064</v>
      </c>
      <c r="Q415" s="438">
        <f t="shared" si="968"/>
        <v>479885</v>
      </c>
      <c r="R415" s="444">
        <f t="shared" si="969"/>
        <v>0.57471264367816088</v>
      </c>
      <c r="S415" s="438">
        <f t="shared" ca="1" si="970"/>
        <v>0</v>
      </c>
      <c r="T415" s="438">
        <f t="shared" ca="1" si="971"/>
        <v>0</v>
      </c>
      <c r="U415" s="445">
        <f t="shared" ca="1" si="972"/>
        <v>0</v>
      </c>
      <c r="V415" s="446">
        <f t="shared" ca="1" si="973"/>
        <v>542270</v>
      </c>
      <c r="W415" s="447" t="str">
        <f t="shared" ca="1" si="974"/>
        <v>Indoklás szükséges mivel a FEOR: 132,7%</v>
      </c>
      <c r="X415" s="571">
        <f t="shared" ca="1" si="975"/>
        <v>0</v>
      </c>
      <c r="Y415" s="554">
        <f t="shared" ca="1" si="976"/>
        <v>479885</v>
      </c>
      <c r="Z415" s="554">
        <f t="shared" ca="1" si="977"/>
        <v>62385</v>
      </c>
      <c r="AA415" s="101"/>
      <c r="AB415" s="448">
        <v>8410920832</v>
      </c>
      <c r="AC415" s="449" t="s">
        <v>207</v>
      </c>
      <c r="AD415" s="483" t="s">
        <v>45</v>
      </c>
      <c r="AE415" s="450" t="s">
        <v>22</v>
      </c>
      <c r="AF415" s="99" t="s">
        <v>120</v>
      </c>
      <c r="AG415" s="99" t="s">
        <v>157</v>
      </c>
      <c r="AH415" s="451" t="s">
        <v>131</v>
      </c>
      <c r="AI415" s="154">
        <v>45231</v>
      </c>
      <c r="AJ415" s="100" t="str">
        <f>IF(AI415&gt;0,
(IF(AI415&lt;Hónapok!$A$10,Admin!$A$28,
(IF(AI415&lt;Hónapok!$A$22,Admin!$B$28,
(IF(AI415&lt;Hónapok!$A$34,Admin!$C$28,
(IF(AI415&lt;Hónapok!$A$46,Admin!$D$28,"")))))))),"")</f>
        <v>3. mérföldkő</v>
      </c>
      <c r="AK415" s="469" t="s">
        <v>8</v>
      </c>
      <c r="AL415" s="101" t="s">
        <v>26</v>
      </c>
      <c r="AM415" s="900">
        <v>835000</v>
      </c>
      <c r="AN415" s="860">
        <f t="shared" si="978"/>
        <v>108550</v>
      </c>
      <c r="AO415" s="101">
        <v>174</v>
      </c>
      <c r="AP415" s="111">
        <v>100</v>
      </c>
      <c r="AQ415" s="454">
        <f t="shared" si="979"/>
        <v>0.57471264367816088</v>
      </c>
      <c r="AR415" s="455">
        <f t="shared" si="980"/>
        <v>479885</v>
      </c>
      <c r="AS415" s="455">
        <f t="shared" si="981"/>
        <v>62385</v>
      </c>
      <c r="AT415" s="102">
        <f t="shared" si="982"/>
        <v>6.8827861521292277E-8</v>
      </c>
      <c r="AU415" s="116">
        <v>0.13</v>
      </c>
      <c r="AV415" s="565" t="str">
        <f>VLOOKUP(LEFT(AB415,10),Törzsszám!$A$1:$B$908,2,0)</f>
        <v>10000261</v>
      </c>
      <c r="AW415" s="615">
        <f t="shared" ca="1" si="983"/>
        <v>0</v>
      </c>
      <c r="AX415" s="468"/>
      <c r="AY415" s="502"/>
      <c r="AZ415" s="502"/>
      <c r="BA415" s="671"/>
      <c r="BB415" s="649"/>
      <c r="BC415" s="649"/>
      <c r="BD415" s="672"/>
      <c r="BE415" s="450" t="s">
        <v>208</v>
      </c>
    </row>
    <row r="416" spans="1:57" s="457" customFormat="1" ht="31.5" x14ac:dyDescent="0.25">
      <c r="A416" s="694" t="str">
        <f ca="1">Bérköltség!$B416</f>
        <v>FEOR</v>
      </c>
      <c r="B416" s="694" t="str">
        <f ca="1">IFERROR(
IF(AND(Bérköltség!$F416="",H416="NA"),"HIÁNYOS ADATOK",
IF(Bérköltség!$F416&lt;Bérköltség!$U416,Admin!$B$18,Admin!$B$17)),
"")</f>
        <v>FEOR</v>
      </c>
      <c r="C416" s="437">
        <f>IFERROR(INDEX('Historikus berek_2021-2'!$A$1:$F$903,MATCH(AB416,'Historikus berek_2021-2'!$A$1:$A$903,0),4),"")</f>
        <v>426900</v>
      </c>
      <c r="D416" s="438">
        <f t="shared" si="784"/>
        <v>377831.03448275861</v>
      </c>
      <c r="E416" s="437">
        <f t="shared" si="785"/>
        <v>656713</v>
      </c>
      <c r="F416" s="439">
        <f t="shared" si="786"/>
        <v>315136.62103448279</v>
      </c>
      <c r="G416" s="440">
        <f t="shared" si="787"/>
        <v>426949.06896551716</v>
      </c>
      <c r="H416" s="441">
        <f>IFERROR(INDEX('FEOR kodok'!$A$2:$J$1126,MATCH(Bérköltség!AB416,'FEOR kodok'!$B$2:$B$1126,0),8),"NA")</f>
        <v>2410</v>
      </c>
      <c r="I416" s="436">
        <f ca="1">IFERROR(INDEX('FEOR kodok'!$A$2:$J$1126,MATCH(Bérköltség!AB416,'FEOR kodok'!$B$2:$B$1126,0),10),"NA")</f>
        <v>44</v>
      </c>
      <c r="J416" s="442" t="str">
        <f t="shared" ca="1" si="788"/>
        <v>40–49 éves</v>
      </c>
      <c r="K416" s="436" t="str">
        <f>IFERROR(INDEX(admin_feor[#All],MATCH(Bérköltség!H416,admin_feor[[#All],[Foglalkozás]],0),2),"NA")</f>
        <v>Egyetemi, főiskolai oktató, tanár</v>
      </c>
      <c r="L416" s="438">
        <f ca="1">IFERROR(
INDEX('Admin - FEOR'!$A$4:$F$465,MATCH(Bérköltség!H416,'Admin - FEOR'!$A$4:$A$465,0),
IF(J416="30 év alatt",3,
IF(J416="30–39 éves",4,
IF(J416="40–49 éves",5,
IF(J416="50 év és afelett",6
)))))*1,"NA")</f>
        <v>629398</v>
      </c>
      <c r="M416" s="438">
        <f t="shared" si="789"/>
        <v>742000</v>
      </c>
      <c r="N416" s="443">
        <f t="shared" ca="1" si="790"/>
        <v>1.1789042863180372</v>
      </c>
      <c r="O416" s="438">
        <f ca="1">IFERROR(
INDEX('Admin - FEOR'!$A$4:$F$465,MATCH(Bérköltség!H416,'Admin - FEOR'!$A$4:$A$465,0),
IF(J416="30 év alatt",3,
IF(J416="30–39 éves",4,
IF(J416="40–49 éves",5,
IF(J416="50 év és afelett",6
)))))*1.5,"NA")</f>
        <v>944097</v>
      </c>
      <c r="P416" s="438">
        <f t="shared" ca="1" si="791"/>
        <v>835580.10344827594</v>
      </c>
      <c r="Q416" s="438">
        <f t="shared" si="792"/>
        <v>656713</v>
      </c>
      <c r="R416" s="444">
        <f t="shared" si="793"/>
        <v>0.88505747126436785</v>
      </c>
      <c r="S416" s="438">
        <f t="shared" ca="1" si="794"/>
        <v>0</v>
      </c>
      <c r="T416" s="438">
        <f t="shared" ca="1" si="795"/>
        <v>0</v>
      </c>
      <c r="U416" s="445">
        <f t="shared" ca="1" si="796"/>
        <v>0</v>
      </c>
      <c r="V416" s="446">
        <f t="shared" ca="1" si="797"/>
        <v>742086</v>
      </c>
      <c r="W416" s="447" t="str">
        <f t="shared" ca="1" si="798"/>
        <v>Indoklás szükséges mivel a FEOR: 117,9%</v>
      </c>
      <c r="X416" s="571">
        <f t="shared" ca="1" si="799"/>
        <v>0</v>
      </c>
      <c r="Y416" s="554">
        <f t="shared" ca="1" si="800"/>
        <v>656713</v>
      </c>
      <c r="Z416" s="554">
        <f t="shared" ca="1" si="801"/>
        <v>85373</v>
      </c>
      <c r="AA416" s="573">
        <v>2</v>
      </c>
      <c r="AB416" s="448">
        <v>8411312577</v>
      </c>
      <c r="AC416" s="449" t="s">
        <v>143</v>
      </c>
      <c r="AD416" s="483" t="s">
        <v>45</v>
      </c>
      <c r="AE416" s="450" t="s">
        <v>22</v>
      </c>
      <c r="AF416" s="99" t="s">
        <v>121</v>
      </c>
      <c r="AG416" s="99" t="s">
        <v>128</v>
      </c>
      <c r="AH416" s="451" t="s">
        <v>131</v>
      </c>
      <c r="AI416" s="154">
        <v>44743</v>
      </c>
      <c r="AJ416" s="100" t="str">
        <f>IF(AI416&gt;0,
(IF(AI416&lt;Hónapok!$A$10,Admin!$A$28,
(IF(AI416&lt;Hónapok!$A$22,Admin!$B$28,
(IF(AI416&lt;Hónapok!$A$34,Admin!$C$28,
(IF(AI416&lt;Hónapok!$A$46,Admin!$D$28,"")))))))),"")</f>
        <v>2. mérföldkő</v>
      </c>
      <c r="AK416" s="469" t="s">
        <v>7</v>
      </c>
      <c r="AL416" s="101" t="s">
        <v>26</v>
      </c>
      <c r="AM416" s="900">
        <v>742000</v>
      </c>
      <c r="AN416" s="860">
        <f t="shared" si="908"/>
        <v>96460</v>
      </c>
      <c r="AO416" s="101">
        <v>174</v>
      </c>
      <c r="AP416" s="111">
        <v>154</v>
      </c>
      <c r="AQ416" s="454">
        <f t="shared" si="779"/>
        <v>0.88505747126436785</v>
      </c>
      <c r="AR416" s="455">
        <f t="shared" si="780"/>
        <v>656713</v>
      </c>
      <c r="AS416" s="455">
        <f t="shared" si="781"/>
        <v>85373</v>
      </c>
      <c r="AT416" s="102">
        <f t="shared" si="782"/>
        <v>-4.80218111942321E-7</v>
      </c>
      <c r="AU416" s="116">
        <v>0.13</v>
      </c>
      <c r="AV416" s="565" t="str">
        <f>VLOOKUP(LEFT(AB416,10),Törzsszám!$A$1:$B$908,2,0)</f>
        <v>10000267</v>
      </c>
      <c r="AW416" s="615">
        <f t="shared" ca="1" si="783"/>
        <v>0</v>
      </c>
      <c r="AX416" s="468" t="s">
        <v>209</v>
      </c>
      <c r="AY416" s="486"/>
      <c r="AZ416" s="502"/>
      <c r="BA416" s="671">
        <v>626590</v>
      </c>
      <c r="BB416" s="649">
        <v>81457</v>
      </c>
      <c r="BC416" s="649">
        <f t="shared" ref="BC416:BD422" ca="1" si="984">Y416-BA416</f>
        <v>30123</v>
      </c>
      <c r="BD416" s="672">
        <f t="shared" ca="1" si="984"/>
        <v>3916</v>
      </c>
      <c r="BE416" s="450" t="s">
        <v>142</v>
      </c>
    </row>
    <row r="417" spans="1:57" s="457" customFormat="1" ht="31.5" x14ac:dyDescent="0.25">
      <c r="A417" s="694" t="str">
        <f ca="1">Bérköltség!$B417</f>
        <v>FEOR</v>
      </c>
      <c r="B417" s="694" t="str">
        <f ca="1">IFERROR(
IF(AND(Bérköltség!$F417="",H417="NA"),"HIÁNYOS ADATOK",
IF(Bérköltség!$F417&lt;Bérköltség!$U417,Admin!$B$18,Admin!$B$17)),
"")</f>
        <v>FEOR</v>
      </c>
      <c r="C417" s="437">
        <f>IFERROR(INDEX('Historikus berek_2021-2'!$A$1:$F$903,MATCH(AB417,'Historikus berek_2021-2'!$A$1:$A$903,0),4),"")</f>
        <v>426900</v>
      </c>
      <c r="D417" s="438">
        <f t="shared" si="784"/>
        <v>377831.03448275861</v>
      </c>
      <c r="E417" s="437">
        <f t="shared" si="785"/>
        <v>656713</v>
      </c>
      <c r="F417" s="439">
        <f t="shared" si="786"/>
        <v>315136.62103448279</v>
      </c>
      <c r="G417" s="440">
        <f t="shared" si="787"/>
        <v>426949.06896551716</v>
      </c>
      <c r="H417" s="441">
        <f>IFERROR(INDEX('FEOR kodok'!$A$2:$J$1126,MATCH(Bérköltség!AB417,'FEOR kodok'!$B$2:$B$1126,0),8),"NA")</f>
        <v>2410</v>
      </c>
      <c r="I417" s="436">
        <f ca="1">IFERROR(INDEX('FEOR kodok'!$A$2:$J$1126,MATCH(Bérköltség!AB417,'FEOR kodok'!$B$2:$B$1126,0),10),"NA")</f>
        <v>44</v>
      </c>
      <c r="J417" s="442" t="str">
        <f t="shared" ca="1" si="788"/>
        <v>40–49 éves</v>
      </c>
      <c r="K417" s="436" t="str">
        <f>IFERROR(INDEX(admin_feor[#All],MATCH(Bérköltség!H417,admin_feor[[#All],[Foglalkozás]],0),2),"NA")</f>
        <v>Egyetemi, főiskolai oktató, tanár</v>
      </c>
      <c r="L417" s="438">
        <f ca="1">IFERROR(
INDEX('Admin - FEOR'!$A$4:$F$465,MATCH(Bérköltség!H417,'Admin - FEOR'!$A$4:$A$465,0),
IF(J417="30 év alatt",3,
IF(J417="30–39 éves",4,
IF(J417="40–49 éves",5,
IF(J417="50 év és afelett",6
)))))*1,"NA")</f>
        <v>629398</v>
      </c>
      <c r="M417" s="438">
        <f t="shared" si="789"/>
        <v>742000</v>
      </c>
      <c r="N417" s="443">
        <f t="shared" ca="1" si="790"/>
        <v>1.1789042863180372</v>
      </c>
      <c r="O417" s="438">
        <f ca="1">IFERROR(
INDEX('Admin - FEOR'!$A$4:$F$465,MATCH(Bérköltség!H417,'Admin - FEOR'!$A$4:$A$465,0),
IF(J417="30 év alatt",3,
IF(J417="30–39 éves",4,
IF(J417="40–49 éves",5,
IF(J417="50 év és afelett",6
)))))*1.5,"NA")</f>
        <v>944097</v>
      </c>
      <c r="P417" s="438">
        <f t="shared" ca="1" si="791"/>
        <v>835580.10344827594</v>
      </c>
      <c r="Q417" s="438">
        <f t="shared" si="792"/>
        <v>656713</v>
      </c>
      <c r="R417" s="444">
        <f t="shared" si="793"/>
        <v>0.88505747126436785</v>
      </c>
      <c r="S417" s="438">
        <f t="shared" ca="1" si="794"/>
        <v>0</v>
      </c>
      <c r="T417" s="438">
        <f t="shared" ca="1" si="795"/>
        <v>0</v>
      </c>
      <c r="U417" s="445">
        <f t="shared" ca="1" si="796"/>
        <v>0</v>
      </c>
      <c r="V417" s="446">
        <f t="shared" ca="1" si="797"/>
        <v>742086</v>
      </c>
      <c r="W417" s="447" t="str">
        <f t="shared" ca="1" si="798"/>
        <v>Indoklás szükséges mivel a FEOR: 117,9%</v>
      </c>
      <c r="X417" s="571">
        <f t="shared" ca="1" si="799"/>
        <v>0</v>
      </c>
      <c r="Y417" s="554">
        <f t="shared" ca="1" si="800"/>
        <v>656713</v>
      </c>
      <c r="Z417" s="554">
        <f t="shared" ca="1" si="801"/>
        <v>85373</v>
      </c>
      <c r="AA417" s="573">
        <v>2</v>
      </c>
      <c r="AB417" s="448">
        <v>8411312577</v>
      </c>
      <c r="AC417" s="449" t="s">
        <v>143</v>
      </c>
      <c r="AD417" s="482" t="s">
        <v>45</v>
      </c>
      <c r="AE417" s="450" t="s">
        <v>22</v>
      </c>
      <c r="AF417" s="99" t="s">
        <v>121</v>
      </c>
      <c r="AG417" s="99" t="s">
        <v>128</v>
      </c>
      <c r="AH417" s="451" t="s">
        <v>131</v>
      </c>
      <c r="AI417" s="154">
        <v>44774</v>
      </c>
      <c r="AJ417" s="100" t="str">
        <f>IF(AI417&gt;0,
(IF(AI417&lt;Hónapok!$A$10,Admin!$A$28,
(IF(AI417&lt;Hónapok!$A$22,Admin!$B$28,
(IF(AI417&lt;Hónapok!$A$34,Admin!$C$28,
(IF(AI417&lt;Hónapok!$A$46,Admin!$D$28,"")))))))),"")</f>
        <v>2. mérföldkő</v>
      </c>
      <c r="AK417" s="469" t="s">
        <v>7</v>
      </c>
      <c r="AL417" s="101" t="s">
        <v>26</v>
      </c>
      <c r="AM417" s="900">
        <v>742000</v>
      </c>
      <c r="AN417" s="860">
        <f t="shared" si="908"/>
        <v>96460</v>
      </c>
      <c r="AO417" s="101">
        <v>174</v>
      </c>
      <c r="AP417" s="111">
        <v>154</v>
      </c>
      <c r="AQ417" s="454">
        <f t="shared" si="779"/>
        <v>0.88505747126436785</v>
      </c>
      <c r="AR417" s="455">
        <f t="shared" si="780"/>
        <v>656713</v>
      </c>
      <c r="AS417" s="455">
        <f t="shared" si="781"/>
        <v>85373</v>
      </c>
      <c r="AT417" s="102">
        <f t="shared" si="782"/>
        <v>-4.80218111942321E-7</v>
      </c>
      <c r="AU417" s="116">
        <v>0.13</v>
      </c>
      <c r="AV417" s="565" t="str">
        <f>VLOOKUP(LEFT(AB417,10),Törzsszám!$A$1:$B$908,2,0)</f>
        <v>10000267</v>
      </c>
      <c r="AW417" s="615">
        <f t="shared" ca="1" si="783"/>
        <v>0</v>
      </c>
      <c r="AX417" s="468" t="s">
        <v>218</v>
      </c>
      <c r="AY417" s="486"/>
      <c r="AZ417" s="502"/>
      <c r="BA417" s="671">
        <v>626590</v>
      </c>
      <c r="BB417" s="649">
        <v>81457</v>
      </c>
      <c r="BC417" s="649">
        <f t="shared" ca="1" si="984"/>
        <v>30123</v>
      </c>
      <c r="BD417" s="672">
        <f t="shared" ca="1" si="984"/>
        <v>3916</v>
      </c>
      <c r="BE417" s="450" t="s">
        <v>142</v>
      </c>
    </row>
    <row r="418" spans="1:57" s="457" customFormat="1" ht="31.5" x14ac:dyDescent="0.25">
      <c r="A418" s="694" t="str">
        <f ca="1">Bérköltség!$B418</f>
        <v>FEOR</v>
      </c>
      <c r="B418" s="694" t="str">
        <f ca="1">IFERROR(
IF(AND(Bérköltség!$F418="",H418="NA"),"HIÁNYOS ADATOK",
IF(Bérköltség!$F418&lt;Bérköltség!$U418,Admin!$B$18,Admin!$B$17)),
"")</f>
        <v>FEOR</v>
      </c>
      <c r="C418" s="437">
        <f>IFERROR(INDEX('Historikus berek_2021-2'!$A$1:$F$903,MATCH(AB418,'Historikus berek_2021-2'!$A$1:$A$903,0),4),"")</f>
        <v>426900</v>
      </c>
      <c r="D418" s="438">
        <f t="shared" si="784"/>
        <v>377831.03448275861</v>
      </c>
      <c r="E418" s="437">
        <f t="shared" si="785"/>
        <v>656713</v>
      </c>
      <c r="F418" s="439">
        <f t="shared" si="786"/>
        <v>315136.62103448279</v>
      </c>
      <c r="G418" s="440">
        <f t="shared" si="787"/>
        <v>426949.06896551716</v>
      </c>
      <c r="H418" s="441">
        <f>IFERROR(INDEX('FEOR kodok'!$A$2:$J$1126,MATCH(Bérköltség!AB418,'FEOR kodok'!$B$2:$B$1126,0),8),"NA")</f>
        <v>2410</v>
      </c>
      <c r="I418" s="436">
        <f ca="1">IFERROR(INDEX('FEOR kodok'!$A$2:$J$1126,MATCH(Bérköltség!AB418,'FEOR kodok'!$B$2:$B$1126,0),10),"NA")</f>
        <v>44</v>
      </c>
      <c r="J418" s="442" t="str">
        <f t="shared" ca="1" si="788"/>
        <v>40–49 éves</v>
      </c>
      <c r="K418" s="436" t="str">
        <f>IFERROR(INDEX(admin_feor[#All],MATCH(Bérköltség!H418,admin_feor[[#All],[Foglalkozás]],0),2),"NA")</f>
        <v>Egyetemi, főiskolai oktató, tanár</v>
      </c>
      <c r="L418" s="438">
        <f ca="1">IFERROR(
INDEX('Admin - FEOR'!$A$4:$F$465,MATCH(Bérköltség!H418,'Admin - FEOR'!$A$4:$A$465,0),
IF(J418="30 év alatt",3,
IF(J418="30–39 éves",4,
IF(J418="40–49 éves",5,
IF(J418="50 év és afelett",6
)))))*1,"NA")</f>
        <v>629398</v>
      </c>
      <c r="M418" s="438">
        <f t="shared" si="789"/>
        <v>742000</v>
      </c>
      <c r="N418" s="443">
        <f t="shared" ca="1" si="790"/>
        <v>1.1789042863180372</v>
      </c>
      <c r="O418" s="438">
        <f ca="1">IFERROR(
INDEX('Admin - FEOR'!$A$4:$F$465,MATCH(Bérköltség!H418,'Admin - FEOR'!$A$4:$A$465,0),
IF(J418="30 év alatt",3,
IF(J418="30–39 éves",4,
IF(J418="40–49 éves",5,
IF(J418="50 év és afelett",6
)))))*1.5,"NA")</f>
        <v>944097</v>
      </c>
      <c r="P418" s="438">
        <f t="shared" ca="1" si="791"/>
        <v>835580.10344827594</v>
      </c>
      <c r="Q418" s="438">
        <f t="shared" si="792"/>
        <v>656713</v>
      </c>
      <c r="R418" s="444">
        <f t="shared" si="793"/>
        <v>0.88505747126436785</v>
      </c>
      <c r="S418" s="438">
        <f t="shared" ca="1" si="794"/>
        <v>0</v>
      </c>
      <c r="T418" s="438">
        <f t="shared" ca="1" si="795"/>
        <v>0</v>
      </c>
      <c r="U418" s="445">
        <f t="shared" ca="1" si="796"/>
        <v>0</v>
      </c>
      <c r="V418" s="446">
        <f t="shared" ca="1" si="797"/>
        <v>742086</v>
      </c>
      <c r="W418" s="447" t="str">
        <f t="shared" ca="1" si="798"/>
        <v>Indoklás szükséges mivel a FEOR: 117,9%</v>
      </c>
      <c r="X418" s="571">
        <f t="shared" ca="1" si="799"/>
        <v>0</v>
      </c>
      <c r="Y418" s="554">
        <f t="shared" ca="1" si="800"/>
        <v>656713</v>
      </c>
      <c r="Z418" s="554">
        <f t="shared" ca="1" si="801"/>
        <v>85373</v>
      </c>
      <c r="AA418" s="573">
        <v>2</v>
      </c>
      <c r="AB418" s="448">
        <v>8411312577</v>
      </c>
      <c r="AC418" s="449" t="s">
        <v>143</v>
      </c>
      <c r="AD418" s="483" t="s">
        <v>45</v>
      </c>
      <c r="AE418" s="450" t="s">
        <v>22</v>
      </c>
      <c r="AF418" s="99" t="s">
        <v>121</v>
      </c>
      <c r="AG418" s="99" t="s">
        <v>128</v>
      </c>
      <c r="AH418" s="451" t="s">
        <v>131</v>
      </c>
      <c r="AI418" s="154">
        <v>44805</v>
      </c>
      <c r="AJ418" s="100" t="str">
        <f>IF(AI418&gt;0,
(IF(AI418&lt;Hónapok!$A$10,Admin!$A$28,
(IF(AI418&lt;Hónapok!$A$22,Admin!$B$28,
(IF(AI418&lt;Hónapok!$A$34,Admin!$C$28,
(IF(AI418&lt;Hónapok!$A$46,Admin!$D$28,"")))))))),"")</f>
        <v>2. mérföldkő</v>
      </c>
      <c r="AK418" s="469" t="s">
        <v>7</v>
      </c>
      <c r="AL418" s="101" t="s">
        <v>26</v>
      </c>
      <c r="AM418" s="900">
        <v>742000</v>
      </c>
      <c r="AN418" s="860">
        <f t="shared" si="908"/>
        <v>96460</v>
      </c>
      <c r="AO418" s="101">
        <v>174</v>
      </c>
      <c r="AP418" s="111">
        <v>154</v>
      </c>
      <c r="AQ418" s="454">
        <f t="shared" ref="AQ418:AQ531" si="985">IFERROR(AP418/AO418,"")</f>
        <v>0.88505747126436785</v>
      </c>
      <c r="AR418" s="455">
        <f t="shared" ref="AR418:AR531" si="986">IFERROR(ROUND(AM418*AP418/AO418,0),"")</f>
        <v>656713</v>
      </c>
      <c r="AS418" s="455">
        <f t="shared" ref="AS418:AS531" si="987">IFERROR(ROUND(AR418*AU418,0),"")</f>
        <v>85373</v>
      </c>
      <c r="AT418" s="102">
        <f t="shared" ref="AT418:AT531" si="988">IFERROR(AP418/AO418-AR418/AM418,"")</f>
        <v>-4.80218111942321E-7</v>
      </c>
      <c r="AU418" s="116">
        <v>0.13</v>
      </c>
      <c r="AV418" s="565" t="str">
        <f>VLOOKUP(LEFT(AB418,10),Törzsszám!$A$1:$B$908,2,0)</f>
        <v>10000267</v>
      </c>
      <c r="AW418" s="615">
        <f t="shared" ref="AW418:AW531" ca="1" si="989">(Y418+Z418)-(AR418+AS418)</f>
        <v>0</v>
      </c>
      <c r="AX418" s="479" t="s">
        <v>228</v>
      </c>
      <c r="AY418" s="486"/>
      <c r="AZ418" s="502"/>
      <c r="BA418" s="671">
        <v>626590</v>
      </c>
      <c r="BB418" s="649">
        <v>81457</v>
      </c>
      <c r="BC418" s="649">
        <f t="shared" ca="1" si="984"/>
        <v>30123</v>
      </c>
      <c r="BD418" s="672">
        <f t="shared" ca="1" si="984"/>
        <v>3916</v>
      </c>
      <c r="BE418" s="450" t="s">
        <v>142</v>
      </c>
    </row>
    <row r="419" spans="1:57" s="457" customFormat="1" ht="31.5" x14ac:dyDescent="0.25">
      <c r="A419" s="694" t="str">
        <f ca="1">Bérköltség!$B419</f>
        <v>FEOR</v>
      </c>
      <c r="B419" s="694" t="str">
        <f ca="1">IFERROR(
IF(AND(Bérköltség!$F419="",H419="NA"),"HIÁNYOS ADATOK",
IF(Bérköltség!$F419&lt;Bérköltség!$U419,Admin!$B$18,Admin!$B$17)),
"")</f>
        <v>FEOR</v>
      </c>
      <c r="C419" s="437">
        <f>IFERROR(INDEX('Historikus berek_2021-2'!$A$1:$F$903,MATCH(AB419,'Historikus berek_2021-2'!$A$1:$A$903,0),4),"")</f>
        <v>426900</v>
      </c>
      <c r="D419" s="438">
        <f t="shared" si="784"/>
        <v>377831.03448275861</v>
      </c>
      <c r="E419" s="437">
        <f t="shared" si="785"/>
        <v>656713</v>
      </c>
      <c r="F419" s="439">
        <f t="shared" si="786"/>
        <v>315136.62103448279</v>
      </c>
      <c r="G419" s="440">
        <f t="shared" si="787"/>
        <v>426949.06896551716</v>
      </c>
      <c r="H419" s="441">
        <f>IFERROR(INDEX('FEOR kodok'!$A$2:$J$1126,MATCH(Bérköltség!AB419,'FEOR kodok'!$B$2:$B$1126,0),8),"NA")</f>
        <v>2410</v>
      </c>
      <c r="I419" s="436">
        <f ca="1">IFERROR(INDEX('FEOR kodok'!$A$2:$J$1126,MATCH(Bérköltség!AB419,'FEOR kodok'!$B$2:$B$1126,0),10),"NA")</f>
        <v>44</v>
      </c>
      <c r="J419" s="442" t="str">
        <f t="shared" ca="1" si="788"/>
        <v>40–49 éves</v>
      </c>
      <c r="K419" s="436" t="str">
        <f>IFERROR(INDEX(admin_feor[#All],MATCH(Bérköltség!H419,admin_feor[[#All],[Foglalkozás]],0),2),"NA")</f>
        <v>Egyetemi, főiskolai oktató, tanár</v>
      </c>
      <c r="L419" s="438">
        <f ca="1">IFERROR(
INDEX('Admin - FEOR'!$A$4:$F$465,MATCH(Bérköltség!H419,'Admin - FEOR'!$A$4:$A$465,0),
IF(J419="30 év alatt",3,
IF(J419="30–39 éves",4,
IF(J419="40–49 éves",5,
IF(J419="50 év és afelett",6
)))))*1,"NA")</f>
        <v>629398</v>
      </c>
      <c r="M419" s="438">
        <f t="shared" si="789"/>
        <v>742000</v>
      </c>
      <c r="N419" s="443">
        <f t="shared" ca="1" si="790"/>
        <v>1.1789042863180372</v>
      </c>
      <c r="O419" s="438">
        <f ca="1">IFERROR(
INDEX('Admin - FEOR'!$A$4:$F$465,MATCH(Bérköltség!H419,'Admin - FEOR'!$A$4:$A$465,0),
IF(J419="30 év alatt",3,
IF(J419="30–39 éves",4,
IF(J419="40–49 éves",5,
IF(J419="50 év és afelett",6
)))))*1.5,"NA")</f>
        <v>944097</v>
      </c>
      <c r="P419" s="438">
        <f t="shared" ca="1" si="791"/>
        <v>835580.10344827594</v>
      </c>
      <c r="Q419" s="438">
        <f t="shared" si="792"/>
        <v>656713</v>
      </c>
      <c r="R419" s="444">
        <f t="shared" si="793"/>
        <v>0.88505747126436785</v>
      </c>
      <c r="S419" s="438">
        <f t="shared" ca="1" si="794"/>
        <v>0</v>
      </c>
      <c r="T419" s="438">
        <f t="shared" ca="1" si="795"/>
        <v>0</v>
      </c>
      <c r="U419" s="445">
        <f t="shared" ca="1" si="796"/>
        <v>0</v>
      </c>
      <c r="V419" s="446">
        <f t="shared" ca="1" si="797"/>
        <v>742086</v>
      </c>
      <c r="W419" s="447" t="str">
        <f t="shared" ca="1" si="798"/>
        <v>Indoklás szükséges mivel a FEOR: 117,9%</v>
      </c>
      <c r="X419" s="571">
        <f t="shared" ca="1" si="799"/>
        <v>0</v>
      </c>
      <c r="Y419" s="554">
        <f t="shared" ca="1" si="800"/>
        <v>656713</v>
      </c>
      <c r="Z419" s="554">
        <f t="shared" ca="1" si="801"/>
        <v>85373</v>
      </c>
      <c r="AA419" s="573">
        <v>2</v>
      </c>
      <c r="AB419" s="448">
        <v>8411312577</v>
      </c>
      <c r="AC419" s="449" t="s">
        <v>143</v>
      </c>
      <c r="AD419" s="483" t="s">
        <v>45</v>
      </c>
      <c r="AE419" s="450" t="s">
        <v>22</v>
      </c>
      <c r="AF419" s="99" t="s">
        <v>121</v>
      </c>
      <c r="AG419" s="99" t="s">
        <v>128</v>
      </c>
      <c r="AH419" s="451" t="s">
        <v>131</v>
      </c>
      <c r="AI419" s="154">
        <v>44835</v>
      </c>
      <c r="AJ419" s="100" t="str">
        <f>IF(AI419&gt;0,
(IF(AI419&lt;Hónapok!$A$10,Admin!$A$28,
(IF(AI419&lt;Hónapok!$A$22,Admin!$B$28,
(IF(AI419&lt;Hónapok!$A$34,Admin!$C$28,
(IF(AI419&lt;Hónapok!$A$46,Admin!$D$28,"")))))))),"")</f>
        <v>2. mérföldkő</v>
      </c>
      <c r="AK419" s="469" t="s">
        <v>7</v>
      </c>
      <c r="AL419" s="101" t="s">
        <v>26</v>
      </c>
      <c r="AM419" s="900">
        <v>742000</v>
      </c>
      <c r="AN419" s="860">
        <f t="shared" si="908"/>
        <v>96460</v>
      </c>
      <c r="AO419" s="101">
        <v>174</v>
      </c>
      <c r="AP419" s="111">
        <v>154</v>
      </c>
      <c r="AQ419" s="454">
        <f t="shared" si="985"/>
        <v>0.88505747126436785</v>
      </c>
      <c r="AR419" s="455">
        <f t="shared" si="986"/>
        <v>656713</v>
      </c>
      <c r="AS419" s="455">
        <f t="shared" si="987"/>
        <v>85373</v>
      </c>
      <c r="AT419" s="102">
        <f t="shared" si="988"/>
        <v>-4.80218111942321E-7</v>
      </c>
      <c r="AU419" s="116">
        <v>0.13</v>
      </c>
      <c r="AV419" s="565" t="str">
        <f>VLOOKUP(LEFT(AB419,10),Törzsszám!$A$1:$B$908,2,0)</f>
        <v>10000267</v>
      </c>
      <c r="AW419" s="615">
        <f t="shared" ca="1" si="989"/>
        <v>0</v>
      </c>
      <c r="AX419" s="473" t="s">
        <v>251</v>
      </c>
      <c r="AY419" s="486"/>
      <c r="AZ419" s="502"/>
      <c r="BA419" s="671">
        <v>626590</v>
      </c>
      <c r="BB419" s="649">
        <v>81457</v>
      </c>
      <c r="BC419" s="649">
        <f t="shared" ca="1" si="984"/>
        <v>30123</v>
      </c>
      <c r="BD419" s="672">
        <f t="shared" ca="1" si="984"/>
        <v>3916</v>
      </c>
      <c r="BE419" s="450" t="s">
        <v>142</v>
      </c>
    </row>
    <row r="420" spans="1:57" s="457" customFormat="1" ht="31.5" x14ac:dyDescent="0.25">
      <c r="A420" s="694" t="str">
        <f ca="1">Bérköltség!$B420</f>
        <v>FEOR</v>
      </c>
      <c r="B420" s="694" t="str">
        <f ca="1">IFERROR(
IF(AND(Bérköltség!$F420="",H420="NA"),"HIÁNYOS ADATOK",
IF(Bérköltség!$F420&lt;Bérköltség!$U420,Admin!$B$18,Admin!$B$17)),
"")</f>
        <v>FEOR</v>
      </c>
      <c r="C420" s="437">
        <f>IFERROR(INDEX('Historikus berek_2021-2'!$A$1:$F$903,MATCH(AB420,'Historikus berek_2021-2'!$A$1:$A$903,0),4),"")</f>
        <v>426900</v>
      </c>
      <c r="D420" s="438">
        <f t="shared" si="784"/>
        <v>377831.03448275861</v>
      </c>
      <c r="E420" s="437">
        <f t="shared" si="785"/>
        <v>656713</v>
      </c>
      <c r="F420" s="439">
        <f t="shared" si="786"/>
        <v>315136.62103448279</v>
      </c>
      <c r="G420" s="440">
        <f t="shared" si="787"/>
        <v>426949.06896551716</v>
      </c>
      <c r="H420" s="441">
        <f>IFERROR(INDEX('FEOR kodok'!$A$2:$J$1126,MATCH(Bérköltség!AB420,'FEOR kodok'!$B$2:$B$1126,0),8),"NA")</f>
        <v>2410</v>
      </c>
      <c r="I420" s="436">
        <f ca="1">IFERROR(INDEX('FEOR kodok'!$A$2:$J$1126,MATCH(Bérköltség!AB420,'FEOR kodok'!$B$2:$B$1126,0),10),"NA")</f>
        <v>44</v>
      </c>
      <c r="J420" s="442" t="str">
        <f t="shared" ca="1" si="788"/>
        <v>40–49 éves</v>
      </c>
      <c r="K420" s="436" t="str">
        <f>IFERROR(INDEX(admin_feor[#All],MATCH(Bérköltség!H420,admin_feor[[#All],[Foglalkozás]],0),2),"NA")</f>
        <v>Egyetemi, főiskolai oktató, tanár</v>
      </c>
      <c r="L420" s="438">
        <f ca="1">IFERROR(
INDEX('Admin - FEOR'!$A$4:$F$465,MATCH(Bérköltség!H420,'Admin - FEOR'!$A$4:$A$465,0),
IF(J420="30 év alatt",3,
IF(J420="30–39 éves",4,
IF(J420="40–49 éves",5,
IF(J420="50 év és afelett",6
)))))*1,"NA")</f>
        <v>629398</v>
      </c>
      <c r="M420" s="438">
        <f t="shared" si="789"/>
        <v>742000</v>
      </c>
      <c r="N420" s="443">
        <f t="shared" ca="1" si="790"/>
        <v>1.1789042863180372</v>
      </c>
      <c r="O420" s="438">
        <f ca="1">IFERROR(
INDEX('Admin - FEOR'!$A$4:$F$465,MATCH(Bérköltség!H420,'Admin - FEOR'!$A$4:$A$465,0),
IF(J420="30 év alatt",3,
IF(J420="30–39 éves",4,
IF(J420="40–49 éves",5,
IF(J420="50 év és afelett",6
)))))*1.5,"NA")</f>
        <v>944097</v>
      </c>
      <c r="P420" s="438">
        <f t="shared" ca="1" si="791"/>
        <v>835580.10344827594</v>
      </c>
      <c r="Q420" s="438">
        <f t="shared" si="792"/>
        <v>656713</v>
      </c>
      <c r="R420" s="444">
        <f t="shared" si="793"/>
        <v>0.88505747126436785</v>
      </c>
      <c r="S420" s="438">
        <f t="shared" ca="1" si="794"/>
        <v>0</v>
      </c>
      <c r="T420" s="438">
        <f t="shared" ca="1" si="795"/>
        <v>0</v>
      </c>
      <c r="U420" s="445">
        <f t="shared" ca="1" si="796"/>
        <v>0</v>
      </c>
      <c r="V420" s="446">
        <f t="shared" ca="1" si="797"/>
        <v>742086</v>
      </c>
      <c r="W420" s="447" t="str">
        <f t="shared" ca="1" si="798"/>
        <v>Indoklás szükséges mivel a FEOR: 117,9%</v>
      </c>
      <c r="X420" s="571">
        <f t="shared" ca="1" si="799"/>
        <v>0</v>
      </c>
      <c r="Y420" s="554">
        <f t="shared" ca="1" si="800"/>
        <v>656713</v>
      </c>
      <c r="Z420" s="554">
        <f t="shared" ca="1" si="801"/>
        <v>85373</v>
      </c>
      <c r="AA420" s="573">
        <v>2</v>
      </c>
      <c r="AB420" s="448">
        <v>8411312577</v>
      </c>
      <c r="AC420" s="449" t="s">
        <v>143</v>
      </c>
      <c r="AD420" s="483" t="s">
        <v>45</v>
      </c>
      <c r="AE420" s="450" t="s">
        <v>22</v>
      </c>
      <c r="AF420" s="99" t="s">
        <v>121</v>
      </c>
      <c r="AG420" s="99" t="s">
        <v>128</v>
      </c>
      <c r="AH420" s="451" t="s">
        <v>131</v>
      </c>
      <c r="AI420" s="154">
        <v>44866</v>
      </c>
      <c r="AJ420" s="100" t="str">
        <f>IF(AI420&gt;0,
(IF(AI420&lt;Hónapok!$A$10,Admin!$A$28,
(IF(AI420&lt;Hónapok!$A$22,Admin!$B$28,
(IF(AI420&lt;Hónapok!$A$34,Admin!$C$28,
(IF(AI420&lt;Hónapok!$A$46,Admin!$D$28,"")))))))),"")</f>
        <v>2. mérföldkő</v>
      </c>
      <c r="AK420" s="469" t="s">
        <v>7</v>
      </c>
      <c r="AL420" s="101" t="s">
        <v>26</v>
      </c>
      <c r="AM420" s="900">
        <v>742000</v>
      </c>
      <c r="AN420" s="860">
        <f t="shared" si="908"/>
        <v>96460</v>
      </c>
      <c r="AO420" s="101">
        <v>174</v>
      </c>
      <c r="AP420" s="111">
        <v>154</v>
      </c>
      <c r="AQ420" s="454">
        <f t="shared" si="985"/>
        <v>0.88505747126436785</v>
      </c>
      <c r="AR420" s="455">
        <f t="shared" si="986"/>
        <v>656713</v>
      </c>
      <c r="AS420" s="455">
        <f t="shared" si="987"/>
        <v>85373</v>
      </c>
      <c r="AT420" s="102">
        <f t="shared" si="988"/>
        <v>-4.80218111942321E-7</v>
      </c>
      <c r="AU420" s="116">
        <v>0.13</v>
      </c>
      <c r="AV420" s="565" t="str">
        <f>VLOOKUP(LEFT(AB420,10),Törzsszám!$A$1:$B$908,2,0)</f>
        <v>10000267</v>
      </c>
      <c r="AW420" s="615">
        <f t="shared" ca="1" si="989"/>
        <v>0</v>
      </c>
      <c r="AX420" s="456" t="s">
        <v>260</v>
      </c>
      <c r="AY420" s="486"/>
      <c r="AZ420" s="502"/>
      <c r="BA420" s="671">
        <v>626590</v>
      </c>
      <c r="BB420" s="649">
        <v>81457</v>
      </c>
      <c r="BC420" s="649">
        <f t="shared" ca="1" si="984"/>
        <v>30123</v>
      </c>
      <c r="BD420" s="672">
        <f t="shared" ca="1" si="984"/>
        <v>3916</v>
      </c>
      <c r="BE420" s="450" t="s">
        <v>142</v>
      </c>
    </row>
    <row r="421" spans="1:57" s="117" customFormat="1" ht="14.45" customHeight="1" x14ac:dyDescent="0.25">
      <c r="A421" s="694" t="str">
        <f ca="1">Bérköltség!$B421</f>
        <v>FEOR</v>
      </c>
      <c r="B421" s="694" t="str">
        <f ca="1">IFERROR(
IF(AND(Bérköltség!$F421="",H421="NA"),"HIÁNYOS ADATOK",
IF(Bérköltség!$F421&lt;Bérköltség!$U421,Admin!$B$18,Admin!$B$17)),
"")</f>
        <v>FEOR</v>
      </c>
      <c r="C421" s="437">
        <f>IFERROR(INDEX('Historikus berek_2021-2'!$A$1:$F$903,MATCH(AB421,'Historikus berek_2021-2'!$A$1:$A$903,0),4),"")</f>
        <v>426900</v>
      </c>
      <c r="D421" s="438">
        <f t="shared" ref="D421:D534" si="990">IFERROR(C421*AQ421,"NA")</f>
        <v>377831.03448275861</v>
      </c>
      <c r="E421" s="437">
        <f t="shared" ref="E421:E534" si="991">AR421</f>
        <v>656713</v>
      </c>
      <c r="F421" s="439">
        <f t="shared" ref="F421:F534" si="992">IFERROR(IF((E421*(1+AU421)-D421*(1+AU421))&lt;0,0,(E421*(1+AU421)-D421*(1+AU421))),"")</f>
        <v>315136.62103448279</v>
      </c>
      <c r="G421" s="440">
        <f t="shared" ref="G421:G534" si="993">IFERROR((E421*(1+AU421)-F421),"")</f>
        <v>426949.06896551716</v>
      </c>
      <c r="H421" s="441">
        <f>IFERROR(INDEX('FEOR kodok'!$A$2:$J$1126,MATCH(Bérköltség!AB421,'FEOR kodok'!$B$2:$B$1126,0),8),"NA")</f>
        <v>2410</v>
      </c>
      <c r="I421" s="436">
        <f ca="1">IFERROR(INDEX('FEOR kodok'!$A$2:$J$1126,MATCH(Bérköltség!AB421,'FEOR kodok'!$B$2:$B$1126,0),10),"NA")</f>
        <v>44</v>
      </c>
      <c r="J421" s="442" t="str">
        <f t="shared" ref="J421:J534" ca="1" si="994">IF(I421="NA","NA",
IF(I421&lt;30,"30 év alatt",
IF(AND(I421&gt;=30,I421&lt;=39),"30–39 éves",
IF(AND(I421&gt;=40,I421&lt;=49),"40–49 éves",
IF(I421&gt;=50,"50 év és afelett",
"")))))</f>
        <v>40–49 éves</v>
      </c>
      <c r="K421" s="436" t="str">
        <f>IFERROR(INDEX(admin_feor[#All],MATCH(Bérköltség!H421,admin_feor[[#All],[Foglalkozás]],0),2),"NA")</f>
        <v>Egyetemi, főiskolai oktató, tanár</v>
      </c>
      <c r="L421" s="438">
        <f ca="1">IFERROR(
INDEX('Admin - FEOR'!$A$4:$F$465,MATCH(Bérköltség!H421,'Admin - FEOR'!$A$4:$A$465,0),
IF(J421="30 év alatt",3,
IF(J421="30–39 éves",4,
IF(J421="40–49 éves",5,
IF(J421="50 év és afelett",6
)))))*1,"NA")</f>
        <v>629398</v>
      </c>
      <c r="M421" s="438">
        <f t="shared" ref="M421:M534" si="995">AM421</f>
        <v>742000</v>
      </c>
      <c r="N421" s="443">
        <f t="shared" ref="N421:N534" ca="1" si="996">IFERROR(
M421/L421,"NA")</f>
        <v>1.1789042863180372</v>
      </c>
      <c r="O421" s="438">
        <f ca="1">IFERROR(
INDEX('Admin - FEOR'!$A$4:$F$465,MATCH(Bérköltség!H421,'Admin - FEOR'!$A$4:$A$465,0),
IF(J421="30 év alatt",3,
IF(J421="30–39 éves",4,
IF(J421="40–49 éves",5,
IF(J421="50 év és afelett",6
)))))*1.5,"NA")</f>
        <v>944097</v>
      </c>
      <c r="P421" s="438">
        <f t="shared" ref="P421:P534" ca="1" si="997">IFERROR(
AQ421*O421,"NA")</f>
        <v>835580.10344827594</v>
      </c>
      <c r="Q421" s="438">
        <f t="shared" ref="Q421:Q534" si="998">IFERROR(AR421,"")</f>
        <v>656713</v>
      </c>
      <c r="R421" s="444">
        <f t="shared" ref="R421:R534" si="999">IFERROR(AQ421,"")</f>
        <v>0.88505747126436785</v>
      </c>
      <c r="S421" s="438">
        <f t="shared" ref="S421:S534" ca="1" si="1000">IFERROR(
IF(AR421-P421&lt;0,0,AR421-P421),"NA")</f>
        <v>0</v>
      </c>
      <c r="T421" s="438">
        <f t="shared" ref="T421:T534" ca="1" si="1001">IFERROR(
S421*AU421,"NA")</f>
        <v>0</v>
      </c>
      <c r="U421" s="445">
        <f t="shared" ref="U421:U534" ca="1" si="1002">IFERROR(
S421+T421,"NA")</f>
        <v>0</v>
      </c>
      <c r="V421" s="446">
        <f t="shared" ref="V421:V534" ca="1" si="1003">IFERROR(
IF(U421&gt;0,AR421+AS421-U421,AR421+AS421),"NA")</f>
        <v>742086</v>
      </c>
      <c r="W421" s="447" t="str">
        <f t="shared" ref="W421:W534" ca="1" si="1004">IF(P421="NA","FEOR hiányzik",
IF(AND(N421&gt;1,A421="FEOR"),CONCATENATE("Indoklás szükséges mivel a FEOR: ",ROUND(N421*100,1),"%"),"Nem szükséges indoklás.")
)</f>
        <v>Indoklás szükséges mivel a FEOR: 117,9%</v>
      </c>
      <c r="X421" s="571">
        <f t="shared" ref="X421:X534" ca="1" si="1005">IF(A421="FEOR",U421,IF(A421="HIÁNYOS ADATOK","HIÁNYOS ADATOK",F421))</f>
        <v>0</v>
      </c>
      <c r="Y421" s="554">
        <f t="shared" ref="Y421:Y534" ca="1" si="1006">IF(A421="FEOR",ROUND(V421/(1+AU421),0),IF(A421="HIÁNYOS ADATOK","HIÁNYOS ADATOK",ROUND(G421/(1+AU421),0)))</f>
        <v>656713</v>
      </c>
      <c r="Z421" s="554">
        <f t="shared" ref="Z421:Z534" ca="1" si="1007">IF(A421="FEOR",ROUND(V421-Y421,0),IF(A421="HIÁNYOS ADATOK","HIÁNYOS ADATOK",ROUND(G421-Y421,0)))</f>
        <v>85373</v>
      </c>
      <c r="AA421" s="573">
        <v>2</v>
      </c>
      <c r="AB421" s="448">
        <v>8411312577</v>
      </c>
      <c r="AC421" s="449" t="s">
        <v>143</v>
      </c>
      <c r="AD421" s="483" t="s">
        <v>45</v>
      </c>
      <c r="AE421" s="450" t="s">
        <v>22</v>
      </c>
      <c r="AF421" s="99" t="s">
        <v>121</v>
      </c>
      <c r="AG421" s="99" t="s">
        <v>128</v>
      </c>
      <c r="AH421" s="451" t="s">
        <v>131</v>
      </c>
      <c r="AI421" s="154">
        <v>44896</v>
      </c>
      <c r="AJ421" s="100" t="str">
        <f>IF(AI421&gt;0,
(IF(AI421&lt;Hónapok!$A$10,Admin!$A$28,
(IF(AI421&lt;Hónapok!$A$22,Admin!$B$28,
(IF(AI421&lt;Hónapok!$A$34,Admin!$C$28,
(IF(AI421&lt;Hónapok!$A$46,Admin!$D$28,"")))))))),"")</f>
        <v>2. mérföldkő</v>
      </c>
      <c r="AK421" s="469" t="s">
        <v>7</v>
      </c>
      <c r="AL421" s="101" t="s">
        <v>26</v>
      </c>
      <c r="AM421" s="900">
        <v>742000</v>
      </c>
      <c r="AN421" s="860">
        <f t="shared" si="908"/>
        <v>96460</v>
      </c>
      <c r="AO421" s="101">
        <v>174</v>
      </c>
      <c r="AP421" s="111">
        <v>154</v>
      </c>
      <c r="AQ421" s="454">
        <f t="shared" si="985"/>
        <v>0.88505747126436785</v>
      </c>
      <c r="AR421" s="455">
        <f t="shared" si="986"/>
        <v>656713</v>
      </c>
      <c r="AS421" s="455">
        <f t="shared" si="987"/>
        <v>85373</v>
      </c>
      <c r="AT421" s="102">
        <f t="shared" si="988"/>
        <v>-4.80218111942321E-7</v>
      </c>
      <c r="AU421" s="116">
        <v>0.13</v>
      </c>
      <c r="AV421" s="565" t="str">
        <f>VLOOKUP(LEFT(AB421,10),Törzsszám!$A$1:$B$908,2,0)</f>
        <v>10000267</v>
      </c>
      <c r="AW421" s="615">
        <f t="shared" ca="1" si="989"/>
        <v>0</v>
      </c>
      <c r="AX421" s="456" t="s">
        <v>262</v>
      </c>
      <c r="AY421" s="486"/>
      <c r="AZ421" s="502"/>
      <c r="BA421" s="671">
        <v>626590</v>
      </c>
      <c r="BB421" s="649">
        <v>81457</v>
      </c>
      <c r="BC421" s="649">
        <f t="shared" ca="1" si="984"/>
        <v>30123</v>
      </c>
      <c r="BD421" s="672">
        <f t="shared" ca="1" si="984"/>
        <v>3916</v>
      </c>
      <c r="BE421" s="450" t="s">
        <v>142</v>
      </c>
    </row>
    <row r="422" spans="1:57" s="117" customFormat="1" ht="14.45" customHeight="1" x14ac:dyDescent="0.25">
      <c r="A422" s="694" t="str">
        <f ca="1">Bérköltség!$B422</f>
        <v>FEOR</v>
      </c>
      <c r="B422" s="694" t="str">
        <f ca="1">IFERROR(
IF(AND(Bérköltség!$F422="",H422="NA"),"HIÁNYOS ADATOK",
IF(Bérköltség!$F422&lt;Bérköltség!$U422,Admin!$B$18,Admin!$B$17)),
"")</f>
        <v>FEOR</v>
      </c>
      <c r="C422" s="437">
        <f>IFERROR(INDEX('Historikus berek_2021-2'!$A$1:$F$903,MATCH(AB422,'Historikus berek_2021-2'!$A$1:$A$903,0),4),"")</f>
        <v>426900</v>
      </c>
      <c r="D422" s="438">
        <f t="shared" si="990"/>
        <v>377831.03448275861</v>
      </c>
      <c r="E422" s="437">
        <f t="shared" si="991"/>
        <v>696098</v>
      </c>
      <c r="F422" s="439">
        <f t="shared" si="992"/>
        <v>359641.67103448272</v>
      </c>
      <c r="G422" s="440">
        <f t="shared" si="993"/>
        <v>426949.06896551716</v>
      </c>
      <c r="H422" s="441">
        <f>IFERROR(INDEX('FEOR kodok'!$A$2:$J$1126,MATCH(Bérköltség!AB422,'FEOR kodok'!$B$2:$B$1126,0),8),"NA")</f>
        <v>2410</v>
      </c>
      <c r="I422" s="436">
        <f ca="1">IFERROR(INDEX('FEOR kodok'!$A$2:$J$1126,MATCH(Bérköltség!AB422,'FEOR kodok'!$B$2:$B$1126,0),10),"NA")</f>
        <v>44</v>
      </c>
      <c r="J422" s="442" t="str">
        <f t="shared" ca="1" si="994"/>
        <v>40–49 éves</v>
      </c>
      <c r="K422" s="436" t="str">
        <f>IFERROR(INDEX(admin_feor[#All],MATCH(Bérköltség!H422,admin_feor[[#All],[Foglalkozás]],0),2),"NA")</f>
        <v>Egyetemi, főiskolai oktató, tanár</v>
      </c>
      <c r="L422" s="438">
        <f ca="1">IFERROR(
INDEX('Admin - FEOR'!$A$4:$F$465,MATCH(Bérköltség!H422,'Admin - FEOR'!$A$4:$A$465,0),
IF(J422="30 év alatt",3,
IF(J422="30–39 éves",4,
IF(J422="40–49 éves",5,
IF(J422="50 év és afelett",6
)))))*1,"NA")</f>
        <v>629398</v>
      </c>
      <c r="M422" s="438">
        <f t="shared" si="995"/>
        <v>786500</v>
      </c>
      <c r="N422" s="443">
        <f t="shared" ca="1" si="996"/>
        <v>1.2496067671012618</v>
      </c>
      <c r="O422" s="438">
        <f ca="1">IFERROR(
INDEX('Admin - FEOR'!$A$4:$F$465,MATCH(Bérköltség!H422,'Admin - FEOR'!$A$4:$A$465,0),
IF(J422="30 év alatt",3,
IF(J422="30–39 éves",4,
IF(J422="40–49 éves",5,
IF(J422="50 év és afelett",6
)))))*1.5,"NA")</f>
        <v>944097</v>
      </c>
      <c r="P422" s="438">
        <f t="shared" ca="1" si="997"/>
        <v>835580.10344827594</v>
      </c>
      <c r="Q422" s="438">
        <f t="shared" si="998"/>
        <v>696098</v>
      </c>
      <c r="R422" s="444">
        <f t="shared" si="999"/>
        <v>0.88505747126436785</v>
      </c>
      <c r="S422" s="438">
        <f t="shared" ca="1" si="1000"/>
        <v>0</v>
      </c>
      <c r="T422" s="438">
        <f t="shared" ca="1" si="1001"/>
        <v>0</v>
      </c>
      <c r="U422" s="445">
        <f t="shared" ca="1" si="1002"/>
        <v>0</v>
      </c>
      <c r="V422" s="446">
        <f t="shared" ca="1" si="1003"/>
        <v>786591</v>
      </c>
      <c r="W422" s="447" t="str">
        <f t="shared" ca="1" si="1004"/>
        <v>Indoklás szükséges mivel a FEOR: 125%</v>
      </c>
      <c r="X422" s="571">
        <f t="shared" ca="1" si="1005"/>
        <v>0</v>
      </c>
      <c r="Y422" s="554">
        <f t="shared" ca="1" si="1006"/>
        <v>696098</v>
      </c>
      <c r="Z422" s="554">
        <f t="shared" ca="1" si="1007"/>
        <v>90493</v>
      </c>
      <c r="AA422" s="573">
        <v>2</v>
      </c>
      <c r="AB422" s="448">
        <v>8411312577</v>
      </c>
      <c r="AC422" s="449" t="s">
        <v>143</v>
      </c>
      <c r="AD422" s="483" t="s">
        <v>45</v>
      </c>
      <c r="AE422" s="450" t="s">
        <v>22</v>
      </c>
      <c r="AF422" s="99" t="s">
        <v>121</v>
      </c>
      <c r="AG422" s="99" t="s">
        <v>128</v>
      </c>
      <c r="AH422" s="451" t="s">
        <v>131</v>
      </c>
      <c r="AI422" s="154">
        <v>44927</v>
      </c>
      <c r="AJ422" s="100" t="str">
        <f>IF(AI422&gt;0,
(IF(AI422&lt;Hónapok!$A$10,Admin!$A$28,
(IF(AI422&lt;Hónapok!$A$22,Admin!$B$28,
(IF(AI422&lt;Hónapok!$A$34,Admin!$C$28,
(IF(AI422&lt;Hónapok!$A$46,Admin!$D$28,"")))))))),"")</f>
        <v>2. mérföldkő</v>
      </c>
      <c r="AK422" s="469" t="s">
        <v>7</v>
      </c>
      <c r="AL422" s="101" t="s">
        <v>26</v>
      </c>
      <c r="AM422" s="900">
        <v>786500</v>
      </c>
      <c r="AN422" s="860">
        <f t="shared" si="908"/>
        <v>102245</v>
      </c>
      <c r="AO422" s="101">
        <v>174</v>
      </c>
      <c r="AP422" s="111">
        <v>154</v>
      </c>
      <c r="AQ422" s="454">
        <f t="shared" si="985"/>
        <v>0.88505747126436785</v>
      </c>
      <c r="AR422" s="455">
        <f t="shared" si="986"/>
        <v>696098</v>
      </c>
      <c r="AS422" s="455">
        <f t="shared" si="987"/>
        <v>90493</v>
      </c>
      <c r="AT422" s="102">
        <f t="shared" si="988"/>
        <v>-3.7997530155653436E-7</v>
      </c>
      <c r="AU422" s="116">
        <v>0.13</v>
      </c>
      <c r="AV422" s="565" t="str">
        <f>VLOOKUP(LEFT(AB422,10),Törzsszám!$A$1:$B$908,2,0)</f>
        <v>10000267</v>
      </c>
      <c r="AW422" s="615">
        <f t="shared" ca="1" si="989"/>
        <v>0</v>
      </c>
      <c r="AX422" s="456" t="s">
        <v>2518</v>
      </c>
      <c r="AY422" s="486"/>
      <c r="AZ422" s="502" t="s">
        <v>4607</v>
      </c>
      <c r="BA422" s="671">
        <v>626590</v>
      </c>
      <c r="BB422" s="649">
        <v>81457</v>
      </c>
      <c r="BC422" s="649">
        <f t="shared" ca="1" si="984"/>
        <v>69508</v>
      </c>
      <c r="BD422" s="672">
        <f t="shared" ca="1" si="984"/>
        <v>9036</v>
      </c>
      <c r="BE422" s="450" t="s">
        <v>142</v>
      </c>
    </row>
    <row r="423" spans="1:57" s="117" customFormat="1" ht="14.45" customHeight="1" x14ac:dyDescent="0.25">
      <c r="A423" s="694" t="str">
        <f ca="1">Bérköltség!$B423</f>
        <v>FEOR</v>
      </c>
      <c r="B423" s="694" t="str">
        <f ca="1">IFERROR(
IF(AND(Bérköltség!$F423="",H423="NA"),"HIÁNYOS ADATOK",
IF(Bérköltség!$F423&lt;Bérköltség!$U423,Admin!$B$18,Admin!$B$17)),
"")</f>
        <v>FEOR</v>
      </c>
      <c r="C423" s="437">
        <f>IFERROR(INDEX('Historikus berek_2021-2'!$A$1:$F$903,MATCH(AB423,'Historikus berek_2021-2'!$A$1:$A$903,0),4),"")</f>
        <v>426900</v>
      </c>
      <c r="D423" s="438">
        <f t="shared" si="990"/>
        <v>377831.03448275861</v>
      </c>
      <c r="E423" s="437">
        <f t="shared" si="991"/>
        <v>696098</v>
      </c>
      <c r="F423" s="439">
        <f t="shared" si="992"/>
        <v>359641.67103448272</v>
      </c>
      <c r="G423" s="440">
        <f t="shared" si="993"/>
        <v>426949.06896551716</v>
      </c>
      <c r="H423" s="441">
        <f>IFERROR(INDEX('FEOR kodok'!$A$2:$J$1126,MATCH(Bérköltség!AB423,'FEOR kodok'!$B$2:$B$1126,0),8),"NA")</f>
        <v>2410</v>
      </c>
      <c r="I423" s="436">
        <f ca="1">IFERROR(INDEX('FEOR kodok'!$A$2:$J$1126,MATCH(Bérköltség!AB423,'FEOR kodok'!$B$2:$B$1126,0),10),"NA")</f>
        <v>44</v>
      </c>
      <c r="J423" s="442" t="str">
        <f t="shared" ca="1" si="994"/>
        <v>40–49 éves</v>
      </c>
      <c r="K423" s="436" t="str">
        <f>IFERROR(INDEX(admin_feor[#All],MATCH(Bérköltség!H423,admin_feor[[#All],[Foglalkozás]],0),2),"NA")</f>
        <v>Egyetemi, főiskolai oktató, tanár</v>
      </c>
      <c r="L423" s="438">
        <f ca="1">IFERROR(
INDEX('Admin - FEOR'!$A$4:$F$465,MATCH(Bérköltség!H423,'Admin - FEOR'!$A$4:$A$465,0),
IF(J423="30 év alatt",3,
IF(J423="30–39 éves",4,
IF(J423="40–49 éves",5,
IF(J423="50 év és afelett",6
)))))*1,"NA")</f>
        <v>629398</v>
      </c>
      <c r="M423" s="438">
        <f t="shared" si="995"/>
        <v>786500</v>
      </c>
      <c r="N423" s="443">
        <f t="shared" ca="1" si="996"/>
        <v>1.2496067671012618</v>
      </c>
      <c r="O423" s="438">
        <f ca="1">IFERROR(
INDEX('Admin - FEOR'!$A$4:$F$465,MATCH(Bérköltség!H423,'Admin - FEOR'!$A$4:$A$465,0),
IF(J423="30 év alatt",3,
IF(J423="30–39 éves",4,
IF(J423="40–49 éves",5,
IF(J423="50 év és afelett",6
)))))*1.5,"NA")</f>
        <v>944097</v>
      </c>
      <c r="P423" s="438">
        <f t="shared" ca="1" si="997"/>
        <v>835580.10344827594</v>
      </c>
      <c r="Q423" s="438">
        <f t="shared" si="998"/>
        <v>696098</v>
      </c>
      <c r="R423" s="444">
        <f t="shared" si="999"/>
        <v>0.88505747126436785</v>
      </c>
      <c r="S423" s="438">
        <f t="shared" ca="1" si="1000"/>
        <v>0</v>
      </c>
      <c r="T423" s="438">
        <f t="shared" ca="1" si="1001"/>
        <v>0</v>
      </c>
      <c r="U423" s="445">
        <f t="shared" ca="1" si="1002"/>
        <v>0</v>
      </c>
      <c r="V423" s="446">
        <f t="shared" ca="1" si="1003"/>
        <v>786591</v>
      </c>
      <c r="W423" s="447" t="str">
        <f t="shared" ca="1" si="1004"/>
        <v>Indoklás szükséges mivel a FEOR: 125%</v>
      </c>
      <c r="X423" s="571">
        <f t="shared" ca="1" si="1005"/>
        <v>0</v>
      </c>
      <c r="Y423" s="554">
        <f t="shared" ca="1" si="1006"/>
        <v>696098</v>
      </c>
      <c r="Z423" s="554">
        <f t="shared" ca="1" si="1007"/>
        <v>90493</v>
      </c>
      <c r="AA423" s="101"/>
      <c r="AB423" s="448">
        <v>8411312577</v>
      </c>
      <c r="AC423" s="449" t="s">
        <v>143</v>
      </c>
      <c r="AD423" s="483" t="s">
        <v>45</v>
      </c>
      <c r="AE423" s="450" t="s">
        <v>22</v>
      </c>
      <c r="AF423" s="99" t="s">
        <v>121</v>
      </c>
      <c r="AG423" s="99" t="s">
        <v>128</v>
      </c>
      <c r="AH423" s="451" t="s">
        <v>131</v>
      </c>
      <c r="AI423" s="154">
        <v>44958</v>
      </c>
      <c r="AJ423" s="100" t="str">
        <f>IF(AI423&gt;0,
(IF(AI423&lt;Hónapok!$A$10,Admin!$A$28,
(IF(AI423&lt;Hónapok!$A$22,Admin!$B$28,
(IF(AI423&lt;Hónapok!$A$34,Admin!$C$28,
(IF(AI423&lt;Hónapok!$A$46,Admin!$D$28,"")))))))),"")</f>
        <v>2. mérföldkő</v>
      </c>
      <c r="AK423" s="469" t="s">
        <v>7</v>
      </c>
      <c r="AL423" s="101" t="s">
        <v>26</v>
      </c>
      <c r="AM423" s="900">
        <v>786500</v>
      </c>
      <c r="AN423" s="860">
        <f t="shared" si="908"/>
        <v>102245</v>
      </c>
      <c r="AO423" s="101">
        <v>174</v>
      </c>
      <c r="AP423" s="111">
        <v>154</v>
      </c>
      <c r="AQ423" s="454">
        <f t="shared" si="985"/>
        <v>0.88505747126436785</v>
      </c>
      <c r="AR423" s="455">
        <f t="shared" si="986"/>
        <v>696098</v>
      </c>
      <c r="AS423" s="455">
        <f t="shared" si="987"/>
        <v>90493</v>
      </c>
      <c r="AT423" s="102">
        <f t="shared" si="988"/>
        <v>-3.7997530155653436E-7</v>
      </c>
      <c r="AU423" s="116">
        <v>0.13</v>
      </c>
      <c r="AV423" s="565" t="str">
        <f>VLOOKUP(LEFT(AB423,10),Törzsszám!$A$1:$B$908,2,0)</f>
        <v>10000267</v>
      </c>
      <c r="AW423" s="615">
        <f t="shared" ca="1" si="989"/>
        <v>0</v>
      </c>
      <c r="AX423" s="537" t="s">
        <v>4557</v>
      </c>
      <c r="AY423" s="486"/>
      <c r="AZ423" s="502"/>
      <c r="BA423" s="671"/>
      <c r="BB423" s="649"/>
      <c r="BC423" s="649"/>
      <c r="BD423" s="672"/>
      <c r="BE423" s="450" t="s">
        <v>142</v>
      </c>
    </row>
    <row r="424" spans="1:57" s="117" customFormat="1" ht="14.45" customHeight="1" x14ac:dyDescent="0.25">
      <c r="A424" s="694" t="str">
        <f ca="1">Bérköltség!$B424</f>
        <v>FEOR</v>
      </c>
      <c r="B424" s="694" t="str">
        <f ca="1">IFERROR(
IF(AND(Bérköltség!$F424="",H424="NA"),"HIÁNYOS ADATOK",
IF(Bérköltség!$F424&lt;Bérköltség!$U424,Admin!$B$18,Admin!$B$17)),
"")</f>
        <v>FEOR</v>
      </c>
      <c r="C424" s="437">
        <f>IFERROR(INDEX('Historikus berek_2021-2'!$A$1:$F$903,MATCH(AB424,'Historikus berek_2021-2'!$A$1:$A$903,0),4),"")</f>
        <v>426900</v>
      </c>
      <c r="D424" s="438">
        <f t="shared" si="990"/>
        <v>377831.03448275861</v>
      </c>
      <c r="E424" s="437">
        <f t="shared" si="991"/>
        <v>696098</v>
      </c>
      <c r="F424" s="439">
        <f t="shared" si="992"/>
        <v>359641.67103448272</v>
      </c>
      <c r="G424" s="440">
        <f t="shared" si="993"/>
        <v>426949.06896551716</v>
      </c>
      <c r="H424" s="441">
        <f>IFERROR(INDEX('FEOR kodok'!$A$2:$J$1126,MATCH(Bérköltség!AB424,'FEOR kodok'!$B$2:$B$1126,0),8),"NA")</f>
        <v>2410</v>
      </c>
      <c r="I424" s="436">
        <f ca="1">IFERROR(INDEX('FEOR kodok'!$A$2:$J$1126,MATCH(Bérköltség!AB424,'FEOR kodok'!$B$2:$B$1126,0),10),"NA")</f>
        <v>44</v>
      </c>
      <c r="J424" s="442" t="str">
        <f t="shared" ca="1" si="994"/>
        <v>40–49 éves</v>
      </c>
      <c r="K424" s="436" t="str">
        <f>IFERROR(INDEX(admin_feor[#All],MATCH(Bérköltség!H424,admin_feor[[#All],[Foglalkozás]],0),2),"NA")</f>
        <v>Egyetemi, főiskolai oktató, tanár</v>
      </c>
      <c r="L424" s="438">
        <f ca="1">IFERROR(
INDEX('Admin - FEOR'!$A$4:$F$465,MATCH(Bérköltség!H424,'Admin - FEOR'!$A$4:$A$465,0),
IF(J424="30 év alatt",3,
IF(J424="30–39 éves",4,
IF(J424="40–49 éves",5,
IF(J424="50 év és afelett",6
)))))*1,"NA")</f>
        <v>629398</v>
      </c>
      <c r="M424" s="438">
        <f t="shared" si="995"/>
        <v>786500</v>
      </c>
      <c r="N424" s="443">
        <f t="shared" ca="1" si="996"/>
        <v>1.2496067671012618</v>
      </c>
      <c r="O424" s="438">
        <f ca="1">IFERROR(
INDEX('Admin - FEOR'!$A$4:$F$465,MATCH(Bérköltség!H424,'Admin - FEOR'!$A$4:$A$465,0),
IF(J424="30 év alatt",3,
IF(J424="30–39 éves",4,
IF(J424="40–49 éves",5,
IF(J424="50 év és afelett",6
)))))*1.5,"NA")</f>
        <v>944097</v>
      </c>
      <c r="P424" s="438">
        <f t="shared" ca="1" si="997"/>
        <v>835580.10344827594</v>
      </c>
      <c r="Q424" s="438">
        <f t="shared" si="998"/>
        <v>696098</v>
      </c>
      <c r="R424" s="444">
        <f t="shared" si="999"/>
        <v>0.88505747126436785</v>
      </c>
      <c r="S424" s="438">
        <f t="shared" ca="1" si="1000"/>
        <v>0</v>
      </c>
      <c r="T424" s="438">
        <f t="shared" ca="1" si="1001"/>
        <v>0</v>
      </c>
      <c r="U424" s="445">
        <f t="shared" ca="1" si="1002"/>
        <v>0</v>
      </c>
      <c r="V424" s="446">
        <f t="shared" ca="1" si="1003"/>
        <v>786591</v>
      </c>
      <c r="W424" s="447" t="str">
        <f t="shared" ca="1" si="1004"/>
        <v>Indoklás szükséges mivel a FEOR: 125%</v>
      </c>
      <c r="X424" s="571">
        <f t="shared" ca="1" si="1005"/>
        <v>0</v>
      </c>
      <c r="Y424" s="554">
        <f t="shared" ca="1" si="1006"/>
        <v>696098</v>
      </c>
      <c r="Z424" s="554">
        <f t="shared" ca="1" si="1007"/>
        <v>90493</v>
      </c>
      <c r="AA424" s="101"/>
      <c r="AB424" s="448">
        <v>8411312577</v>
      </c>
      <c r="AC424" s="449" t="s">
        <v>143</v>
      </c>
      <c r="AD424" s="483" t="s">
        <v>45</v>
      </c>
      <c r="AE424" s="450" t="s">
        <v>22</v>
      </c>
      <c r="AF424" s="99" t="s">
        <v>121</v>
      </c>
      <c r="AG424" s="99" t="s">
        <v>128</v>
      </c>
      <c r="AH424" s="451" t="s">
        <v>131</v>
      </c>
      <c r="AI424" s="154">
        <v>44986</v>
      </c>
      <c r="AJ424" s="100" t="str">
        <f>IF(AI424&gt;0,
(IF(AI424&lt;Hónapok!$A$10,Admin!$A$28,
(IF(AI424&lt;Hónapok!$A$22,Admin!$B$28,
(IF(AI424&lt;Hónapok!$A$34,Admin!$C$28,
(IF(AI424&lt;Hónapok!$A$46,Admin!$D$28,"")))))))),"")</f>
        <v>3. mérföldkő</v>
      </c>
      <c r="AK424" s="470" t="s">
        <v>7</v>
      </c>
      <c r="AL424" s="101" t="s">
        <v>26</v>
      </c>
      <c r="AM424" s="900">
        <v>786500</v>
      </c>
      <c r="AN424" s="860">
        <f t="shared" si="908"/>
        <v>102245</v>
      </c>
      <c r="AO424" s="101">
        <v>174</v>
      </c>
      <c r="AP424" s="453">
        <v>154</v>
      </c>
      <c r="AQ424" s="454">
        <f t="shared" si="985"/>
        <v>0.88505747126436785</v>
      </c>
      <c r="AR424" s="455">
        <f t="shared" si="986"/>
        <v>696098</v>
      </c>
      <c r="AS424" s="455">
        <f t="shared" si="987"/>
        <v>90493</v>
      </c>
      <c r="AT424" s="102">
        <f t="shared" si="988"/>
        <v>-3.7997530155653436E-7</v>
      </c>
      <c r="AU424" s="116">
        <v>0.13</v>
      </c>
      <c r="AV424" s="565" t="str">
        <f>VLOOKUP(LEFT(AB424,10),Törzsszám!$A$1:$B$908,2,0)</f>
        <v>10000267</v>
      </c>
      <c r="AW424" s="615">
        <f t="shared" ca="1" si="989"/>
        <v>0</v>
      </c>
      <c r="AX424" s="471" t="s">
        <v>4561</v>
      </c>
      <c r="AY424" s="486"/>
      <c r="AZ424" s="502"/>
      <c r="BA424" s="671"/>
      <c r="BB424" s="649"/>
      <c r="BC424" s="649"/>
      <c r="BD424" s="672"/>
      <c r="BE424" s="450" t="s">
        <v>142</v>
      </c>
    </row>
    <row r="425" spans="1:57" s="117" customFormat="1" ht="14.45" customHeight="1" x14ac:dyDescent="0.25">
      <c r="A425" s="694" t="str">
        <f ca="1">Bérköltség!$B425</f>
        <v>FEOR</v>
      </c>
      <c r="B425" s="694" t="str">
        <f ca="1">IFERROR(
IF(AND(Bérköltség!$F425="",H425="NA"),"HIÁNYOS ADATOK",
IF(Bérköltség!$F425&lt;Bérköltség!$U425,Admin!$B$18,Admin!$B$17)),
"")</f>
        <v>FEOR</v>
      </c>
      <c r="C425" s="437">
        <f>IFERROR(INDEX('Historikus berek_2021-2'!$A$1:$F$903,MATCH(AB425,'Historikus berek_2021-2'!$A$1:$A$903,0),4),"")</f>
        <v>426900</v>
      </c>
      <c r="D425" s="438">
        <f t="shared" si="990"/>
        <v>377831.03448275861</v>
      </c>
      <c r="E425" s="437">
        <f t="shared" si="991"/>
        <v>696098</v>
      </c>
      <c r="F425" s="439">
        <f t="shared" si="992"/>
        <v>359641.67103448272</v>
      </c>
      <c r="G425" s="440">
        <f t="shared" si="993"/>
        <v>426949.06896551716</v>
      </c>
      <c r="H425" s="441">
        <f>IFERROR(INDEX('FEOR kodok'!$A$2:$J$1126,MATCH(Bérköltség!AB425,'FEOR kodok'!$B$2:$B$1126,0),8),"NA")</f>
        <v>2410</v>
      </c>
      <c r="I425" s="436">
        <f ca="1">IFERROR(INDEX('FEOR kodok'!$A$2:$J$1126,MATCH(Bérköltség!AB425,'FEOR kodok'!$B$2:$B$1126,0),10),"NA")</f>
        <v>44</v>
      </c>
      <c r="J425" s="442" t="str">
        <f t="shared" ca="1" si="994"/>
        <v>40–49 éves</v>
      </c>
      <c r="K425" s="436" t="str">
        <f>IFERROR(INDEX(admin_feor[#All],MATCH(Bérköltség!H425,admin_feor[[#All],[Foglalkozás]],0),2),"NA")</f>
        <v>Egyetemi, főiskolai oktató, tanár</v>
      </c>
      <c r="L425" s="438">
        <f ca="1">IFERROR(
INDEX('Admin - FEOR'!$A$4:$F$465,MATCH(Bérköltség!H425,'Admin - FEOR'!$A$4:$A$465,0),
IF(J425="30 év alatt",3,
IF(J425="30–39 éves",4,
IF(J425="40–49 éves",5,
IF(J425="50 év és afelett",6
)))))*1,"NA")</f>
        <v>629398</v>
      </c>
      <c r="M425" s="438">
        <f t="shared" si="995"/>
        <v>786500</v>
      </c>
      <c r="N425" s="443">
        <f t="shared" ca="1" si="996"/>
        <v>1.2496067671012618</v>
      </c>
      <c r="O425" s="438">
        <f ca="1">IFERROR(
INDEX('Admin - FEOR'!$A$4:$F$465,MATCH(Bérköltség!H425,'Admin - FEOR'!$A$4:$A$465,0),
IF(J425="30 év alatt",3,
IF(J425="30–39 éves",4,
IF(J425="40–49 éves",5,
IF(J425="50 év és afelett",6
)))))*1.5,"NA")</f>
        <v>944097</v>
      </c>
      <c r="P425" s="438">
        <f t="shared" ca="1" si="997"/>
        <v>835580.10344827594</v>
      </c>
      <c r="Q425" s="438">
        <f t="shared" si="998"/>
        <v>696098</v>
      </c>
      <c r="R425" s="444">
        <f t="shared" si="999"/>
        <v>0.88505747126436785</v>
      </c>
      <c r="S425" s="438">
        <f t="shared" ca="1" si="1000"/>
        <v>0</v>
      </c>
      <c r="T425" s="438">
        <f t="shared" ca="1" si="1001"/>
        <v>0</v>
      </c>
      <c r="U425" s="445">
        <f t="shared" ca="1" si="1002"/>
        <v>0</v>
      </c>
      <c r="V425" s="446">
        <f t="shared" ca="1" si="1003"/>
        <v>786591</v>
      </c>
      <c r="W425" s="447" t="str">
        <f t="shared" ca="1" si="1004"/>
        <v>Indoklás szükséges mivel a FEOR: 125%</v>
      </c>
      <c r="X425" s="571">
        <f t="shared" ca="1" si="1005"/>
        <v>0</v>
      </c>
      <c r="Y425" s="554">
        <f t="shared" ca="1" si="1006"/>
        <v>696098</v>
      </c>
      <c r="Z425" s="554">
        <f t="shared" ca="1" si="1007"/>
        <v>90493</v>
      </c>
      <c r="AA425" s="101"/>
      <c r="AB425" s="448">
        <v>8411312577</v>
      </c>
      <c r="AC425" s="449" t="s">
        <v>143</v>
      </c>
      <c r="AD425" s="483" t="s">
        <v>45</v>
      </c>
      <c r="AE425" s="450" t="s">
        <v>22</v>
      </c>
      <c r="AF425" s="99" t="s">
        <v>121</v>
      </c>
      <c r="AG425" s="99" t="s">
        <v>128</v>
      </c>
      <c r="AH425" s="451" t="s">
        <v>131</v>
      </c>
      <c r="AI425" s="154">
        <v>45017</v>
      </c>
      <c r="AJ425" s="100" t="str">
        <f>IF(AI425&gt;0,
(IF(AI425&lt;Hónapok!$A$10,Admin!$A$28,
(IF(AI425&lt;Hónapok!$A$22,Admin!$B$28,
(IF(AI425&lt;Hónapok!$A$34,Admin!$C$28,
(IF(AI425&lt;Hónapok!$A$46,Admin!$D$28,"")))))))),"")</f>
        <v>3. mérföldkő</v>
      </c>
      <c r="AK425" s="467" t="s">
        <v>7</v>
      </c>
      <c r="AL425" s="101" t="s">
        <v>26</v>
      </c>
      <c r="AM425" s="900">
        <v>786500</v>
      </c>
      <c r="AN425" s="860">
        <f t="shared" si="908"/>
        <v>102245</v>
      </c>
      <c r="AO425" s="101">
        <v>174</v>
      </c>
      <c r="AP425" s="111">
        <v>154</v>
      </c>
      <c r="AQ425" s="454">
        <f t="shared" si="985"/>
        <v>0.88505747126436785</v>
      </c>
      <c r="AR425" s="455">
        <f t="shared" si="986"/>
        <v>696098</v>
      </c>
      <c r="AS425" s="455">
        <f t="shared" si="987"/>
        <v>90493</v>
      </c>
      <c r="AT425" s="102">
        <f t="shared" si="988"/>
        <v>-3.7997530155653436E-7</v>
      </c>
      <c r="AU425" s="116">
        <v>0.13</v>
      </c>
      <c r="AV425" s="565" t="str">
        <f>VLOOKUP(LEFT(AB425,10),Törzsszám!$A$1:$B$908,2,0)</f>
        <v>10000267</v>
      </c>
      <c r="AW425" s="615">
        <f t="shared" ca="1" si="989"/>
        <v>0</v>
      </c>
      <c r="AX425" s="471" t="s">
        <v>4581</v>
      </c>
      <c r="AY425" s="486"/>
      <c r="AZ425" s="502"/>
      <c r="BA425" s="671"/>
      <c r="BB425" s="649"/>
      <c r="BC425" s="649"/>
      <c r="BD425" s="672"/>
      <c r="BE425" s="450" t="s">
        <v>142</v>
      </c>
    </row>
    <row r="426" spans="1:57" s="117" customFormat="1" ht="14.45" customHeight="1" x14ac:dyDescent="0.25">
      <c r="A426" s="694" t="str">
        <f ca="1">Bérköltség!$B426</f>
        <v>FEOR</v>
      </c>
      <c r="B426" s="694" t="str">
        <f ca="1">IFERROR(
IF(AND(Bérköltség!$F426="",H426="NA"),"HIÁNYOS ADATOK",
IF(Bérköltség!$F426&lt;Bérköltség!$U426,Admin!$B$18,Admin!$B$17)),
"")</f>
        <v>FEOR</v>
      </c>
      <c r="C426" s="437">
        <f>IFERROR(INDEX('Historikus berek_2021-2'!$A$1:$F$903,MATCH(AB426,'Historikus berek_2021-2'!$A$1:$A$903,0),4),"")</f>
        <v>426900</v>
      </c>
      <c r="D426" s="438">
        <f t="shared" si="990"/>
        <v>377831.03448275861</v>
      </c>
      <c r="E426" s="437">
        <f t="shared" si="991"/>
        <v>696098</v>
      </c>
      <c r="F426" s="439">
        <f t="shared" si="992"/>
        <v>359641.67103448272</v>
      </c>
      <c r="G426" s="440">
        <f t="shared" si="993"/>
        <v>426949.06896551716</v>
      </c>
      <c r="H426" s="441">
        <f>IFERROR(INDEX('FEOR kodok'!$A$2:$J$1126,MATCH(Bérköltség!AB426,'FEOR kodok'!$B$2:$B$1126,0),8),"NA")</f>
        <v>2410</v>
      </c>
      <c r="I426" s="436">
        <f ca="1">IFERROR(INDEX('FEOR kodok'!$A$2:$J$1126,MATCH(Bérköltség!AB426,'FEOR kodok'!$B$2:$B$1126,0),10),"NA")</f>
        <v>44</v>
      </c>
      <c r="J426" s="442" t="str">
        <f t="shared" ca="1" si="994"/>
        <v>40–49 éves</v>
      </c>
      <c r="K426" s="436" t="str">
        <f>IFERROR(INDEX(admin_feor[#All],MATCH(Bérköltség!H426,admin_feor[[#All],[Foglalkozás]],0),2),"NA")</f>
        <v>Egyetemi, főiskolai oktató, tanár</v>
      </c>
      <c r="L426" s="438">
        <f ca="1">IFERROR(
INDEX('Admin - FEOR'!$A$4:$F$465,MATCH(Bérköltség!H426,'Admin - FEOR'!$A$4:$A$465,0),
IF(J426="30 év alatt",3,
IF(J426="30–39 éves",4,
IF(J426="40–49 éves",5,
IF(J426="50 év és afelett",6
)))))*1,"NA")</f>
        <v>629398</v>
      </c>
      <c r="M426" s="438">
        <f t="shared" si="995"/>
        <v>786500</v>
      </c>
      <c r="N426" s="443">
        <f t="shared" ca="1" si="996"/>
        <v>1.2496067671012618</v>
      </c>
      <c r="O426" s="438">
        <f ca="1">IFERROR(
INDEX('Admin - FEOR'!$A$4:$F$465,MATCH(Bérköltség!H426,'Admin - FEOR'!$A$4:$A$465,0),
IF(J426="30 év alatt",3,
IF(J426="30–39 éves",4,
IF(J426="40–49 éves",5,
IF(J426="50 év és afelett",6
)))))*1.5,"NA")</f>
        <v>944097</v>
      </c>
      <c r="P426" s="438">
        <f t="shared" ca="1" si="997"/>
        <v>835580.10344827594</v>
      </c>
      <c r="Q426" s="438">
        <f t="shared" si="998"/>
        <v>696098</v>
      </c>
      <c r="R426" s="444">
        <f t="shared" si="999"/>
        <v>0.88505747126436785</v>
      </c>
      <c r="S426" s="438">
        <f t="shared" ca="1" si="1000"/>
        <v>0</v>
      </c>
      <c r="T426" s="438">
        <f t="shared" ca="1" si="1001"/>
        <v>0</v>
      </c>
      <c r="U426" s="445">
        <f t="shared" ca="1" si="1002"/>
        <v>0</v>
      </c>
      <c r="V426" s="446">
        <f t="shared" ca="1" si="1003"/>
        <v>786591</v>
      </c>
      <c r="W426" s="447" t="str">
        <f t="shared" ca="1" si="1004"/>
        <v>Indoklás szükséges mivel a FEOR: 125%</v>
      </c>
      <c r="X426" s="571">
        <f t="shared" ca="1" si="1005"/>
        <v>0</v>
      </c>
      <c r="Y426" s="554">
        <f t="shared" ca="1" si="1006"/>
        <v>696098</v>
      </c>
      <c r="Z426" s="554">
        <f t="shared" ca="1" si="1007"/>
        <v>90493</v>
      </c>
      <c r="AA426" s="101"/>
      <c r="AB426" s="448">
        <v>8411312577</v>
      </c>
      <c r="AC426" s="449" t="s">
        <v>143</v>
      </c>
      <c r="AD426" s="482" t="s">
        <v>45</v>
      </c>
      <c r="AE426" s="450" t="s">
        <v>22</v>
      </c>
      <c r="AF426" s="99" t="s">
        <v>121</v>
      </c>
      <c r="AG426" s="99" t="s">
        <v>128</v>
      </c>
      <c r="AH426" s="451" t="s">
        <v>131</v>
      </c>
      <c r="AI426" s="154">
        <v>45047</v>
      </c>
      <c r="AJ426" s="100" t="str">
        <f>IF(AI426&gt;0,
(IF(AI426&lt;Hónapok!$A$10,Admin!$A$28,
(IF(AI426&lt;Hónapok!$A$22,Admin!$B$28,
(IF(AI426&lt;Hónapok!$A$34,Admin!$C$28,
(IF(AI426&lt;Hónapok!$A$46,Admin!$D$28,"")))))))),"")</f>
        <v>3. mérföldkő</v>
      </c>
      <c r="AK426" s="467" t="s">
        <v>7</v>
      </c>
      <c r="AL426" s="101" t="s">
        <v>26</v>
      </c>
      <c r="AM426" s="900">
        <v>786500</v>
      </c>
      <c r="AN426" s="860">
        <f t="shared" si="908"/>
        <v>102245</v>
      </c>
      <c r="AO426" s="101">
        <v>174</v>
      </c>
      <c r="AP426" s="111">
        <v>154</v>
      </c>
      <c r="AQ426" s="454">
        <f t="shared" si="985"/>
        <v>0.88505747126436785</v>
      </c>
      <c r="AR426" s="455">
        <f t="shared" si="986"/>
        <v>696098</v>
      </c>
      <c r="AS426" s="455">
        <f t="shared" si="987"/>
        <v>90493</v>
      </c>
      <c r="AT426" s="102">
        <f t="shared" si="988"/>
        <v>-3.7997530155653436E-7</v>
      </c>
      <c r="AU426" s="116">
        <v>0.13</v>
      </c>
      <c r="AV426" s="565" t="str">
        <f>VLOOKUP(LEFT(AB426,10),Törzsszám!$A$1:$B$908,2,0)</f>
        <v>10000267</v>
      </c>
      <c r="AW426" s="615">
        <f t="shared" ca="1" si="989"/>
        <v>0</v>
      </c>
      <c r="AX426" s="471" t="s">
        <v>4596</v>
      </c>
      <c r="AY426" s="486"/>
      <c r="AZ426" s="502"/>
      <c r="BA426" s="671"/>
      <c r="BB426" s="649"/>
      <c r="BC426" s="649"/>
      <c r="BD426" s="672"/>
      <c r="BE426" s="450" t="s">
        <v>142</v>
      </c>
    </row>
    <row r="427" spans="1:57" s="117" customFormat="1" ht="14.45" customHeight="1" x14ac:dyDescent="0.25">
      <c r="A427" s="694" t="str">
        <f ca="1">Bérköltség!$B427</f>
        <v>FEOR</v>
      </c>
      <c r="B427" s="694" t="str">
        <f ca="1">IFERROR(
IF(AND(Bérköltség!$F427="",H427="NA"),"HIÁNYOS ADATOK",
IF(Bérköltség!$F427&lt;Bérköltség!$U427,Admin!$B$18,Admin!$B$17)),
"")</f>
        <v>FEOR</v>
      </c>
      <c r="C427" s="437">
        <f>IFERROR(INDEX('Historikus berek_2021-2'!$A$1:$F$903,MATCH(AB427,'Historikus berek_2021-2'!$A$1:$A$903,0),4),"")</f>
        <v>426900</v>
      </c>
      <c r="D427" s="438">
        <f t="shared" ref="D427:D429" si="1008">IFERROR(C427*AQ427,"NA")</f>
        <v>331215.5172413793</v>
      </c>
      <c r="E427" s="437">
        <f t="shared" ref="E427:E429" si="1009">AR427</f>
        <v>746185</v>
      </c>
      <c r="F427" s="439">
        <f t="shared" ref="F427:F429" si="1010">IFERROR(IF((E427*(1+AU427)-D427*(1+AU427))&lt;0,0,(E427*(1+AU427)-D427*(1+AU427))),"")</f>
        <v>468915.51551724138</v>
      </c>
      <c r="G427" s="440">
        <f t="shared" ref="G427:G429" si="1011">IFERROR((E427*(1+AU427)-F427),"")</f>
        <v>374273.53448275855</v>
      </c>
      <c r="H427" s="441">
        <f>IFERROR(INDEX('FEOR kodok'!$A$2:$J$1126,MATCH(Bérköltség!AB427,'FEOR kodok'!$B$2:$B$1126,0),8),"NA")</f>
        <v>2410</v>
      </c>
      <c r="I427" s="436">
        <f ca="1">IFERROR(INDEX('FEOR kodok'!$A$2:$J$1126,MATCH(Bérköltség!AB427,'FEOR kodok'!$B$2:$B$1126,0),10),"NA")</f>
        <v>44</v>
      </c>
      <c r="J427" s="442" t="str">
        <f t="shared" ref="J427:J429" ca="1" si="1012">IF(I427="NA","NA",
IF(I427&lt;30,"30 év alatt",
IF(AND(I427&gt;=30,I427&lt;=39),"30–39 éves",
IF(AND(I427&gt;=40,I427&lt;=49),"40–49 éves",
IF(I427&gt;=50,"50 év és afelett",
"")))))</f>
        <v>40–49 éves</v>
      </c>
      <c r="K427" s="436" t="str">
        <f>IFERROR(INDEX(admin_feor[#All],MATCH(Bérköltség!H427,admin_feor[[#All],[Foglalkozás]],0),2),"NA")</f>
        <v>Egyetemi, főiskolai oktató, tanár</v>
      </c>
      <c r="L427" s="438">
        <f ca="1">IFERROR(
INDEX('Admin - FEOR'!$A$4:$F$465,MATCH(Bérköltség!H427,'Admin - FEOR'!$A$4:$A$465,0),
IF(J427="30 év alatt",3,
IF(J427="30–39 éves",4,
IF(J427="40–49 éves",5,
IF(J427="50 év és afelett",6
)))))*1,"NA")</f>
        <v>629398</v>
      </c>
      <c r="M427" s="438">
        <f t="shared" ref="M427:M429" si="1013">AM427</f>
        <v>961750</v>
      </c>
      <c r="N427" s="443">
        <f t="shared" ref="N427:N429" ca="1" si="1014">IFERROR(
M427/L427,"NA")</f>
        <v>1.5280474358037364</v>
      </c>
      <c r="O427" s="438">
        <f ca="1">IFERROR(
INDEX('Admin - FEOR'!$A$4:$F$465,MATCH(Bérköltség!H427,'Admin - FEOR'!$A$4:$A$465,0),
IF(J427="30 év alatt",3,
IF(J427="30–39 éves",4,
IF(J427="40–49 éves",5,
IF(J427="50 év és afelett",6
)))))*1.5,"NA")</f>
        <v>944097</v>
      </c>
      <c r="P427" s="438">
        <f t="shared" ref="P427:P429" ca="1" si="1015">IFERROR(
AQ427*O427,"NA")</f>
        <v>732489.05172413797</v>
      </c>
      <c r="Q427" s="438">
        <f t="shared" ref="Q427:Q429" si="1016">IFERROR(AR427,"")</f>
        <v>746185</v>
      </c>
      <c r="R427" s="444">
        <f t="shared" ref="R427:R429" si="1017">IFERROR(AQ427,"")</f>
        <v>0.77586206896551724</v>
      </c>
      <c r="S427" s="438">
        <f t="shared" ref="S427:S429" ca="1" si="1018">IFERROR(
IF(AR427-P427&lt;0,0,AR427-P427),"NA")</f>
        <v>13695.948275862029</v>
      </c>
      <c r="T427" s="438">
        <f t="shared" ref="T427:T429" ca="1" si="1019">IFERROR(
S427*AU427,"NA")</f>
        <v>1780.4732758620637</v>
      </c>
      <c r="U427" s="445">
        <f t="shared" ref="U427:U429" ca="1" si="1020">IFERROR(
S427+T427,"NA")</f>
        <v>15476.421551724092</v>
      </c>
      <c r="V427" s="446">
        <f t="shared" ref="V427:V429" ca="1" si="1021">IFERROR(
IF(U427&gt;0,AR427+AS427-U427,AR427+AS427),"NA")</f>
        <v>827712.57844827592</v>
      </c>
      <c r="W427" s="447" t="str">
        <f t="shared" ref="W427:W429" ca="1" si="1022">IF(P427="NA","FEOR hiányzik",
IF(AND(N427&gt;1,A427="FEOR"),CONCATENATE("Indoklás szükséges mivel a FEOR: ",ROUND(N427*100,1),"%"),"Nem szükséges indoklás.")
)</f>
        <v>Indoklás szükséges mivel a FEOR: 152,8%</v>
      </c>
      <c r="X427" s="571">
        <f t="shared" ref="X427" ca="1" si="1023">IF(A427="FEOR",U427,IF(A427="HIÁNYOS ADATOK","HIÁNYOS ADATOK",F427))</f>
        <v>15476.421551724092</v>
      </c>
      <c r="Y427" s="554">
        <f t="shared" ref="Y427" ca="1" si="1024">IF(A427="FEOR",ROUND(V427/(1+AU427),0),IF(A427="HIÁNYOS ADATOK","HIÁNYOS ADATOK",ROUND(G427/(1+AU427),0)))</f>
        <v>732489</v>
      </c>
      <c r="Z427" s="554">
        <f t="shared" ref="Z427" ca="1" si="1025">IF(A427="FEOR",ROUND(V427-Y427,0),IF(A427="HIÁNYOS ADATOK","HIÁNYOS ADATOK",ROUND(G427-Y427,0)))</f>
        <v>95224</v>
      </c>
      <c r="AA427" s="101"/>
      <c r="AB427" s="448">
        <v>8411312577</v>
      </c>
      <c r="AC427" s="449" t="s">
        <v>143</v>
      </c>
      <c r="AD427" s="482" t="s">
        <v>45</v>
      </c>
      <c r="AE427" s="450" t="s">
        <v>22</v>
      </c>
      <c r="AF427" s="99" t="s">
        <v>121</v>
      </c>
      <c r="AG427" s="99" t="s">
        <v>128</v>
      </c>
      <c r="AH427" s="451" t="s">
        <v>131</v>
      </c>
      <c r="AI427" s="154">
        <v>45078</v>
      </c>
      <c r="AJ427" s="100" t="str">
        <f>IF(AI427&gt;0,
(IF(AI427&lt;Hónapok!$A$10,Admin!$A$28,
(IF(AI427&lt;Hónapok!$A$22,Admin!$B$28,
(IF(AI427&lt;Hónapok!$A$34,Admin!$C$28,
(IF(AI427&lt;Hónapok!$A$46,Admin!$D$28,"")))))))),"")</f>
        <v>3. mérföldkő</v>
      </c>
      <c r="AK427" s="467" t="s">
        <v>7</v>
      </c>
      <c r="AL427" s="101" t="s">
        <v>26</v>
      </c>
      <c r="AM427" s="900">
        <v>961750</v>
      </c>
      <c r="AN427" s="860">
        <f t="shared" ref="AN427:AN429" si="1026">IFERROR(ROUND(AM427*AU427,0),"")</f>
        <v>125028</v>
      </c>
      <c r="AO427" s="101">
        <v>174</v>
      </c>
      <c r="AP427" s="111">
        <v>135</v>
      </c>
      <c r="AQ427" s="102">
        <f t="shared" ref="AQ427:AQ433" si="1027">IFERROR(AP427/AO427,"")</f>
        <v>0.77586206896551724</v>
      </c>
      <c r="AR427" s="455">
        <f t="shared" ref="AR427:AR433" si="1028">IFERROR(ROUND(AM427*AP427/AO427,0),"")</f>
        <v>746185</v>
      </c>
      <c r="AS427" s="455">
        <f t="shared" ref="AS427:AS429" si="1029">IFERROR(ROUND(AR427*AU427,0),"")</f>
        <v>97004</v>
      </c>
      <c r="AT427" s="102">
        <f t="shared" ref="AT427:AT437" si="1030">IFERROR(AP427/AO427-AR427/AM427,"")</f>
        <v>3.5854181046346412E-7</v>
      </c>
      <c r="AU427" s="116">
        <v>0.13</v>
      </c>
      <c r="AV427" s="565" t="str">
        <f>VLOOKUP(LEFT(AB427,10),Törzsszám!$A$1:$B$908,2,0)</f>
        <v>10000267</v>
      </c>
      <c r="AW427" s="681">
        <f t="shared" ref="AW427:AW429" ca="1" si="1031">(Y427+Z427)-(AR427+AS427)</f>
        <v>-15476</v>
      </c>
      <c r="AX427" s="471" t="s">
        <v>4606</v>
      </c>
      <c r="AY427" s="486"/>
      <c r="AZ427" s="502"/>
      <c r="BA427" s="671"/>
      <c r="BB427" s="649"/>
      <c r="BC427" s="649"/>
      <c r="BD427" s="672"/>
      <c r="BE427" s="450" t="s">
        <v>142</v>
      </c>
    </row>
    <row r="428" spans="1:57" s="117" customFormat="1" ht="14.45" customHeight="1" x14ac:dyDescent="0.25">
      <c r="A428" s="694" t="str">
        <f ca="1">Bérköltség!$B428</f>
        <v>FEOR</v>
      </c>
      <c r="B428" s="694" t="str">
        <f ca="1">IFERROR(
IF(AND(Bérköltség!$F428="",H428="NA"),"HIÁNYOS ADATOK",
IF(Bérköltség!$F428&lt;Bérköltség!$U428,Admin!$B$18,Admin!$B$17)),
"")</f>
        <v>FEOR</v>
      </c>
      <c r="C428" s="437">
        <f>IFERROR(INDEX('Historikus berek_2021-2'!$A$1:$F$903,MATCH(AB428,'Historikus berek_2021-2'!$A$1:$A$903,0),4),"")</f>
        <v>426900</v>
      </c>
      <c r="D428" s="438">
        <f t="shared" si="1008"/>
        <v>331215.5172413793</v>
      </c>
      <c r="E428" s="437">
        <f t="shared" si="1009"/>
        <v>746185</v>
      </c>
      <c r="F428" s="439">
        <f t="shared" si="1010"/>
        <v>468915.51551724138</v>
      </c>
      <c r="G428" s="440">
        <f t="shared" si="1011"/>
        <v>374273.53448275855</v>
      </c>
      <c r="H428" s="441">
        <f>IFERROR(INDEX('FEOR kodok'!$A$2:$J$1126,MATCH(Bérköltség!AB428,'FEOR kodok'!$B$2:$B$1126,0),8),"NA")</f>
        <v>2410</v>
      </c>
      <c r="I428" s="436">
        <f ca="1">IFERROR(INDEX('FEOR kodok'!$A$2:$J$1126,MATCH(Bérköltség!AB428,'FEOR kodok'!$B$2:$B$1126,0),10),"NA")</f>
        <v>44</v>
      </c>
      <c r="J428" s="442" t="str">
        <f t="shared" ca="1" si="1012"/>
        <v>40–49 éves</v>
      </c>
      <c r="K428" s="436" t="str">
        <f>IFERROR(INDEX(admin_feor[#All],MATCH(Bérköltség!H428,admin_feor[[#All],[Foglalkozás]],0),2),"NA")</f>
        <v>Egyetemi, főiskolai oktató, tanár</v>
      </c>
      <c r="L428" s="438">
        <f ca="1">IFERROR(
INDEX('Admin - FEOR'!$A$4:$F$465,MATCH(Bérköltség!H428,'Admin - FEOR'!$A$4:$A$465,0),
IF(J428="30 év alatt",3,
IF(J428="30–39 éves",4,
IF(J428="40–49 éves",5,
IF(J428="50 év és afelett",6
)))))*1,"NA")</f>
        <v>629398</v>
      </c>
      <c r="M428" s="438">
        <f t="shared" si="1013"/>
        <v>961750</v>
      </c>
      <c r="N428" s="443">
        <f t="shared" ca="1" si="1014"/>
        <v>1.5280474358037364</v>
      </c>
      <c r="O428" s="438">
        <f ca="1">IFERROR(
INDEX('Admin - FEOR'!$A$4:$F$465,MATCH(Bérköltség!H428,'Admin - FEOR'!$A$4:$A$465,0),
IF(J428="30 év alatt",3,
IF(J428="30–39 éves",4,
IF(J428="40–49 éves",5,
IF(J428="50 év és afelett",6
)))))*1.5,"NA")</f>
        <v>944097</v>
      </c>
      <c r="P428" s="438">
        <f t="shared" ca="1" si="1015"/>
        <v>732489.05172413797</v>
      </c>
      <c r="Q428" s="438">
        <f t="shared" si="1016"/>
        <v>746185</v>
      </c>
      <c r="R428" s="444">
        <f t="shared" si="1017"/>
        <v>0.77586206896551724</v>
      </c>
      <c r="S428" s="438">
        <f t="shared" ca="1" si="1018"/>
        <v>13695.948275862029</v>
      </c>
      <c r="T428" s="438">
        <f t="shared" ca="1" si="1019"/>
        <v>1780.4732758620637</v>
      </c>
      <c r="U428" s="445">
        <f t="shared" ca="1" si="1020"/>
        <v>15476.421551724092</v>
      </c>
      <c r="V428" s="446">
        <f t="shared" ca="1" si="1021"/>
        <v>827712.57844827592</v>
      </c>
      <c r="W428" s="447" t="str">
        <f t="shared" ca="1" si="1022"/>
        <v>Indoklás szükséges mivel a FEOR: 152,8%</v>
      </c>
      <c r="X428" s="571">
        <f t="shared" ref="X428:X429" ca="1" si="1032">IF(A428="FEOR",U428,IF(A428="HIÁNYOS ADATOK","HIÁNYOS ADATOK",F428))</f>
        <v>15476.421551724092</v>
      </c>
      <c r="Y428" s="554">
        <f t="shared" ref="Y428:Y429" ca="1" si="1033">IF(A428="FEOR",ROUND(V428/(1+AU428),0),IF(A428="HIÁNYOS ADATOK","HIÁNYOS ADATOK",ROUND(G428/(1+AU428),0)))</f>
        <v>732489</v>
      </c>
      <c r="Z428" s="554">
        <f t="shared" ref="Z428:Z429" ca="1" si="1034">IF(A428="FEOR",ROUND(V428-Y428,0),IF(A428="HIÁNYOS ADATOK","HIÁNYOS ADATOK",ROUND(G428-Y428,0)))</f>
        <v>95224</v>
      </c>
      <c r="AA428" s="101"/>
      <c r="AB428" s="448">
        <v>8411312577</v>
      </c>
      <c r="AC428" s="449" t="s">
        <v>143</v>
      </c>
      <c r="AD428" s="482" t="s">
        <v>45</v>
      </c>
      <c r="AE428" s="450" t="s">
        <v>22</v>
      </c>
      <c r="AF428" s="99" t="s">
        <v>121</v>
      </c>
      <c r="AG428" s="99" t="s">
        <v>128</v>
      </c>
      <c r="AH428" s="451" t="s">
        <v>131</v>
      </c>
      <c r="AI428" s="154">
        <v>45108</v>
      </c>
      <c r="AJ428" s="100" t="str">
        <f>IF(AI428&gt;0,
(IF(AI428&lt;Hónapok!$A$10,Admin!$A$28,
(IF(AI428&lt;Hónapok!$A$22,Admin!$B$28,
(IF(AI428&lt;Hónapok!$A$34,Admin!$C$28,
(IF(AI428&lt;Hónapok!$A$46,Admin!$D$28,"")))))))),"")</f>
        <v>3. mérföldkő</v>
      </c>
      <c r="AK428" s="467" t="s">
        <v>7</v>
      </c>
      <c r="AL428" s="101" t="s">
        <v>26</v>
      </c>
      <c r="AM428" s="900">
        <v>961750</v>
      </c>
      <c r="AN428" s="860">
        <f t="shared" si="1026"/>
        <v>125028</v>
      </c>
      <c r="AO428" s="101">
        <v>174</v>
      </c>
      <c r="AP428" s="111">
        <v>135</v>
      </c>
      <c r="AQ428" s="682">
        <f t="shared" si="1027"/>
        <v>0.77586206896551724</v>
      </c>
      <c r="AR428" s="455">
        <f t="shared" si="1028"/>
        <v>746185</v>
      </c>
      <c r="AS428" s="455">
        <f t="shared" si="1029"/>
        <v>97004</v>
      </c>
      <c r="AT428" s="102">
        <f t="shared" si="1030"/>
        <v>3.5854181046346412E-7</v>
      </c>
      <c r="AU428" s="116">
        <v>0.13</v>
      </c>
      <c r="AV428" s="565" t="str">
        <f>VLOOKUP(LEFT(AB428,10),Törzsszám!$A$1:$B$908,2,0)</f>
        <v>10000267</v>
      </c>
      <c r="AW428" s="681">
        <f t="shared" ca="1" si="1031"/>
        <v>-15476</v>
      </c>
      <c r="AX428" s="471" t="s">
        <v>4610</v>
      </c>
      <c r="AY428" s="486"/>
      <c r="AZ428" s="502"/>
      <c r="BA428" s="671"/>
      <c r="BB428" s="649"/>
      <c r="BC428" s="649"/>
      <c r="BD428" s="672"/>
      <c r="BE428" s="450" t="s">
        <v>142</v>
      </c>
    </row>
    <row r="429" spans="1:57" s="117" customFormat="1" ht="14.45" customHeight="1" x14ac:dyDescent="0.25">
      <c r="A429" s="694" t="str">
        <f ca="1">Bérköltség!$B429</f>
        <v>FEOR</v>
      </c>
      <c r="B429" s="694" t="str">
        <f ca="1">IFERROR(
IF(AND(Bérköltség!$F429="",H429="NA"),"HIÁNYOS ADATOK",
IF(Bérköltség!$F429&lt;Bérköltség!$U429,Admin!$B$18,Admin!$B$17)),
"")</f>
        <v>FEOR</v>
      </c>
      <c r="C429" s="437">
        <f>IFERROR(INDEX('Historikus berek_2021-2'!$A$1:$F$903,MATCH(AB429,'Historikus berek_2021-2'!$A$1:$A$903,0),4),"")</f>
        <v>426900</v>
      </c>
      <c r="D429" s="438">
        <f t="shared" si="1008"/>
        <v>331215.5172413793</v>
      </c>
      <c r="E429" s="437">
        <f t="shared" si="1009"/>
        <v>746185</v>
      </c>
      <c r="F429" s="439">
        <f t="shared" si="1010"/>
        <v>468915.51551724138</v>
      </c>
      <c r="G429" s="440">
        <f t="shared" si="1011"/>
        <v>374273.53448275855</v>
      </c>
      <c r="H429" s="441">
        <f>IFERROR(INDEX('FEOR kodok'!$A$2:$J$1126,MATCH(Bérköltség!AB429,'FEOR kodok'!$B$2:$B$1126,0),8),"NA")</f>
        <v>2410</v>
      </c>
      <c r="I429" s="436">
        <f ca="1">IFERROR(INDEX('FEOR kodok'!$A$2:$J$1126,MATCH(Bérköltség!AB429,'FEOR kodok'!$B$2:$B$1126,0),10),"NA")</f>
        <v>44</v>
      </c>
      <c r="J429" s="442" t="str">
        <f t="shared" ca="1" si="1012"/>
        <v>40–49 éves</v>
      </c>
      <c r="K429" s="436" t="str">
        <f>IFERROR(INDEX(admin_feor[#All],MATCH(Bérköltség!H429,admin_feor[[#All],[Foglalkozás]],0),2),"NA")</f>
        <v>Egyetemi, főiskolai oktató, tanár</v>
      </c>
      <c r="L429" s="438">
        <f ca="1">IFERROR(
INDEX('Admin - FEOR'!$A$4:$F$465,MATCH(Bérköltség!H429,'Admin - FEOR'!$A$4:$A$465,0),
IF(J429="30 év alatt",3,
IF(J429="30–39 éves",4,
IF(J429="40–49 éves",5,
IF(J429="50 év és afelett",6
)))))*1,"NA")</f>
        <v>629398</v>
      </c>
      <c r="M429" s="438">
        <f t="shared" si="1013"/>
        <v>961750</v>
      </c>
      <c r="N429" s="443">
        <f t="shared" ca="1" si="1014"/>
        <v>1.5280474358037364</v>
      </c>
      <c r="O429" s="438">
        <f ca="1">IFERROR(
INDEX('Admin - FEOR'!$A$4:$F$465,MATCH(Bérköltség!H429,'Admin - FEOR'!$A$4:$A$465,0),
IF(J429="30 év alatt",3,
IF(J429="30–39 éves",4,
IF(J429="40–49 éves",5,
IF(J429="50 év és afelett",6
)))))*1.5,"NA")</f>
        <v>944097</v>
      </c>
      <c r="P429" s="438">
        <f t="shared" ca="1" si="1015"/>
        <v>732489.05172413797</v>
      </c>
      <c r="Q429" s="438">
        <f t="shared" si="1016"/>
        <v>746185</v>
      </c>
      <c r="R429" s="444">
        <f t="shared" si="1017"/>
        <v>0.77586206896551724</v>
      </c>
      <c r="S429" s="438">
        <f t="shared" ca="1" si="1018"/>
        <v>13695.948275862029</v>
      </c>
      <c r="T429" s="438">
        <f t="shared" ca="1" si="1019"/>
        <v>1780.4732758620637</v>
      </c>
      <c r="U429" s="445">
        <f t="shared" ca="1" si="1020"/>
        <v>15476.421551724092</v>
      </c>
      <c r="V429" s="446">
        <f t="shared" ca="1" si="1021"/>
        <v>827712.57844827592</v>
      </c>
      <c r="W429" s="447" t="str">
        <f t="shared" ca="1" si="1022"/>
        <v>Indoklás szükséges mivel a FEOR: 152,8%</v>
      </c>
      <c r="X429" s="571">
        <f t="shared" ca="1" si="1032"/>
        <v>15476.421551724092</v>
      </c>
      <c r="Y429" s="554">
        <f t="shared" ca="1" si="1033"/>
        <v>732489</v>
      </c>
      <c r="Z429" s="554">
        <f t="shared" ca="1" si="1034"/>
        <v>95224</v>
      </c>
      <c r="AA429" s="101"/>
      <c r="AB429" s="448">
        <v>8411312577</v>
      </c>
      <c r="AC429" s="449" t="s">
        <v>143</v>
      </c>
      <c r="AD429" s="482" t="s">
        <v>45</v>
      </c>
      <c r="AE429" s="450" t="s">
        <v>22</v>
      </c>
      <c r="AF429" s="99" t="s">
        <v>121</v>
      </c>
      <c r="AG429" s="99" t="s">
        <v>128</v>
      </c>
      <c r="AH429" s="451" t="s">
        <v>131</v>
      </c>
      <c r="AI429" s="154">
        <v>45139</v>
      </c>
      <c r="AJ429" s="100" t="str">
        <f>IF(AI429&gt;0,
(IF(AI429&lt;Hónapok!$A$10,Admin!$A$28,
(IF(AI429&lt;Hónapok!$A$22,Admin!$B$28,
(IF(AI429&lt;Hónapok!$A$34,Admin!$C$28,
(IF(AI429&lt;Hónapok!$A$46,Admin!$D$28,"")))))))),"")</f>
        <v>3. mérföldkő</v>
      </c>
      <c r="AK429" s="467" t="s">
        <v>7</v>
      </c>
      <c r="AL429" s="101" t="s">
        <v>26</v>
      </c>
      <c r="AM429" s="900">
        <v>961750</v>
      </c>
      <c r="AN429" s="860">
        <f t="shared" si="1026"/>
        <v>125028</v>
      </c>
      <c r="AO429" s="101">
        <v>174</v>
      </c>
      <c r="AP429" s="111">
        <v>135</v>
      </c>
      <c r="AQ429" s="454">
        <f t="shared" si="1027"/>
        <v>0.77586206896551724</v>
      </c>
      <c r="AR429" s="455">
        <f t="shared" si="1028"/>
        <v>746185</v>
      </c>
      <c r="AS429" s="455">
        <f t="shared" si="1029"/>
        <v>97004</v>
      </c>
      <c r="AT429" s="102">
        <f t="shared" si="1030"/>
        <v>3.5854181046346412E-7</v>
      </c>
      <c r="AU429" s="116">
        <v>0.13</v>
      </c>
      <c r="AV429" s="565" t="str">
        <f>VLOOKUP(LEFT(AB429,10),Törzsszám!$A$1:$B$908,2,0)</f>
        <v>10000267</v>
      </c>
      <c r="AW429" s="681">
        <f t="shared" ca="1" si="1031"/>
        <v>-15476</v>
      </c>
      <c r="AX429" s="471" t="s">
        <v>4613</v>
      </c>
      <c r="AY429" s="486"/>
      <c r="AZ429" s="502"/>
      <c r="BA429" s="671"/>
      <c r="BB429" s="649"/>
      <c r="BC429" s="649"/>
      <c r="BD429" s="672"/>
      <c r="BE429" s="450" t="s">
        <v>142</v>
      </c>
    </row>
    <row r="430" spans="1:57" s="117" customFormat="1" ht="14.45" customHeight="1" x14ac:dyDescent="0.25">
      <c r="A430" s="694" t="str">
        <f ca="1">Bérköltség!$B430</f>
        <v>FEOR</v>
      </c>
      <c r="B430" s="694" t="str">
        <f ca="1">IFERROR(
IF(AND(Bérköltség!$F430="",H430="NA"),"HIÁNYOS ADATOK",
IF(Bérköltség!$F430&lt;Bérköltség!$U430,Admin!$B$18,Admin!$B$17)),
"")</f>
        <v>FEOR</v>
      </c>
      <c r="C430" s="437">
        <f>IFERROR(INDEX('Historikus berek_2021-2'!$A$1:$F$903,MATCH(AB430,'Historikus berek_2021-2'!$A$1:$A$903,0),4),"")</f>
        <v>426900</v>
      </c>
      <c r="D430" s="438">
        <f t="shared" ref="D430:D432" si="1035">IFERROR(C430*AQ430,"NA")</f>
        <v>387644.8275862069</v>
      </c>
      <c r="E430" s="437">
        <f t="shared" ref="E430:E432" si="1036">AR430</f>
        <v>955491</v>
      </c>
      <c r="F430" s="439">
        <f t="shared" ref="F430:F432" si="1037">IFERROR(IF((E430*(1+AU430)-D430*(1+AU430))&lt;0,0,(E430*(1+AU430)-D430*(1+AU430))),"")</f>
        <v>641666.17482758616</v>
      </c>
      <c r="G430" s="440">
        <f t="shared" ref="G430:G432" si="1038">IFERROR((E430*(1+AU430)-F430),"")</f>
        <v>438038.65517241368</v>
      </c>
      <c r="H430" s="441">
        <f>IFERROR(INDEX('FEOR kodok'!$A$2:$J$1126,MATCH(Bérköltség!AB430,'FEOR kodok'!$B$2:$B$1126,0),8),"NA")</f>
        <v>2410</v>
      </c>
      <c r="I430" s="436">
        <f ca="1">IFERROR(INDEX('FEOR kodok'!$A$2:$J$1126,MATCH(Bérköltség!AB430,'FEOR kodok'!$B$2:$B$1126,0),10),"NA")</f>
        <v>44</v>
      </c>
      <c r="J430" s="442" t="str">
        <f t="shared" ref="J430:J432" ca="1" si="1039">IF(I430="NA","NA",
IF(I430&lt;30,"30 év alatt",
IF(AND(I430&gt;=30,I430&lt;=39),"30–39 éves",
IF(AND(I430&gt;=40,I430&lt;=49),"40–49 éves",
IF(I430&gt;=50,"50 év és afelett",
"")))))</f>
        <v>40–49 éves</v>
      </c>
      <c r="K430" s="436" t="str">
        <f>IFERROR(INDEX(admin_feor[#All],MATCH(Bérköltség!H430,admin_feor[[#All],[Foglalkozás]],0),2),"NA")</f>
        <v>Egyetemi, főiskolai oktató, tanár</v>
      </c>
      <c r="L430" s="438">
        <f ca="1">IFERROR(
INDEX('Admin - FEOR'!$A$4:$F$465,MATCH(Bérköltség!H430,'Admin - FEOR'!$A$4:$A$465,0),
IF(J430="30 év alatt",3,
IF(J430="30–39 éves",4,
IF(J430="40–49 éves",5,
IF(J430="50 év és afelett",6
)))))*1,"NA")</f>
        <v>629398</v>
      </c>
      <c r="M430" s="438">
        <f t="shared" ref="M430:M432" si="1040">AM430</f>
        <v>1052250</v>
      </c>
      <c r="N430" s="443">
        <f t="shared" ref="N430:N432" ca="1" si="1041">IFERROR(
M430/L430,"NA")</f>
        <v>1.6718356270595076</v>
      </c>
      <c r="O430" s="438">
        <f ca="1">IFERROR(
INDEX('Admin - FEOR'!$A$4:$F$465,MATCH(Bérköltség!H430,'Admin - FEOR'!$A$4:$A$465,0),
IF(J430="30 év alatt",3,
IF(J430="30–39 éves",4,
IF(J430="40–49 éves",5,
IF(J430="50 év és afelett",6
)))))*1.5,"NA")</f>
        <v>944097</v>
      </c>
      <c r="P430" s="438">
        <f t="shared" ref="P430:P432" ca="1" si="1042">IFERROR(
AQ430*O430,"NA")</f>
        <v>857283.48275862064</v>
      </c>
      <c r="Q430" s="438">
        <f t="shared" ref="Q430:Q432" si="1043">IFERROR(AR430,"")</f>
        <v>955491</v>
      </c>
      <c r="R430" s="444">
        <f t="shared" ref="R430:R432" si="1044">IFERROR(AQ430,"")</f>
        <v>0.90804597701149425</v>
      </c>
      <c r="S430" s="438">
        <f t="shared" ref="S430:S432" ca="1" si="1045">IFERROR(
IF(AR430-P430&lt;0,0,AR430-P430),"NA")</f>
        <v>98207.517241379363</v>
      </c>
      <c r="T430" s="438">
        <f t="shared" ref="T430:T432" ca="1" si="1046">IFERROR(
S430*AU430,"NA")</f>
        <v>12766.977241379318</v>
      </c>
      <c r="U430" s="445">
        <f t="shared" ref="U430:U432" ca="1" si="1047">IFERROR(
S430+T430,"NA")</f>
        <v>110974.49448275869</v>
      </c>
      <c r="V430" s="446">
        <f t="shared" ref="V430:V432" ca="1" si="1048">IFERROR(
IF(U430&gt;0,AR430+AS430-U430,AR430+AS430),"NA")</f>
        <v>968730.50551724131</v>
      </c>
      <c r="W430" s="447" t="str">
        <f t="shared" ref="W430:W432" ca="1" si="1049">IF(P430="NA","FEOR hiányzik",
IF(AND(N430&gt;1,A430="FEOR"),CONCATENATE("Indoklás szükséges mivel a FEOR: ",ROUND(N430*100,1),"%"),"Nem szükséges indoklás.")
)</f>
        <v>Indoklás szükséges mivel a FEOR: 167,2%</v>
      </c>
      <c r="X430" s="571">
        <f t="shared" ref="X430:X432" ca="1" si="1050">IF(A430="FEOR",U430,IF(A430="HIÁNYOS ADATOK","HIÁNYOS ADATOK",F430))</f>
        <v>110974.49448275869</v>
      </c>
      <c r="Y430" s="554">
        <f t="shared" ref="Y430:Y432" ca="1" si="1051">IF(A430="FEOR",ROUND(V430/(1+AU430),0),IF(A430="HIÁNYOS ADATOK","HIÁNYOS ADATOK",ROUND(G430/(1+AU430),0)))</f>
        <v>857284</v>
      </c>
      <c r="Z430" s="554">
        <f t="shared" ref="Z430:Z432" ca="1" si="1052">IF(A430="FEOR",ROUND(V430-Y430,0),IF(A430="HIÁNYOS ADATOK","HIÁNYOS ADATOK",ROUND(G430-Y430,0)))</f>
        <v>111447</v>
      </c>
      <c r="AA430" s="101"/>
      <c r="AB430" s="448">
        <v>8411312577</v>
      </c>
      <c r="AC430" s="449" t="s">
        <v>143</v>
      </c>
      <c r="AD430" s="482" t="s">
        <v>45</v>
      </c>
      <c r="AE430" s="450" t="s">
        <v>22</v>
      </c>
      <c r="AF430" s="99" t="s">
        <v>121</v>
      </c>
      <c r="AG430" s="99" t="s">
        <v>128</v>
      </c>
      <c r="AH430" s="451" t="s">
        <v>131</v>
      </c>
      <c r="AI430" s="154">
        <v>45170</v>
      </c>
      <c r="AJ430" s="100" t="str">
        <f>IF(AI430&gt;0,
(IF(AI430&lt;Hónapok!$A$10,Admin!$A$28,
(IF(AI430&lt;Hónapok!$A$22,Admin!$B$28,
(IF(AI430&lt;Hónapok!$A$34,Admin!$C$28,
(IF(AI430&lt;Hónapok!$A$46,Admin!$D$28,"")))))))),"")</f>
        <v>3. mérföldkő</v>
      </c>
      <c r="AK430" s="467" t="s">
        <v>7</v>
      </c>
      <c r="AL430" s="101" t="s">
        <v>26</v>
      </c>
      <c r="AM430" s="900">
        <v>1052250</v>
      </c>
      <c r="AN430" s="860">
        <f t="shared" ref="AN430:AN432" si="1053">IFERROR(ROUND(AM430*AU430,0),"")</f>
        <v>136793</v>
      </c>
      <c r="AO430" s="101">
        <v>174</v>
      </c>
      <c r="AP430" s="111">
        <v>158</v>
      </c>
      <c r="AQ430" s="454">
        <f t="shared" ref="AQ430:AQ432" si="1054">IFERROR(AP430/AO430,"")</f>
        <v>0.90804597701149425</v>
      </c>
      <c r="AR430" s="455">
        <f t="shared" ref="AR430:AR432" si="1055">IFERROR(ROUND(AM430*AP430/AO430,0),"")</f>
        <v>955491</v>
      </c>
      <c r="AS430" s="455">
        <f t="shared" ref="AS430:AS432" si="1056">IFERROR(ROUND(AR430*AU430,0),"")</f>
        <v>124214</v>
      </c>
      <c r="AT430" s="102">
        <f t="shared" ref="AT430:AT432" si="1057">IFERROR(AP430/AO430-AR430/AM430,"")</f>
        <v>3.6047550000528616E-7</v>
      </c>
      <c r="AU430" s="116">
        <v>0.13</v>
      </c>
      <c r="AV430" s="565" t="str">
        <f>VLOOKUP(LEFT(AB430,10),Törzsszám!$A$1:$B$908,2,0)</f>
        <v>10000267</v>
      </c>
      <c r="AW430" s="681">
        <f t="shared" ref="AW430:AW432" ca="1" si="1058">(Y430+Z430)-(AR430+AS430)</f>
        <v>-110974</v>
      </c>
      <c r="AX430" s="471" t="s">
        <v>4618</v>
      </c>
      <c r="AY430" s="486"/>
      <c r="AZ430" s="502"/>
      <c r="BA430" s="671"/>
      <c r="BB430" s="649"/>
      <c r="BC430" s="649"/>
      <c r="BD430" s="672"/>
      <c r="BE430" s="450" t="s">
        <v>142</v>
      </c>
    </row>
    <row r="431" spans="1:57" s="117" customFormat="1" ht="14.45" customHeight="1" x14ac:dyDescent="0.25">
      <c r="A431" s="694" t="str">
        <f ca="1">Bérköltség!$B431</f>
        <v>FEOR</v>
      </c>
      <c r="B431" s="694" t="str">
        <f ca="1">IFERROR(
IF(AND(Bérköltség!$F431="",H431="NA"),"HIÁNYOS ADATOK",
IF(Bérköltség!$F431&lt;Bérköltség!$U431,Admin!$B$18,Admin!$B$17)),
"")</f>
        <v>FEOR</v>
      </c>
      <c r="C431" s="437">
        <f>IFERROR(INDEX('Historikus berek_2021-2'!$A$1:$F$903,MATCH(AB431,'Historikus berek_2021-2'!$A$1:$A$903,0),4),"")</f>
        <v>426900</v>
      </c>
      <c r="D431" s="438">
        <f t="shared" si="1035"/>
        <v>387644.8275862069</v>
      </c>
      <c r="E431" s="437">
        <f t="shared" si="1036"/>
        <v>955491</v>
      </c>
      <c r="F431" s="439">
        <f t="shared" si="1037"/>
        <v>641666.17482758616</v>
      </c>
      <c r="G431" s="440">
        <f t="shared" si="1038"/>
        <v>438038.65517241368</v>
      </c>
      <c r="H431" s="441">
        <f>IFERROR(INDEX('FEOR kodok'!$A$2:$J$1126,MATCH(Bérköltség!AB431,'FEOR kodok'!$B$2:$B$1126,0),8),"NA")</f>
        <v>2410</v>
      </c>
      <c r="I431" s="436">
        <f ca="1">IFERROR(INDEX('FEOR kodok'!$A$2:$J$1126,MATCH(Bérköltség!AB431,'FEOR kodok'!$B$2:$B$1126,0),10),"NA")</f>
        <v>44</v>
      </c>
      <c r="J431" s="442" t="str">
        <f t="shared" ca="1" si="1039"/>
        <v>40–49 éves</v>
      </c>
      <c r="K431" s="436" t="str">
        <f>IFERROR(INDEX(admin_feor[#All],MATCH(Bérköltség!H431,admin_feor[[#All],[Foglalkozás]],0),2),"NA")</f>
        <v>Egyetemi, főiskolai oktató, tanár</v>
      </c>
      <c r="L431" s="438">
        <f ca="1">IFERROR(
INDEX('Admin - FEOR'!$A$4:$F$465,MATCH(Bérköltség!H431,'Admin - FEOR'!$A$4:$A$465,0),
IF(J431="30 év alatt",3,
IF(J431="30–39 éves",4,
IF(J431="40–49 éves",5,
IF(J431="50 év és afelett",6
)))))*1,"NA")</f>
        <v>629398</v>
      </c>
      <c r="M431" s="438">
        <f t="shared" si="1040"/>
        <v>1052250</v>
      </c>
      <c r="N431" s="443">
        <f t="shared" ca="1" si="1041"/>
        <v>1.6718356270595076</v>
      </c>
      <c r="O431" s="438">
        <f ca="1">IFERROR(
INDEX('Admin - FEOR'!$A$4:$F$465,MATCH(Bérköltség!H431,'Admin - FEOR'!$A$4:$A$465,0),
IF(J431="30 év alatt",3,
IF(J431="30–39 éves",4,
IF(J431="40–49 éves",5,
IF(J431="50 év és afelett",6
)))))*1.5,"NA")</f>
        <v>944097</v>
      </c>
      <c r="P431" s="438">
        <f t="shared" ca="1" si="1042"/>
        <v>857283.48275862064</v>
      </c>
      <c r="Q431" s="438">
        <f t="shared" si="1043"/>
        <v>955491</v>
      </c>
      <c r="R431" s="444">
        <f t="shared" si="1044"/>
        <v>0.90804597701149425</v>
      </c>
      <c r="S431" s="438">
        <f t="shared" ca="1" si="1045"/>
        <v>98207.517241379363</v>
      </c>
      <c r="T431" s="438">
        <f t="shared" ca="1" si="1046"/>
        <v>12766.977241379318</v>
      </c>
      <c r="U431" s="445">
        <f t="shared" ca="1" si="1047"/>
        <v>110974.49448275869</v>
      </c>
      <c r="V431" s="446">
        <f t="shared" ca="1" si="1048"/>
        <v>968730.50551724131</v>
      </c>
      <c r="W431" s="447" t="str">
        <f t="shared" ca="1" si="1049"/>
        <v>Indoklás szükséges mivel a FEOR: 167,2%</v>
      </c>
      <c r="X431" s="571">
        <f t="shared" ca="1" si="1050"/>
        <v>110974.49448275869</v>
      </c>
      <c r="Y431" s="554">
        <f t="shared" ca="1" si="1051"/>
        <v>857284</v>
      </c>
      <c r="Z431" s="554">
        <f t="shared" ca="1" si="1052"/>
        <v>111447</v>
      </c>
      <c r="AA431" s="101"/>
      <c r="AB431" s="448">
        <v>8411312577</v>
      </c>
      <c r="AC431" s="449" t="s">
        <v>143</v>
      </c>
      <c r="AD431" s="482" t="s">
        <v>45</v>
      </c>
      <c r="AE431" s="450" t="s">
        <v>22</v>
      </c>
      <c r="AF431" s="99" t="s">
        <v>121</v>
      </c>
      <c r="AG431" s="99" t="s">
        <v>128</v>
      </c>
      <c r="AH431" s="451" t="s">
        <v>131</v>
      </c>
      <c r="AI431" s="154">
        <v>45200</v>
      </c>
      <c r="AJ431" s="100" t="str">
        <f>IF(AI431&gt;0,
(IF(AI431&lt;Hónapok!$A$10,Admin!$A$28,
(IF(AI431&lt;Hónapok!$A$22,Admin!$B$28,
(IF(AI431&lt;Hónapok!$A$34,Admin!$C$28,
(IF(AI431&lt;Hónapok!$A$46,Admin!$D$28,"")))))))),"")</f>
        <v>3. mérföldkő</v>
      </c>
      <c r="AK431" s="467" t="s">
        <v>8</v>
      </c>
      <c r="AL431" s="101" t="s">
        <v>26</v>
      </c>
      <c r="AM431" s="900">
        <v>1052250</v>
      </c>
      <c r="AN431" s="860">
        <f t="shared" si="1053"/>
        <v>136793</v>
      </c>
      <c r="AO431" s="101">
        <v>174</v>
      </c>
      <c r="AP431" s="111">
        <v>158</v>
      </c>
      <c r="AQ431" s="454">
        <f t="shared" si="1054"/>
        <v>0.90804597701149425</v>
      </c>
      <c r="AR431" s="455">
        <f t="shared" si="1055"/>
        <v>955491</v>
      </c>
      <c r="AS431" s="455">
        <f t="shared" si="1056"/>
        <v>124214</v>
      </c>
      <c r="AT431" s="102">
        <f t="shared" si="1057"/>
        <v>3.6047550000528616E-7</v>
      </c>
      <c r="AU431" s="116">
        <v>0.13</v>
      </c>
      <c r="AV431" s="565" t="str">
        <f>VLOOKUP(LEFT(AB431,10),Törzsszám!$A$1:$B$908,2,0)</f>
        <v>10000267</v>
      </c>
      <c r="AW431" s="681">
        <f t="shared" ca="1" si="1058"/>
        <v>-110974</v>
      </c>
      <c r="AX431" s="471"/>
      <c r="AY431" s="486"/>
      <c r="AZ431" s="502"/>
      <c r="BA431" s="671"/>
      <c r="BB431" s="649"/>
      <c r="BC431" s="649"/>
      <c r="BD431" s="672"/>
      <c r="BE431" s="450" t="s">
        <v>142</v>
      </c>
    </row>
    <row r="432" spans="1:57" s="117" customFormat="1" ht="14.45" customHeight="1" x14ac:dyDescent="0.25">
      <c r="A432" s="694" t="str">
        <f ca="1">Bérköltség!$B432</f>
        <v>FEOR</v>
      </c>
      <c r="B432" s="694" t="str">
        <f ca="1">IFERROR(
IF(AND(Bérköltség!$F432="",H432="NA"),"HIÁNYOS ADATOK",
IF(Bérköltség!$F432&lt;Bérköltség!$U432,Admin!$B$18,Admin!$B$17)),
"")</f>
        <v>FEOR</v>
      </c>
      <c r="C432" s="437">
        <f>IFERROR(INDEX('Historikus berek_2021-2'!$A$1:$F$903,MATCH(AB432,'Historikus berek_2021-2'!$A$1:$A$903,0),4),"")</f>
        <v>426900</v>
      </c>
      <c r="D432" s="438">
        <f t="shared" si="1035"/>
        <v>387644.8275862069</v>
      </c>
      <c r="E432" s="437">
        <f t="shared" si="1036"/>
        <v>955491</v>
      </c>
      <c r="F432" s="439">
        <f t="shared" si="1037"/>
        <v>641666.17482758616</v>
      </c>
      <c r="G432" s="440">
        <f t="shared" si="1038"/>
        <v>438038.65517241368</v>
      </c>
      <c r="H432" s="441">
        <f>IFERROR(INDEX('FEOR kodok'!$A$2:$J$1126,MATCH(Bérköltség!AB432,'FEOR kodok'!$B$2:$B$1126,0),8),"NA")</f>
        <v>2410</v>
      </c>
      <c r="I432" s="436">
        <f ca="1">IFERROR(INDEX('FEOR kodok'!$A$2:$J$1126,MATCH(Bérköltség!AB432,'FEOR kodok'!$B$2:$B$1126,0),10),"NA")</f>
        <v>44</v>
      </c>
      <c r="J432" s="442" t="str">
        <f t="shared" ca="1" si="1039"/>
        <v>40–49 éves</v>
      </c>
      <c r="K432" s="436" t="str">
        <f>IFERROR(INDEX(admin_feor[#All],MATCH(Bérköltség!H432,admin_feor[[#All],[Foglalkozás]],0),2),"NA")</f>
        <v>Egyetemi, főiskolai oktató, tanár</v>
      </c>
      <c r="L432" s="438">
        <f ca="1">IFERROR(
INDEX('Admin - FEOR'!$A$4:$F$465,MATCH(Bérköltség!H432,'Admin - FEOR'!$A$4:$A$465,0),
IF(J432="30 év alatt",3,
IF(J432="30–39 éves",4,
IF(J432="40–49 éves",5,
IF(J432="50 év és afelett",6
)))))*1,"NA")</f>
        <v>629398</v>
      </c>
      <c r="M432" s="438">
        <f t="shared" si="1040"/>
        <v>1052250</v>
      </c>
      <c r="N432" s="443">
        <f t="shared" ca="1" si="1041"/>
        <v>1.6718356270595076</v>
      </c>
      <c r="O432" s="438">
        <f ca="1">IFERROR(
INDEX('Admin - FEOR'!$A$4:$F$465,MATCH(Bérköltség!H432,'Admin - FEOR'!$A$4:$A$465,0),
IF(J432="30 év alatt",3,
IF(J432="30–39 éves",4,
IF(J432="40–49 éves",5,
IF(J432="50 év és afelett",6
)))))*1.5,"NA")</f>
        <v>944097</v>
      </c>
      <c r="P432" s="438">
        <f t="shared" ca="1" si="1042"/>
        <v>857283.48275862064</v>
      </c>
      <c r="Q432" s="438">
        <f t="shared" si="1043"/>
        <v>955491</v>
      </c>
      <c r="R432" s="444">
        <f t="shared" si="1044"/>
        <v>0.90804597701149425</v>
      </c>
      <c r="S432" s="438">
        <f t="shared" ca="1" si="1045"/>
        <v>98207.517241379363</v>
      </c>
      <c r="T432" s="438">
        <f t="shared" ca="1" si="1046"/>
        <v>12766.977241379318</v>
      </c>
      <c r="U432" s="445">
        <f t="shared" ca="1" si="1047"/>
        <v>110974.49448275869</v>
      </c>
      <c r="V432" s="446">
        <f t="shared" ca="1" si="1048"/>
        <v>968730.50551724131</v>
      </c>
      <c r="W432" s="447" t="str">
        <f t="shared" ca="1" si="1049"/>
        <v>Indoklás szükséges mivel a FEOR: 167,2%</v>
      </c>
      <c r="X432" s="571">
        <f t="shared" ca="1" si="1050"/>
        <v>110974.49448275869</v>
      </c>
      <c r="Y432" s="554">
        <f t="shared" ca="1" si="1051"/>
        <v>857284</v>
      </c>
      <c r="Z432" s="554">
        <f t="shared" ca="1" si="1052"/>
        <v>111447</v>
      </c>
      <c r="AA432" s="101"/>
      <c r="AB432" s="448">
        <v>8411312577</v>
      </c>
      <c r="AC432" s="449" t="s">
        <v>143</v>
      </c>
      <c r="AD432" s="482" t="s">
        <v>45</v>
      </c>
      <c r="AE432" s="450" t="s">
        <v>22</v>
      </c>
      <c r="AF432" s="99" t="s">
        <v>121</v>
      </c>
      <c r="AG432" s="99" t="s">
        <v>128</v>
      </c>
      <c r="AH432" s="451" t="s">
        <v>131</v>
      </c>
      <c r="AI432" s="154">
        <v>45231</v>
      </c>
      <c r="AJ432" s="100" t="str">
        <f>IF(AI432&gt;0,
(IF(AI432&lt;Hónapok!$A$10,Admin!$A$28,
(IF(AI432&lt;Hónapok!$A$22,Admin!$B$28,
(IF(AI432&lt;Hónapok!$A$34,Admin!$C$28,
(IF(AI432&lt;Hónapok!$A$46,Admin!$D$28,"")))))))),"")</f>
        <v>3. mérföldkő</v>
      </c>
      <c r="AK432" s="467" t="s">
        <v>8</v>
      </c>
      <c r="AL432" s="101" t="s">
        <v>26</v>
      </c>
      <c r="AM432" s="900">
        <v>1052250</v>
      </c>
      <c r="AN432" s="860">
        <f t="shared" si="1053"/>
        <v>136793</v>
      </c>
      <c r="AO432" s="101">
        <v>174</v>
      </c>
      <c r="AP432" s="111">
        <v>158</v>
      </c>
      <c r="AQ432" s="454">
        <f t="shared" si="1054"/>
        <v>0.90804597701149425</v>
      </c>
      <c r="AR432" s="455">
        <f t="shared" si="1055"/>
        <v>955491</v>
      </c>
      <c r="AS432" s="455">
        <f t="shared" si="1056"/>
        <v>124214</v>
      </c>
      <c r="AT432" s="102">
        <f t="shared" si="1057"/>
        <v>3.6047550000528616E-7</v>
      </c>
      <c r="AU432" s="116">
        <v>0.13</v>
      </c>
      <c r="AV432" s="565" t="str">
        <f>VLOOKUP(LEFT(AB432,10),Törzsszám!$A$1:$B$908,2,0)</f>
        <v>10000267</v>
      </c>
      <c r="AW432" s="681">
        <f t="shared" ca="1" si="1058"/>
        <v>-110974</v>
      </c>
      <c r="AX432" s="471"/>
      <c r="AY432" s="486"/>
      <c r="AZ432" s="502"/>
      <c r="BA432" s="671"/>
      <c r="BB432" s="649"/>
      <c r="BC432" s="649"/>
      <c r="BD432" s="672"/>
      <c r="BE432" s="450" t="s">
        <v>142</v>
      </c>
    </row>
    <row r="433" spans="1:58" s="117" customFormat="1" ht="14.45" customHeight="1" x14ac:dyDescent="0.25">
      <c r="A433" s="694" t="str">
        <f ca="1">Bérköltség!$B433</f>
        <v>FEOR</v>
      </c>
      <c r="B433" s="694" t="str">
        <f ca="1">IFERROR(
IF(AND(Bérköltség!$F433="",H433="NA"),"HIÁNYOS ADATOK",
IF(Bérköltség!$F433&lt;Bérköltség!$U433,Admin!$B$18,Admin!$B$17)),
"")</f>
        <v>FEOR</v>
      </c>
      <c r="C433" s="437" t="str">
        <f>IFERROR(INDEX('Historikus berek_2021-2'!$A$1:$F$903,MATCH(AB433,'Historikus berek_2021-2'!$A$1:$A$903,0),4),"")</f>
        <v/>
      </c>
      <c r="D433" s="438" t="str">
        <f t="shared" ref="D433:D437" si="1059">IFERROR(C433*AQ433,"NA")</f>
        <v>NA</v>
      </c>
      <c r="E433" s="437">
        <f t="shared" ref="E433:E437" si="1060">AR433</f>
        <v>340000</v>
      </c>
      <c r="F433" s="439" t="str">
        <f t="shared" ref="F433:F437" si="1061">IFERROR(IF((E433*(1+AU433)-D433*(1+AU433))&lt;0,0,(E433*(1+AU433)-D433*(1+AU433))),"")</f>
        <v/>
      </c>
      <c r="G433" s="440" t="str">
        <f t="shared" ref="G433:G437" si="1062">IFERROR((E433*(1+AU433)-F433),"")</f>
        <v/>
      </c>
      <c r="H433" s="441">
        <f>IFERROR(INDEX('FEOR kodok'!$A$2:$J$1126,MATCH(Bérköltség!AB433,'FEOR kodok'!$B$2:$B$1126,0),8),"NA")</f>
        <v>3910</v>
      </c>
      <c r="I433" s="436">
        <f ca="1">IFERROR(INDEX('FEOR kodok'!$A$2:$J$1126,MATCH(Bérköltség!AB433,'FEOR kodok'!$B$2:$B$1126,0),10),"NA")</f>
        <v>25</v>
      </c>
      <c r="J433" s="442" t="str">
        <f t="shared" ref="J433:J437" ca="1" si="1063">IF(I433="NA","NA",
IF(I433&lt;30,"30 év alatt",
IF(AND(I433&gt;=30,I433&lt;=39),"30–39 éves",
IF(AND(I433&gt;=40,I433&lt;=49),"40–49 éves",
IF(I433&gt;=50,"50 év és afelett",
"")))))</f>
        <v>30 év alatt</v>
      </c>
      <c r="K433" s="436" t="str">
        <f>IFERROR(INDEX(admin_feor[#All],MATCH(Bérköltség!H433,admin_feor[[#All],[Foglalkozás]],0),2),"NA")</f>
        <v>Egyéb ügyintéző</v>
      </c>
      <c r="L433" s="438">
        <f ca="1">IFERROR(
INDEX('Admin - FEOR'!$A$4:$F$465,MATCH(Bérköltség!H433,'Admin - FEOR'!$A$4:$A$465,0),
IF(J433="30 év alatt",3,
IF(J433="30–39 éves",4,
IF(J433="40–49 éves",5,
IF(J433="50 év és afelett",6
)))))*1,"NA")</f>
        <v>359927</v>
      </c>
      <c r="M433" s="438">
        <f t="shared" ref="M433:M437" si="1064">AM433</f>
        <v>340000</v>
      </c>
      <c r="N433" s="443">
        <f t="shared" ref="N433:N437" ca="1" si="1065">IFERROR(
M433/L433,"NA")</f>
        <v>0.94463599563244771</v>
      </c>
      <c r="O433" s="438">
        <f ca="1">IFERROR(
INDEX('Admin - FEOR'!$A$4:$F$465,MATCH(Bérköltség!H433,'Admin - FEOR'!$A$4:$A$465,0),
IF(J433="30 év alatt",3,
IF(J433="30–39 éves",4,
IF(J433="40–49 éves",5,
IF(J433="50 év és afelett",6
)))))*1.5,"NA")</f>
        <v>539890.5</v>
      </c>
      <c r="P433" s="438">
        <f t="shared" ref="P433:P437" ca="1" si="1066">IFERROR(
AQ433*O433,"NA")</f>
        <v>539890.5</v>
      </c>
      <c r="Q433" s="438">
        <f t="shared" ref="Q433:Q437" si="1067">IFERROR(AR433,"")</f>
        <v>340000</v>
      </c>
      <c r="R433" s="444">
        <f t="shared" ref="R433:R437" si="1068">IFERROR(AQ433,"")</f>
        <v>1</v>
      </c>
      <c r="S433" s="438">
        <f t="shared" ref="S433:S437" ca="1" si="1069">IFERROR(
IF(AR433-P433&lt;0,0,AR433-P433),"NA")</f>
        <v>0</v>
      </c>
      <c r="T433" s="438">
        <f t="shared" ref="T433:T437" ca="1" si="1070">IFERROR(
S433*AU433,"NA")</f>
        <v>0</v>
      </c>
      <c r="U433" s="445">
        <f t="shared" ref="U433:U437" ca="1" si="1071">IFERROR(
S433+T433,"NA")</f>
        <v>0</v>
      </c>
      <c r="V433" s="446">
        <f t="shared" ref="V433:V437" ca="1" si="1072">IFERROR(
IF(U433&gt;0,AR433+AS433-U433,AR433+AS433),"NA")</f>
        <v>354040</v>
      </c>
      <c r="W433" s="447" t="str">
        <f t="shared" ref="W433:W437" ca="1" si="1073">IF(P433="NA","FEOR hiányzik",
IF(AND(N433&gt;1,A433="FEOR"),CONCATENATE("Indoklás szükséges mivel a FEOR: ",ROUND(N433*100,1),"%"),"Nem szükséges indoklás.")
)</f>
        <v>Nem szükséges indoklás.</v>
      </c>
      <c r="X433" s="571">
        <f t="shared" ref="X433:X437" ca="1" si="1074">IF(A433="FEOR",U433,IF(A433="HIÁNYOS ADATOK","HIÁNYOS ADATOK",F433))</f>
        <v>0</v>
      </c>
      <c r="Y433" s="554">
        <f t="shared" ref="Y433:Y437" ca="1" si="1075">IF(A433="FEOR",ROUND(V433/(1+AU433),0),IF(A433="HIÁNYOS ADATOK","HIÁNYOS ADATOK",ROUND(G433/(1+AU433),0)))</f>
        <v>340000</v>
      </c>
      <c r="Z433" s="556">
        <f t="shared" ref="Z433:Z437" ca="1" si="1076">IF(A433="FEOR",ROUND(V433-Y433,0),IF(A433="HIÁNYOS ADATOK","HIÁNYOS ADATOK",ROUND(G433-Y433,0)))</f>
        <v>14040</v>
      </c>
      <c r="AA433" s="101"/>
      <c r="AB433" s="448">
        <v>8479690798</v>
      </c>
      <c r="AC433" s="449" t="s">
        <v>2013</v>
      </c>
      <c r="AD433" s="482" t="s">
        <v>45</v>
      </c>
      <c r="AE433" s="450" t="s">
        <v>24</v>
      </c>
      <c r="AF433" s="99" t="s">
        <v>120</v>
      </c>
      <c r="AG433" s="99" t="s">
        <v>157</v>
      </c>
      <c r="AH433" s="451" t="s">
        <v>131</v>
      </c>
      <c r="AI433" s="154">
        <v>45108</v>
      </c>
      <c r="AJ433" s="100" t="str">
        <f>IF(AI433&gt;0,
(IF(AI433&lt;Hónapok!$A$10,Admin!$A$28,
(IF(AI433&lt;Hónapok!$A$22,Admin!$B$28,
(IF(AI433&lt;Hónapok!$A$34,Admin!$C$28,
(IF(AI433&lt;Hónapok!$A$46,Admin!$D$28,"")))))))),"")</f>
        <v>3. mérföldkő</v>
      </c>
      <c r="AK433" s="467" t="s">
        <v>7</v>
      </c>
      <c r="AL433" s="101" t="s">
        <v>26</v>
      </c>
      <c r="AM433" s="900">
        <v>340000</v>
      </c>
      <c r="AN433" s="863">
        <v>14040</v>
      </c>
      <c r="AO433" s="101">
        <v>130</v>
      </c>
      <c r="AP433" s="111">
        <v>130</v>
      </c>
      <c r="AQ433" s="682">
        <f t="shared" si="1027"/>
        <v>1</v>
      </c>
      <c r="AR433" s="455">
        <f t="shared" si="1028"/>
        <v>340000</v>
      </c>
      <c r="AS433" s="528">
        <v>14040</v>
      </c>
      <c r="AT433" s="102">
        <f t="shared" si="1030"/>
        <v>0</v>
      </c>
      <c r="AU433" s="683">
        <f t="shared" ref="AU433:AU437" si="1077">AN433/AM433</f>
        <v>4.1294117647058821E-2</v>
      </c>
      <c r="AV433" s="565" t="e">
        <f>VLOOKUP(LEFT(AB433,10),Törzsszám!$A$1:$B$908,2,0)</f>
        <v>#N/A</v>
      </c>
      <c r="AW433" s="681"/>
      <c r="AX433" s="471" t="s">
        <v>4610</v>
      </c>
      <c r="AY433" s="486"/>
      <c r="AZ433" s="502"/>
      <c r="BA433" s="671"/>
      <c r="BB433" s="649"/>
      <c r="BC433" s="649"/>
      <c r="BD433" s="672"/>
      <c r="BE433" s="450"/>
    </row>
    <row r="434" spans="1:58" s="117" customFormat="1" ht="14.45" customHeight="1" x14ac:dyDescent="0.25">
      <c r="A434" s="694" t="str">
        <f ca="1">Bérköltség!$B434</f>
        <v>FEOR</v>
      </c>
      <c r="B434" s="694" t="str">
        <f ca="1">IFERROR(
IF(AND(Bérköltség!$F434="",H434="NA"),"HIÁNYOS ADATOK",
IF(Bérköltség!$F434&lt;Bérköltség!$U434,Admin!$B$18,Admin!$B$17)),
"")</f>
        <v>FEOR</v>
      </c>
      <c r="C434" s="437" t="str">
        <f>IFERROR(INDEX('Historikus berek_2021-2'!$A$1:$F$903,MATCH(AB434,'Historikus berek_2021-2'!$A$1:$A$903,0),4),"")</f>
        <v/>
      </c>
      <c r="D434" s="438" t="str">
        <f t="shared" si="1059"/>
        <v>NA</v>
      </c>
      <c r="E434" s="437">
        <f t="shared" si="1060"/>
        <v>340000</v>
      </c>
      <c r="F434" s="439" t="str">
        <f t="shared" si="1061"/>
        <v/>
      </c>
      <c r="G434" s="440" t="str">
        <f t="shared" si="1062"/>
        <v/>
      </c>
      <c r="H434" s="441">
        <f>IFERROR(INDEX('FEOR kodok'!$A$2:$J$1126,MATCH(Bérköltség!AB434,'FEOR kodok'!$B$2:$B$1126,0),8),"NA")</f>
        <v>3910</v>
      </c>
      <c r="I434" s="436">
        <f ca="1">IFERROR(INDEX('FEOR kodok'!$A$2:$J$1126,MATCH(Bérköltség!AB434,'FEOR kodok'!$B$2:$B$1126,0),10),"NA")</f>
        <v>25</v>
      </c>
      <c r="J434" s="442" t="str">
        <f t="shared" ca="1" si="1063"/>
        <v>30 év alatt</v>
      </c>
      <c r="K434" s="436" t="str">
        <f>IFERROR(INDEX(admin_feor[#All],MATCH(Bérköltség!H434,admin_feor[[#All],[Foglalkozás]],0),2),"NA")</f>
        <v>Egyéb ügyintéző</v>
      </c>
      <c r="L434" s="438">
        <f ca="1">IFERROR(
INDEX('Admin - FEOR'!$A$4:$F$465,MATCH(Bérköltség!H434,'Admin - FEOR'!$A$4:$A$465,0),
IF(J434="30 év alatt",3,
IF(J434="30–39 éves",4,
IF(J434="40–49 éves",5,
IF(J434="50 év és afelett",6
)))))*1,"NA")</f>
        <v>359927</v>
      </c>
      <c r="M434" s="438">
        <f t="shared" si="1064"/>
        <v>340000</v>
      </c>
      <c r="N434" s="443">
        <f t="shared" ca="1" si="1065"/>
        <v>0.94463599563244771</v>
      </c>
      <c r="O434" s="438">
        <f ca="1">IFERROR(
INDEX('Admin - FEOR'!$A$4:$F$465,MATCH(Bérköltség!H434,'Admin - FEOR'!$A$4:$A$465,0),
IF(J434="30 év alatt",3,
IF(J434="30–39 éves",4,
IF(J434="40–49 éves",5,
IF(J434="50 év és afelett",6
)))))*1.5,"NA")</f>
        <v>539890.5</v>
      </c>
      <c r="P434" s="438">
        <f t="shared" ca="1" si="1066"/>
        <v>539890.5</v>
      </c>
      <c r="Q434" s="438">
        <f t="shared" si="1067"/>
        <v>340000</v>
      </c>
      <c r="R434" s="444">
        <f t="shared" si="1068"/>
        <v>1</v>
      </c>
      <c r="S434" s="438">
        <f t="shared" ca="1" si="1069"/>
        <v>0</v>
      </c>
      <c r="T434" s="438">
        <f t="shared" ca="1" si="1070"/>
        <v>0</v>
      </c>
      <c r="U434" s="445">
        <f t="shared" ca="1" si="1071"/>
        <v>0</v>
      </c>
      <c r="V434" s="446">
        <f t="shared" ca="1" si="1072"/>
        <v>354040</v>
      </c>
      <c r="W434" s="447" t="str">
        <f t="shared" ca="1" si="1073"/>
        <v>Nem szükséges indoklás.</v>
      </c>
      <c r="X434" s="571">
        <f t="shared" ca="1" si="1074"/>
        <v>0</v>
      </c>
      <c r="Y434" s="554">
        <f t="shared" ca="1" si="1075"/>
        <v>340000</v>
      </c>
      <c r="Z434" s="556">
        <f t="shared" ca="1" si="1076"/>
        <v>14040</v>
      </c>
      <c r="AA434" s="101"/>
      <c r="AB434" s="448">
        <v>8479690798</v>
      </c>
      <c r="AC434" s="449" t="s">
        <v>2013</v>
      </c>
      <c r="AD434" s="482" t="s">
        <v>45</v>
      </c>
      <c r="AE434" s="450" t="s">
        <v>24</v>
      </c>
      <c r="AF434" s="99" t="s">
        <v>120</v>
      </c>
      <c r="AG434" s="99" t="s">
        <v>157</v>
      </c>
      <c r="AH434" s="451" t="s">
        <v>131</v>
      </c>
      <c r="AI434" s="154">
        <v>45139</v>
      </c>
      <c r="AJ434" s="100" t="str">
        <f>IF(AI434&gt;0,
(IF(AI434&lt;Hónapok!$A$10,Admin!$A$28,
(IF(AI434&lt;Hónapok!$A$22,Admin!$B$28,
(IF(AI434&lt;Hónapok!$A$34,Admin!$C$28,
(IF(AI434&lt;Hónapok!$A$46,Admin!$D$28,"")))))))),"")</f>
        <v>3. mérföldkő</v>
      </c>
      <c r="AK434" s="467" t="s">
        <v>7</v>
      </c>
      <c r="AL434" s="101" t="s">
        <v>26</v>
      </c>
      <c r="AM434" s="900">
        <v>340000</v>
      </c>
      <c r="AN434" s="863">
        <v>14040</v>
      </c>
      <c r="AO434" s="101">
        <v>130</v>
      </c>
      <c r="AP434" s="111">
        <v>130</v>
      </c>
      <c r="AQ434" s="454">
        <f t="shared" ref="AQ434:AQ437" si="1078">IFERROR(AP434/AO434,"")</f>
        <v>1</v>
      </c>
      <c r="AR434" s="455">
        <f t="shared" ref="AR434:AR437" si="1079">IFERROR(ROUND(AM434*AP434/AO434,0),"")</f>
        <v>340000</v>
      </c>
      <c r="AS434" s="528">
        <v>14040</v>
      </c>
      <c r="AT434" s="102">
        <f t="shared" si="1030"/>
        <v>0</v>
      </c>
      <c r="AU434" s="683">
        <f t="shared" si="1077"/>
        <v>4.1294117647058821E-2</v>
      </c>
      <c r="AV434" s="565" t="e">
        <f>VLOOKUP(LEFT(AB434,10),Törzsszám!$A$1:$B$908,2,0)</f>
        <v>#N/A</v>
      </c>
      <c r="AW434" s="681"/>
      <c r="AX434" s="471" t="s">
        <v>4613</v>
      </c>
      <c r="AY434" s="486"/>
      <c r="AZ434" s="502"/>
      <c r="BA434" s="671"/>
      <c r="BB434" s="649"/>
      <c r="BC434" s="649"/>
      <c r="BD434" s="672"/>
      <c r="BE434" s="450"/>
    </row>
    <row r="435" spans="1:58" s="117" customFormat="1" ht="14.45" customHeight="1" x14ac:dyDescent="0.25">
      <c r="A435" s="694" t="str">
        <f ca="1">Bérköltség!$B435</f>
        <v>FEOR</v>
      </c>
      <c r="B435" s="694" t="str">
        <f ca="1">IFERROR(
IF(AND(Bérköltség!$F435="",H435="NA"),"HIÁNYOS ADATOK",
IF(Bérköltség!$F435&lt;Bérköltség!$U435,Admin!$B$18,Admin!$B$17)),
"")</f>
        <v>FEOR</v>
      </c>
      <c r="C435" s="437" t="str">
        <f>IFERROR(INDEX('Historikus berek_2021-2'!$A$1:$F$903,MATCH(AB435,'Historikus berek_2021-2'!$A$1:$A$903,0),4),"")</f>
        <v/>
      </c>
      <c r="D435" s="438" t="str">
        <f t="shared" si="1059"/>
        <v>NA</v>
      </c>
      <c r="E435" s="437">
        <f t="shared" si="1060"/>
        <v>340000</v>
      </c>
      <c r="F435" s="439" t="str">
        <f t="shared" si="1061"/>
        <v/>
      </c>
      <c r="G435" s="440" t="str">
        <f t="shared" si="1062"/>
        <v/>
      </c>
      <c r="H435" s="441">
        <f>IFERROR(INDEX('FEOR kodok'!$A$2:$J$1126,MATCH(Bérköltség!AB435,'FEOR kodok'!$B$2:$B$1126,0),8),"NA")</f>
        <v>3910</v>
      </c>
      <c r="I435" s="436">
        <f ca="1">IFERROR(INDEX('FEOR kodok'!$A$2:$J$1126,MATCH(Bérköltség!AB435,'FEOR kodok'!$B$2:$B$1126,0),10),"NA")</f>
        <v>25</v>
      </c>
      <c r="J435" s="442" t="str">
        <f t="shared" ca="1" si="1063"/>
        <v>30 év alatt</v>
      </c>
      <c r="K435" s="436" t="str">
        <f>IFERROR(INDEX(admin_feor[#All],MATCH(Bérköltség!H435,admin_feor[[#All],[Foglalkozás]],0),2),"NA")</f>
        <v>Egyéb ügyintéző</v>
      </c>
      <c r="L435" s="438">
        <f ca="1">IFERROR(
INDEX('Admin - FEOR'!$A$4:$F$465,MATCH(Bérköltség!H435,'Admin - FEOR'!$A$4:$A$465,0),
IF(J435="30 év alatt",3,
IF(J435="30–39 éves",4,
IF(J435="40–49 éves",5,
IF(J435="50 év és afelett",6
)))))*1,"NA")</f>
        <v>359927</v>
      </c>
      <c r="M435" s="438">
        <f t="shared" si="1064"/>
        <v>340000</v>
      </c>
      <c r="N435" s="443">
        <f t="shared" ca="1" si="1065"/>
        <v>0.94463599563244771</v>
      </c>
      <c r="O435" s="438">
        <f ca="1">IFERROR(
INDEX('Admin - FEOR'!$A$4:$F$465,MATCH(Bérköltség!H435,'Admin - FEOR'!$A$4:$A$465,0),
IF(J435="30 év alatt",3,
IF(J435="30–39 éves",4,
IF(J435="40–49 éves",5,
IF(J435="50 év és afelett",6
)))))*1.5,"NA")</f>
        <v>539890.5</v>
      </c>
      <c r="P435" s="438">
        <f t="shared" ca="1" si="1066"/>
        <v>539890.5</v>
      </c>
      <c r="Q435" s="438">
        <f t="shared" si="1067"/>
        <v>340000</v>
      </c>
      <c r="R435" s="444">
        <f t="shared" si="1068"/>
        <v>1</v>
      </c>
      <c r="S435" s="438">
        <f t="shared" ca="1" si="1069"/>
        <v>0</v>
      </c>
      <c r="T435" s="438">
        <f t="shared" ca="1" si="1070"/>
        <v>0</v>
      </c>
      <c r="U435" s="445">
        <f t="shared" ca="1" si="1071"/>
        <v>0</v>
      </c>
      <c r="V435" s="446">
        <f t="shared" ca="1" si="1072"/>
        <v>354040</v>
      </c>
      <c r="W435" s="447" t="str">
        <f t="shared" ca="1" si="1073"/>
        <v>Nem szükséges indoklás.</v>
      </c>
      <c r="X435" s="571">
        <f t="shared" ca="1" si="1074"/>
        <v>0</v>
      </c>
      <c r="Y435" s="554">
        <f t="shared" ca="1" si="1075"/>
        <v>340000</v>
      </c>
      <c r="Z435" s="556">
        <f t="shared" ca="1" si="1076"/>
        <v>14040</v>
      </c>
      <c r="AA435" s="101"/>
      <c r="AB435" s="448">
        <v>8479690798</v>
      </c>
      <c r="AC435" s="449" t="s">
        <v>2013</v>
      </c>
      <c r="AD435" s="482" t="s">
        <v>45</v>
      </c>
      <c r="AE435" s="450" t="s">
        <v>24</v>
      </c>
      <c r="AF435" s="99" t="s">
        <v>120</v>
      </c>
      <c r="AG435" s="99" t="s">
        <v>157</v>
      </c>
      <c r="AH435" s="451" t="s">
        <v>131</v>
      </c>
      <c r="AI435" s="154">
        <v>45170</v>
      </c>
      <c r="AJ435" s="100" t="str">
        <f>IF(AI435&gt;0,
(IF(AI435&lt;Hónapok!$A$10,Admin!$A$28,
(IF(AI435&lt;Hónapok!$A$22,Admin!$B$28,
(IF(AI435&lt;Hónapok!$A$34,Admin!$C$28,
(IF(AI435&lt;Hónapok!$A$46,Admin!$D$28,"")))))))),"")</f>
        <v>3. mérföldkő</v>
      </c>
      <c r="AK435" s="467" t="s">
        <v>7</v>
      </c>
      <c r="AL435" s="101" t="s">
        <v>26</v>
      </c>
      <c r="AM435" s="900">
        <v>340000</v>
      </c>
      <c r="AN435" s="863">
        <v>14040</v>
      </c>
      <c r="AO435" s="101">
        <v>130</v>
      </c>
      <c r="AP435" s="111">
        <v>130</v>
      </c>
      <c r="AQ435" s="454">
        <f t="shared" si="1078"/>
        <v>1</v>
      </c>
      <c r="AR435" s="455">
        <f t="shared" si="1079"/>
        <v>340000</v>
      </c>
      <c r="AS435" s="528">
        <v>14040</v>
      </c>
      <c r="AT435" s="102">
        <f t="shared" si="1030"/>
        <v>0</v>
      </c>
      <c r="AU435" s="683">
        <f t="shared" si="1077"/>
        <v>4.1294117647058821E-2</v>
      </c>
      <c r="AV435" s="565" t="e">
        <f>VLOOKUP(LEFT(AB435,10),Törzsszám!$A$1:$B$908,2,0)</f>
        <v>#N/A</v>
      </c>
      <c r="AW435" s="681"/>
      <c r="AX435" s="471" t="s">
        <v>4618</v>
      </c>
      <c r="AY435" s="486"/>
      <c r="AZ435" s="502"/>
      <c r="BA435" s="671"/>
      <c r="BB435" s="649"/>
      <c r="BC435" s="649"/>
      <c r="BD435" s="672"/>
      <c r="BE435" s="450"/>
    </row>
    <row r="436" spans="1:58" s="117" customFormat="1" ht="14.45" customHeight="1" x14ac:dyDescent="0.25">
      <c r="A436" s="694" t="str">
        <f ca="1">Bérköltség!$B436</f>
        <v>FEOR</v>
      </c>
      <c r="B436" s="694" t="str">
        <f ca="1">IFERROR(
IF(AND(Bérköltség!$F436="",H436="NA"),"HIÁNYOS ADATOK",
IF(Bérköltség!$F436&lt;Bérköltség!$U436,Admin!$B$18,Admin!$B$17)),
"")</f>
        <v>FEOR</v>
      </c>
      <c r="C436" s="437" t="str">
        <f>IFERROR(INDEX('Historikus berek_2021-2'!$A$1:$F$903,MATCH(AB436,'Historikus berek_2021-2'!$A$1:$A$903,0),4),"")</f>
        <v/>
      </c>
      <c r="D436" s="438" t="str">
        <f t="shared" si="1059"/>
        <v>NA</v>
      </c>
      <c r="E436" s="437">
        <f t="shared" si="1060"/>
        <v>340000</v>
      </c>
      <c r="F436" s="439" t="str">
        <f t="shared" si="1061"/>
        <v/>
      </c>
      <c r="G436" s="440" t="str">
        <f t="shared" si="1062"/>
        <v/>
      </c>
      <c r="H436" s="441">
        <f>IFERROR(INDEX('FEOR kodok'!$A$2:$J$1126,MATCH(Bérköltség!AB436,'FEOR kodok'!$B$2:$B$1126,0),8),"NA")</f>
        <v>3910</v>
      </c>
      <c r="I436" s="436">
        <f ca="1">IFERROR(INDEX('FEOR kodok'!$A$2:$J$1126,MATCH(Bérköltség!AB436,'FEOR kodok'!$B$2:$B$1126,0),10),"NA")</f>
        <v>25</v>
      </c>
      <c r="J436" s="442" t="str">
        <f t="shared" ca="1" si="1063"/>
        <v>30 év alatt</v>
      </c>
      <c r="K436" s="436" t="str">
        <f>IFERROR(INDEX(admin_feor[#All],MATCH(Bérköltség!H436,admin_feor[[#All],[Foglalkozás]],0),2),"NA")</f>
        <v>Egyéb ügyintéző</v>
      </c>
      <c r="L436" s="438">
        <f ca="1">IFERROR(
INDEX('Admin - FEOR'!$A$4:$F$465,MATCH(Bérköltség!H436,'Admin - FEOR'!$A$4:$A$465,0),
IF(J436="30 év alatt",3,
IF(J436="30–39 éves",4,
IF(J436="40–49 éves",5,
IF(J436="50 év és afelett",6
)))))*1,"NA")</f>
        <v>359927</v>
      </c>
      <c r="M436" s="438">
        <f t="shared" si="1064"/>
        <v>340000</v>
      </c>
      <c r="N436" s="443">
        <f t="shared" ca="1" si="1065"/>
        <v>0.94463599563244771</v>
      </c>
      <c r="O436" s="438">
        <f ca="1">IFERROR(
INDEX('Admin - FEOR'!$A$4:$F$465,MATCH(Bérköltség!H436,'Admin - FEOR'!$A$4:$A$465,0),
IF(J436="30 év alatt",3,
IF(J436="30–39 éves",4,
IF(J436="40–49 éves",5,
IF(J436="50 év és afelett",6
)))))*1.5,"NA")</f>
        <v>539890.5</v>
      </c>
      <c r="P436" s="438">
        <f t="shared" ca="1" si="1066"/>
        <v>539890.5</v>
      </c>
      <c r="Q436" s="438">
        <f t="shared" si="1067"/>
        <v>340000</v>
      </c>
      <c r="R436" s="444">
        <f t="shared" si="1068"/>
        <v>1</v>
      </c>
      <c r="S436" s="438">
        <f t="shared" ca="1" si="1069"/>
        <v>0</v>
      </c>
      <c r="T436" s="438">
        <f t="shared" ca="1" si="1070"/>
        <v>0</v>
      </c>
      <c r="U436" s="445">
        <f t="shared" ca="1" si="1071"/>
        <v>0</v>
      </c>
      <c r="V436" s="446">
        <f t="shared" ca="1" si="1072"/>
        <v>354040</v>
      </c>
      <c r="W436" s="447" t="str">
        <f t="shared" ca="1" si="1073"/>
        <v>Nem szükséges indoklás.</v>
      </c>
      <c r="X436" s="571">
        <f t="shared" ca="1" si="1074"/>
        <v>0</v>
      </c>
      <c r="Y436" s="554">
        <f t="shared" ca="1" si="1075"/>
        <v>340000</v>
      </c>
      <c r="Z436" s="556">
        <f t="shared" ca="1" si="1076"/>
        <v>14040</v>
      </c>
      <c r="AA436" s="101"/>
      <c r="AB436" s="448">
        <v>8479690798</v>
      </c>
      <c r="AC436" s="449" t="s">
        <v>2013</v>
      </c>
      <c r="AD436" s="482" t="s">
        <v>45</v>
      </c>
      <c r="AE436" s="450" t="s">
        <v>24</v>
      </c>
      <c r="AF436" s="99" t="s">
        <v>120</v>
      </c>
      <c r="AG436" s="99" t="s">
        <v>157</v>
      </c>
      <c r="AH436" s="451" t="s">
        <v>131</v>
      </c>
      <c r="AI436" s="154">
        <v>45200</v>
      </c>
      <c r="AJ436" s="100" t="str">
        <f>IF(AI436&gt;0,
(IF(AI436&lt;Hónapok!$A$10,Admin!$A$28,
(IF(AI436&lt;Hónapok!$A$22,Admin!$B$28,
(IF(AI436&lt;Hónapok!$A$34,Admin!$C$28,
(IF(AI436&lt;Hónapok!$A$46,Admin!$D$28,"")))))))),"")</f>
        <v>3. mérföldkő</v>
      </c>
      <c r="AK436" s="467" t="s">
        <v>8</v>
      </c>
      <c r="AL436" s="101" t="s">
        <v>26</v>
      </c>
      <c r="AM436" s="900">
        <v>340000</v>
      </c>
      <c r="AN436" s="863">
        <v>14040</v>
      </c>
      <c r="AO436" s="101">
        <v>130</v>
      </c>
      <c r="AP436" s="111">
        <v>130</v>
      </c>
      <c r="AQ436" s="454">
        <f t="shared" si="1078"/>
        <v>1</v>
      </c>
      <c r="AR436" s="455">
        <f t="shared" si="1079"/>
        <v>340000</v>
      </c>
      <c r="AS436" s="528">
        <v>14040</v>
      </c>
      <c r="AT436" s="102">
        <f t="shared" si="1030"/>
        <v>0</v>
      </c>
      <c r="AU436" s="683">
        <f t="shared" si="1077"/>
        <v>4.1294117647058821E-2</v>
      </c>
      <c r="AV436" s="565" t="e">
        <f>VLOOKUP(LEFT(AB436,10),Törzsszám!$A$1:$B$908,2,0)</f>
        <v>#N/A</v>
      </c>
      <c r="AW436" s="681"/>
      <c r="AX436" s="537"/>
      <c r="AY436" s="486"/>
      <c r="AZ436" s="502"/>
      <c r="BA436" s="671"/>
      <c r="BB436" s="649"/>
      <c r="BC436" s="649"/>
      <c r="BD436" s="672"/>
      <c r="BE436" s="450"/>
    </row>
    <row r="437" spans="1:58" s="117" customFormat="1" ht="14.45" customHeight="1" x14ac:dyDescent="0.25">
      <c r="A437" s="694" t="str">
        <f ca="1">Bérköltség!$B437</f>
        <v>FEOR</v>
      </c>
      <c r="B437" s="694" t="str">
        <f ca="1">IFERROR(
IF(AND(Bérköltség!$F437="",H437="NA"),"HIÁNYOS ADATOK",
IF(Bérköltség!$F437&lt;Bérköltség!$U437,Admin!$B$18,Admin!$B$17)),
"")</f>
        <v>FEOR</v>
      </c>
      <c r="C437" s="437" t="str">
        <f>IFERROR(INDEX('Historikus berek_2021-2'!$A$1:$F$903,MATCH(AB437,'Historikus berek_2021-2'!$A$1:$A$903,0),4),"")</f>
        <v/>
      </c>
      <c r="D437" s="438" t="str">
        <f t="shared" si="1059"/>
        <v>NA</v>
      </c>
      <c r="E437" s="437">
        <f t="shared" si="1060"/>
        <v>340000</v>
      </c>
      <c r="F437" s="439" t="str">
        <f t="shared" si="1061"/>
        <v/>
      </c>
      <c r="G437" s="440" t="str">
        <f t="shared" si="1062"/>
        <v/>
      </c>
      <c r="H437" s="441">
        <f>IFERROR(INDEX('FEOR kodok'!$A$2:$J$1126,MATCH(Bérköltség!AB437,'FEOR kodok'!$B$2:$B$1126,0),8),"NA")</f>
        <v>3910</v>
      </c>
      <c r="I437" s="436">
        <f ca="1">IFERROR(INDEX('FEOR kodok'!$A$2:$J$1126,MATCH(Bérköltség!AB437,'FEOR kodok'!$B$2:$B$1126,0),10),"NA")</f>
        <v>25</v>
      </c>
      <c r="J437" s="442" t="str">
        <f t="shared" ca="1" si="1063"/>
        <v>30 év alatt</v>
      </c>
      <c r="K437" s="436" t="str">
        <f>IFERROR(INDEX(admin_feor[#All],MATCH(Bérköltség!H437,admin_feor[[#All],[Foglalkozás]],0),2),"NA")</f>
        <v>Egyéb ügyintéző</v>
      </c>
      <c r="L437" s="438">
        <f ca="1">IFERROR(
INDEX('Admin - FEOR'!$A$4:$F$465,MATCH(Bérköltség!H437,'Admin - FEOR'!$A$4:$A$465,0),
IF(J437="30 év alatt",3,
IF(J437="30–39 éves",4,
IF(J437="40–49 éves",5,
IF(J437="50 év és afelett",6
)))))*1,"NA")</f>
        <v>359927</v>
      </c>
      <c r="M437" s="438">
        <f t="shared" si="1064"/>
        <v>340000</v>
      </c>
      <c r="N437" s="443">
        <f t="shared" ca="1" si="1065"/>
        <v>0.94463599563244771</v>
      </c>
      <c r="O437" s="438">
        <f ca="1">IFERROR(
INDEX('Admin - FEOR'!$A$4:$F$465,MATCH(Bérköltség!H437,'Admin - FEOR'!$A$4:$A$465,0),
IF(J437="30 év alatt",3,
IF(J437="30–39 éves",4,
IF(J437="40–49 éves",5,
IF(J437="50 év és afelett",6
)))))*1.5,"NA")</f>
        <v>539890.5</v>
      </c>
      <c r="P437" s="438">
        <f t="shared" ca="1" si="1066"/>
        <v>539890.5</v>
      </c>
      <c r="Q437" s="438">
        <f t="shared" si="1067"/>
        <v>340000</v>
      </c>
      <c r="R437" s="444">
        <f t="shared" si="1068"/>
        <v>1</v>
      </c>
      <c r="S437" s="438">
        <f t="shared" ca="1" si="1069"/>
        <v>0</v>
      </c>
      <c r="T437" s="438">
        <f t="shared" ca="1" si="1070"/>
        <v>0</v>
      </c>
      <c r="U437" s="445">
        <f t="shared" ca="1" si="1071"/>
        <v>0</v>
      </c>
      <c r="V437" s="446">
        <f t="shared" ca="1" si="1072"/>
        <v>354040</v>
      </c>
      <c r="W437" s="447" t="str">
        <f t="shared" ca="1" si="1073"/>
        <v>Nem szükséges indoklás.</v>
      </c>
      <c r="X437" s="571">
        <f t="shared" ca="1" si="1074"/>
        <v>0</v>
      </c>
      <c r="Y437" s="554">
        <f t="shared" ca="1" si="1075"/>
        <v>340000</v>
      </c>
      <c r="Z437" s="556">
        <f t="shared" ca="1" si="1076"/>
        <v>14040</v>
      </c>
      <c r="AA437" s="101"/>
      <c r="AB437" s="448">
        <v>8479690798</v>
      </c>
      <c r="AC437" s="449" t="s">
        <v>2013</v>
      </c>
      <c r="AD437" s="482" t="s">
        <v>45</v>
      </c>
      <c r="AE437" s="450" t="s">
        <v>24</v>
      </c>
      <c r="AF437" s="99" t="s">
        <v>120</v>
      </c>
      <c r="AG437" s="99" t="s">
        <v>157</v>
      </c>
      <c r="AH437" s="451" t="s">
        <v>131</v>
      </c>
      <c r="AI437" s="154">
        <v>45231</v>
      </c>
      <c r="AJ437" s="100" t="str">
        <f>IF(AI437&gt;0,
(IF(AI437&lt;Hónapok!$A$10,Admin!$A$28,
(IF(AI437&lt;Hónapok!$A$22,Admin!$B$28,
(IF(AI437&lt;Hónapok!$A$34,Admin!$C$28,
(IF(AI437&lt;Hónapok!$A$46,Admin!$D$28,"")))))))),"")</f>
        <v>3. mérföldkő</v>
      </c>
      <c r="AK437" s="467" t="s">
        <v>8</v>
      </c>
      <c r="AL437" s="101" t="s">
        <v>26</v>
      </c>
      <c r="AM437" s="900">
        <v>340000</v>
      </c>
      <c r="AN437" s="863">
        <v>14040</v>
      </c>
      <c r="AO437" s="101">
        <v>130</v>
      </c>
      <c r="AP437" s="111">
        <v>130</v>
      </c>
      <c r="AQ437" s="454">
        <f t="shared" si="1078"/>
        <v>1</v>
      </c>
      <c r="AR437" s="455">
        <f t="shared" si="1079"/>
        <v>340000</v>
      </c>
      <c r="AS437" s="528">
        <v>14040</v>
      </c>
      <c r="AT437" s="102">
        <f t="shared" si="1030"/>
        <v>0</v>
      </c>
      <c r="AU437" s="683">
        <f t="shared" si="1077"/>
        <v>4.1294117647058821E-2</v>
      </c>
      <c r="AV437" s="565" t="e">
        <f>VLOOKUP(LEFT(AB437,10),Törzsszám!$A$1:$B$908,2,0)</f>
        <v>#N/A</v>
      </c>
      <c r="AW437" s="681"/>
      <c r="AX437" s="537"/>
      <c r="AY437" s="486"/>
      <c r="AZ437" s="502"/>
      <c r="BA437" s="671"/>
      <c r="BB437" s="649"/>
      <c r="BC437" s="649"/>
      <c r="BD437" s="672"/>
      <c r="BE437" s="450"/>
    </row>
    <row r="438" spans="1:58" s="117" customFormat="1" ht="14.45" customHeight="1" x14ac:dyDescent="0.25">
      <c r="A438" s="694" t="str">
        <f ca="1">Bérköltség!$B438</f>
        <v>FEOR</v>
      </c>
      <c r="B438" s="694" t="str">
        <f ca="1">IFERROR(
IF(AND(Bérköltség!$F438="",H438="NA"),"HIÁNYOS ADATOK",
IF(Bérköltség!$F438&lt;Bérköltség!$U438,Admin!$B$18,Admin!$B$17)),
"")</f>
        <v>FEOR</v>
      </c>
      <c r="C438" s="437">
        <f>IFERROR(INDEX('Historikus berek_2021-2'!$A$1:$F$903,MATCH(AB438,'Historikus berek_2021-2'!$A$1:$A$903,0),4),"")</f>
        <v>407000</v>
      </c>
      <c r="D438" s="438">
        <f t="shared" si="990"/>
        <v>257298.85057471265</v>
      </c>
      <c r="E438" s="437">
        <f t="shared" si="991"/>
        <v>341379</v>
      </c>
      <c r="F438" s="439">
        <f t="shared" si="992"/>
        <v>95010.568850574724</v>
      </c>
      <c r="G438" s="440">
        <f t="shared" si="993"/>
        <v>290747.70114942524</v>
      </c>
      <c r="H438" s="441">
        <f>IFERROR(INDEX('FEOR kodok'!$A$2:$J$1126,MATCH(Bérköltség!AB438,'FEOR kodok'!$B$2:$B$1126,0),8),"NA")</f>
        <v>3910</v>
      </c>
      <c r="I438" s="436">
        <f ca="1">IFERROR(INDEX('FEOR kodok'!$A$2:$J$1126,MATCH(Bérköltség!AB438,'FEOR kodok'!$B$2:$B$1126,0),10),"NA")</f>
        <v>34</v>
      </c>
      <c r="J438" s="442" t="str">
        <f t="shared" ca="1" si="994"/>
        <v>30–39 éves</v>
      </c>
      <c r="K438" s="436" t="str">
        <f>IFERROR(INDEX(admin_feor[#All],MATCH(Bérköltség!H438,admin_feor[[#All],[Foglalkozás]],0),2),"NA")</f>
        <v>Egyéb ügyintéző</v>
      </c>
      <c r="L438" s="438">
        <f ca="1">IFERROR(
INDEX('Admin - FEOR'!$A$4:$F$465,MATCH(Bérköltség!H438,'Admin - FEOR'!$A$4:$A$465,0),
IF(J438="30 év alatt",3,
IF(J438="30–39 éves",4,
IF(J438="40–49 éves",5,
IF(J438="50 év és afelett",6
)))))*1,"NA")</f>
        <v>408171</v>
      </c>
      <c r="M438" s="438">
        <f t="shared" si="995"/>
        <v>540000</v>
      </c>
      <c r="N438" s="443">
        <f t="shared" ca="1" si="996"/>
        <v>1.3229749296250837</v>
      </c>
      <c r="O438" s="438">
        <f ca="1">IFERROR(
INDEX('Admin - FEOR'!$A$4:$F$465,MATCH(Bérköltség!H438,'Admin - FEOR'!$A$4:$A$465,0),
IF(J438="30 év alatt",3,
IF(J438="30–39 éves",4,
IF(J438="40–49 éves",5,
IF(J438="50 év és afelett",6
)))))*1.5,"NA")</f>
        <v>612256.5</v>
      </c>
      <c r="P438" s="438">
        <f t="shared" ca="1" si="997"/>
        <v>387058.70689655171</v>
      </c>
      <c r="Q438" s="438">
        <f t="shared" si="998"/>
        <v>341379</v>
      </c>
      <c r="R438" s="444">
        <f t="shared" si="999"/>
        <v>0.63218390804597702</v>
      </c>
      <c r="S438" s="438">
        <f t="shared" ca="1" si="1000"/>
        <v>0</v>
      </c>
      <c r="T438" s="438">
        <f t="shared" ca="1" si="1001"/>
        <v>0</v>
      </c>
      <c r="U438" s="445">
        <f t="shared" ca="1" si="1002"/>
        <v>0</v>
      </c>
      <c r="V438" s="446">
        <f t="shared" ca="1" si="1003"/>
        <v>385758</v>
      </c>
      <c r="W438" s="447" t="str">
        <f t="shared" ca="1" si="1004"/>
        <v>Indoklás szükséges mivel a FEOR: 132,3%</v>
      </c>
      <c r="X438" s="571">
        <f t="shared" ca="1" si="1005"/>
        <v>0</v>
      </c>
      <c r="Y438" s="554">
        <f t="shared" ca="1" si="1006"/>
        <v>341379</v>
      </c>
      <c r="Z438" s="554">
        <f t="shared" ca="1" si="1007"/>
        <v>44379</v>
      </c>
      <c r="AA438" s="573">
        <v>2</v>
      </c>
      <c r="AB438" s="448">
        <v>8446302802</v>
      </c>
      <c r="AC438" s="449" t="s">
        <v>245</v>
      </c>
      <c r="AD438" s="483" t="s">
        <v>45</v>
      </c>
      <c r="AE438" s="450" t="s">
        <v>24</v>
      </c>
      <c r="AF438" s="99" t="s">
        <v>124</v>
      </c>
      <c r="AG438" s="99" t="s">
        <v>246</v>
      </c>
      <c r="AH438" s="451" t="s">
        <v>131</v>
      </c>
      <c r="AI438" s="154">
        <v>44896</v>
      </c>
      <c r="AJ438" s="100" t="str">
        <f>IF(AI438&gt;0,
(IF(AI438&lt;Hónapok!$A$10,Admin!$A$28,
(IF(AI438&lt;Hónapok!$A$22,Admin!$B$28,
(IF(AI438&lt;Hónapok!$A$34,Admin!$C$28,
(IF(AI438&lt;Hónapok!$A$46,Admin!$D$28,"")))))))),"")</f>
        <v>2. mérföldkő</v>
      </c>
      <c r="AK438" s="469" t="s">
        <v>7</v>
      </c>
      <c r="AL438" s="101" t="s">
        <v>26</v>
      </c>
      <c r="AM438" s="900">
        <v>540000</v>
      </c>
      <c r="AN438" s="860">
        <f t="shared" si="908"/>
        <v>70200</v>
      </c>
      <c r="AO438" s="101">
        <v>174</v>
      </c>
      <c r="AP438" s="111">
        <v>110</v>
      </c>
      <c r="AQ438" s="454">
        <f t="shared" si="985"/>
        <v>0.63218390804597702</v>
      </c>
      <c r="AR438" s="455">
        <f t="shared" si="986"/>
        <v>341379</v>
      </c>
      <c r="AS438" s="455">
        <f t="shared" si="987"/>
        <v>44379</v>
      </c>
      <c r="AT438" s="102">
        <f t="shared" si="988"/>
        <v>5.747126436972394E-7</v>
      </c>
      <c r="AU438" s="116">
        <v>0.13</v>
      </c>
      <c r="AV438" s="565" t="str">
        <f>VLOOKUP(LEFT(AB438,10),Törzsszám!$A$1:$B$908,2,0)</f>
        <v>10001447</v>
      </c>
      <c r="AW438" s="615">
        <f t="shared" ca="1" si="989"/>
        <v>0</v>
      </c>
      <c r="AX438" s="537" t="s">
        <v>262</v>
      </c>
      <c r="AY438" s="486"/>
      <c r="AZ438" s="502"/>
      <c r="BA438" s="671">
        <v>195809</v>
      </c>
      <c r="BB438" s="649">
        <v>25455</v>
      </c>
      <c r="BC438" s="649">
        <f ca="1">Y438-BA438</f>
        <v>145570</v>
      </c>
      <c r="BD438" s="672">
        <f ca="1">Z438-BB438</f>
        <v>18924</v>
      </c>
      <c r="BE438" s="450" t="s">
        <v>142</v>
      </c>
    </row>
    <row r="439" spans="1:58" s="117" customFormat="1" ht="14.45" customHeight="1" x14ac:dyDescent="0.25">
      <c r="A439" s="694" t="str">
        <f ca="1">Bérköltség!$B439</f>
        <v>FEOR</v>
      </c>
      <c r="B439" s="694" t="str">
        <f ca="1">IFERROR(
IF(AND(Bérköltség!$F439="",H439="NA"),"HIÁNYOS ADATOK",
IF(Bérköltség!$F439&lt;Bérköltség!$U439,Admin!$B$18,Admin!$B$17)),
"")</f>
        <v>FEOR</v>
      </c>
      <c r="C439" s="437">
        <f>IFERROR(INDEX('Historikus berek_2021-2'!$A$1:$F$903,MATCH(AB439,'Historikus berek_2021-2'!$A$1:$A$903,0),4),"")</f>
        <v>407000</v>
      </c>
      <c r="D439" s="438">
        <f t="shared" si="990"/>
        <v>257298.85057471265</v>
      </c>
      <c r="E439" s="437">
        <f t="shared" si="991"/>
        <v>375517</v>
      </c>
      <c r="F439" s="439">
        <f t="shared" si="992"/>
        <v>133586.50885057473</v>
      </c>
      <c r="G439" s="440">
        <f t="shared" si="993"/>
        <v>290747.70114942524</v>
      </c>
      <c r="H439" s="441">
        <f>IFERROR(INDEX('FEOR kodok'!$A$2:$J$1126,MATCH(Bérköltség!AB439,'FEOR kodok'!$B$2:$B$1126,0),8),"NA")</f>
        <v>3910</v>
      </c>
      <c r="I439" s="436">
        <f ca="1">IFERROR(INDEX('FEOR kodok'!$A$2:$J$1126,MATCH(Bérköltség!AB439,'FEOR kodok'!$B$2:$B$1126,0),10),"NA")</f>
        <v>34</v>
      </c>
      <c r="J439" s="442" t="str">
        <f t="shared" ca="1" si="994"/>
        <v>30–39 éves</v>
      </c>
      <c r="K439" s="436" t="str">
        <f>IFERROR(INDEX(admin_feor[#All],MATCH(Bérköltség!H439,admin_feor[[#All],[Foglalkozás]],0),2),"NA")</f>
        <v>Egyéb ügyintéző</v>
      </c>
      <c r="L439" s="438">
        <f ca="1">IFERROR(
INDEX('Admin - FEOR'!$A$4:$F$465,MATCH(Bérköltség!H439,'Admin - FEOR'!$A$4:$A$465,0),
IF(J439="30 év alatt",3,
IF(J439="30–39 éves",4,
IF(J439="40–49 éves",5,
IF(J439="50 év és afelett",6
)))))*1,"NA")</f>
        <v>408171</v>
      </c>
      <c r="M439" s="438">
        <f t="shared" si="995"/>
        <v>594000</v>
      </c>
      <c r="N439" s="443">
        <f t="shared" ca="1" si="996"/>
        <v>1.4552724225875919</v>
      </c>
      <c r="O439" s="438">
        <f ca="1">IFERROR(
INDEX('Admin - FEOR'!$A$4:$F$465,MATCH(Bérköltség!H439,'Admin - FEOR'!$A$4:$A$465,0),
IF(J439="30 év alatt",3,
IF(J439="30–39 éves",4,
IF(J439="40–49 éves",5,
IF(J439="50 év és afelett",6
)))))*1.5,"NA")</f>
        <v>612256.5</v>
      </c>
      <c r="P439" s="438">
        <f t="shared" ca="1" si="997"/>
        <v>387058.70689655171</v>
      </c>
      <c r="Q439" s="438">
        <f t="shared" si="998"/>
        <v>375517</v>
      </c>
      <c r="R439" s="444">
        <f t="shared" si="999"/>
        <v>0.63218390804597702</v>
      </c>
      <c r="S439" s="438">
        <f t="shared" ca="1" si="1000"/>
        <v>0</v>
      </c>
      <c r="T439" s="438">
        <f t="shared" ca="1" si="1001"/>
        <v>0</v>
      </c>
      <c r="U439" s="445">
        <f t="shared" ca="1" si="1002"/>
        <v>0</v>
      </c>
      <c r="V439" s="446">
        <f t="shared" ca="1" si="1003"/>
        <v>424334</v>
      </c>
      <c r="W439" s="447" t="str">
        <f t="shared" ca="1" si="1004"/>
        <v>Indoklás szükséges mivel a FEOR: 145,5%</v>
      </c>
      <c r="X439" s="571">
        <f t="shared" ca="1" si="1005"/>
        <v>0</v>
      </c>
      <c r="Y439" s="554">
        <f t="shared" ca="1" si="1006"/>
        <v>375517</v>
      </c>
      <c r="Z439" s="554">
        <f t="shared" ca="1" si="1007"/>
        <v>48817</v>
      </c>
      <c r="AA439" s="573">
        <v>2</v>
      </c>
      <c r="AB439" s="448">
        <v>8446302802</v>
      </c>
      <c r="AC439" s="449" t="s">
        <v>245</v>
      </c>
      <c r="AD439" s="483" t="s">
        <v>45</v>
      </c>
      <c r="AE439" s="450" t="s">
        <v>24</v>
      </c>
      <c r="AF439" s="99" t="s">
        <v>124</v>
      </c>
      <c r="AG439" s="99" t="s">
        <v>246</v>
      </c>
      <c r="AH439" s="451" t="s">
        <v>131</v>
      </c>
      <c r="AI439" s="154">
        <v>44927</v>
      </c>
      <c r="AJ439" s="100" t="str">
        <f>IF(AI439&gt;0,
(IF(AI439&lt;Hónapok!$A$10,Admin!$A$28,
(IF(AI439&lt;Hónapok!$A$22,Admin!$B$28,
(IF(AI439&lt;Hónapok!$A$34,Admin!$C$28,
(IF(AI439&lt;Hónapok!$A$46,Admin!$D$28,"")))))))),"")</f>
        <v>2. mérföldkő</v>
      </c>
      <c r="AK439" s="469" t="s">
        <v>7</v>
      </c>
      <c r="AL439" s="101" t="s">
        <v>26</v>
      </c>
      <c r="AM439" s="900">
        <v>594000</v>
      </c>
      <c r="AN439" s="860">
        <f t="shared" si="908"/>
        <v>77220</v>
      </c>
      <c r="AO439" s="101">
        <v>174</v>
      </c>
      <c r="AP439" s="111">
        <v>110</v>
      </c>
      <c r="AQ439" s="454">
        <f t="shared" si="985"/>
        <v>0.63218390804597702</v>
      </c>
      <c r="AR439" s="455">
        <f t="shared" si="986"/>
        <v>375517</v>
      </c>
      <c r="AS439" s="455">
        <f t="shared" si="987"/>
        <v>48817</v>
      </c>
      <c r="AT439" s="102">
        <f t="shared" si="988"/>
        <v>4.0636247533587522E-7</v>
      </c>
      <c r="AU439" s="116">
        <v>0.13</v>
      </c>
      <c r="AV439" s="565" t="str">
        <f>VLOOKUP(LEFT(AB439,10),Törzsszám!$A$1:$B$908,2,0)</f>
        <v>10001447</v>
      </c>
      <c r="AW439" s="681">
        <f t="shared" ca="1" si="989"/>
        <v>0</v>
      </c>
      <c r="AX439" s="537" t="s">
        <v>2518</v>
      </c>
      <c r="AY439" s="486"/>
      <c r="AZ439" s="502"/>
      <c r="BA439" s="671">
        <v>195809</v>
      </c>
      <c r="BB439" s="649">
        <v>25455</v>
      </c>
      <c r="BC439" s="649">
        <f ca="1">Y439-BA439</f>
        <v>179708</v>
      </c>
      <c r="BD439" s="672">
        <f ca="1">Z439-BB439</f>
        <v>23362</v>
      </c>
      <c r="BE439" s="450" t="s">
        <v>142</v>
      </c>
    </row>
    <row r="440" spans="1:58" s="117" customFormat="1" ht="14.45" customHeight="1" x14ac:dyDescent="0.25">
      <c r="A440" s="694" t="str">
        <f ca="1">Bérköltség!$B440</f>
        <v>FEOR</v>
      </c>
      <c r="B440" s="694" t="str">
        <f ca="1">IFERROR(
IF(AND(Bérköltség!$F440="",H440="NA"),"HIÁNYOS ADATOK",
IF(Bérköltség!$F440&lt;Bérköltség!$U440,Admin!$B$18,Admin!$B$17)),
"")</f>
        <v>FEOR</v>
      </c>
      <c r="C440" s="437">
        <f>IFERROR(INDEX('Historikus berek_2021-2'!$A$1:$F$903,MATCH(AB440,'Historikus berek_2021-2'!$A$1:$A$903,0),4),"")</f>
        <v>407000</v>
      </c>
      <c r="D440" s="438">
        <f t="shared" si="990"/>
        <v>257298.85057471265</v>
      </c>
      <c r="E440" s="437">
        <f t="shared" si="991"/>
        <v>375517</v>
      </c>
      <c r="F440" s="439">
        <f t="shared" si="992"/>
        <v>133586.50885057473</v>
      </c>
      <c r="G440" s="440">
        <f t="shared" si="993"/>
        <v>290747.70114942524</v>
      </c>
      <c r="H440" s="441">
        <f>IFERROR(INDEX('FEOR kodok'!$A$2:$J$1126,MATCH(Bérköltség!AB440,'FEOR kodok'!$B$2:$B$1126,0),8),"NA")</f>
        <v>3910</v>
      </c>
      <c r="I440" s="436">
        <f ca="1">IFERROR(INDEX('FEOR kodok'!$A$2:$J$1126,MATCH(Bérköltség!AB440,'FEOR kodok'!$B$2:$B$1126,0),10),"NA")</f>
        <v>34</v>
      </c>
      <c r="J440" s="442" t="str">
        <f t="shared" ca="1" si="994"/>
        <v>30–39 éves</v>
      </c>
      <c r="K440" s="436" t="str">
        <f>IFERROR(INDEX(admin_feor[#All],MATCH(Bérköltség!H440,admin_feor[[#All],[Foglalkozás]],0),2),"NA")</f>
        <v>Egyéb ügyintéző</v>
      </c>
      <c r="L440" s="438">
        <f ca="1">IFERROR(
INDEX('Admin - FEOR'!$A$4:$F$465,MATCH(Bérköltség!H440,'Admin - FEOR'!$A$4:$A$465,0),
IF(J440="30 év alatt",3,
IF(J440="30–39 éves",4,
IF(J440="40–49 éves",5,
IF(J440="50 év és afelett",6
)))))*1,"NA")</f>
        <v>408171</v>
      </c>
      <c r="M440" s="438">
        <f t="shared" si="995"/>
        <v>594000</v>
      </c>
      <c r="N440" s="443">
        <f t="shared" ca="1" si="996"/>
        <v>1.4552724225875919</v>
      </c>
      <c r="O440" s="438">
        <f ca="1">IFERROR(
INDEX('Admin - FEOR'!$A$4:$F$465,MATCH(Bérköltség!H440,'Admin - FEOR'!$A$4:$A$465,0),
IF(J440="30 év alatt",3,
IF(J440="30–39 éves",4,
IF(J440="40–49 éves",5,
IF(J440="50 év és afelett",6
)))))*1.5,"NA")</f>
        <v>612256.5</v>
      </c>
      <c r="P440" s="438">
        <f t="shared" ca="1" si="997"/>
        <v>387058.70689655171</v>
      </c>
      <c r="Q440" s="438">
        <f t="shared" si="998"/>
        <v>375517</v>
      </c>
      <c r="R440" s="444">
        <f t="shared" si="999"/>
        <v>0.63218390804597702</v>
      </c>
      <c r="S440" s="438">
        <f t="shared" ca="1" si="1000"/>
        <v>0</v>
      </c>
      <c r="T440" s="438">
        <f t="shared" ca="1" si="1001"/>
        <v>0</v>
      </c>
      <c r="U440" s="445">
        <f t="shared" ca="1" si="1002"/>
        <v>0</v>
      </c>
      <c r="V440" s="446">
        <f t="shared" ca="1" si="1003"/>
        <v>424334</v>
      </c>
      <c r="W440" s="447" t="str">
        <f t="shared" ca="1" si="1004"/>
        <v>Indoklás szükséges mivel a FEOR: 145,5%</v>
      </c>
      <c r="X440" s="571">
        <f t="shared" ca="1" si="1005"/>
        <v>0</v>
      </c>
      <c r="Y440" s="554">
        <f t="shared" ca="1" si="1006"/>
        <v>375517</v>
      </c>
      <c r="Z440" s="554">
        <f t="shared" ca="1" si="1007"/>
        <v>48817</v>
      </c>
      <c r="AA440" s="101"/>
      <c r="AB440" s="448">
        <v>8446302802</v>
      </c>
      <c r="AC440" s="449" t="s">
        <v>245</v>
      </c>
      <c r="AD440" s="483" t="s">
        <v>45</v>
      </c>
      <c r="AE440" s="450" t="s">
        <v>24</v>
      </c>
      <c r="AF440" s="99" t="s">
        <v>124</v>
      </c>
      <c r="AG440" s="99" t="s">
        <v>246</v>
      </c>
      <c r="AH440" s="451" t="s">
        <v>131</v>
      </c>
      <c r="AI440" s="154">
        <v>44958</v>
      </c>
      <c r="AJ440" s="100" t="str">
        <f>IF(AI440&gt;0,
(IF(AI440&lt;Hónapok!$A$10,Admin!$A$28,
(IF(AI440&lt;Hónapok!$A$22,Admin!$B$28,
(IF(AI440&lt;Hónapok!$A$34,Admin!$C$28,
(IF(AI440&lt;Hónapok!$A$46,Admin!$D$28,"")))))))),"")</f>
        <v>2. mérföldkő</v>
      </c>
      <c r="AK440" s="469" t="s">
        <v>7</v>
      </c>
      <c r="AL440" s="101" t="s">
        <v>26</v>
      </c>
      <c r="AM440" s="900">
        <v>594000</v>
      </c>
      <c r="AN440" s="860">
        <f t="shared" si="908"/>
        <v>77220</v>
      </c>
      <c r="AO440" s="101">
        <v>174</v>
      </c>
      <c r="AP440" s="111">
        <v>110</v>
      </c>
      <c r="AQ440" s="454">
        <f t="shared" si="985"/>
        <v>0.63218390804597702</v>
      </c>
      <c r="AR440" s="455">
        <f t="shared" si="986"/>
        <v>375517</v>
      </c>
      <c r="AS440" s="455">
        <f t="shared" si="987"/>
        <v>48817</v>
      </c>
      <c r="AT440" s="102">
        <f t="shared" si="988"/>
        <v>4.0636247533587522E-7</v>
      </c>
      <c r="AU440" s="116">
        <v>0.13</v>
      </c>
      <c r="AV440" s="565" t="str">
        <f>VLOOKUP(LEFT(AB440,10),Törzsszám!$A$1:$B$908,2,0)</f>
        <v>10001447</v>
      </c>
      <c r="AW440" s="681">
        <f t="shared" ca="1" si="989"/>
        <v>0</v>
      </c>
      <c r="AX440" s="537" t="s">
        <v>4557</v>
      </c>
      <c r="AY440" s="486"/>
      <c r="AZ440" s="502"/>
      <c r="BA440" s="671"/>
      <c r="BB440" s="649"/>
      <c r="BC440" s="649"/>
      <c r="BD440" s="672"/>
      <c r="BE440" s="450" t="s">
        <v>142</v>
      </c>
    </row>
    <row r="441" spans="1:58" s="117" customFormat="1" ht="14.45" customHeight="1" x14ac:dyDescent="0.25">
      <c r="A441" s="694" t="str">
        <f ca="1">Bérköltség!$B441</f>
        <v>FEOR</v>
      </c>
      <c r="B441" s="694" t="str">
        <f ca="1">IFERROR(
IF(AND(Bérköltség!$F441="",H441="NA"),"HIÁNYOS ADATOK",
IF(Bérköltség!$F441&lt;Bérköltség!$U441,Admin!$B$18,Admin!$B$17)),
"")</f>
        <v>FEOR</v>
      </c>
      <c r="C441" s="437">
        <f>IFERROR(INDEX('Historikus berek_2021-2'!$A$1:$F$903,MATCH(AB441,'Historikus berek_2021-2'!$A$1:$A$903,0),4),"")</f>
        <v>407000</v>
      </c>
      <c r="D441" s="438">
        <f t="shared" si="990"/>
        <v>257298.85057471265</v>
      </c>
      <c r="E441" s="437">
        <f t="shared" si="991"/>
        <v>375517</v>
      </c>
      <c r="F441" s="439">
        <f t="shared" si="992"/>
        <v>133586.50885057473</v>
      </c>
      <c r="G441" s="440">
        <f t="shared" si="993"/>
        <v>290747.70114942524</v>
      </c>
      <c r="H441" s="441">
        <f>IFERROR(INDEX('FEOR kodok'!$A$2:$J$1126,MATCH(Bérköltség!AB441,'FEOR kodok'!$B$2:$B$1126,0),8),"NA")</f>
        <v>3910</v>
      </c>
      <c r="I441" s="436">
        <f ca="1">IFERROR(INDEX('FEOR kodok'!$A$2:$J$1126,MATCH(Bérköltség!AB441,'FEOR kodok'!$B$2:$B$1126,0),10),"NA")</f>
        <v>34</v>
      </c>
      <c r="J441" s="442" t="str">
        <f t="shared" ca="1" si="994"/>
        <v>30–39 éves</v>
      </c>
      <c r="K441" s="436" t="str">
        <f>IFERROR(INDEX(admin_feor[#All],MATCH(Bérköltség!H441,admin_feor[[#All],[Foglalkozás]],0),2),"NA")</f>
        <v>Egyéb ügyintéző</v>
      </c>
      <c r="L441" s="438">
        <f ca="1">IFERROR(
INDEX('Admin - FEOR'!$A$4:$F$465,MATCH(Bérköltség!H441,'Admin - FEOR'!$A$4:$A$465,0),
IF(J441="30 év alatt",3,
IF(J441="30–39 éves",4,
IF(J441="40–49 éves",5,
IF(J441="50 év és afelett",6
)))))*1,"NA")</f>
        <v>408171</v>
      </c>
      <c r="M441" s="438">
        <f t="shared" si="995"/>
        <v>594000</v>
      </c>
      <c r="N441" s="443">
        <f t="shared" ca="1" si="996"/>
        <v>1.4552724225875919</v>
      </c>
      <c r="O441" s="438">
        <f ca="1">IFERROR(
INDEX('Admin - FEOR'!$A$4:$F$465,MATCH(Bérköltség!H441,'Admin - FEOR'!$A$4:$A$465,0),
IF(J441="30 év alatt",3,
IF(J441="30–39 éves",4,
IF(J441="40–49 éves",5,
IF(J441="50 év és afelett",6
)))))*1.5,"NA")</f>
        <v>612256.5</v>
      </c>
      <c r="P441" s="438">
        <f t="shared" ca="1" si="997"/>
        <v>387058.70689655171</v>
      </c>
      <c r="Q441" s="438">
        <f t="shared" si="998"/>
        <v>375517</v>
      </c>
      <c r="R441" s="444">
        <f t="shared" si="999"/>
        <v>0.63218390804597702</v>
      </c>
      <c r="S441" s="438">
        <f t="shared" ca="1" si="1000"/>
        <v>0</v>
      </c>
      <c r="T441" s="438">
        <f t="shared" ca="1" si="1001"/>
        <v>0</v>
      </c>
      <c r="U441" s="445">
        <f t="shared" ca="1" si="1002"/>
        <v>0</v>
      </c>
      <c r="V441" s="446">
        <f t="shared" ca="1" si="1003"/>
        <v>424334</v>
      </c>
      <c r="W441" s="447" t="str">
        <f t="shared" ca="1" si="1004"/>
        <v>Indoklás szükséges mivel a FEOR: 145,5%</v>
      </c>
      <c r="X441" s="571">
        <f t="shared" ca="1" si="1005"/>
        <v>0</v>
      </c>
      <c r="Y441" s="554">
        <f t="shared" ca="1" si="1006"/>
        <v>375517</v>
      </c>
      <c r="Z441" s="554">
        <f t="shared" ca="1" si="1007"/>
        <v>48817</v>
      </c>
      <c r="AA441" s="101"/>
      <c r="AB441" s="448">
        <v>8446302802</v>
      </c>
      <c r="AC441" s="449" t="s">
        <v>245</v>
      </c>
      <c r="AD441" s="483" t="s">
        <v>45</v>
      </c>
      <c r="AE441" s="450" t="s">
        <v>24</v>
      </c>
      <c r="AF441" s="99" t="s">
        <v>124</v>
      </c>
      <c r="AG441" s="99" t="s">
        <v>246</v>
      </c>
      <c r="AH441" s="451" t="s">
        <v>131</v>
      </c>
      <c r="AI441" s="154">
        <v>44986</v>
      </c>
      <c r="AJ441" s="100" t="str">
        <f>IF(AI441&gt;0,
(IF(AI441&lt;Hónapok!$A$10,Admin!$A$28,
(IF(AI441&lt;Hónapok!$A$22,Admin!$B$28,
(IF(AI441&lt;Hónapok!$A$34,Admin!$C$28,
(IF(AI441&lt;Hónapok!$A$46,Admin!$D$28,"")))))))),"")</f>
        <v>3. mérföldkő</v>
      </c>
      <c r="AK441" s="470" t="s">
        <v>7</v>
      </c>
      <c r="AL441" s="101" t="s">
        <v>26</v>
      </c>
      <c r="AM441" s="900">
        <v>594000</v>
      </c>
      <c r="AN441" s="860">
        <f t="shared" si="908"/>
        <v>77220</v>
      </c>
      <c r="AO441" s="101">
        <v>174</v>
      </c>
      <c r="AP441" s="111">
        <v>110</v>
      </c>
      <c r="AQ441" s="454">
        <f t="shared" si="985"/>
        <v>0.63218390804597702</v>
      </c>
      <c r="AR441" s="455">
        <f t="shared" si="986"/>
        <v>375517</v>
      </c>
      <c r="AS441" s="455">
        <f t="shared" si="987"/>
        <v>48817</v>
      </c>
      <c r="AT441" s="102">
        <f t="shared" si="988"/>
        <v>4.0636247533587522E-7</v>
      </c>
      <c r="AU441" s="116">
        <v>0.13</v>
      </c>
      <c r="AV441" s="565" t="str">
        <f>VLOOKUP(LEFT(AB441,10),Törzsszám!$A$1:$B$908,2,0)</f>
        <v>10001447</v>
      </c>
      <c r="AW441" s="681">
        <f t="shared" ca="1" si="989"/>
        <v>0</v>
      </c>
      <c r="AX441" s="471" t="s">
        <v>4561</v>
      </c>
      <c r="AY441" s="486"/>
      <c r="AZ441" s="502"/>
      <c r="BA441" s="671"/>
      <c r="BB441" s="649"/>
      <c r="BC441" s="649"/>
      <c r="BD441" s="672"/>
      <c r="BE441" s="450" t="s">
        <v>142</v>
      </c>
    </row>
    <row r="442" spans="1:58" s="117" customFormat="1" ht="14.45" customHeight="1" x14ac:dyDescent="0.25">
      <c r="A442" s="694" t="str">
        <f ca="1">Bérköltség!$B442</f>
        <v>FEOR</v>
      </c>
      <c r="B442" s="694" t="str">
        <f ca="1">IFERROR(
IF(AND(Bérköltség!$F442="",H442="NA"),"HIÁNYOS ADATOK",
IF(Bérköltség!$F442&lt;Bérköltség!$U442,Admin!$B$18,Admin!$B$17)),
"")</f>
        <v>FEOR</v>
      </c>
      <c r="C442" s="437">
        <f>IFERROR(INDEX('Historikus berek_2021-2'!$A$1:$F$903,MATCH(AB442,'Historikus berek_2021-2'!$A$1:$A$903,0),4),"")</f>
        <v>407000</v>
      </c>
      <c r="D442" s="438">
        <f t="shared" si="990"/>
        <v>257298.85057471265</v>
      </c>
      <c r="E442" s="437">
        <f t="shared" si="991"/>
        <v>375517</v>
      </c>
      <c r="F442" s="439">
        <f t="shared" si="992"/>
        <v>133586.50885057473</v>
      </c>
      <c r="G442" s="440">
        <f t="shared" si="993"/>
        <v>290747.70114942524</v>
      </c>
      <c r="H442" s="441">
        <f>IFERROR(INDEX('FEOR kodok'!$A$2:$J$1126,MATCH(Bérköltség!AB442,'FEOR kodok'!$B$2:$B$1126,0),8),"NA")</f>
        <v>3910</v>
      </c>
      <c r="I442" s="436">
        <f ca="1">IFERROR(INDEX('FEOR kodok'!$A$2:$J$1126,MATCH(Bérköltség!AB442,'FEOR kodok'!$B$2:$B$1126,0),10),"NA")</f>
        <v>34</v>
      </c>
      <c r="J442" s="442" t="str">
        <f t="shared" ca="1" si="994"/>
        <v>30–39 éves</v>
      </c>
      <c r="K442" s="436" t="str">
        <f>IFERROR(INDEX(admin_feor[#All],MATCH(Bérköltség!H442,admin_feor[[#All],[Foglalkozás]],0),2),"NA")</f>
        <v>Egyéb ügyintéző</v>
      </c>
      <c r="L442" s="438">
        <f ca="1">IFERROR(
INDEX('Admin - FEOR'!$A$4:$F$465,MATCH(Bérköltség!H442,'Admin - FEOR'!$A$4:$A$465,0),
IF(J442="30 év alatt",3,
IF(J442="30–39 éves",4,
IF(J442="40–49 éves",5,
IF(J442="50 év és afelett",6
)))))*1,"NA")</f>
        <v>408171</v>
      </c>
      <c r="M442" s="438">
        <f t="shared" si="995"/>
        <v>594000</v>
      </c>
      <c r="N442" s="443">
        <f t="shared" ca="1" si="996"/>
        <v>1.4552724225875919</v>
      </c>
      <c r="O442" s="438">
        <f ca="1">IFERROR(
INDEX('Admin - FEOR'!$A$4:$F$465,MATCH(Bérköltség!H442,'Admin - FEOR'!$A$4:$A$465,0),
IF(J442="30 év alatt",3,
IF(J442="30–39 éves",4,
IF(J442="40–49 éves",5,
IF(J442="50 év és afelett",6
)))))*1.5,"NA")</f>
        <v>612256.5</v>
      </c>
      <c r="P442" s="438">
        <f t="shared" ca="1" si="997"/>
        <v>387058.70689655171</v>
      </c>
      <c r="Q442" s="438">
        <f t="shared" si="998"/>
        <v>375517</v>
      </c>
      <c r="R442" s="444">
        <f t="shared" si="999"/>
        <v>0.63218390804597702</v>
      </c>
      <c r="S442" s="438">
        <f t="shared" ca="1" si="1000"/>
        <v>0</v>
      </c>
      <c r="T442" s="438">
        <f t="shared" ca="1" si="1001"/>
        <v>0</v>
      </c>
      <c r="U442" s="445">
        <f t="shared" ca="1" si="1002"/>
        <v>0</v>
      </c>
      <c r="V442" s="446">
        <f t="shared" ca="1" si="1003"/>
        <v>424334</v>
      </c>
      <c r="W442" s="447" t="str">
        <f t="shared" ca="1" si="1004"/>
        <v>Indoklás szükséges mivel a FEOR: 145,5%</v>
      </c>
      <c r="X442" s="571">
        <f t="shared" ca="1" si="1005"/>
        <v>0</v>
      </c>
      <c r="Y442" s="554">
        <f t="shared" ca="1" si="1006"/>
        <v>375517</v>
      </c>
      <c r="Z442" s="554">
        <f t="shared" ca="1" si="1007"/>
        <v>48817</v>
      </c>
      <c r="AA442" s="115"/>
      <c r="AB442" s="146">
        <v>8446302802</v>
      </c>
      <c r="AC442" s="112" t="s">
        <v>245</v>
      </c>
      <c r="AD442" s="483" t="s">
        <v>45</v>
      </c>
      <c r="AE442" s="143" t="s">
        <v>24</v>
      </c>
      <c r="AF442" s="99" t="s">
        <v>124</v>
      </c>
      <c r="AG442" s="99" t="s">
        <v>246</v>
      </c>
      <c r="AH442" s="451" t="s">
        <v>131</v>
      </c>
      <c r="AI442" s="154">
        <v>45017</v>
      </c>
      <c r="AJ442" s="100" t="str">
        <f>IF(AI442&gt;0,
(IF(AI442&lt;Hónapok!$A$10,Admin!$A$28,
(IF(AI442&lt;Hónapok!$A$22,Admin!$B$28,
(IF(AI442&lt;Hónapok!$A$34,Admin!$C$28,
(IF(AI442&lt;Hónapok!$A$46,Admin!$D$28,"")))))))),"")</f>
        <v>3. mérföldkő</v>
      </c>
      <c r="AK442" s="500" t="s">
        <v>7</v>
      </c>
      <c r="AL442" s="115" t="s">
        <v>26</v>
      </c>
      <c r="AM442" s="900">
        <v>594000</v>
      </c>
      <c r="AN442" s="860">
        <f t="shared" ref="AN442:AN475" si="1080">IFERROR(ROUND(AM442*AU442,0),"")</f>
        <v>77220</v>
      </c>
      <c r="AO442" s="101">
        <v>174</v>
      </c>
      <c r="AP442" s="111">
        <v>110</v>
      </c>
      <c r="AQ442" s="454">
        <f t="shared" si="985"/>
        <v>0.63218390804597702</v>
      </c>
      <c r="AR442" s="455">
        <f t="shared" si="986"/>
        <v>375517</v>
      </c>
      <c r="AS442" s="455">
        <f t="shared" si="987"/>
        <v>48817</v>
      </c>
      <c r="AT442" s="102">
        <f t="shared" si="988"/>
        <v>4.0636247533587522E-7</v>
      </c>
      <c r="AU442" s="116">
        <v>0.13</v>
      </c>
      <c r="AV442" s="565" t="str">
        <f>VLOOKUP(LEFT(AB442,10),Törzsszám!$A$1:$B$908,2,0)</f>
        <v>10001447</v>
      </c>
      <c r="AW442" s="681">
        <f t="shared" ca="1" si="989"/>
        <v>0</v>
      </c>
      <c r="AX442" s="471" t="s">
        <v>4581</v>
      </c>
      <c r="AY442" s="505"/>
      <c r="AZ442" s="803"/>
      <c r="BA442" s="673"/>
      <c r="BB442" s="650"/>
      <c r="BC442" s="649"/>
      <c r="BD442" s="672"/>
      <c r="BE442" s="143" t="s">
        <v>142</v>
      </c>
    </row>
    <row r="443" spans="1:58" s="117" customFormat="1" ht="14.45" customHeight="1" x14ac:dyDescent="0.25">
      <c r="A443" s="694" t="str">
        <f ca="1">Bérköltség!$B443</f>
        <v>FEOR</v>
      </c>
      <c r="B443" s="694" t="str">
        <f ca="1">IFERROR(
IF(AND(Bérköltség!$F443="",H443="NA"),"HIÁNYOS ADATOK",
IF(Bérköltség!$F443&lt;Bérköltség!$U443,Admin!$B$18,Admin!$B$17)),
"")</f>
        <v>FEOR</v>
      </c>
      <c r="C443" s="437">
        <f>IFERROR(INDEX('Historikus berek_2021-2'!$A$1:$F$903,MATCH(AB443,'Historikus berek_2021-2'!$A$1:$A$903,0),4),"")</f>
        <v>328933.33333333331</v>
      </c>
      <c r="D443" s="438">
        <f t="shared" si="990"/>
        <v>328933.33333333331</v>
      </c>
      <c r="E443" s="437">
        <f t="shared" si="991"/>
        <v>343900</v>
      </c>
      <c r="F443" s="439">
        <f t="shared" si="992"/>
        <v>16912.333333333314</v>
      </c>
      <c r="G443" s="440">
        <f t="shared" si="993"/>
        <v>371694.66666666663</v>
      </c>
      <c r="H443" s="441">
        <f>IFERROR(INDEX('FEOR kodok'!$A$2:$J$1126,MATCH(Bérköltség!AB443,'FEOR kodok'!$B$2:$B$1126,0),8),"NA")</f>
        <v>2131</v>
      </c>
      <c r="I443" s="436">
        <f ca="1">IFERROR(INDEX('FEOR kodok'!$A$2:$J$1126,MATCH(Bérköltség!AB443,'FEOR kodok'!$B$2:$B$1126,0),10),"NA")</f>
        <v>29</v>
      </c>
      <c r="J443" s="442" t="str">
        <f t="shared" ca="1" si="994"/>
        <v>30 év alatt</v>
      </c>
      <c r="K443" s="436" t="str">
        <f>IFERROR(INDEX(admin_feor[#All],MATCH(Bérköltség!H443,admin_feor[[#All],[Foglalkozás]],0),2),"NA")</f>
        <v>Mezőgazdasági mérnök</v>
      </c>
      <c r="L443" s="438">
        <f ca="1">IFERROR(
INDEX('Admin - FEOR'!$A$4:$F$465,MATCH(Bérköltség!H443,'Admin - FEOR'!$A$4:$A$465,0),
IF(J443="30 év alatt",3,
IF(J443="30–39 éves",4,
IF(J443="40–49 éves",5,
IF(J443="50 év és afelett",6
)))))*1,"NA")</f>
        <v>412014</v>
      </c>
      <c r="M443" s="438">
        <f t="shared" si="995"/>
        <v>343900</v>
      </c>
      <c r="N443" s="443">
        <f t="shared" ca="1" si="996"/>
        <v>0.83468037493871572</v>
      </c>
      <c r="O443" s="438">
        <f ca="1">IFERROR(
INDEX('Admin - FEOR'!$A$4:$F$465,MATCH(Bérköltség!H443,'Admin - FEOR'!$A$4:$A$465,0),
IF(J443="30 év alatt",3,
IF(J443="30–39 éves",4,
IF(J443="40–49 éves",5,
IF(J443="50 év és afelett",6
)))))*1.5,"NA")</f>
        <v>618021</v>
      </c>
      <c r="P443" s="438">
        <f t="shared" ca="1" si="997"/>
        <v>618021</v>
      </c>
      <c r="Q443" s="438">
        <f t="shared" si="998"/>
        <v>343900</v>
      </c>
      <c r="R443" s="444">
        <f t="shared" si="999"/>
        <v>1</v>
      </c>
      <c r="S443" s="438">
        <f t="shared" ca="1" si="1000"/>
        <v>0</v>
      </c>
      <c r="T443" s="438">
        <f t="shared" ca="1" si="1001"/>
        <v>0</v>
      </c>
      <c r="U443" s="445">
        <f t="shared" ca="1" si="1002"/>
        <v>0</v>
      </c>
      <c r="V443" s="446">
        <f t="shared" ca="1" si="1003"/>
        <v>388607</v>
      </c>
      <c r="W443" s="447" t="str">
        <f t="shared" ca="1" si="1004"/>
        <v>Nem szükséges indoklás.</v>
      </c>
      <c r="X443" s="571">
        <f t="shared" ca="1" si="1005"/>
        <v>0</v>
      </c>
      <c r="Y443" s="554">
        <f t="shared" ca="1" si="1006"/>
        <v>343900</v>
      </c>
      <c r="Z443" s="554">
        <f t="shared" ca="1" si="1007"/>
        <v>44707</v>
      </c>
      <c r="AA443" s="573">
        <v>2</v>
      </c>
      <c r="AB443" s="146">
        <v>8464910525</v>
      </c>
      <c r="AC443" s="112" t="s">
        <v>203</v>
      </c>
      <c r="AD443" s="483" t="s">
        <v>45</v>
      </c>
      <c r="AE443" s="143" t="s">
        <v>24</v>
      </c>
      <c r="AF443" s="557" t="s">
        <v>124</v>
      </c>
      <c r="AG443" s="99" t="s">
        <v>161</v>
      </c>
      <c r="AH443" s="451" t="s">
        <v>131</v>
      </c>
      <c r="AI443" s="154">
        <v>44805</v>
      </c>
      <c r="AJ443" s="100" t="str">
        <f>IF(AI443&gt;0,
(IF(AI443&lt;Hónapok!$A$10,Admin!$A$28,
(IF(AI443&lt;Hónapok!$A$22,Admin!$B$28,
(IF(AI443&lt;Hónapok!$A$34,Admin!$C$28,
(IF(AI443&lt;Hónapok!$A$46,Admin!$D$28,"")))))))),"")</f>
        <v>2. mérföldkő</v>
      </c>
      <c r="AK443" s="500" t="s">
        <v>7</v>
      </c>
      <c r="AL443" s="115" t="s">
        <v>26</v>
      </c>
      <c r="AM443" s="900">
        <v>343900</v>
      </c>
      <c r="AN443" s="860">
        <f t="shared" si="1080"/>
        <v>44707</v>
      </c>
      <c r="AO443" s="101">
        <v>174</v>
      </c>
      <c r="AP443" s="111">
        <v>174</v>
      </c>
      <c r="AQ443" s="454">
        <f t="shared" si="985"/>
        <v>1</v>
      </c>
      <c r="AR443" s="455">
        <f t="shared" si="986"/>
        <v>343900</v>
      </c>
      <c r="AS443" s="455">
        <f t="shared" si="987"/>
        <v>44707</v>
      </c>
      <c r="AT443" s="102">
        <f t="shared" si="988"/>
        <v>0</v>
      </c>
      <c r="AU443" s="116">
        <v>0.13</v>
      </c>
      <c r="AV443" s="565" t="str">
        <f>VLOOKUP(LEFT(AB443,10),Törzsszám!$A$1:$B$908,2,0)</f>
        <v>10001518</v>
      </c>
      <c r="AW443" s="615">
        <f t="shared" ca="1" si="989"/>
        <v>0</v>
      </c>
      <c r="AX443" s="150" t="s">
        <v>228</v>
      </c>
      <c r="AY443" s="505"/>
      <c r="AZ443" s="502" t="s">
        <v>4607</v>
      </c>
      <c r="BA443" s="673">
        <v>309735</v>
      </c>
      <c r="BB443" s="650">
        <v>40266</v>
      </c>
      <c r="BC443" s="649">
        <f t="shared" ref="BC443:BD447" ca="1" si="1081">Y443-BA443</f>
        <v>34165</v>
      </c>
      <c r="BD443" s="672">
        <f t="shared" ca="1" si="1081"/>
        <v>4441</v>
      </c>
      <c r="BE443" s="143" t="s">
        <v>197</v>
      </c>
      <c r="BF443" s="481" t="s">
        <v>4552</v>
      </c>
    </row>
    <row r="444" spans="1:58" s="117" customFormat="1" ht="14.45" customHeight="1" x14ac:dyDescent="0.25">
      <c r="A444" s="694" t="str">
        <f ca="1">Bérköltség!$B444</f>
        <v>FEOR</v>
      </c>
      <c r="B444" s="694" t="str">
        <f ca="1">IFERROR(
IF(AND(Bérköltség!$F444="",H444="NA"),"HIÁNYOS ADATOK",
IF(Bérköltség!$F444&lt;Bérköltség!$U444,Admin!$B$18,Admin!$B$17)),
"")</f>
        <v>FEOR</v>
      </c>
      <c r="C444" s="437">
        <f>IFERROR(INDEX('Historikus berek_2021-2'!$A$1:$F$903,MATCH(AB444,'Historikus berek_2021-2'!$A$1:$A$903,0),4),"")</f>
        <v>328933.33333333331</v>
      </c>
      <c r="D444" s="438">
        <f t="shared" si="990"/>
        <v>328933.33333333331</v>
      </c>
      <c r="E444" s="437">
        <f t="shared" si="991"/>
        <v>343900</v>
      </c>
      <c r="F444" s="439">
        <f t="shared" si="992"/>
        <v>16912.333333333314</v>
      </c>
      <c r="G444" s="440">
        <f t="shared" si="993"/>
        <v>371694.66666666663</v>
      </c>
      <c r="H444" s="441">
        <f>IFERROR(INDEX('FEOR kodok'!$A$2:$J$1126,MATCH(Bérköltség!AB444,'FEOR kodok'!$B$2:$B$1126,0),8),"NA")</f>
        <v>2131</v>
      </c>
      <c r="I444" s="436">
        <f ca="1">IFERROR(INDEX('FEOR kodok'!$A$2:$J$1126,MATCH(Bérköltség!AB444,'FEOR kodok'!$B$2:$B$1126,0),10),"NA")</f>
        <v>29</v>
      </c>
      <c r="J444" s="442" t="str">
        <f t="shared" ca="1" si="994"/>
        <v>30 év alatt</v>
      </c>
      <c r="K444" s="436" t="str">
        <f>IFERROR(INDEX(admin_feor[#All],MATCH(Bérköltség!H444,admin_feor[[#All],[Foglalkozás]],0),2),"NA")</f>
        <v>Mezőgazdasági mérnök</v>
      </c>
      <c r="L444" s="438">
        <f ca="1">IFERROR(
INDEX('Admin - FEOR'!$A$4:$F$465,MATCH(Bérköltség!H444,'Admin - FEOR'!$A$4:$A$465,0),
IF(J444="30 év alatt",3,
IF(J444="30–39 éves",4,
IF(J444="40–49 éves",5,
IF(J444="50 év és afelett",6
)))))*1,"NA")</f>
        <v>412014</v>
      </c>
      <c r="M444" s="438">
        <f t="shared" si="995"/>
        <v>343900</v>
      </c>
      <c r="N444" s="443">
        <f t="shared" ca="1" si="996"/>
        <v>0.83468037493871572</v>
      </c>
      <c r="O444" s="438">
        <f ca="1">IFERROR(
INDEX('Admin - FEOR'!$A$4:$F$465,MATCH(Bérköltség!H444,'Admin - FEOR'!$A$4:$A$465,0),
IF(J444="30 év alatt",3,
IF(J444="30–39 éves",4,
IF(J444="40–49 éves",5,
IF(J444="50 év és afelett",6
)))))*1.5,"NA")</f>
        <v>618021</v>
      </c>
      <c r="P444" s="438">
        <f t="shared" ca="1" si="997"/>
        <v>618021</v>
      </c>
      <c r="Q444" s="438">
        <f t="shared" si="998"/>
        <v>343900</v>
      </c>
      <c r="R444" s="444">
        <f t="shared" si="999"/>
        <v>1</v>
      </c>
      <c r="S444" s="438">
        <f t="shared" ca="1" si="1000"/>
        <v>0</v>
      </c>
      <c r="T444" s="438">
        <f t="shared" ca="1" si="1001"/>
        <v>0</v>
      </c>
      <c r="U444" s="445">
        <f t="shared" ca="1" si="1002"/>
        <v>0</v>
      </c>
      <c r="V444" s="446">
        <f t="shared" ca="1" si="1003"/>
        <v>388607</v>
      </c>
      <c r="W444" s="447" t="str">
        <f t="shared" ca="1" si="1004"/>
        <v>Nem szükséges indoklás.</v>
      </c>
      <c r="X444" s="571">
        <f t="shared" ca="1" si="1005"/>
        <v>0</v>
      </c>
      <c r="Y444" s="554">
        <f t="shared" ca="1" si="1006"/>
        <v>343900</v>
      </c>
      <c r="Z444" s="554">
        <f t="shared" ca="1" si="1007"/>
        <v>44707</v>
      </c>
      <c r="AA444" s="573">
        <v>2</v>
      </c>
      <c r="AB444" s="146">
        <v>8464910525</v>
      </c>
      <c r="AC444" s="112" t="s">
        <v>203</v>
      </c>
      <c r="AD444" s="483" t="s">
        <v>45</v>
      </c>
      <c r="AE444" s="143" t="s">
        <v>24</v>
      </c>
      <c r="AF444" s="557" t="s">
        <v>124</v>
      </c>
      <c r="AG444" s="99" t="s">
        <v>161</v>
      </c>
      <c r="AH444" s="451" t="s">
        <v>131</v>
      </c>
      <c r="AI444" s="154">
        <v>44835</v>
      </c>
      <c r="AJ444" s="100" t="str">
        <f>IF(AI444&gt;0,
(IF(AI444&lt;Hónapok!$A$10,Admin!$A$28,
(IF(AI444&lt;Hónapok!$A$22,Admin!$B$28,
(IF(AI444&lt;Hónapok!$A$34,Admin!$C$28,
(IF(AI444&lt;Hónapok!$A$46,Admin!$D$28,"")))))))),"")</f>
        <v>2. mérföldkő</v>
      </c>
      <c r="AK444" s="500" t="s">
        <v>7</v>
      </c>
      <c r="AL444" s="115" t="s">
        <v>26</v>
      </c>
      <c r="AM444" s="900">
        <v>343900</v>
      </c>
      <c r="AN444" s="860">
        <f t="shared" si="1080"/>
        <v>44707</v>
      </c>
      <c r="AO444" s="101">
        <v>174</v>
      </c>
      <c r="AP444" s="111">
        <v>174</v>
      </c>
      <c r="AQ444" s="454">
        <f t="shared" si="985"/>
        <v>1</v>
      </c>
      <c r="AR444" s="455">
        <f t="shared" si="986"/>
        <v>343900</v>
      </c>
      <c r="AS444" s="455">
        <f t="shared" si="987"/>
        <v>44707</v>
      </c>
      <c r="AT444" s="102">
        <f t="shared" si="988"/>
        <v>0</v>
      </c>
      <c r="AU444" s="116">
        <v>0.13</v>
      </c>
      <c r="AV444" s="565" t="str">
        <f>VLOOKUP(LEFT(AB444,10),Törzsszám!$A$1:$B$908,2,0)</f>
        <v>10001518</v>
      </c>
      <c r="AW444" s="615">
        <f t="shared" ca="1" si="989"/>
        <v>0</v>
      </c>
      <c r="AX444" s="150" t="s">
        <v>251</v>
      </c>
      <c r="AY444" s="505"/>
      <c r="AZ444" s="502" t="s">
        <v>4607</v>
      </c>
      <c r="BA444" s="673">
        <v>309734</v>
      </c>
      <c r="BB444" s="650">
        <v>40265</v>
      </c>
      <c r="BC444" s="649">
        <f t="shared" ca="1" si="1081"/>
        <v>34166</v>
      </c>
      <c r="BD444" s="672">
        <f t="shared" ca="1" si="1081"/>
        <v>4442</v>
      </c>
      <c r="BE444" s="143" t="s">
        <v>197</v>
      </c>
      <c r="BF444" s="481" t="s">
        <v>4552</v>
      </c>
    </row>
    <row r="445" spans="1:58" s="117" customFormat="1" ht="14.45" customHeight="1" x14ac:dyDescent="0.25">
      <c r="A445" s="694" t="str">
        <f ca="1">Bérköltség!$B445</f>
        <v>FEOR</v>
      </c>
      <c r="B445" s="694" t="str">
        <f ca="1">IFERROR(
IF(AND(Bérköltség!$F445="",H445="NA"),"HIÁNYOS ADATOK",
IF(Bérköltség!$F445&lt;Bérköltség!$U445,Admin!$B$18,Admin!$B$17)),
"")</f>
        <v>FEOR</v>
      </c>
      <c r="C445" s="437">
        <f>IFERROR(INDEX('Historikus berek_2021-2'!$A$1:$F$903,MATCH(AB445,'Historikus berek_2021-2'!$A$1:$A$903,0),4),"")</f>
        <v>328933.33333333331</v>
      </c>
      <c r="D445" s="438">
        <f t="shared" si="990"/>
        <v>328933.33333333331</v>
      </c>
      <c r="E445" s="437">
        <f t="shared" si="991"/>
        <v>343900</v>
      </c>
      <c r="F445" s="439">
        <f t="shared" si="992"/>
        <v>16912.333333333314</v>
      </c>
      <c r="G445" s="440">
        <f t="shared" si="993"/>
        <v>371694.66666666663</v>
      </c>
      <c r="H445" s="441">
        <f>IFERROR(INDEX('FEOR kodok'!$A$2:$J$1126,MATCH(Bérköltség!AB445,'FEOR kodok'!$B$2:$B$1126,0),8),"NA")</f>
        <v>2131</v>
      </c>
      <c r="I445" s="436">
        <f ca="1">IFERROR(INDEX('FEOR kodok'!$A$2:$J$1126,MATCH(Bérköltség!AB445,'FEOR kodok'!$B$2:$B$1126,0),10),"NA")</f>
        <v>29</v>
      </c>
      <c r="J445" s="442" t="str">
        <f t="shared" ca="1" si="994"/>
        <v>30 év alatt</v>
      </c>
      <c r="K445" s="436" t="str">
        <f>IFERROR(INDEX(admin_feor[#All],MATCH(Bérköltség!H445,admin_feor[[#All],[Foglalkozás]],0),2),"NA")</f>
        <v>Mezőgazdasági mérnök</v>
      </c>
      <c r="L445" s="438">
        <f ca="1">IFERROR(
INDEX('Admin - FEOR'!$A$4:$F$465,MATCH(Bérköltség!H445,'Admin - FEOR'!$A$4:$A$465,0),
IF(J445="30 év alatt",3,
IF(J445="30–39 éves",4,
IF(J445="40–49 éves",5,
IF(J445="50 év és afelett",6
)))))*1,"NA")</f>
        <v>412014</v>
      </c>
      <c r="M445" s="438">
        <f t="shared" si="995"/>
        <v>343900</v>
      </c>
      <c r="N445" s="443">
        <f t="shared" ca="1" si="996"/>
        <v>0.83468037493871572</v>
      </c>
      <c r="O445" s="438">
        <f ca="1">IFERROR(
INDEX('Admin - FEOR'!$A$4:$F$465,MATCH(Bérköltség!H445,'Admin - FEOR'!$A$4:$A$465,0),
IF(J445="30 év alatt",3,
IF(J445="30–39 éves",4,
IF(J445="40–49 éves",5,
IF(J445="50 év és afelett",6
)))))*1.5,"NA")</f>
        <v>618021</v>
      </c>
      <c r="P445" s="438">
        <f t="shared" ca="1" si="997"/>
        <v>618021</v>
      </c>
      <c r="Q445" s="438">
        <f t="shared" si="998"/>
        <v>343900</v>
      </c>
      <c r="R445" s="444">
        <f t="shared" si="999"/>
        <v>1</v>
      </c>
      <c r="S445" s="438">
        <f t="shared" ca="1" si="1000"/>
        <v>0</v>
      </c>
      <c r="T445" s="438">
        <f t="shared" ca="1" si="1001"/>
        <v>0</v>
      </c>
      <c r="U445" s="445">
        <f t="shared" ca="1" si="1002"/>
        <v>0</v>
      </c>
      <c r="V445" s="446">
        <f t="shared" ca="1" si="1003"/>
        <v>388607</v>
      </c>
      <c r="W445" s="447" t="str">
        <f t="shared" ca="1" si="1004"/>
        <v>Nem szükséges indoklás.</v>
      </c>
      <c r="X445" s="571">
        <f t="shared" ca="1" si="1005"/>
        <v>0</v>
      </c>
      <c r="Y445" s="554">
        <f t="shared" ca="1" si="1006"/>
        <v>343900</v>
      </c>
      <c r="Z445" s="554">
        <f t="shared" ca="1" si="1007"/>
        <v>44707</v>
      </c>
      <c r="AA445" s="573">
        <v>2</v>
      </c>
      <c r="AB445" s="146">
        <v>8464910525</v>
      </c>
      <c r="AC445" s="112" t="s">
        <v>203</v>
      </c>
      <c r="AD445" s="483" t="s">
        <v>45</v>
      </c>
      <c r="AE445" s="143" t="s">
        <v>24</v>
      </c>
      <c r="AF445" s="557" t="s">
        <v>124</v>
      </c>
      <c r="AG445" s="99" t="s">
        <v>161</v>
      </c>
      <c r="AH445" s="451" t="s">
        <v>131</v>
      </c>
      <c r="AI445" s="154">
        <v>44866</v>
      </c>
      <c r="AJ445" s="100" t="str">
        <f>IF(AI445&gt;0,
(IF(AI445&lt;Hónapok!$A$10,Admin!$A$28,
(IF(AI445&lt;Hónapok!$A$22,Admin!$B$28,
(IF(AI445&lt;Hónapok!$A$34,Admin!$C$28,
(IF(AI445&lt;Hónapok!$A$46,Admin!$D$28,"")))))))),"")</f>
        <v>2. mérföldkő</v>
      </c>
      <c r="AK445" s="500" t="s">
        <v>7</v>
      </c>
      <c r="AL445" s="115" t="s">
        <v>26</v>
      </c>
      <c r="AM445" s="900">
        <v>343900</v>
      </c>
      <c r="AN445" s="860">
        <f t="shared" si="1080"/>
        <v>44707</v>
      </c>
      <c r="AO445" s="101">
        <v>174</v>
      </c>
      <c r="AP445" s="111">
        <v>174</v>
      </c>
      <c r="AQ445" s="454">
        <f t="shared" si="985"/>
        <v>1</v>
      </c>
      <c r="AR445" s="455">
        <f t="shared" si="986"/>
        <v>343900</v>
      </c>
      <c r="AS445" s="455">
        <f t="shared" si="987"/>
        <v>44707</v>
      </c>
      <c r="AT445" s="102">
        <f t="shared" si="988"/>
        <v>0</v>
      </c>
      <c r="AU445" s="116">
        <v>0.13</v>
      </c>
      <c r="AV445" s="565" t="str">
        <f>VLOOKUP(LEFT(AB445,10),Törzsszám!$A$1:$B$908,2,0)</f>
        <v>10001518</v>
      </c>
      <c r="AW445" s="615">
        <f t="shared" ca="1" si="989"/>
        <v>0</v>
      </c>
      <c r="AX445" s="150" t="s">
        <v>260</v>
      </c>
      <c r="AY445" s="505"/>
      <c r="AZ445" s="502" t="s">
        <v>4607</v>
      </c>
      <c r="BA445" s="673">
        <v>309734</v>
      </c>
      <c r="BB445" s="650">
        <v>40265</v>
      </c>
      <c r="BC445" s="649">
        <f t="shared" ca="1" si="1081"/>
        <v>34166</v>
      </c>
      <c r="BD445" s="672">
        <f t="shared" ca="1" si="1081"/>
        <v>4442</v>
      </c>
      <c r="BE445" s="143" t="s">
        <v>197</v>
      </c>
      <c r="BF445" s="481" t="s">
        <v>4552</v>
      </c>
    </row>
    <row r="446" spans="1:58" s="117" customFormat="1" ht="14.45" customHeight="1" x14ac:dyDescent="0.25">
      <c r="A446" s="694" t="str">
        <f ca="1">Bérköltség!$B446</f>
        <v>FEOR</v>
      </c>
      <c r="B446" s="694" t="str">
        <f ca="1">IFERROR(
IF(AND(Bérköltség!$F446="",H446="NA"),"HIÁNYOS ADATOK",
IF(Bérköltség!$F446&lt;Bérköltség!$U446,Admin!$B$18,Admin!$B$17)),
"")</f>
        <v>FEOR</v>
      </c>
      <c r="C446" s="437">
        <f>IFERROR(INDEX('Historikus berek_2021-2'!$A$1:$F$903,MATCH(AB446,'Historikus berek_2021-2'!$A$1:$A$903,0),4),"")</f>
        <v>328933.33333333331</v>
      </c>
      <c r="D446" s="438">
        <f t="shared" si="990"/>
        <v>328933.33333333331</v>
      </c>
      <c r="E446" s="437">
        <f t="shared" si="991"/>
        <v>343900</v>
      </c>
      <c r="F446" s="439">
        <f t="shared" si="992"/>
        <v>16912.333333333314</v>
      </c>
      <c r="G446" s="440">
        <f t="shared" si="993"/>
        <v>371694.66666666663</v>
      </c>
      <c r="H446" s="441">
        <f>IFERROR(INDEX('FEOR kodok'!$A$2:$J$1126,MATCH(Bérköltség!AB446,'FEOR kodok'!$B$2:$B$1126,0),8),"NA")</f>
        <v>2131</v>
      </c>
      <c r="I446" s="436">
        <f ca="1">IFERROR(INDEX('FEOR kodok'!$A$2:$J$1126,MATCH(Bérköltség!AB446,'FEOR kodok'!$B$2:$B$1126,0),10),"NA")</f>
        <v>29</v>
      </c>
      <c r="J446" s="442" t="str">
        <f t="shared" ca="1" si="994"/>
        <v>30 év alatt</v>
      </c>
      <c r="K446" s="436" t="str">
        <f>IFERROR(INDEX(admin_feor[#All],MATCH(Bérköltség!H446,admin_feor[[#All],[Foglalkozás]],0),2),"NA")</f>
        <v>Mezőgazdasági mérnök</v>
      </c>
      <c r="L446" s="438">
        <f ca="1">IFERROR(
INDEX('Admin - FEOR'!$A$4:$F$465,MATCH(Bérköltség!H446,'Admin - FEOR'!$A$4:$A$465,0),
IF(J446="30 év alatt",3,
IF(J446="30–39 éves",4,
IF(J446="40–49 éves",5,
IF(J446="50 év és afelett",6
)))))*1,"NA")</f>
        <v>412014</v>
      </c>
      <c r="M446" s="438">
        <f t="shared" si="995"/>
        <v>343900</v>
      </c>
      <c r="N446" s="443">
        <f t="shared" ca="1" si="996"/>
        <v>0.83468037493871572</v>
      </c>
      <c r="O446" s="438">
        <f ca="1">IFERROR(
INDEX('Admin - FEOR'!$A$4:$F$465,MATCH(Bérköltség!H446,'Admin - FEOR'!$A$4:$A$465,0),
IF(J446="30 év alatt",3,
IF(J446="30–39 éves",4,
IF(J446="40–49 éves",5,
IF(J446="50 év és afelett",6
)))))*1.5,"NA")</f>
        <v>618021</v>
      </c>
      <c r="P446" s="438">
        <f t="shared" ca="1" si="997"/>
        <v>618021</v>
      </c>
      <c r="Q446" s="438">
        <f t="shared" si="998"/>
        <v>343900</v>
      </c>
      <c r="R446" s="444">
        <f t="shared" si="999"/>
        <v>1</v>
      </c>
      <c r="S446" s="438">
        <f t="shared" ca="1" si="1000"/>
        <v>0</v>
      </c>
      <c r="T446" s="438">
        <f t="shared" ca="1" si="1001"/>
        <v>0</v>
      </c>
      <c r="U446" s="445">
        <f t="shared" ca="1" si="1002"/>
        <v>0</v>
      </c>
      <c r="V446" s="446">
        <f t="shared" ca="1" si="1003"/>
        <v>388607</v>
      </c>
      <c r="W446" s="447" t="str">
        <f t="shared" ca="1" si="1004"/>
        <v>Nem szükséges indoklás.</v>
      </c>
      <c r="X446" s="571">
        <f t="shared" ca="1" si="1005"/>
        <v>0</v>
      </c>
      <c r="Y446" s="554">
        <f t="shared" ca="1" si="1006"/>
        <v>343900</v>
      </c>
      <c r="Z446" s="554">
        <f t="shared" ca="1" si="1007"/>
        <v>44707</v>
      </c>
      <c r="AA446" s="573">
        <v>2</v>
      </c>
      <c r="AB446" s="146">
        <v>8464910525</v>
      </c>
      <c r="AC446" s="112" t="s">
        <v>203</v>
      </c>
      <c r="AD446" s="483" t="s">
        <v>45</v>
      </c>
      <c r="AE446" s="143" t="s">
        <v>24</v>
      </c>
      <c r="AF446" s="99" t="s">
        <v>124</v>
      </c>
      <c r="AG446" s="99" t="s">
        <v>161</v>
      </c>
      <c r="AH446" s="451" t="s">
        <v>131</v>
      </c>
      <c r="AI446" s="154">
        <v>44896</v>
      </c>
      <c r="AJ446" s="100" t="str">
        <f>IF(AI446&gt;0,
(IF(AI446&lt;Hónapok!$A$10,Admin!$A$28,
(IF(AI446&lt;Hónapok!$A$22,Admin!$B$28,
(IF(AI446&lt;Hónapok!$A$34,Admin!$C$28,
(IF(AI446&lt;Hónapok!$A$46,Admin!$D$28,"")))))))),"")</f>
        <v>2. mérföldkő</v>
      </c>
      <c r="AK446" s="500" t="s">
        <v>7</v>
      </c>
      <c r="AL446" s="115" t="s">
        <v>26</v>
      </c>
      <c r="AM446" s="900">
        <v>343900</v>
      </c>
      <c r="AN446" s="860">
        <f t="shared" si="1080"/>
        <v>44707</v>
      </c>
      <c r="AO446" s="101">
        <v>174</v>
      </c>
      <c r="AP446" s="111">
        <v>174</v>
      </c>
      <c r="AQ446" s="454">
        <f t="shared" si="985"/>
        <v>1</v>
      </c>
      <c r="AR446" s="455">
        <f t="shared" si="986"/>
        <v>343900</v>
      </c>
      <c r="AS446" s="455">
        <f t="shared" si="987"/>
        <v>44707</v>
      </c>
      <c r="AT446" s="102">
        <f t="shared" si="988"/>
        <v>0</v>
      </c>
      <c r="AU446" s="116">
        <v>0.13</v>
      </c>
      <c r="AV446" s="565" t="str">
        <f>VLOOKUP(LEFT(AB446,10),Törzsszám!$A$1:$B$908,2,0)</f>
        <v>10001518</v>
      </c>
      <c r="AW446" s="615">
        <f t="shared" ca="1" si="989"/>
        <v>0</v>
      </c>
      <c r="AX446" s="150" t="s">
        <v>262</v>
      </c>
      <c r="AY446" s="505"/>
      <c r="AZ446" s="502" t="s">
        <v>4607</v>
      </c>
      <c r="BA446" s="673">
        <v>309734</v>
      </c>
      <c r="BB446" s="650">
        <v>40265</v>
      </c>
      <c r="BC446" s="649">
        <f t="shared" ca="1" si="1081"/>
        <v>34166</v>
      </c>
      <c r="BD446" s="672">
        <f t="shared" ca="1" si="1081"/>
        <v>4442</v>
      </c>
      <c r="BE446" s="143" t="s">
        <v>249</v>
      </c>
    </row>
    <row r="447" spans="1:58" s="117" customFormat="1" ht="14.45" customHeight="1" x14ac:dyDescent="0.25">
      <c r="A447" s="694" t="str">
        <f ca="1">Bérköltség!$B447</f>
        <v>FEOR</v>
      </c>
      <c r="B447" s="694" t="str">
        <f ca="1">IFERROR(
IF(AND(Bérköltség!$F447="",H447="NA"),"HIÁNYOS ADATOK",
IF(Bérköltség!$F447&lt;Bérköltség!$U447,Admin!$B$18,Admin!$B$17)),
"")</f>
        <v>FEOR</v>
      </c>
      <c r="C447" s="437">
        <f>IFERROR(INDEX('Historikus berek_2021-2'!$A$1:$F$903,MATCH(AB447,'Historikus berek_2021-2'!$A$1:$A$903,0),4),"")</f>
        <v>328933.33333333331</v>
      </c>
      <c r="D447" s="438">
        <f t="shared" si="990"/>
        <v>328933.33333333331</v>
      </c>
      <c r="E447" s="437">
        <f t="shared" si="991"/>
        <v>343900</v>
      </c>
      <c r="F447" s="439">
        <f t="shared" si="992"/>
        <v>16912.333333333314</v>
      </c>
      <c r="G447" s="440">
        <f t="shared" si="993"/>
        <v>371694.66666666663</v>
      </c>
      <c r="H447" s="441">
        <f>IFERROR(INDEX('FEOR kodok'!$A$2:$J$1126,MATCH(Bérköltség!AB447,'FEOR kodok'!$B$2:$B$1126,0),8),"NA")</f>
        <v>2131</v>
      </c>
      <c r="I447" s="436">
        <f ca="1">IFERROR(INDEX('FEOR kodok'!$A$2:$J$1126,MATCH(Bérköltség!AB447,'FEOR kodok'!$B$2:$B$1126,0),10),"NA")</f>
        <v>29</v>
      </c>
      <c r="J447" s="442" t="str">
        <f t="shared" ca="1" si="994"/>
        <v>30 év alatt</v>
      </c>
      <c r="K447" s="436" t="str">
        <f>IFERROR(INDEX(admin_feor[#All],MATCH(Bérköltség!H447,admin_feor[[#All],[Foglalkozás]],0),2),"NA")</f>
        <v>Mezőgazdasági mérnök</v>
      </c>
      <c r="L447" s="438">
        <f ca="1">IFERROR(
INDEX('Admin - FEOR'!$A$4:$F$465,MATCH(Bérköltség!H447,'Admin - FEOR'!$A$4:$A$465,0),
IF(J447="30 év alatt",3,
IF(J447="30–39 éves",4,
IF(J447="40–49 éves",5,
IF(J447="50 év és afelett",6
)))))*1,"NA")</f>
        <v>412014</v>
      </c>
      <c r="M447" s="438">
        <f t="shared" si="995"/>
        <v>343900</v>
      </c>
      <c r="N447" s="443">
        <f t="shared" ca="1" si="996"/>
        <v>0.83468037493871572</v>
      </c>
      <c r="O447" s="438">
        <f ca="1">IFERROR(
INDEX('Admin - FEOR'!$A$4:$F$465,MATCH(Bérköltség!H447,'Admin - FEOR'!$A$4:$A$465,0),
IF(J447="30 év alatt",3,
IF(J447="30–39 éves",4,
IF(J447="40–49 éves",5,
IF(J447="50 év és afelett",6
)))))*1.5,"NA")</f>
        <v>618021</v>
      </c>
      <c r="P447" s="438">
        <f t="shared" ca="1" si="997"/>
        <v>618021</v>
      </c>
      <c r="Q447" s="438">
        <f t="shared" si="998"/>
        <v>343900</v>
      </c>
      <c r="R447" s="444">
        <f t="shared" si="999"/>
        <v>1</v>
      </c>
      <c r="S447" s="438">
        <f t="shared" ca="1" si="1000"/>
        <v>0</v>
      </c>
      <c r="T447" s="438">
        <f t="shared" ca="1" si="1001"/>
        <v>0</v>
      </c>
      <c r="U447" s="445">
        <f t="shared" ca="1" si="1002"/>
        <v>0</v>
      </c>
      <c r="V447" s="446">
        <f t="shared" ca="1" si="1003"/>
        <v>388607</v>
      </c>
      <c r="W447" s="447" t="str">
        <f t="shared" ca="1" si="1004"/>
        <v>Nem szükséges indoklás.</v>
      </c>
      <c r="X447" s="571">
        <f t="shared" ca="1" si="1005"/>
        <v>0</v>
      </c>
      <c r="Y447" s="554">
        <f t="shared" ca="1" si="1006"/>
        <v>343900</v>
      </c>
      <c r="Z447" s="554">
        <f t="shared" ca="1" si="1007"/>
        <v>44707</v>
      </c>
      <c r="AA447" s="573">
        <v>2</v>
      </c>
      <c r="AB447" s="146">
        <v>8464910525</v>
      </c>
      <c r="AC447" s="112" t="s">
        <v>203</v>
      </c>
      <c r="AD447" s="483" t="s">
        <v>45</v>
      </c>
      <c r="AE447" s="143" t="s">
        <v>24</v>
      </c>
      <c r="AF447" s="99" t="s">
        <v>124</v>
      </c>
      <c r="AG447" s="99" t="s">
        <v>161</v>
      </c>
      <c r="AH447" s="451" t="s">
        <v>131</v>
      </c>
      <c r="AI447" s="154">
        <v>44927</v>
      </c>
      <c r="AJ447" s="100" t="str">
        <f>IF(AI447&gt;0,
(IF(AI447&lt;Hónapok!$A$10,Admin!$A$28,
(IF(AI447&lt;Hónapok!$A$22,Admin!$B$28,
(IF(AI447&lt;Hónapok!$A$34,Admin!$C$28,
(IF(AI447&lt;Hónapok!$A$46,Admin!$D$28,"")))))))),"")</f>
        <v>2. mérföldkő</v>
      </c>
      <c r="AK447" s="500" t="s">
        <v>7</v>
      </c>
      <c r="AL447" s="115" t="s">
        <v>26</v>
      </c>
      <c r="AM447" s="900">
        <v>343900</v>
      </c>
      <c r="AN447" s="860">
        <f t="shared" si="1080"/>
        <v>44707</v>
      </c>
      <c r="AO447" s="101">
        <v>174</v>
      </c>
      <c r="AP447" s="111">
        <v>174</v>
      </c>
      <c r="AQ447" s="454">
        <f t="shared" si="985"/>
        <v>1</v>
      </c>
      <c r="AR447" s="455">
        <f t="shared" si="986"/>
        <v>343900</v>
      </c>
      <c r="AS447" s="455">
        <f t="shared" si="987"/>
        <v>44707</v>
      </c>
      <c r="AT447" s="102">
        <f t="shared" si="988"/>
        <v>0</v>
      </c>
      <c r="AU447" s="116">
        <v>0.13</v>
      </c>
      <c r="AV447" s="565" t="str">
        <f>VLOOKUP(LEFT(AB447,10),Törzsszám!$A$1:$B$908,2,0)</f>
        <v>10001518</v>
      </c>
      <c r="AW447" s="615">
        <f t="shared" ca="1" si="989"/>
        <v>0</v>
      </c>
      <c r="AX447" s="150" t="s">
        <v>2518</v>
      </c>
      <c r="AY447" s="505"/>
      <c r="AZ447" s="502" t="s">
        <v>4607</v>
      </c>
      <c r="BA447" s="673">
        <v>309734</v>
      </c>
      <c r="BB447" s="650">
        <v>40265</v>
      </c>
      <c r="BC447" s="649">
        <f t="shared" ca="1" si="1081"/>
        <v>34166</v>
      </c>
      <c r="BD447" s="672">
        <f t="shared" ca="1" si="1081"/>
        <v>4442</v>
      </c>
      <c r="BE447" s="143" t="s">
        <v>250</v>
      </c>
    </row>
    <row r="448" spans="1:58" s="117" customFormat="1" ht="14.45" customHeight="1" x14ac:dyDescent="0.25">
      <c r="A448" s="694" t="str">
        <f ca="1">Bérköltség!$B448</f>
        <v>FEOR</v>
      </c>
      <c r="B448" s="694" t="str">
        <f ca="1">IFERROR(
IF(AND(Bérköltség!$F448="",H448="NA"),"HIÁNYOS ADATOK",
IF(Bérköltség!$F448&lt;Bérköltség!$U448,Admin!$B$18,Admin!$B$17)),
"")</f>
        <v>FEOR</v>
      </c>
      <c r="C448" s="437">
        <f>IFERROR(INDEX('Historikus berek_2021-2'!$A$1:$F$903,MATCH(AB448,'Historikus berek_2021-2'!$A$1:$A$903,0),4),"")</f>
        <v>328933.33333333331</v>
      </c>
      <c r="D448" s="438">
        <f t="shared" si="990"/>
        <v>328933.33333333331</v>
      </c>
      <c r="E448" s="437">
        <f t="shared" si="991"/>
        <v>343900</v>
      </c>
      <c r="F448" s="439">
        <f t="shared" si="992"/>
        <v>16912.333333333314</v>
      </c>
      <c r="G448" s="440">
        <f t="shared" si="993"/>
        <v>371694.66666666663</v>
      </c>
      <c r="H448" s="441">
        <f>IFERROR(INDEX('FEOR kodok'!$A$2:$J$1126,MATCH(Bérköltség!AB448,'FEOR kodok'!$B$2:$B$1126,0),8),"NA")</f>
        <v>2131</v>
      </c>
      <c r="I448" s="436">
        <f ca="1">IFERROR(INDEX('FEOR kodok'!$A$2:$J$1126,MATCH(Bérköltség!AB448,'FEOR kodok'!$B$2:$B$1126,0),10),"NA")</f>
        <v>29</v>
      </c>
      <c r="J448" s="442" t="str">
        <f t="shared" ca="1" si="994"/>
        <v>30 év alatt</v>
      </c>
      <c r="K448" s="436" t="str">
        <f>IFERROR(INDEX(admin_feor[#All],MATCH(Bérköltség!H448,admin_feor[[#All],[Foglalkozás]],0),2),"NA")</f>
        <v>Mezőgazdasági mérnök</v>
      </c>
      <c r="L448" s="438">
        <f ca="1">IFERROR(
INDEX('Admin - FEOR'!$A$4:$F$465,MATCH(Bérköltség!H448,'Admin - FEOR'!$A$4:$A$465,0),
IF(J448="30 év alatt",3,
IF(J448="30–39 éves",4,
IF(J448="40–49 éves",5,
IF(J448="50 év és afelett",6
)))))*1,"NA")</f>
        <v>412014</v>
      </c>
      <c r="M448" s="438">
        <f t="shared" si="995"/>
        <v>343900</v>
      </c>
      <c r="N448" s="443">
        <f t="shared" ca="1" si="996"/>
        <v>0.83468037493871572</v>
      </c>
      <c r="O448" s="438">
        <f ca="1">IFERROR(
INDEX('Admin - FEOR'!$A$4:$F$465,MATCH(Bérköltség!H448,'Admin - FEOR'!$A$4:$A$465,0),
IF(J448="30 év alatt",3,
IF(J448="30–39 éves",4,
IF(J448="40–49 éves",5,
IF(J448="50 év és afelett",6
)))))*1.5,"NA")</f>
        <v>618021</v>
      </c>
      <c r="P448" s="438">
        <f t="shared" ca="1" si="997"/>
        <v>618021</v>
      </c>
      <c r="Q448" s="438">
        <f t="shared" si="998"/>
        <v>343900</v>
      </c>
      <c r="R448" s="444">
        <f t="shared" si="999"/>
        <v>1</v>
      </c>
      <c r="S448" s="438">
        <f t="shared" ca="1" si="1000"/>
        <v>0</v>
      </c>
      <c r="T448" s="438">
        <f t="shared" ca="1" si="1001"/>
        <v>0</v>
      </c>
      <c r="U448" s="445">
        <f t="shared" ca="1" si="1002"/>
        <v>0</v>
      </c>
      <c r="V448" s="446">
        <f t="shared" ca="1" si="1003"/>
        <v>388607</v>
      </c>
      <c r="W448" s="447" t="str">
        <f t="shared" ca="1" si="1004"/>
        <v>Nem szükséges indoklás.</v>
      </c>
      <c r="X448" s="571">
        <f t="shared" ca="1" si="1005"/>
        <v>0</v>
      </c>
      <c r="Y448" s="554">
        <f t="shared" ca="1" si="1006"/>
        <v>343900</v>
      </c>
      <c r="Z448" s="554">
        <f t="shared" ca="1" si="1007"/>
        <v>44707</v>
      </c>
      <c r="AA448" s="115"/>
      <c r="AB448" s="146">
        <v>8464910525</v>
      </c>
      <c r="AC448" s="112" t="s">
        <v>203</v>
      </c>
      <c r="AD448" s="483" t="s">
        <v>45</v>
      </c>
      <c r="AE448" s="143" t="s">
        <v>24</v>
      </c>
      <c r="AF448" s="99" t="s">
        <v>124</v>
      </c>
      <c r="AG448" s="99" t="s">
        <v>161</v>
      </c>
      <c r="AH448" s="451" t="s">
        <v>131</v>
      </c>
      <c r="AI448" s="154">
        <v>44958</v>
      </c>
      <c r="AJ448" s="100" t="str">
        <f>IF(AI448&gt;0,
(IF(AI448&lt;Hónapok!$A$10,Admin!$A$28,
(IF(AI448&lt;Hónapok!$A$22,Admin!$B$28,
(IF(AI448&lt;Hónapok!$A$34,Admin!$C$28,
(IF(AI448&lt;Hónapok!$A$46,Admin!$D$28,"")))))))),"")</f>
        <v>2. mérföldkő</v>
      </c>
      <c r="AK448" s="500" t="s">
        <v>7</v>
      </c>
      <c r="AL448" s="115" t="s">
        <v>26</v>
      </c>
      <c r="AM448" s="900">
        <v>343900</v>
      </c>
      <c r="AN448" s="860">
        <f t="shared" si="1080"/>
        <v>44707</v>
      </c>
      <c r="AO448" s="101">
        <v>174</v>
      </c>
      <c r="AP448" s="111">
        <v>174</v>
      </c>
      <c r="AQ448" s="454">
        <f t="shared" si="985"/>
        <v>1</v>
      </c>
      <c r="AR448" s="455">
        <f t="shared" si="986"/>
        <v>343900</v>
      </c>
      <c r="AS448" s="455">
        <f t="shared" si="987"/>
        <v>44707</v>
      </c>
      <c r="AT448" s="102">
        <f t="shared" si="988"/>
        <v>0</v>
      </c>
      <c r="AU448" s="116">
        <v>0.13</v>
      </c>
      <c r="AV448" s="565" t="str">
        <f>VLOOKUP(LEFT(AB448,10),Törzsszám!$A$1:$B$908,2,0)</f>
        <v>10001518</v>
      </c>
      <c r="AW448" s="615">
        <f t="shared" ca="1" si="989"/>
        <v>0</v>
      </c>
      <c r="AX448" s="537" t="s">
        <v>4557</v>
      </c>
      <c r="AY448" s="505"/>
      <c r="AZ448" s="803"/>
      <c r="BA448" s="673"/>
      <c r="BB448" s="650"/>
      <c r="BC448" s="649"/>
      <c r="BD448" s="672"/>
      <c r="BE448" s="143" t="s">
        <v>249</v>
      </c>
    </row>
    <row r="449" spans="1:57" s="117" customFormat="1" ht="14.45" customHeight="1" x14ac:dyDescent="0.25">
      <c r="A449" s="694" t="str">
        <f ca="1">Bérköltség!$B449</f>
        <v>FEOR</v>
      </c>
      <c r="B449" s="694" t="str">
        <f ca="1">IFERROR(
IF(AND(Bérköltség!$F449="",H449="NA"),"HIÁNYOS ADATOK",
IF(Bérköltség!$F449&lt;Bérköltség!$U449,Admin!$B$18,Admin!$B$17)),
"")</f>
        <v>FEOR</v>
      </c>
      <c r="C449" s="437">
        <f>IFERROR(INDEX('Historikus berek_2021-2'!$A$1:$F$903,MATCH(AB449,'Historikus berek_2021-2'!$A$1:$A$903,0),4),"")</f>
        <v>328933.33333333331</v>
      </c>
      <c r="D449" s="438">
        <f t="shared" si="990"/>
        <v>328933.33333333331</v>
      </c>
      <c r="E449" s="437">
        <f t="shared" si="991"/>
        <v>395000</v>
      </c>
      <c r="F449" s="439">
        <f t="shared" si="992"/>
        <v>74655.333333333314</v>
      </c>
      <c r="G449" s="440">
        <f t="shared" si="993"/>
        <v>371694.66666666663</v>
      </c>
      <c r="H449" s="441">
        <f>IFERROR(INDEX('FEOR kodok'!$A$2:$J$1126,MATCH(Bérköltség!AB449,'FEOR kodok'!$B$2:$B$1126,0),8),"NA")</f>
        <v>2131</v>
      </c>
      <c r="I449" s="436">
        <f ca="1">IFERROR(INDEX('FEOR kodok'!$A$2:$J$1126,MATCH(Bérköltség!AB449,'FEOR kodok'!$B$2:$B$1126,0),10),"NA")</f>
        <v>29</v>
      </c>
      <c r="J449" s="442" t="str">
        <f t="shared" ca="1" si="994"/>
        <v>30 év alatt</v>
      </c>
      <c r="K449" s="436" t="str">
        <f>IFERROR(INDEX(admin_feor[#All],MATCH(Bérköltség!H449,admin_feor[[#All],[Foglalkozás]],0),2),"NA")</f>
        <v>Mezőgazdasági mérnök</v>
      </c>
      <c r="L449" s="438">
        <f ca="1">IFERROR(
INDEX('Admin - FEOR'!$A$4:$F$465,MATCH(Bérköltség!H449,'Admin - FEOR'!$A$4:$A$465,0),
IF(J449="30 év alatt",3,
IF(J449="30–39 éves",4,
IF(J449="40–49 éves",5,
IF(J449="50 év és afelett",6
)))))*1,"NA")</f>
        <v>412014</v>
      </c>
      <c r="M449" s="438">
        <f t="shared" si="995"/>
        <v>395000</v>
      </c>
      <c r="N449" s="443">
        <f t="shared" ca="1" si="996"/>
        <v>0.95870528671355826</v>
      </c>
      <c r="O449" s="438">
        <f ca="1">IFERROR(
INDEX('Admin - FEOR'!$A$4:$F$465,MATCH(Bérköltség!H449,'Admin - FEOR'!$A$4:$A$465,0),
IF(J449="30 év alatt",3,
IF(J449="30–39 éves",4,
IF(J449="40–49 éves",5,
IF(J449="50 év és afelett",6
)))))*1.5,"NA")</f>
        <v>618021</v>
      </c>
      <c r="P449" s="438">
        <f t="shared" ca="1" si="997"/>
        <v>618021</v>
      </c>
      <c r="Q449" s="438">
        <f t="shared" si="998"/>
        <v>395000</v>
      </c>
      <c r="R449" s="444">
        <f t="shared" si="999"/>
        <v>1</v>
      </c>
      <c r="S449" s="438">
        <f t="shared" ca="1" si="1000"/>
        <v>0</v>
      </c>
      <c r="T449" s="438">
        <f t="shared" ca="1" si="1001"/>
        <v>0</v>
      </c>
      <c r="U449" s="445">
        <f t="shared" ca="1" si="1002"/>
        <v>0</v>
      </c>
      <c r="V449" s="446">
        <f t="shared" ca="1" si="1003"/>
        <v>446350</v>
      </c>
      <c r="W449" s="447" t="str">
        <f t="shared" ca="1" si="1004"/>
        <v>Nem szükséges indoklás.</v>
      </c>
      <c r="X449" s="571">
        <f t="shared" ca="1" si="1005"/>
        <v>0</v>
      </c>
      <c r="Y449" s="554">
        <f t="shared" ca="1" si="1006"/>
        <v>395000</v>
      </c>
      <c r="Z449" s="554">
        <f t="shared" ca="1" si="1007"/>
        <v>51350</v>
      </c>
      <c r="AA449" s="115"/>
      <c r="AB449" s="146">
        <v>8464910525</v>
      </c>
      <c r="AC449" s="112" t="s">
        <v>203</v>
      </c>
      <c r="AD449" s="483" t="s">
        <v>45</v>
      </c>
      <c r="AE449" s="143" t="s">
        <v>24</v>
      </c>
      <c r="AF449" s="99" t="s">
        <v>124</v>
      </c>
      <c r="AG449" s="99" t="s">
        <v>161</v>
      </c>
      <c r="AH449" s="451" t="s">
        <v>131</v>
      </c>
      <c r="AI449" s="154">
        <v>44986</v>
      </c>
      <c r="AJ449" s="100" t="str">
        <f>IF(AI449&gt;0,
(IF(AI449&lt;Hónapok!$A$10,Admin!$A$28,
(IF(AI449&lt;Hónapok!$A$22,Admin!$B$28,
(IF(AI449&lt;Hónapok!$A$34,Admin!$C$28,
(IF(AI449&lt;Hónapok!$A$46,Admin!$D$28,"")))))))),"")</f>
        <v>3. mérföldkő</v>
      </c>
      <c r="AK449" s="470" t="s">
        <v>7</v>
      </c>
      <c r="AL449" s="115" t="s">
        <v>26</v>
      </c>
      <c r="AM449" s="900">
        <v>395000</v>
      </c>
      <c r="AN449" s="860">
        <f t="shared" si="1080"/>
        <v>51350</v>
      </c>
      <c r="AO449" s="101">
        <v>174</v>
      </c>
      <c r="AP449" s="111">
        <v>174</v>
      </c>
      <c r="AQ449" s="454">
        <f t="shared" si="985"/>
        <v>1</v>
      </c>
      <c r="AR449" s="455">
        <f t="shared" si="986"/>
        <v>395000</v>
      </c>
      <c r="AS449" s="455">
        <f t="shared" si="987"/>
        <v>51350</v>
      </c>
      <c r="AT449" s="102">
        <f t="shared" si="988"/>
        <v>0</v>
      </c>
      <c r="AU449" s="116">
        <v>0.13</v>
      </c>
      <c r="AV449" s="565" t="str">
        <f>VLOOKUP(LEFT(AB449,10),Törzsszám!$A$1:$B$908,2,0)</f>
        <v>10001518</v>
      </c>
      <c r="AW449" s="681">
        <f t="shared" ca="1" si="989"/>
        <v>0</v>
      </c>
      <c r="AX449" s="471" t="s">
        <v>4561</v>
      </c>
      <c r="AY449" s="505"/>
      <c r="AZ449" s="803"/>
      <c r="BA449" s="673"/>
      <c r="BB449" s="650"/>
      <c r="BC449" s="649"/>
      <c r="BD449" s="672"/>
      <c r="BE449" s="143" t="s">
        <v>249</v>
      </c>
    </row>
    <row r="450" spans="1:57" s="117" customFormat="1" ht="14.45" customHeight="1" x14ac:dyDescent="0.25">
      <c r="A450" s="694" t="str">
        <f ca="1">Bérköltség!$B450</f>
        <v>FEOR</v>
      </c>
      <c r="B450" s="694" t="str">
        <f ca="1">IFERROR(
IF(AND(Bérköltség!$F450="",H450="NA"),"HIÁNYOS ADATOK",
IF(Bérköltség!$F450&lt;Bérköltség!$U450,Admin!$B$18,Admin!$B$17)),
"")</f>
        <v>FEOR</v>
      </c>
      <c r="C450" s="437">
        <f>IFERROR(INDEX('Historikus berek_2021-2'!$A$1:$F$903,MATCH(AB450,'Historikus berek_2021-2'!$A$1:$A$903,0),4),"")</f>
        <v>328933.33333333331</v>
      </c>
      <c r="D450" s="438">
        <f t="shared" si="990"/>
        <v>328933.33333333331</v>
      </c>
      <c r="E450" s="437">
        <f t="shared" si="991"/>
        <v>395000</v>
      </c>
      <c r="F450" s="439">
        <f t="shared" si="992"/>
        <v>74655.333333333314</v>
      </c>
      <c r="G450" s="440">
        <f t="shared" si="993"/>
        <v>371694.66666666663</v>
      </c>
      <c r="H450" s="441">
        <f>IFERROR(INDEX('FEOR kodok'!$A$2:$J$1126,MATCH(Bérköltség!AB450,'FEOR kodok'!$B$2:$B$1126,0),8),"NA")</f>
        <v>2131</v>
      </c>
      <c r="I450" s="436">
        <f ca="1">IFERROR(INDEX('FEOR kodok'!$A$2:$J$1126,MATCH(Bérköltség!AB450,'FEOR kodok'!$B$2:$B$1126,0),10),"NA")</f>
        <v>29</v>
      </c>
      <c r="J450" s="442" t="str">
        <f t="shared" ca="1" si="994"/>
        <v>30 év alatt</v>
      </c>
      <c r="K450" s="436" t="str">
        <f>IFERROR(INDEX(admin_feor[#All],MATCH(Bérköltség!H450,admin_feor[[#All],[Foglalkozás]],0),2),"NA")</f>
        <v>Mezőgazdasági mérnök</v>
      </c>
      <c r="L450" s="438">
        <f ca="1">IFERROR(
INDEX('Admin - FEOR'!$A$4:$F$465,MATCH(Bérköltség!H450,'Admin - FEOR'!$A$4:$A$465,0),
IF(J450="30 év alatt",3,
IF(J450="30–39 éves",4,
IF(J450="40–49 éves",5,
IF(J450="50 év és afelett",6
)))))*1,"NA")</f>
        <v>412014</v>
      </c>
      <c r="M450" s="438">
        <f t="shared" si="995"/>
        <v>395000</v>
      </c>
      <c r="N450" s="443">
        <f t="shared" ca="1" si="996"/>
        <v>0.95870528671355826</v>
      </c>
      <c r="O450" s="438">
        <f ca="1">IFERROR(
INDEX('Admin - FEOR'!$A$4:$F$465,MATCH(Bérköltség!H450,'Admin - FEOR'!$A$4:$A$465,0),
IF(J450="30 év alatt",3,
IF(J450="30–39 éves",4,
IF(J450="40–49 éves",5,
IF(J450="50 év és afelett",6
)))))*1.5,"NA")</f>
        <v>618021</v>
      </c>
      <c r="P450" s="438">
        <f t="shared" ca="1" si="997"/>
        <v>618021</v>
      </c>
      <c r="Q450" s="438">
        <f t="shared" si="998"/>
        <v>395000</v>
      </c>
      <c r="R450" s="444">
        <f t="shared" si="999"/>
        <v>1</v>
      </c>
      <c r="S450" s="438">
        <f t="shared" ca="1" si="1000"/>
        <v>0</v>
      </c>
      <c r="T450" s="438">
        <f t="shared" ca="1" si="1001"/>
        <v>0</v>
      </c>
      <c r="U450" s="445">
        <f t="shared" ca="1" si="1002"/>
        <v>0</v>
      </c>
      <c r="V450" s="446">
        <f t="shared" ca="1" si="1003"/>
        <v>446350</v>
      </c>
      <c r="W450" s="447" t="str">
        <f t="shared" ca="1" si="1004"/>
        <v>Nem szükséges indoklás.</v>
      </c>
      <c r="X450" s="571">
        <f t="shared" ca="1" si="1005"/>
        <v>0</v>
      </c>
      <c r="Y450" s="554">
        <f t="shared" ca="1" si="1006"/>
        <v>395000</v>
      </c>
      <c r="Z450" s="554">
        <f t="shared" ca="1" si="1007"/>
        <v>51350</v>
      </c>
      <c r="AA450" s="115"/>
      <c r="AB450" s="146">
        <v>8464910525</v>
      </c>
      <c r="AC450" s="112" t="s">
        <v>203</v>
      </c>
      <c r="AD450" s="483" t="s">
        <v>45</v>
      </c>
      <c r="AE450" s="143" t="s">
        <v>24</v>
      </c>
      <c r="AF450" s="99" t="s">
        <v>124</v>
      </c>
      <c r="AG450" s="99" t="s">
        <v>161</v>
      </c>
      <c r="AH450" s="451" t="s">
        <v>131</v>
      </c>
      <c r="AI450" s="154">
        <v>45017</v>
      </c>
      <c r="AJ450" s="100" t="str">
        <f>IF(AI450&gt;0,
(IF(AI450&lt;Hónapok!$A$10,Admin!$A$28,
(IF(AI450&lt;Hónapok!$A$22,Admin!$B$28,
(IF(AI450&lt;Hónapok!$A$34,Admin!$C$28,
(IF(AI450&lt;Hónapok!$A$46,Admin!$D$28,"")))))))),"")</f>
        <v>3. mérföldkő</v>
      </c>
      <c r="AK450" s="500" t="s">
        <v>7</v>
      </c>
      <c r="AL450" s="115" t="s">
        <v>26</v>
      </c>
      <c r="AM450" s="900">
        <v>395000</v>
      </c>
      <c r="AN450" s="860">
        <f t="shared" si="1080"/>
        <v>51350</v>
      </c>
      <c r="AO450" s="101">
        <v>174</v>
      </c>
      <c r="AP450" s="111">
        <v>174</v>
      </c>
      <c r="AQ450" s="454">
        <f t="shared" si="985"/>
        <v>1</v>
      </c>
      <c r="AR450" s="455">
        <f t="shared" si="986"/>
        <v>395000</v>
      </c>
      <c r="AS450" s="455">
        <f t="shared" si="987"/>
        <v>51350</v>
      </c>
      <c r="AT450" s="102">
        <f t="shared" si="988"/>
        <v>0</v>
      </c>
      <c r="AU450" s="116">
        <v>0.13</v>
      </c>
      <c r="AV450" s="565" t="str">
        <f>VLOOKUP(LEFT(AB450,10),Törzsszám!$A$1:$B$908,2,0)</f>
        <v>10001518</v>
      </c>
      <c r="AW450" s="681">
        <f t="shared" ca="1" si="989"/>
        <v>0</v>
      </c>
      <c r="AX450" s="471" t="s">
        <v>4581</v>
      </c>
      <c r="AY450" s="505"/>
      <c r="AZ450" s="803"/>
      <c r="BA450" s="673"/>
      <c r="BB450" s="650"/>
      <c r="BC450" s="649"/>
      <c r="BD450" s="672"/>
      <c r="BE450" s="143" t="s">
        <v>249</v>
      </c>
    </row>
    <row r="451" spans="1:57" s="117" customFormat="1" ht="14.45" customHeight="1" x14ac:dyDescent="0.25">
      <c r="A451" s="694" t="str">
        <f ca="1">Bérköltség!$B451</f>
        <v>FEOR</v>
      </c>
      <c r="B451" s="694" t="str">
        <f ca="1">IFERROR(
IF(AND(Bérköltség!$F451="",H451="NA"),"HIÁNYOS ADATOK",
IF(Bérköltség!$F451&lt;Bérköltség!$U451,Admin!$B$18,Admin!$B$17)),
"")</f>
        <v>FEOR</v>
      </c>
      <c r="C451" s="437">
        <f>IFERROR(INDEX('Historikus berek_2021-2'!$A$1:$F$903,MATCH(AB451,'Historikus berek_2021-2'!$A$1:$A$903,0),4),"")</f>
        <v>328933.33333333331</v>
      </c>
      <c r="D451" s="438">
        <f t="shared" si="990"/>
        <v>328933.33333333331</v>
      </c>
      <c r="E451" s="437">
        <f t="shared" si="991"/>
        <v>395000</v>
      </c>
      <c r="F451" s="439">
        <f t="shared" si="992"/>
        <v>74655.333333333314</v>
      </c>
      <c r="G451" s="440">
        <f t="shared" si="993"/>
        <v>371694.66666666663</v>
      </c>
      <c r="H451" s="441">
        <f>IFERROR(INDEX('FEOR kodok'!$A$2:$J$1126,MATCH(Bérköltség!AB451,'FEOR kodok'!$B$2:$B$1126,0),8),"NA")</f>
        <v>2131</v>
      </c>
      <c r="I451" s="436">
        <f ca="1">IFERROR(INDEX('FEOR kodok'!$A$2:$J$1126,MATCH(Bérköltség!AB451,'FEOR kodok'!$B$2:$B$1126,0),10),"NA")</f>
        <v>29</v>
      </c>
      <c r="J451" s="442" t="str">
        <f t="shared" ca="1" si="994"/>
        <v>30 év alatt</v>
      </c>
      <c r="K451" s="436" t="str">
        <f>IFERROR(INDEX(admin_feor[#All],MATCH(Bérköltség!H451,admin_feor[[#All],[Foglalkozás]],0),2),"NA")</f>
        <v>Mezőgazdasági mérnök</v>
      </c>
      <c r="L451" s="438">
        <f ca="1">IFERROR(
INDEX('Admin - FEOR'!$A$4:$F$465,MATCH(Bérköltség!H451,'Admin - FEOR'!$A$4:$A$465,0),
IF(J451="30 év alatt",3,
IF(J451="30–39 éves",4,
IF(J451="40–49 éves",5,
IF(J451="50 év és afelett",6
)))))*1,"NA")</f>
        <v>412014</v>
      </c>
      <c r="M451" s="438">
        <f t="shared" si="995"/>
        <v>395000</v>
      </c>
      <c r="N451" s="443">
        <f t="shared" ca="1" si="996"/>
        <v>0.95870528671355826</v>
      </c>
      <c r="O451" s="438">
        <f ca="1">IFERROR(
INDEX('Admin - FEOR'!$A$4:$F$465,MATCH(Bérköltség!H451,'Admin - FEOR'!$A$4:$A$465,0),
IF(J451="30 év alatt",3,
IF(J451="30–39 éves",4,
IF(J451="40–49 éves",5,
IF(J451="50 év és afelett",6
)))))*1.5,"NA")</f>
        <v>618021</v>
      </c>
      <c r="P451" s="438">
        <f t="shared" ca="1" si="997"/>
        <v>618021</v>
      </c>
      <c r="Q451" s="438">
        <f t="shared" si="998"/>
        <v>395000</v>
      </c>
      <c r="R451" s="444">
        <f t="shared" si="999"/>
        <v>1</v>
      </c>
      <c r="S451" s="438">
        <f t="shared" ca="1" si="1000"/>
        <v>0</v>
      </c>
      <c r="T451" s="438">
        <f t="shared" ca="1" si="1001"/>
        <v>0</v>
      </c>
      <c r="U451" s="445">
        <f t="shared" ca="1" si="1002"/>
        <v>0</v>
      </c>
      <c r="V451" s="446">
        <f t="shared" ca="1" si="1003"/>
        <v>446350</v>
      </c>
      <c r="W451" s="447" t="str">
        <f t="shared" ca="1" si="1004"/>
        <v>Nem szükséges indoklás.</v>
      </c>
      <c r="X451" s="571">
        <f t="shared" ca="1" si="1005"/>
        <v>0</v>
      </c>
      <c r="Y451" s="554">
        <f t="shared" ca="1" si="1006"/>
        <v>395000</v>
      </c>
      <c r="Z451" s="554">
        <f t="shared" ca="1" si="1007"/>
        <v>51350</v>
      </c>
      <c r="AA451" s="115"/>
      <c r="AB451" s="146">
        <v>8464910525</v>
      </c>
      <c r="AC451" s="112" t="s">
        <v>203</v>
      </c>
      <c r="AD451" s="483" t="s">
        <v>45</v>
      </c>
      <c r="AE451" s="143" t="s">
        <v>24</v>
      </c>
      <c r="AF451" s="99" t="s">
        <v>124</v>
      </c>
      <c r="AG451" s="99" t="s">
        <v>161</v>
      </c>
      <c r="AH451" s="451" t="s">
        <v>131</v>
      </c>
      <c r="AI451" s="154">
        <v>45047</v>
      </c>
      <c r="AJ451" s="100" t="str">
        <f>IF(AI451&gt;0,
(IF(AI451&lt;Hónapok!$A$10,Admin!$A$28,
(IF(AI451&lt;Hónapok!$A$22,Admin!$B$28,
(IF(AI451&lt;Hónapok!$A$34,Admin!$C$28,
(IF(AI451&lt;Hónapok!$A$46,Admin!$D$28,"")))))))),"")</f>
        <v>3. mérföldkő</v>
      </c>
      <c r="AK451" s="500" t="s">
        <v>7</v>
      </c>
      <c r="AL451" s="115" t="s">
        <v>26</v>
      </c>
      <c r="AM451" s="900">
        <v>395000</v>
      </c>
      <c r="AN451" s="860">
        <f t="shared" si="1080"/>
        <v>51350</v>
      </c>
      <c r="AO451" s="101">
        <v>174</v>
      </c>
      <c r="AP451" s="111">
        <v>174</v>
      </c>
      <c r="AQ451" s="454">
        <f t="shared" si="985"/>
        <v>1</v>
      </c>
      <c r="AR451" s="455">
        <f t="shared" si="986"/>
        <v>395000</v>
      </c>
      <c r="AS451" s="455">
        <f t="shared" si="987"/>
        <v>51350</v>
      </c>
      <c r="AT451" s="102">
        <f t="shared" si="988"/>
        <v>0</v>
      </c>
      <c r="AU451" s="116">
        <v>0.13</v>
      </c>
      <c r="AV451" s="565" t="str">
        <f>VLOOKUP(LEFT(AB451,10),Törzsszám!$A$1:$B$908,2,0)</f>
        <v>10001518</v>
      </c>
      <c r="AW451" s="681">
        <f t="shared" ca="1" si="989"/>
        <v>0</v>
      </c>
      <c r="AX451" s="471" t="s">
        <v>4596</v>
      </c>
      <c r="AY451" s="505"/>
      <c r="AZ451" s="803"/>
      <c r="BA451" s="673"/>
      <c r="BB451" s="650"/>
      <c r="BC451" s="649"/>
      <c r="BD451" s="672"/>
      <c r="BE451" s="143" t="s">
        <v>249</v>
      </c>
    </row>
    <row r="452" spans="1:57" s="117" customFormat="1" ht="14.45" customHeight="1" x14ac:dyDescent="0.25">
      <c r="A452" s="694" t="str">
        <f ca="1">Bérköltség!$B452</f>
        <v>FEOR</v>
      </c>
      <c r="B452" s="694" t="str">
        <f ca="1">IFERROR(
IF(AND(Bérköltség!$F452="",H452="NA"),"HIÁNYOS ADATOK",
IF(Bérköltség!$F452&lt;Bérköltség!$U452,Admin!$B$18,Admin!$B$17)),
"")</f>
        <v>FEOR</v>
      </c>
      <c r="C452" s="437">
        <f>IFERROR(INDEX('Historikus berek_2021-2'!$A$1:$F$903,MATCH(AB452,'Historikus berek_2021-2'!$A$1:$A$903,0),4),"")</f>
        <v>328933.33333333331</v>
      </c>
      <c r="D452" s="438">
        <f t="shared" si="990"/>
        <v>328933.33333333331</v>
      </c>
      <c r="E452" s="437">
        <f t="shared" si="991"/>
        <v>395000</v>
      </c>
      <c r="F452" s="439">
        <f t="shared" si="992"/>
        <v>74655.333333333314</v>
      </c>
      <c r="G452" s="440">
        <f t="shared" si="993"/>
        <v>371694.66666666663</v>
      </c>
      <c r="H452" s="441">
        <f>IFERROR(INDEX('FEOR kodok'!$A$2:$J$1126,MATCH(Bérköltség!AB452,'FEOR kodok'!$B$2:$B$1126,0),8),"NA")</f>
        <v>2131</v>
      </c>
      <c r="I452" s="436">
        <f ca="1">IFERROR(INDEX('FEOR kodok'!$A$2:$J$1126,MATCH(Bérköltség!AB452,'FEOR kodok'!$B$2:$B$1126,0),10),"NA")</f>
        <v>29</v>
      </c>
      <c r="J452" s="442" t="str">
        <f t="shared" ca="1" si="994"/>
        <v>30 év alatt</v>
      </c>
      <c r="K452" s="436" t="str">
        <f>IFERROR(INDEX(admin_feor[#All],MATCH(Bérköltség!H452,admin_feor[[#All],[Foglalkozás]],0),2),"NA")</f>
        <v>Mezőgazdasági mérnök</v>
      </c>
      <c r="L452" s="438">
        <f ca="1">IFERROR(
INDEX('Admin - FEOR'!$A$4:$F$465,MATCH(Bérköltség!H452,'Admin - FEOR'!$A$4:$A$465,0),
IF(J452="30 év alatt",3,
IF(J452="30–39 éves",4,
IF(J452="40–49 éves",5,
IF(J452="50 év és afelett",6
)))))*1,"NA")</f>
        <v>412014</v>
      </c>
      <c r="M452" s="438">
        <f t="shared" si="995"/>
        <v>395000</v>
      </c>
      <c r="N452" s="443">
        <f t="shared" ca="1" si="996"/>
        <v>0.95870528671355826</v>
      </c>
      <c r="O452" s="438">
        <f ca="1">IFERROR(
INDEX('Admin - FEOR'!$A$4:$F$465,MATCH(Bérköltség!H452,'Admin - FEOR'!$A$4:$A$465,0),
IF(J452="30 év alatt",3,
IF(J452="30–39 éves",4,
IF(J452="40–49 éves",5,
IF(J452="50 év és afelett",6
)))))*1.5,"NA")</f>
        <v>618021</v>
      </c>
      <c r="P452" s="438">
        <f t="shared" ca="1" si="997"/>
        <v>618021</v>
      </c>
      <c r="Q452" s="438">
        <f t="shared" si="998"/>
        <v>395000</v>
      </c>
      <c r="R452" s="444">
        <f t="shared" si="999"/>
        <v>1</v>
      </c>
      <c r="S452" s="438">
        <f t="shared" ca="1" si="1000"/>
        <v>0</v>
      </c>
      <c r="T452" s="438">
        <f t="shared" ca="1" si="1001"/>
        <v>0</v>
      </c>
      <c r="U452" s="445">
        <f t="shared" ca="1" si="1002"/>
        <v>0</v>
      </c>
      <c r="V452" s="446">
        <f t="shared" ca="1" si="1003"/>
        <v>446350</v>
      </c>
      <c r="W452" s="447" t="str">
        <f t="shared" ca="1" si="1004"/>
        <v>Nem szükséges indoklás.</v>
      </c>
      <c r="X452" s="571">
        <f t="shared" ca="1" si="1005"/>
        <v>0</v>
      </c>
      <c r="Y452" s="554">
        <f t="shared" ca="1" si="1006"/>
        <v>395000</v>
      </c>
      <c r="Z452" s="554">
        <f t="shared" ca="1" si="1007"/>
        <v>51350</v>
      </c>
      <c r="AA452" s="115"/>
      <c r="AB452" s="146">
        <v>8464910525</v>
      </c>
      <c r="AC452" s="112" t="s">
        <v>203</v>
      </c>
      <c r="AD452" s="483" t="s">
        <v>45</v>
      </c>
      <c r="AE452" s="143" t="s">
        <v>24</v>
      </c>
      <c r="AF452" s="99" t="s">
        <v>124</v>
      </c>
      <c r="AG452" s="99" t="s">
        <v>161</v>
      </c>
      <c r="AH452" s="451" t="s">
        <v>131</v>
      </c>
      <c r="AI452" s="154">
        <v>45078</v>
      </c>
      <c r="AJ452" s="100" t="str">
        <f>IF(AI452&gt;0,
(IF(AI452&lt;Hónapok!$A$10,Admin!$A$28,
(IF(AI452&lt;Hónapok!$A$22,Admin!$B$28,
(IF(AI452&lt;Hónapok!$A$34,Admin!$C$28,
(IF(AI452&lt;Hónapok!$A$46,Admin!$D$28,"")))))))),"")</f>
        <v>3. mérföldkő</v>
      </c>
      <c r="AK452" s="500" t="s">
        <v>7</v>
      </c>
      <c r="AL452" s="115" t="s">
        <v>26</v>
      </c>
      <c r="AM452" s="900">
        <v>395000</v>
      </c>
      <c r="AN452" s="860">
        <f t="shared" si="1080"/>
        <v>51350</v>
      </c>
      <c r="AO452" s="101">
        <v>174</v>
      </c>
      <c r="AP452" s="111">
        <v>174</v>
      </c>
      <c r="AQ452" s="843">
        <f t="shared" si="985"/>
        <v>1</v>
      </c>
      <c r="AR452" s="455">
        <f t="shared" si="986"/>
        <v>395000</v>
      </c>
      <c r="AS452" s="455">
        <f t="shared" si="987"/>
        <v>51350</v>
      </c>
      <c r="AT452" s="102">
        <f t="shared" si="988"/>
        <v>0</v>
      </c>
      <c r="AU452" s="116">
        <v>0.13</v>
      </c>
      <c r="AV452" s="565" t="str">
        <f>VLOOKUP(LEFT(AB452,10),Törzsszám!$A$1:$B$908,2,0)</f>
        <v>10001518</v>
      </c>
      <c r="AW452" s="681">
        <f t="shared" ca="1" si="989"/>
        <v>0</v>
      </c>
      <c r="AX452" s="471" t="s">
        <v>4606</v>
      </c>
      <c r="AY452" s="505"/>
      <c r="AZ452" s="803"/>
      <c r="BA452" s="673"/>
      <c r="BB452" s="650"/>
      <c r="BC452" s="649"/>
      <c r="BD452" s="672"/>
      <c r="BE452" s="143" t="s">
        <v>249</v>
      </c>
    </row>
    <row r="453" spans="1:57" s="117" customFormat="1" ht="14.45" customHeight="1" x14ac:dyDescent="0.25">
      <c r="A453" s="694" t="str">
        <f ca="1">Bérköltség!$B453</f>
        <v>FEOR</v>
      </c>
      <c r="B453" s="694" t="str">
        <f ca="1">IFERROR(
IF(AND(Bérköltség!$F453="",H453="NA"),"HIÁNYOS ADATOK",
IF(Bérköltség!$F453&lt;Bérköltség!$U453,Admin!$B$18,Admin!$B$17)),
"")</f>
        <v>FEOR</v>
      </c>
      <c r="C453" s="437">
        <f>IFERROR(INDEX('Historikus berek_2021-2'!$A$1:$F$903,MATCH(AB453,'Historikus berek_2021-2'!$A$1:$A$903,0),4),"")</f>
        <v>328933.33333333331</v>
      </c>
      <c r="D453" s="438">
        <f t="shared" ref="D453:D457" si="1082">IFERROR(C453*AQ453,"NA")</f>
        <v>328933.33333333331</v>
      </c>
      <c r="E453" s="437">
        <f t="shared" ref="E453:E457" si="1083">AR453</f>
        <v>395000</v>
      </c>
      <c r="F453" s="439">
        <f t="shared" ref="F453:F457" si="1084">IFERROR(IF((E453*(1+AU453)-D453*(1+AU453))&lt;0,0,(E453*(1+AU453)-D453*(1+AU453))),"")</f>
        <v>74655.333333333314</v>
      </c>
      <c r="G453" s="440">
        <f t="shared" ref="G453:G457" si="1085">IFERROR((E453*(1+AU453)-F453),"")</f>
        <v>371694.66666666663</v>
      </c>
      <c r="H453" s="441">
        <f>IFERROR(INDEX('FEOR kodok'!$A$2:$J$1126,MATCH(Bérköltség!AB453,'FEOR kodok'!$B$2:$B$1126,0),8),"NA")</f>
        <v>2131</v>
      </c>
      <c r="I453" s="436">
        <f ca="1">IFERROR(INDEX('FEOR kodok'!$A$2:$J$1126,MATCH(Bérköltség!AB453,'FEOR kodok'!$B$2:$B$1126,0),10),"NA")</f>
        <v>29</v>
      </c>
      <c r="J453" s="442" t="str">
        <f t="shared" ref="J453:J457" ca="1" si="1086">IF(I453="NA","NA",
IF(I453&lt;30,"30 év alatt",
IF(AND(I453&gt;=30,I453&lt;=39),"30–39 éves",
IF(AND(I453&gt;=40,I453&lt;=49),"40–49 éves",
IF(I453&gt;=50,"50 év és afelett",
"")))))</f>
        <v>30 év alatt</v>
      </c>
      <c r="K453" s="436" t="str">
        <f>IFERROR(INDEX(admin_feor[#All],MATCH(Bérköltség!H453,admin_feor[[#All],[Foglalkozás]],0),2),"NA")</f>
        <v>Mezőgazdasági mérnök</v>
      </c>
      <c r="L453" s="438">
        <f ca="1">IFERROR(
INDEX('Admin - FEOR'!$A$4:$F$465,MATCH(Bérköltség!H453,'Admin - FEOR'!$A$4:$A$465,0),
IF(J453="30 év alatt",3,
IF(J453="30–39 éves",4,
IF(J453="40–49 éves",5,
IF(J453="50 év és afelett",6
)))))*1,"NA")</f>
        <v>412014</v>
      </c>
      <c r="M453" s="438">
        <f t="shared" ref="M453:M457" si="1087">AM453</f>
        <v>395000</v>
      </c>
      <c r="N453" s="443">
        <f t="shared" ref="N453:N457" ca="1" si="1088">IFERROR(
M453/L453,"NA")</f>
        <v>0.95870528671355826</v>
      </c>
      <c r="O453" s="438">
        <f ca="1">IFERROR(
INDEX('Admin - FEOR'!$A$4:$F$465,MATCH(Bérköltség!H453,'Admin - FEOR'!$A$4:$A$465,0),
IF(J453="30 év alatt",3,
IF(J453="30–39 éves",4,
IF(J453="40–49 éves",5,
IF(J453="50 év és afelett",6
)))))*1.5,"NA")</f>
        <v>618021</v>
      </c>
      <c r="P453" s="438">
        <f t="shared" ref="P453:P457" ca="1" si="1089">IFERROR(
AQ453*O453,"NA")</f>
        <v>618021</v>
      </c>
      <c r="Q453" s="438">
        <f t="shared" ref="Q453:Q457" si="1090">IFERROR(AR453,"")</f>
        <v>395000</v>
      </c>
      <c r="R453" s="444">
        <f t="shared" ref="R453:R457" si="1091">IFERROR(AQ453,"")</f>
        <v>1</v>
      </c>
      <c r="S453" s="438">
        <f t="shared" ref="S453:S457" ca="1" si="1092">IFERROR(
IF(AR453-P453&lt;0,0,AR453-P453),"NA")</f>
        <v>0</v>
      </c>
      <c r="T453" s="438">
        <f t="shared" ref="T453:T457" ca="1" si="1093">IFERROR(
S453*AU453,"NA")</f>
        <v>0</v>
      </c>
      <c r="U453" s="445">
        <f t="shared" ref="U453:U457" ca="1" si="1094">IFERROR(
S453+T453,"NA")</f>
        <v>0</v>
      </c>
      <c r="V453" s="446">
        <f t="shared" ref="V453:V457" ca="1" si="1095">IFERROR(
IF(U453&gt;0,AR453+AS453-U453,AR453+AS453),"NA")</f>
        <v>446350</v>
      </c>
      <c r="W453" s="447" t="str">
        <f t="shared" ref="W453:W457" ca="1" si="1096">IF(P453="NA","FEOR hiányzik",
IF(AND(N453&gt;1,A453="FEOR"),CONCATENATE("Indoklás szükséges mivel a FEOR: ",ROUND(N453*100,1),"%"),"Nem szükséges indoklás.")
)</f>
        <v>Nem szükséges indoklás.</v>
      </c>
      <c r="X453" s="571">
        <f t="shared" ref="X453:X457" ca="1" si="1097">IF(A453="FEOR",U453,IF(A453="HIÁNYOS ADATOK","HIÁNYOS ADATOK",F453))</f>
        <v>0</v>
      </c>
      <c r="Y453" s="554">
        <f t="shared" ref="Y453:Y457" ca="1" si="1098">IF(A453="FEOR",ROUND(V453/(1+AU453),0),IF(A453="HIÁNYOS ADATOK","HIÁNYOS ADATOK",ROUND(G453/(1+AU453),0)))</f>
        <v>395000</v>
      </c>
      <c r="Z453" s="554">
        <f t="shared" ref="Z453:Z457" ca="1" si="1099">IF(A453="FEOR",ROUND(V453-Y453,0),IF(A453="HIÁNYOS ADATOK","HIÁNYOS ADATOK",ROUND(G453-Y453,0)))</f>
        <v>51350</v>
      </c>
      <c r="AA453" s="115"/>
      <c r="AB453" s="146">
        <v>8464910525</v>
      </c>
      <c r="AC453" s="112" t="s">
        <v>203</v>
      </c>
      <c r="AD453" s="483" t="s">
        <v>45</v>
      </c>
      <c r="AE453" s="143" t="s">
        <v>24</v>
      </c>
      <c r="AF453" s="99" t="s">
        <v>124</v>
      </c>
      <c r="AG453" s="99" t="s">
        <v>161</v>
      </c>
      <c r="AH453" s="451" t="s">
        <v>131</v>
      </c>
      <c r="AI453" s="154">
        <v>45108</v>
      </c>
      <c r="AJ453" s="100" t="str">
        <f>IF(AI453&gt;0,
(IF(AI453&lt;Hónapok!$A$10,Admin!$A$28,
(IF(AI453&lt;Hónapok!$A$22,Admin!$B$28,
(IF(AI453&lt;Hónapok!$A$34,Admin!$C$28,
(IF(AI453&lt;Hónapok!$A$46,Admin!$D$28,"")))))))),"")</f>
        <v>3. mérföldkő</v>
      </c>
      <c r="AK453" s="500" t="s">
        <v>7</v>
      </c>
      <c r="AL453" s="115" t="s">
        <v>26</v>
      </c>
      <c r="AM453" s="900">
        <v>395000</v>
      </c>
      <c r="AN453" s="860">
        <f t="shared" ref="AN453:AN457" si="1100">IFERROR(ROUND(AM453*AU453,0),"")</f>
        <v>51350</v>
      </c>
      <c r="AO453" s="101">
        <v>174</v>
      </c>
      <c r="AP453" s="111">
        <v>174</v>
      </c>
      <c r="AQ453" s="682">
        <f t="shared" ref="AQ453:AQ457" si="1101">IFERROR(AP453/AO453,"")</f>
        <v>1</v>
      </c>
      <c r="AR453" s="455">
        <f t="shared" ref="AR453:AR457" si="1102">IFERROR(ROUND(AM453*AP453/AO453,0),"")</f>
        <v>395000</v>
      </c>
      <c r="AS453" s="455">
        <f t="shared" ref="AS453:AS457" si="1103">IFERROR(ROUND(AR453*AU453,0),"")</f>
        <v>51350</v>
      </c>
      <c r="AT453" s="102">
        <f t="shared" ref="AT453:AT457" si="1104">IFERROR(AP453/AO453-AR453/AM453,"")</f>
        <v>0</v>
      </c>
      <c r="AU453" s="116">
        <v>0.13</v>
      </c>
      <c r="AV453" s="565" t="str">
        <f>VLOOKUP(LEFT(AB453,10),Törzsszám!$A$1:$B$908,2,0)</f>
        <v>10001518</v>
      </c>
      <c r="AW453" s="681">
        <f t="shared" ref="AW453:AW457" ca="1" si="1105">(Y453+Z453)-(AR453+AS453)</f>
        <v>0</v>
      </c>
      <c r="AX453" s="471" t="s">
        <v>4610</v>
      </c>
      <c r="AY453" s="505"/>
      <c r="AZ453" s="803"/>
      <c r="BA453" s="673"/>
      <c r="BB453" s="650"/>
      <c r="BC453" s="649"/>
      <c r="BD453" s="672"/>
      <c r="BE453" s="143" t="s">
        <v>249</v>
      </c>
    </row>
    <row r="454" spans="1:57" s="117" customFormat="1" ht="14.45" customHeight="1" x14ac:dyDescent="0.25">
      <c r="A454" s="694" t="str">
        <f ca="1">Bérköltség!$B454</f>
        <v>FEOR</v>
      </c>
      <c r="B454" s="694" t="str">
        <f ca="1">IFERROR(
IF(AND(Bérköltség!$F454="",H454="NA"),"HIÁNYOS ADATOK",
IF(Bérköltség!$F454&lt;Bérköltség!$U454,Admin!$B$18,Admin!$B$17)),
"")</f>
        <v>FEOR</v>
      </c>
      <c r="C454" s="437">
        <f>IFERROR(INDEX('Historikus berek_2021-2'!$A$1:$F$903,MATCH(AB454,'Historikus berek_2021-2'!$A$1:$A$903,0),4),"")</f>
        <v>328933.33333333331</v>
      </c>
      <c r="D454" s="438">
        <f t="shared" si="1082"/>
        <v>328933.33333333331</v>
      </c>
      <c r="E454" s="437">
        <f t="shared" si="1083"/>
        <v>395000</v>
      </c>
      <c r="F454" s="439">
        <f t="shared" si="1084"/>
        <v>74655.333333333314</v>
      </c>
      <c r="G454" s="440">
        <f t="shared" si="1085"/>
        <v>371694.66666666663</v>
      </c>
      <c r="H454" s="441">
        <f>IFERROR(INDEX('FEOR kodok'!$A$2:$J$1126,MATCH(Bérköltség!AB454,'FEOR kodok'!$B$2:$B$1126,0),8),"NA")</f>
        <v>2131</v>
      </c>
      <c r="I454" s="436">
        <f ca="1">IFERROR(INDEX('FEOR kodok'!$A$2:$J$1126,MATCH(Bérköltség!AB454,'FEOR kodok'!$B$2:$B$1126,0),10),"NA")</f>
        <v>29</v>
      </c>
      <c r="J454" s="442" t="str">
        <f t="shared" ca="1" si="1086"/>
        <v>30 év alatt</v>
      </c>
      <c r="K454" s="436" t="str">
        <f>IFERROR(INDEX(admin_feor[#All],MATCH(Bérköltség!H454,admin_feor[[#All],[Foglalkozás]],0),2),"NA")</f>
        <v>Mezőgazdasági mérnök</v>
      </c>
      <c r="L454" s="438">
        <f ca="1">IFERROR(
INDEX('Admin - FEOR'!$A$4:$F$465,MATCH(Bérköltség!H454,'Admin - FEOR'!$A$4:$A$465,0),
IF(J454="30 év alatt",3,
IF(J454="30–39 éves",4,
IF(J454="40–49 éves",5,
IF(J454="50 év és afelett",6
)))))*1,"NA")</f>
        <v>412014</v>
      </c>
      <c r="M454" s="438">
        <f t="shared" si="1087"/>
        <v>395000</v>
      </c>
      <c r="N454" s="443">
        <f t="shared" ca="1" si="1088"/>
        <v>0.95870528671355826</v>
      </c>
      <c r="O454" s="438">
        <f ca="1">IFERROR(
INDEX('Admin - FEOR'!$A$4:$F$465,MATCH(Bérköltség!H454,'Admin - FEOR'!$A$4:$A$465,0),
IF(J454="30 év alatt",3,
IF(J454="30–39 éves",4,
IF(J454="40–49 éves",5,
IF(J454="50 év és afelett",6
)))))*1.5,"NA")</f>
        <v>618021</v>
      </c>
      <c r="P454" s="438">
        <f t="shared" ca="1" si="1089"/>
        <v>618021</v>
      </c>
      <c r="Q454" s="438">
        <f t="shared" si="1090"/>
        <v>395000</v>
      </c>
      <c r="R454" s="444">
        <f t="shared" si="1091"/>
        <v>1</v>
      </c>
      <c r="S454" s="438">
        <f t="shared" ca="1" si="1092"/>
        <v>0</v>
      </c>
      <c r="T454" s="438">
        <f t="shared" ca="1" si="1093"/>
        <v>0</v>
      </c>
      <c r="U454" s="445">
        <f t="shared" ca="1" si="1094"/>
        <v>0</v>
      </c>
      <c r="V454" s="446">
        <f t="shared" ca="1" si="1095"/>
        <v>446350</v>
      </c>
      <c r="W454" s="447" t="str">
        <f t="shared" ca="1" si="1096"/>
        <v>Nem szükséges indoklás.</v>
      </c>
      <c r="X454" s="571">
        <f t="shared" ca="1" si="1097"/>
        <v>0</v>
      </c>
      <c r="Y454" s="554">
        <f t="shared" ca="1" si="1098"/>
        <v>395000</v>
      </c>
      <c r="Z454" s="554">
        <f t="shared" ca="1" si="1099"/>
        <v>51350</v>
      </c>
      <c r="AA454" s="115"/>
      <c r="AB454" s="146">
        <v>8464910525</v>
      </c>
      <c r="AC454" s="112" t="s">
        <v>203</v>
      </c>
      <c r="AD454" s="483" t="s">
        <v>45</v>
      </c>
      <c r="AE454" s="143" t="s">
        <v>24</v>
      </c>
      <c r="AF454" s="99" t="s">
        <v>124</v>
      </c>
      <c r="AG454" s="99" t="s">
        <v>161</v>
      </c>
      <c r="AH454" s="451" t="s">
        <v>131</v>
      </c>
      <c r="AI454" s="154">
        <v>45139</v>
      </c>
      <c r="AJ454" s="100" t="str">
        <f>IF(AI454&gt;0,
(IF(AI454&lt;Hónapok!$A$10,Admin!$A$28,
(IF(AI454&lt;Hónapok!$A$22,Admin!$B$28,
(IF(AI454&lt;Hónapok!$A$34,Admin!$C$28,
(IF(AI454&lt;Hónapok!$A$46,Admin!$D$28,"")))))))),"")</f>
        <v>3. mérföldkő</v>
      </c>
      <c r="AK454" s="500" t="s">
        <v>7</v>
      </c>
      <c r="AL454" s="115" t="s">
        <v>26</v>
      </c>
      <c r="AM454" s="900">
        <v>395000</v>
      </c>
      <c r="AN454" s="860">
        <f t="shared" si="1100"/>
        <v>51350</v>
      </c>
      <c r="AO454" s="101">
        <v>174</v>
      </c>
      <c r="AP454" s="111">
        <v>174</v>
      </c>
      <c r="AQ454" s="454">
        <f t="shared" si="1101"/>
        <v>1</v>
      </c>
      <c r="AR454" s="455">
        <f t="shared" si="1102"/>
        <v>395000</v>
      </c>
      <c r="AS454" s="455">
        <f t="shared" si="1103"/>
        <v>51350</v>
      </c>
      <c r="AT454" s="102">
        <f t="shared" si="1104"/>
        <v>0</v>
      </c>
      <c r="AU454" s="116">
        <v>0.13</v>
      </c>
      <c r="AV454" s="565" t="str">
        <f>VLOOKUP(LEFT(AB454,10),Törzsszám!$A$1:$B$908,2,0)</f>
        <v>10001518</v>
      </c>
      <c r="AW454" s="681">
        <f t="shared" ca="1" si="1105"/>
        <v>0</v>
      </c>
      <c r="AX454" s="471" t="s">
        <v>4613</v>
      </c>
      <c r="AY454" s="505"/>
      <c r="AZ454" s="803"/>
      <c r="BA454" s="673"/>
      <c r="BB454" s="650"/>
      <c r="BC454" s="649"/>
      <c r="BD454" s="672"/>
      <c r="BE454" s="143" t="s">
        <v>249</v>
      </c>
    </row>
    <row r="455" spans="1:57" s="117" customFormat="1" ht="14.45" customHeight="1" x14ac:dyDescent="0.25">
      <c r="A455" s="694" t="str">
        <f ca="1">Bérköltség!$B455</f>
        <v>FEOR</v>
      </c>
      <c r="B455" s="694" t="str">
        <f ca="1">IFERROR(
IF(AND(Bérköltség!$F455="",H455="NA"),"HIÁNYOS ADATOK",
IF(Bérköltség!$F455&lt;Bérköltség!$U455,Admin!$B$18,Admin!$B$17)),
"")</f>
        <v>FEOR</v>
      </c>
      <c r="C455" s="437">
        <f>IFERROR(INDEX('Historikus berek_2021-2'!$A$1:$F$903,MATCH(AB455,'Historikus berek_2021-2'!$A$1:$A$903,0),4),"")</f>
        <v>328933.33333333331</v>
      </c>
      <c r="D455" s="438">
        <f t="shared" si="1082"/>
        <v>328933.33333333331</v>
      </c>
      <c r="E455" s="437">
        <f t="shared" si="1083"/>
        <v>395000</v>
      </c>
      <c r="F455" s="439">
        <f t="shared" si="1084"/>
        <v>74655.333333333314</v>
      </c>
      <c r="G455" s="440">
        <f t="shared" si="1085"/>
        <v>371694.66666666663</v>
      </c>
      <c r="H455" s="441">
        <f>IFERROR(INDEX('FEOR kodok'!$A$2:$J$1126,MATCH(Bérköltség!AB455,'FEOR kodok'!$B$2:$B$1126,0),8),"NA")</f>
        <v>2131</v>
      </c>
      <c r="I455" s="436">
        <f ca="1">IFERROR(INDEX('FEOR kodok'!$A$2:$J$1126,MATCH(Bérköltség!AB455,'FEOR kodok'!$B$2:$B$1126,0),10),"NA")</f>
        <v>29</v>
      </c>
      <c r="J455" s="442" t="str">
        <f t="shared" ca="1" si="1086"/>
        <v>30 év alatt</v>
      </c>
      <c r="K455" s="436" t="str">
        <f>IFERROR(INDEX(admin_feor[#All],MATCH(Bérköltség!H455,admin_feor[[#All],[Foglalkozás]],0),2),"NA")</f>
        <v>Mezőgazdasági mérnök</v>
      </c>
      <c r="L455" s="438">
        <f ca="1">IFERROR(
INDEX('Admin - FEOR'!$A$4:$F$465,MATCH(Bérköltség!H455,'Admin - FEOR'!$A$4:$A$465,0),
IF(J455="30 év alatt",3,
IF(J455="30–39 éves",4,
IF(J455="40–49 éves",5,
IF(J455="50 év és afelett",6
)))))*1,"NA")</f>
        <v>412014</v>
      </c>
      <c r="M455" s="438">
        <f t="shared" si="1087"/>
        <v>395000</v>
      </c>
      <c r="N455" s="443">
        <f t="shared" ca="1" si="1088"/>
        <v>0.95870528671355826</v>
      </c>
      <c r="O455" s="438">
        <f ca="1">IFERROR(
INDEX('Admin - FEOR'!$A$4:$F$465,MATCH(Bérköltség!H455,'Admin - FEOR'!$A$4:$A$465,0),
IF(J455="30 év alatt",3,
IF(J455="30–39 éves",4,
IF(J455="40–49 éves",5,
IF(J455="50 év és afelett",6
)))))*1.5,"NA")</f>
        <v>618021</v>
      </c>
      <c r="P455" s="438">
        <f t="shared" ca="1" si="1089"/>
        <v>618021</v>
      </c>
      <c r="Q455" s="438">
        <f t="shared" si="1090"/>
        <v>395000</v>
      </c>
      <c r="R455" s="444">
        <f t="shared" si="1091"/>
        <v>1</v>
      </c>
      <c r="S455" s="438">
        <f t="shared" ca="1" si="1092"/>
        <v>0</v>
      </c>
      <c r="T455" s="438">
        <f t="shared" ca="1" si="1093"/>
        <v>0</v>
      </c>
      <c r="U455" s="445">
        <f t="shared" ca="1" si="1094"/>
        <v>0</v>
      </c>
      <c r="V455" s="446">
        <f t="shared" ca="1" si="1095"/>
        <v>446350</v>
      </c>
      <c r="W455" s="447" t="str">
        <f t="shared" ca="1" si="1096"/>
        <v>Nem szükséges indoklás.</v>
      </c>
      <c r="X455" s="571">
        <f t="shared" ca="1" si="1097"/>
        <v>0</v>
      </c>
      <c r="Y455" s="554">
        <f t="shared" ca="1" si="1098"/>
        <v>395000</v>
      </c>
      <c r="Z455" s="554">
        <f t="shared" ca="1" si="1099"/>
        <v>51350</v>
      </c>
      <c r="AA455" s="115"/>
      <c r="AB455" s="146">
        <v>8464910525</v>
      </c>
      <c r="AC455" s="112" t="s">
        <v>203</v>
      </c>
      <c r="AD455" s="483" t="s">
        <v>45</v>
      </c>
      <c r="AE455" s="143" t="s">
        <v>24</v>
      </c>
      <c r="AF455" s="99" t="s">
        <v>124</v>
      </c>
      <c r="AG455" s="99" t="s">
        <v>161</v>
      </c>
      <c r="AH455" s="451" t="s">
        <v>131</v>
      </c>
      <c r="AI455" s="154">
        <v>45170</v>
      </c>
      <c r="AJ455" s="100" t="str">
        <f>IF(AI455&gt;0,
(IF(AI455&lt;Hónapok!$A$10,Admin!$A$28,
(IF(AI455&lt;Hónapok!$A$22,Admin!$B$28,
(IF(AI455&lt;Hónapok!$A$34,Admin!$C$28,
(IF(AI455&lt;Hónapok!$A$46,Admin!$D$28,"")))))))),"")</f>
        <v>3. mérföldkő</v>
      </c>
      <c r="AK455" s="500" t="s">
        <v>7</v>
      </c>
      <c r="AL455" s="115" t="s">
        <v>26</v>
      </c>
      <c r="AM455" s="900">
        <v>395000</v>
      </c>
      <c r="AN455" s="860">
        <f t="shared" si="1100"/>
        <v>51350</v>
      </c>
      <c r="AO455" s="101">
        <v>174</v>
      </c>
      <c r="AP455" s="111">
        <v>174</v>
      </c>
      <c r="AQ455" s="454">
        <f t="shared" si="1101"/>
        <v>1</v>
      </c>
      <c r="AR455" s="455">
        <f t="shared" si="1102"/>
        <v>395000</v>
      </c>
      <c r="AS455" s="455">
        <f t="shared" si="1103"/>
        <v>51350</v>
      </c>
      <c r="AT455" s="102">
        <f t="shared" si="1104"/>
        <v>0</v>
      </c>
      <c r="AU455" s="116">
        <v>0.13</v>
      </c>
      <c r="AV455" s="565" t="str">
        <f>VLOOKUP(LEFT(AB455,10),Törzsszám!$A$1:$B$908,2,0)</f>
        <v>10001518</v>
      </c>
      <c r="AW455" s="681">
        <f t="shared" ca="1" si="1105"/>
        <v>0</v>
      </c>
      <c r="AX455" s="471" t="s">
        <v>4618</v>
      </c>
      <c r="AY455" s="505"/>
      <c r="AZ455" s="803"/>
      <c r="BA455" s="673"/>
      <c r="BB455" s="650"/>
      <c r="BC455" s="649"/>
      <c r="BD455" s="672"/>
      <c r="BE455" s="143" t="s">
        <v>249</v>
      </c>
    </row>
    <row r="456" spans="1:57" s="117" customFormat="1" ht="14.45" customHeight="1" x14ac:dyDescent="0.25">
      <c r="A456" s="694" t="str">
        <f ca="1">Bérköltség!$B456</f>
        <v>FEOR</v>
      </c>
      <c r="B456" s="694" t="str">
        <f ca="1">IFERROR(
IF(AND(Bérköltség!$F456="",H456="NA"),"HIÁNYOS ADATOK",
IF(Bérköltség!$F456&lt;Bérköltség!$U456,Admin!$B$18,Admin!$B$17)),
"")</f>
        <v>FEOR</v>
      </c>
      <c r="C456" s="437">
        <f>IFERROR(INDEX('Historikus berek_2021-2'!$A$1:$F$903,MATCH(AB456,'Historikus berek_2021-2'!$A$1:$A$903,0),4),"")</f>
        <v>328933.33333333331</v>
      </c>
      <c r="D456" s="438">
        <f t="shared" si="1082"/>
        <v>328933.33333333331</v>
      </c>
      <c r="E456" s="437">
        <f t="shared" si="1083"/>
        <v>395000</v>
      </c>
      <c r="F456" s="439">
        <f t="shared" si="1084"/>
        <v>74655.333333333314</v>
      </c>
      <c r="G456" s="440">
        <f t="shared" si="1085"/>
        <v>371694.66666666663</v>
      </c>
      <c r="H456" s="441">
        <f>IFERROR(INDEX('FEOR kodok'!$A$2:$J$1126,MATCH(Bérköltség!AB456,'FEOR kodok'!$B$2:$B$1126,0),8),"NA")</f>
        <v>2131</v>
      </c>
      <c r="I456" s="436">
        <f ca="1">IFERROR(INDEX('FEOR kodok'!$A$2:$J$1126,MATCH(Bérköltség!AB456,'FEOR kodok'!$B$2:$B$1126,0),10),"NA")</f>
        <v>29</v>
      </c>
      <c r="J456" s="442" t="str">
        <f t="shared" ca="1" si="1086"/>
        <v>30 év alatt</v>
      </c>
      <c r="K456" s="436" t="str">
        <f>IFERROR(INDEX(admin_feor[#All],MATCH(Bérköltség!H456,admin_feor[[#All],[Foglalkozás]],0),2),"NA")</f>
        <v>Mezőgazdasági mérnök</v>
      </c>
      <c r="L456" s="438">
        <f ca="1">IFERROR(
INDEX('Admin - FEOR'!$A$4:$F$465,MATCH(Bérköltség!H456,'Admin - FEOR'!$A$4:$A$465,0),
IF(J456="30 év alatt",3,
IF(J456="30–39 éves",4,
IF(J456="40–49 éves",5,
IF(J456="50 év és afelett",6
)))))*1,"NA")</f>
        <v>412014</v>
      </c>
      <c r="M456" s="438">
        <f t="shared" si="1087"/>
        <v>395000</v>
      </c>
      <c r="N456" s="443">
        <f t="shared" ca="1" si="1088"/>
        <v>0.95870528671355826</v>
      </c>
      <c r="O456" s="438">
        <f ca="1">IFERROR(
INDEX('Admin - FEOR'!$A$4:$F$465,MATCH(Bérköltség!H456,'Admin - FEOR'!$A$4:$A$465,0),
IF(J456="30 év alatt",3,
IF(J456="30–39 éves",4,
IF(J456="40–49 éves",5,
IF(J456="50 év és afelett",6
)))))*1.5,"NA")</f>
        <v>618021</v>
      </c>
      <c r="P456" s="438">
        <f t="shared" ca="1" si="1089"/>
        <v>618021</v>
      </c>
      <c r="Q456" s="438">
        <f t="shared" si="1090"/>
        <v>395000</v>
      </c>
      <c r="R456" s="444">
        <f t="shared" si="1091"/>
        <v>1</v>
      </c>
      <c r="S456" s="438">
        <f t="shared" ca="1" si="1092"/>
        <v>0</v>
      </c>
      <c r="T456" s="438">
        <f t="shared" ca="1" si="1093"/>
        <v>0</v>
      </c>
      <c r="U456" s="445">
        <f t="shared" ca="1" si="1094"/>
        <v>0</v>
      </c>
      <c r="V456" s="446">
        <f t="shared" ca="1" si="1095"/>
        <v>446350</v>
      </c>
      <c r="W456" s="447" t="str">
        <f t="shared" ca="1" si="1096"/>
        <v>Nem szükséges indoklás.</v>
      </c>
      <c r="X456" s="571">
        <f t="shared" ca="1" si="1097"/>
        <v>0</v>
      </c>
      <c r="Y456" s="554">
        <f t="shared" ca="1" si="1098"/>
        <v>395000</v>
      </c>
      <c r="Z456" s="554">
        <f t="shared" ca="1" si="1099"/>
        <v>51350</v>
      </c>
      <c r="AA456" s="115"/>
      <c r="AB456" s="146">
        <v>8464910525</v>
      </c>
      <c r="AC456" s="112" t="s">
        <v>203</v>
      </c>
      <c r="AD456" s="483" t="s">
        <v>45</v>
      </c>
      <c r="AE456" s="143" t="s">
        <v>24</v>
      </c>
      <c r="AF456" s="99" t="s">
        <v>124</v>
      </c>
      <c r="AG456" s="99" t="s">
        <v>161</v>
      </c>
      <c r="AH456" s="451" t="s">
        <v>131</v>
      </c>
      <c r="AI456" s="154">
        <v>45200</v>
      </c>
      <c r="AJ456" s="100" t="str">
        <f>IF(AI456&gt;0,
(IF(AI456&lt;Hónapok!$A$10,Admin!$A$28,
(IF(AI456&lt;Hónapok!$A$22,Admin!$B$28,
(IF(AI456&lt;Hónapok!$A$34,Admin!$C$28,
(IF(AI456&lt;Hónapok!$A$46,Admin!$D$28,"")))))))),"")</f>
        <v>3. mérföldkő</v>
      </c>
      <c r="AK456" s="500" t="s">
        <v>8</v>
      </c>
      <c r="AL456" s="115" t="s">
        <v>26</v>
      </c>
      <c r="AM456" s="900">
        <v>395000</v>
      </c>
      <c r="AN456" s="860">
        <f t="shared" si="1100"/>
        <v>51350</v>
      </c>
      <c r="AO456" s="101">
        <v>174</v>
      </c>
      <c r="AP456" s="111">
        <v>174</v>
      </c>
      <c r="AQ456" s="454">
        <f t="shared" si="1101"/>
        <v>1</v>
      </c>
      <c r="AR456" s="455">
        <f t="shared" si="1102"/>
        <v>395000</v>
      </c>
      <c r="AS456" s="455">
        <f t="shared" si="1103"/>
        <v>51350</v>
      </c>
      <c r="AT456" s="102">
        <f t="shared" si="1104"/>
        <v>0</v>
      </c>
      <c r="AU456" s="116">
        <v>0.13</v>
      </c>
      <c r="AV456" s="565" t="str">
        <f>VLOOKUP(LEFT(AB456,10),Törzsszám!$A$1:$B$908,2,0)</f>
        <v>10001518</v>
      </c>
      <c r="AW456" s="681">
        <f t="shared" ca="1" si="1105"/>
        <v>0</v>
      </c>
      <c r="AX456" s="150"/>
      <c r="AY456" s="505"/>
      <c r="AZ456" s="803"/>
      <c r="BA456" s="673"/>
      <c r="BB456" s="650"/>
      <c r="BC456" s="649"/>
      <c r="BD456" s="672"/>
      <c r="BE456" s="143" t="s">
        <v>249</v>
      </c>
    </row>
    <row r="457" spans="1:57" s="117" customFormat="1" ht="14.45" customHeight="1" x14ac:dyDescent="0.25">
      <c r="A457" s="694" t="str">
        <f ca="1">Bérköltség!$B457</f>
        <v>FEOR</v>
      </c>
      <c r="B457" s="694" t="str">
        <f ca="1">IFERROR(
IF(AND(Bérköltség!$F457="",H457="NA"),"HIÁNYOS ADATOK",
IF(Bérköltség!$F457&lt;Bérköltség!$U457,Admin!$B$18,Admin!$B$17)),
"")</f>
        <v>FEOR</v>
      </c>
      <c r="C457" s="437">
        <f>IFERROR(INDEX('Historikus berek_2021-2'!$A$1:$F$903,MATCH(AB457,'Historikus berek_2021-2'!$A$1:$A$903,0),4),"")</f>
        <v>328933.33333333331</v>
      </c>
      <c r="D457" s="438">
        <f t="shared" si="1082"/>
        <v>328933.33333333331</v>
      </c>
      <c r="E457" s="437">
        <f t="shared" si="1083"/>
        <v>395000</v>
      </c>
      <c r="F457" s="439">
        <f t="shared" si="1084"/>
        <v>74655.333333333314</v>
      </c>
      <c r="G457" s="440">
        <f t="shared" si="1085"/>
        <v>371694.66666666663</v>
      </c>
      <c r="H457" s="441">
        <f>IFERROR(INDEX('FEOR kodok'!$A$2:$J$1126,MATCH(Bérköltség!AB457,'FEOR kodok'!$B$2:$B$1126,0),8),"NA")</f>
        <v>2131</v>
      </c>
      <c r="I457" s="436">
        <f ca="1">IFERROR(INDEX('FEOR kodok'!$A$2:$J$1126,MATCH(Bérköltség!AB457,'FEOR kodok'!$B$2:$B$1126,0),10),"NA")</f>
        <v>29</v>
      </c>
      <c r="J457" s="442" t="str">
        <f t="shared" ca="1" si="1086"/>
        <v>30 év alatt</v>
      </c>
      <c r="K457" s="436" t="str">
        <f>IFERROR(INDEX(admin_feor[#All],MATCH(Bérköltség!H457,admin_feor[[#All],[Foglalkozás]],0),2),"NA")</f>
        <v>Mezőgazdasági mérnök</v>
      </c>
      <c r="L457" s="438">
        <f ca="1">IFERROR(
INDEX('Admin - FEOR'!$A$4:$F$465,MATCH(Bérköltség!H457,'Admin - FEOR'!$A$4:$A$465,0),
IF(J457="30 év alatt",3,
IF(J457="30–39 éves",4,
IF(J457="40–49 éves",5,
IF(J457="50 év és afelett",6
)))))*1,"NA")</f>
        <v>412014</v>
      </c>
      <c r="M457" s="438">
        <f t="shared" si="1087"/>
        <v>395000</v>
      </c>
      <c r="N457" s="443">
        <f t="shared" ca="1" si="1088"/>
        <v>0.95870528671355826</v>
      </c>
      <c r="O457" s="438">
        <f ca="1">IFERROR(
INDEX('Admin - FEOR'!$A$4:$F$465,MATCH(Bérköltség!H457,'Admin - FEOR'!$A$4:$A$465,0),
IF(J457="30 év alatt",3,
IF(J457="30–39 éves",4,
IF(J457="40–49 éves",5,
IF(J457="50 év és afelett",6
)))))*1.5,"NA")</f>
        <v>618021</v>
      </c>
      <c r="P457" s="438">
        <f t="shared" ca="1" si="1089"/>
        <v>618021</v>
      </c>
      <c r="Q457" s="438">
        <f t="shared" si="1090"/>
        <v>395000</v>
      </c>
      <c r="R457" s="444">
        <f t="shared" si="1091"/>
        <v>1</v>
      </c>
      <c r="S457" s="438">
        <f t="shared" ca="1" si="1092"/>
        <v>0</v>
      </c>
      <c r="T457" s="438">
        <f t="shared" ca="1" si="1093"/>
        <v>0</v>
      </c>
      <c r="U457" s="445">
        <f t="shared" ca="1" si="1094"/>
        <v>0</v>
      </c>
      <c r="V457" s="446">
        <f t="shared" ca="1" si="1095"/>
        <v>446350</v>
      </c>
      <c r="W457" s="447" t="str">
        <f t="shared" ca="1" si="1096"/>
        <v>Nem szükséges indoklás.</v>
      </c>
      <c r="X457" s="571">
        <f t="shared" ca="1" si="1097"/>
        <v>0</v>
      </c>
      <c r="Y457" s="554">
        <f t="shared" ca="1" si="1098"/>
        <v>395000</v>
      </c>
      <c r="Z457" s="554">
        <f t="shared" ca="1" si="1099"/>
        <v>51350</v>
      </c>
      <c r="AA457" s="115"/>
      <c r="AB457" s="146">
        <v>8464910525</v>
      </c>
      <c r="AC457" s="112" t="s">
        <v>203</v>
      </c>
      <c r="AD457" s="483" t="s">
        <v>45</v>
      </c>
      <c r="AE457" s="143" t="s">
        <v>24</v>
      </c>
      <c r="AF457" s="99" t="s">
        <v>124</v>
      </c>
      <c r="AG457" s="99" t="s">
        <v>161</v>
      </c>
      <c r="AH457" s="451" t="s">
        <v>131</v>
      </c>
      <c r="AI457" s="154">
        <v>45231</v>
      </c>
      <c r="AJ457" s="100" t="str">
        <f>IF(AI457&gt;0,
(IF(AI457&lt;Hónapok!$A$10,Admin!$A$28,
(IF(AI457&lt;Hónapok!$A$22,Admin!$B$28,
(IF(AI457&lt;Hónapok!$A$34,Admin!$C$28,
(IF(AI457&lt;Hónapok!$A$46,Admin!$D$28,"")))))))),"")</f>
        <v>3. mérföldkő</v>
      </c>
      <c r="AK457" s="500" t="s">
        <v>8</v>
      </c>
      <c r="AL457" s="115" t="s">
        <v>26</v>
      </c>
      <c r="AM457" s="900">
        <v>395000</v>
      </c>
      <c r="AN457" s="860">
        <f t="shared" si="1100"/>
        <v>51350</v>
      </c>
      <c r="AO457" s="101">
        <v>174</v>
      </c>
      <c r="AP457" s="111">
        <v>174</v>
      </c>
      <c r="AQ457" s="454">
        <f t="shared" si="1101"/>
        <v>1</v>
      </c>
      <c r="AR457" s="455">
        <f t="shared" si="1102"/>
        <v>395000</v>
      </c>
      <c r="AS457" s="455">
        <f t="shared" si="1103"/>
        <v>51350</v>
      </c>
      <c r="AT457" s="102">
        <f t="shared" si="1104"/>
        <v>0</v>
      </c>
      <c r="AU457" s="116">
        <v>0.13</v>
      </c>
      <c r="AV457" s="565" t="str">
        <f>VLOOKUP(LEFT(AB457,10),Törzsszám!$A$1:$B$908,2,0)</f>
        <v>10001518</v>
      </c>
      <c r="AW457" s="681">
        <f t="shared" ca="1" si="1105"/>
        <v>0</v>
      </c>
      <c r="AX457" s="150"/>
      <c r="AY457" s="505"/>
      <c r="AZ457" s="803"/>
      <c r="BA457" s="673"/>
      <c r="BB457" s="650"/>
      <c r="BC457" s="649"/>
      <c r="BD457" s="672"/>
      <c r="BE457" s="143" t="s">
        <v>249</v>
      </c>
    </row>
    <row r="458" spans="1:57" s="117" customFormat="1" ht="14.45" customHeight="1" x14ac:dyDescent="0.25">
      <c r="A458" s="694" t="str">
        <f ca="1">Bérköltség!$B458</f>
        <v>FEOR</v>
      </c>
      <c r="B458" s="694" t="str">
        <f ca="1">IFERROR(
IF(AND(Bérköltség!$F458="",H458="NA"),"HIÁNYOS ADATOK",
IF(Bérköltség!$F458&lt;Bérköltség!$U458,Admin!$B$18,Admin!$B$17)),
"")</f>
        <v>FEOR</v>
      </c>
      <c r="C458" s="437" t="str">
        <f>IFERROR(INDEX('Historikus berek_2021-2'!$A$1:$F$903,MATCH(AB458,'Historikus berek_2021-2'!$A$1:$A$903,0),4),"")</f>
        <v/>
      </c>
      <c r="D458" s="438" t="str">
        <f t="shared" ref="D458:D460" si="1106">IFERROR(C458*AQ458,"NA")</f>
        <v>NA</v>
      </c>
      <c r="E458" s="437">
        <f t="shared" ref="E458:E460" si="1107">AR458</f>
        <v>350000</v>
      </c>
      <c r="F458" s="439" t="str">
        <f t="shared" ref="F458:F460" si="1108">IFERROR(IF((E458*(1+AU458)-D458*(1+AU458))&lt;0,0,(E458*(1+AU458)-D458*(1+AU458))),"")</f>
        <v/>
      </c>
      <c r="G458" s="440" t="str">
        <f t="shared" ref="G458:G460" si="1109">IFERROR((E458*(1+AU458)-F458),"")</f>
        <v/>
      </c>
      <c r="H458" s="441">
        <f>IFERROR(INDEX('FEOR kodok'!$A$2:$J$1126,MATCH(Bérköltség!AB458,'FEOR kodok'!$B$2:$B$1126,0),8),"NA")</f>
        <v>3910</v>
      </c>
      <c r="I458" s="436">
        <f ca="1">IFERROR(INDEX('FEOR kodok'!$A$2:$J$1126,MATCH(Bérköltség!AB458,'FEOR kodok'!$B$2:$B$1126,0),10),"NA")</f>
        <v>28</v>
      </c>
      <c r="J458" s="442" t="str">
        <f t="shared" ref="J458:J460" ca="1" si="1110">IF(I458="NA","NA",
IF(I458&lt;30,"30 év alatt",
IF(AND(I458&gt;=30,I458&lt;=39),"30–39 éves",
IF(AND(I458&gt;=40,I458&lt;=49),"40–49 éves",
IF(I458&gt;=50,"50 év és afelett",
"")))))</f>
        <v>30 év alatt</v>
      </c>
      <c r="K458" s="436" t="str">
        <f>IFERROR(INDEX(admin_feor[#All],MATCH(Bérköltség!H458,admin_feor[[#All],[Foglalkozás]],0),2),"NA")</f>
        <v>Egyéb ügyintéző</v>
      </c>
      <c r="L458" s="438">
        <f ca="1">IFERROR(
INDEX('Admin - FEOR'!$A$4:$F$465,MATCH(Bérköltség!H458,'Admin - FEOR'!$A$4:$A$465,0),
IF(J458="30 év alatt",3,
IF(J458="30–39 éves",4,
IF(J458="40–49 éves",5,
IF(J458="50 év és afelett",6
)))))*1,"NA")</f>
        <v>359927</v>
      </c>
      <c r="M458" s="438">
        <f t="shared" ref="M458:M460" si="1111">AM458</f>
        <v>350000</v>
      </c>
      <c r="N458" s="443">
        <f t="shared" ref="N458:N460" ca="1" si="1112">IFERROR(
M458/L458,"NA")</f>
        <v>0.97241940726869613</v>
      </c>
      <c r="O458" s="438">
        <f ca="1">IFERROR(
INDEX('Admin - FEOR'!$A$4:$F$465,MATCH(Bérköltség!H458,'Admin - FEOR'!$A$4:$A$465,0),
IF(J458="30 év alatt",3,
IF(J458="30–39 éves",4,
IF(J458="40–49 éves",5,
IF(J458="50 év és afelett",6
)))))*1.5,"NA")</f>
        <v>539890.5</v>
      </c>
      <c r="P458" s="438">
        <f t="shared" ref="P458:P460" ca="1" si="1113">IFERROR(
AQ458*O458,"NA")</f>
        <v>539890.5</v>
      </c>
      <c r="Q458" s="438">
        <f t="shared" ref="Q458:Q460" si="1114">IFERROR(AR458,"")</f>
        <v>350000</v>
      </c>
      <c r="R458" s="444">
        <f t="shared" ref="R458:R460" si="1115">IFERROR(AQ458,"")</f>
        <v>1</v>
      </c>
      <c r="S458" s="438">
        <f t="shared" ref="S458:S460" ca="1" si="1116">IFERROR(
IF(AR458-P458&lt;0,0,AR458-P458),"NA")</f>
        <v>0</v>
      </c>
      <c r="T458" s="438">
        <f t="shared" ref="T458:T460" ca="1" si="1117">IFERROR(
S458*AU458,"NA")</f>
        <v>0</v>
      </c>
      <c r="U458" s="445">
        <f t="shared" ref="U458:U460" ca="1" si="1118">IFERROR(
S458+T458,"NA")</f>
        <v>0</v>
      </c>
      <c r="V458" s="446">
        <f t="shared" ref="V458:V460" ca="1" si="1119">IFERROR(
IF(U458&gt;0,AR458+AS458-U458,AR458+AS458),"NA")</f>
        <v>365340</v>
      </c>
      <c r="W458" s="447" t="str">
        <f t="shared" ref="W458:W460" ca="1" si="1120">IF(P458="NA","FEOR hiányzik",
IF(AND(N458&gt;1,A458="FEOR"),CONCATENATE("Indoklás szükséges mivel a FEOR: ",ROUND(N458*100,1),"%"),"Nem szükséges indoklás.")
)</f>
        <v>Nem szükséges indoklás.</v>
      </c>
      <c r="X458" s="571">
        <f t="shared" ref="X458:X465" ca="1" si="1121">IF(A458="FEOR",U458,IF(A458="HIÁNYOS ADATOK","HIÁNYOS ADATOK",F458))</f>
        <v>0</v>
      </c>
      <c r="Y458" s="554">
        <f t="shared" ref="Y458:Y465" ca="1" si="1122">IF(A458="FEOR",ROUND(V458/(1+AU458),0),IF(A458="HIÁNYOS ADATOK","HIÁNYOS ADATOK",ROUND(G458/(1+AU458),0)))</f>
        <v>350000</v>
      </c>
      <c r="Z458" s="556">
        <f t="shared" ref="Z458:Z460" ca="1" si="1123">IF(A458="FEOR",ROUND(V458-Y458,0),IF(A458="HIÁNYOS ADATOK","HIÁNYOS ADATOK",ROUND(G458-Y458,0)))</f>
        <v>15340</v>
      </c>
      <c r="AA458" s="115"/>
      <c r="AB458" s="146">
        <v>8469983482</v>
      </c>
      <c r="AC458" s="112" t="s">
        <v>4593</v>
      </c>
      <c r="AD458" s="483" t="s">
        <v>45</v>
      </c>
      <c r="AE458" s="143" t="s">
        <v>24</v>
      </c>
      <c r="AF458" s="99" t="s">
        <v>124</v>
      </c>
      <c r="AG458" s="99" t="s">
        <v>224</v>
      </c>
      <c r="AH458" s="451" t="s">
        <v>131</v>
      </c>
      <c r="AI458" s="154">
        <v>45108</v>
      </c>
      <c r="AJ458" s="100" t="str">
        <f>IF(AI458&gt;0,
(IF(AI458&lt;Hónapok!$A$10,Admin!$A$28,
(IF(AI458&lt;Hónapok!$A$22,Admin!$B$28,
(IF(AI458&lt;Hónapok!$A$34,Admin!$C$28,
(IF(AI458&lt;Hónapok!$A$46,Admin!$D$28,"")))))))),"")</f>
        <v>3. mérföldkő</v>
      </c>
      <c r="AK458" s="500" t="s">
        <v>7</v>
      </c>
      <c r="AL458" s="115" t="s">
        <v>26</v>
      </c>
      <c r="AM458" s="900">
        <v>350000</v>
      </c>
      <c r="AN458" s="863">
        <v>15340</v>
      </c>
      <c r="AO458" s="101">
        <v>130</v>
      </c>
      <c r="AP458" s="111">
        <v>130</v>
      </c>
      <c r="AQ458" s="682">
        <f t="shared" si="985"/>
        <v>1</v>
      </c>
      <c r="AR458" s="455">
        <f t="shared" si="986"/>
        <v>350000</v>
      </c>
      <c r="AS458" s="528">
        <v>15340</v>
      </c>
      <c r="AT458" s="102">
        <f t="shared" si="988"/>
        <v>0</v>
      </c>
      <c r="AU458" s="683">
        <f t="shared" ref="AU458:AU460" si="1124">AN458/AM458</f>
        <v>4.3828571428571432E-2</v>
      </c>
      <c r="AV458" s="565" t="str">
        <f>VLOOKUP(LEFT(AB458,10),Törzsszám!$A$1:$B$908,2,0)</f>
        <v>40001985</v>
      </c>
      <c r="AW458" s="681"/>
      <c r="AX458" s="471" t="s">
        <v>4610</v>
      </c>
      <c r="AY458" s="505"/>
      <c r="AZ458" s="803"/>
      <c r="BA458" s="673"/>
      <c r="BB458" s="650"/>
      <c r="BC458" s="649"/>
      <c r="BD458" s="672"/>
      <c r="BE458" s="143"/>
    </row>
    <row r="459" spans="1:57" s="117" customFormat="1" ht="14.45" customHeight="1" x14ac:dyDescent="0.25">
      <c r="A459" s="694" t="str">
        <f ca="1">Bérköltség!$B459</f>
        <v>FEOR</v>
      </c>
      <c r="B459" s="694" t="str">
        <f ca="1">IFERROR(
IF(AND(Bérköltség!$F459="",H459="NA"),"HIÁNYOS ADATOK",
IF(Bérköltség!$F459&lt;Bérköltség!$U459,Admin!$B$18,Admin!$B$17)),
"")</f>
        <v>FEOR</v>
      </c>
      <c r="C459" s="437" t="str">
        <f>IFERROR(INDEX('Historikus berek_2021-2'!$A$1:$F$903,MATCH(AB459,'Historikus berek_2021-2'!$A$1:$A$903,0),4),"")</f>
        <v/>
      </c>
      <c r="D459" s="438" t="str">
        <f t="shared" si="1106"/>
        <v>NA</v>
      </c>
      <c r="E459" s="437">
        <f t="shared" si="1107"/>
        <v>350000</v>
      </c>
      <c r="F459" s="439" t="str">
        <f t="shared" si="1108"/>
        <v/>
      </c>
      <c r="G459" s="440" t="str">
        <f t="shared" si="1109"/>
        <v/>
      </c>
      <c r="H459" s="441">
        <f>IFERROR(INDEX('FEOR kodok'!$A$2:$J$1126,MATCH(Bérköltség!AB459,'FEOR kodok'!$B$2:$B$1126,0),8),"NA")</f>
        <v>3910</v>
      </c>
      <c r="I459" s="436">
        <f ca="1">IFERROR(INDEX('FEOR kodok'!$A$2:$J$1126,MATCH(Bérköltség!AB459,'FEOR kodok'!$B$2:$B$1126,0),10),"NA")</f>
        <v>28</v>
      </c>
      <c r="J459" s="442" t="str">
        <f t="shared" ca="1" si="1110"/>
        <v>30 év alatt</v>
      </c>
      <c r="K459" s="436" t="str">
        <f>IFERROR(INDEX(admin_feor[#All],MATCH(Bérköltség!H459,admin_feor[[#All],[Foglalkozás]],0),2),"NA")</f>
        <v>Egyéb ügyintéző</v>
      </c>
      <c r="L459" s="438">
        <f ca="1">IFERROR(
INDEX('Admin - FEOR'!$A$4:$F$465,MATCH(Bérköltség!H459,'Admin - FEOR'!$A$4:$A$465,0),
IF(J459="30 év alatt",3,
IF(J459="30–39 éves",4,
IF(J459="40–49 éves",5,
IF(J459="50 év és afelett",6
)))))*1,"NA")</f>
        <v>359927</v>
      </c>
      <c r="M459" s="438">
        <f t="shared" si="1111"/>
        <v>350000</v>
      </c>
      <c r="N459" s="443">
        <f t="shared" ca="1" si="1112"/>
        <v>0.97241940726869613</v>
      </c>
      <c r="O459" s="438">
        <f ca="1">IFERROR(
INDEX('Admin - FEOR'!$A$4:$F$465,MATCH(Bérköltség!H459,'Admin - FEOR'!$A$4:$A$465,0),
IF(J459="30 év alatt",3,
IF(J459="30–39 éves",4,
IF(J459="40–49 éves",5,
IF(J459="50 év és afelett",6
)))))*1.5,"NA")</f>
        <v>539890.5</v>
      </c>
      <c r="P459" s="438">
        <f t="shared" ca="1" si="1113"/>
        <v>539890.5</v>
      </c>
      <c r="Q459" s="438">
        <f t="shared" si="1114"/>
        <v>350000</v>
      </c>
      <c r="R459" s="444">
        <f t="shared" si="1115"/>
        <v>1</v>
      </c>
      <c r="S459" s="438">
        <f t="shared" ca="1" si="1116"/>
        <v>0</v>
      </c>
      <c r="T459" s="438">
        <f t="shared" ca="1" si="1117"/>
        <v>0</v>
      </c>
      <c r="U459" s="445">
        <f t="shared" ca="1" si="1118"/>
        <v>0</v>
      </c>
      <c r="V459" s="446">
        <f t="shared" ca="1" si="1119"/>
        <v>365340</v>
      </c>
      <c r="W459" s="447" t="str">
        <f t="shared" ca="1" si="1120"/>
        <v>Nem szükséges indoklás.</v>
      </c>
      <c r="X459" s="571">
        <f t="shared" ca="1" si="1121"/>
        <v>0</v>
      </c>
      <c r="Y459" s="554">
        <f t="shared" ca="1" si="1122"/>
        <v>350000</v>
      </c>
      <c r="Z459" s="556">
        <f t="shared" ca="1" si="1123"/>
        <v>15340</v>
      </c>
      <c r="AA459" s="115"/>
      <c r="AB459" s="146">
        <v>8469983482</v>
      </c>
      <c r="AC459" s="112" t="s">
        <v>4593</v>
      </c>
      <c r="AD459" s="483" t="s">
        <v>45</v>
      </c>
      <c r="AE459" s="143" t="s">
        <v>24</v>
      </c>
      <c r="AF459" s="99" t="s">
        <v>124</v>
      </c>
      <c r="AG459" s="99" t="s">
        <v>224</v>
      </c>
      <c r="AH459" s="451" t="s">
        <v>131</v>
      </c>
      <c r="AI459" s="154">
        <v>45139</v>
      </c>
      <c r="AJ459" s="100" t="str">
        <f>IF(AI459&gt;0,
(IF(AI459&lt;Hónapok!$A$10,Admin!$A$28,
(IF(AI459&lt;Hónapok!$A$22,Admin!$B$28,
(IF(AI459&lt;Hónapok!$A$34,Admin!$C$28,
(IF(AI459&lt;Hónapok!$A$46,Admin!$D$28,"")))))))),"")</f>
        <v>3. mérföldkő</v>
      </c>
      <c r="AK459" s="500" t="s">
        <v>7</v>
      </c>
      <c r="AL459" s="115" t="s">
        <v>26</v>
      </c>
      <c r="AM459" s="900">
        <v>350000</v>
      </c>
      <c r="AN459" s="863">
        <v>15340</v>
      </c>
      <c r="AO459" s="101">
        <v>130</v>
      </c>
      <c r="AP459" s="111">
        <v>130</v>
      </c>
      <c r="AQ459" s="454">
        <f t="shared" si="985"/>
        <v>1</v>
      </c>
      <c r="AR459" s="455">
        <f t="shared" si="986"/>
        <v>350000</v>
      </c>
      <c r="AS459" s="528">
        <v>15340</v>
      </c>
      <c r="AT459" s="102">
        <f t="shared" si="988"/>
        <v>0</v>
      </c>
      <c r="AU459" s="683">
        <f t="shared" si="1124"/>
        <v>4.3828571428571432E-2</v>
      </c>
      <c r="AV459" s="565" t="str">
        <f>VLOOKUP(LEFT(AB459,10),Törzsszám!$A$1:$B$908,2,0)</f>
        <v>40001985</v>
      </c>
      <c r="AW459" s="681"/>
      <c r="AX459" s="471" t="s">
        <v>4613</v>
      </c>
      <c r="AY459" s="505"/>
      <c r="AZ459" s="803"/>
      <c r="BA459" s="673"/>
      <c r="BB459" s="650"/>
      <c r="BC459" s="649"/>
      <c r="BD459" s="672"/>
      <c r="BE459" s="143"/>
    </row>
    <row r="460" spans="1:57" s="117" customFormat="1" ht="14.45" customHeight="1" x14ac:dyDescent="0.25">
      <c r="A460" s="694" t="str">
        <f ca="1">Bérköltség!$B460</f>
        <v>FEOR</v>
      </c>
      <c r="B460" s="694" t="str">
        <f ca="1">IFERROR(
IF(AND(Bérköltség!$F460="",H460="NA"),"HIÁNYOS ADATOK",
IF(Bérköltség!$F460&lt;Bérköltség!$U460,Admin!$B$18,Admin!$B$17)),
"")</f>
        <v>FEOR</v>
      </c>
      <c r="C460" s="437" t="str">
        <f>IFERROR(INDEX('Historikus berek_2021-2'!$A$1:$F$903,MATCH(AB460,'Historikus berek_2021-2'!$A$1:$A$903,0),4),"")</f>
        <v/>
      </c>
      <c r="D460" s="438" t="str">
        <f t="shared" si="1106"/>
        <v>NA</v>
      </c>
      <c r="E460" s="437">
        <f t="shared" si="1107"/>
        <v>350000</v>
      </c>
      <c r="F460" s="439" t="str">
        <f t="shared" si="1108"/>
        <v/>
      </c>
      <c r="G460" s="440" t="str">
        <f t="shared" si="1109"/>
        <v/>
      </c>
      <c r="H460" s="441">
        <f>IFERROR(INDEX('FEOR kodok'!$A$2:$J$1126,MATCH(Bérköltség!AB460,'FEOR kodok'!$B$2:$B$1126,0),8),"NA")</f>
        <v>3910</v>
      </c>
      <c r="I460" s="436">
        <f ca="1">IFERROR(INDEX('FEOR kodok'!$A$2:$J$1126,MATCH(Bérköltség!AB460,'FEOR kodok'!$B$2:$B$1126,0),10),"NA")</f>
        <v>28</v>
      </c>
      <c r="J460" s="442" t="str">
        <f t="shared" ca="1" si="1110"/>
        <v>30 év alatt</v>
      </c>
      <c r="K460" s="436" t="str">
        <f>IFERROR(INDEX(admin_feor[#All],MATCH(Bérköltség!H460,admin_feor[[#All],[Foglalkozás]],0),2),"NA")</f>
        <v>Egyéb ügyintéző</v>
      </c>
      <c r="L460" s="438">
        <f ca="1">IFERROR(
INDEX('Admin - FEOR'!$A$4:$F$465,MATCH(Bérköltség!H460,'Admin - FEOR'!$A$4:$A$465,0),
IF(J460="30 év alatt",3,
IF(J460="30–39 éves",4,
IF(J460="40–49 éves",5,
IF(J460="50 év és afelett",6
)))))*1,"NA")</f>
        <v>359927</v>
      </c>
      <c r="M460" s="438">
        <f t="shared" si="1111"/>
        <v>350000</v>
      </c>
      <c r="N460" s="443">
        <f t="shared" ca="1" si="1112"/>
        <v>0.97241940726869613</v>
      </c>
      <c r="O460" s="438">
        <f ca="1">IFERROR(
INDEX('Admin - FEOR'!$A$4:$F$465,MATCH(Bérköltség!H460,'Admin - FEOR'!$A$4:$A$465,0),
IF(J460="30 év alatt",3,
IF(J460="30–39 éves",4,
IF(J460="40–49 éves",5,
IF(J460="50 év és afelett",6
)))))*1.5,"NA")</f>
        <v>539890.5</v>
      </c>
      <c r="P460" s="438">
        <f t="shared" ca="1" si="1113"/>
        <v>539890.5</v>
      </c>
      <c r="Q460" s="438">
        <f t="shared" si="1114"/>
        <v>350000</v>
      </c>
      <c r="R460" s="444">
        <f t="shared" si="1115"/>
        <v>1</v>
      </c>
      <c r="S460" s="438">
        <f t="shared" ca="1" si="1116"/>
        <v>0</v>
      </c>
      <c r="T460" s="438">
        <f t="shared" ca="1" si="1117"/>
        <v>0</v>
      </c>
      <c r="U460" s="445">
        <f t="shared" ca="1" si="1118"/>
        <v>0</v>
      </c>
      <c r="V460" s="446">
        <f t="shared" ca="1" si="1119"/>
        <v>365340</v>
      </c>
      <c r="W460" s="447" t="str">
        <f t="shared" ca="1" si="1120"/>
        <v>Nem szükséges indoklás.</v>
      </c>
      <c r="X460" s="571">
        <f t="shared" ca="1" si="1121"/>
        <v>0</v>
      </c>
      <c r="Y460" s="554">
        <f t="shared" ca="1" si="1122"/>
        <v>350000</v>
      </c>
      <c r="Z460" s="556">
        <f t="shared" ca="1" si="1123"/>
        <v>15340</v>
      </c>
      <c r="AA460" s="115"/>
      <c r="AB460" s="146">
        <v>8469983482</v>
      </c>
      <c r="AC460" s="112" t="s">
        <v>4593</v>
      </c>
      <c r="AD460" s="483" t="s">
        <v>45</v>
      </c>
      <c r="AE460" s="143" t="s">
        <v>24</v>
      </c>
      <c r="AF460" s="99" t="s">
        <v>124</v>
      </c>
      <c r="AG460" s="99" t="s">
        <v>224</v>
      </c>
      <c r="AH460" s="451" t="s">
        <v>131</v>
      </c>
      <c r="AI460" s="154">
        <v>45170</v>
      </c>
      <c r="AJ460" s="100" t="str">
        <f>IF(AI460&gt;0,
(IF(AI460&lt;Hónapok!$A$10,Admin!$A$28,
(IF(AI460&lt;Hónapok!$A$22,Admin!$B$28,
(IF(AI460&lt;Hónapok!$A$34,Admin!$C$28,
(IF(AI460&lt;Hónapok!$A$46,Admin!$D$28,"")))))))),"")</f>
        <v>3. mérföldkő</v>
      </c>
      <c r="AK460" s="500" t="s">
        <v>7</v>
      </c>
      <c r="AL460" s="115" t="s">
        <v>26</v>
      </c>
      <c r="AM460" s="900">
        <v>350000</v>
      </c>
      <c r="AN460" s="863">
        <v>15340</v>
      </c>
      <c r="AO460" s="101">
        <v>130</v>
      </c>
      <c r="AP460" s="111">
        <v>130</v>
      </c>
      <c r="AQ460" s="454">
        <f t="shared" si="985"/>
        <v>1</v>
      </c>
      <c r="AR460" s="455">
        <f t="shared" si="986"/>
        <v>350000</v>
      </c>
      <c r="AS460" s="528">
        <v>15340</v>
      </c>
      <c r="AT460" s="102">
        <f t="shared" si="988"/>
        <v>0</v>
      </c>
      <c r="AU460" s="683">
        <f t="shared" si="1124"/>
        <v>4.3828571428571432E-2</v>
      </c>
      <c r="AV460" s="565" t="str">
        <f>VLOOKUP(LEFT(AB460,10),Törzsszám!$A$1:$B$908,2,0)</f>
        <v>40001985</v>
      </c>
      <c r="AW460" s="681"/>
      <c r="AX460" s="471" t="s">
        <v>4618</v>
      </c>
      <c r="AY460" s="505"/>
      <c r="AZ460" s="803"/>
      <c r="BA460" s="673"/>
      <c r="BB460" s="650"/>
      <c r="BC460" s="649"/>
      <c r="BD460" s="672"/>
      <c r="BE460" s="143"/>
    </row>
    <row r="461" spans="1:57" s="117" customFormat="1" ht="14.45" customHeight="1" x14ac:dyDescent="0.25">
      <c r="A461" s="694" t="str">
        <f ca="1">Bérköltség!$B461</f>
        <v>FEOR</v>
      </c>
      <c r="B461" s="694" t="str">
        <f ca="1">IFERROR(
IF(AND(Bérköltség!$F461="",H461="NA"),"HIÁNYOS ADATOK",
IF(Bérköltség!$F461&lt;Bérköltség!$U461,Admin!$B$18,Admin!$B$17)),
"")</f>
        <v>FEOR</v>
      </c>
      <c r="C461" s="437" t="str">
        <f>IFERROR(INDEX('Historikus berek_2021-2'!$A$1:$F$903,MATCH(AB461,'Historikus berek_2021-2'!$A$1:$A$903,0),4),"")</f>
        <v/>
      </c>
      <c r="D461" s="438" t="str">
        <f t="shared" ref="D461:D464" si="1125">IFERROR(C461*AQ461,"NA")</f>
        <v>NA</v>
      </c>
      <c r="E461" s="437">
        <f t="shared" ref="E461:E464" si="1126">AR461</f>
        <v>350000</v>
      </c>
      <c r="F461" s="439" t="str">
        <f t="shared" ref="F461:F464" si="1127">IFERROR(IF((E461*(1+AU461)-D461*(1+AU461))&lt;0,0,(E461*(1+AU461)-D461*(1+AU461))),"")</f>
        <v/>
      </c>
      <c r="G461" s="440" t="str">
        <f t="shared" ref="G461:G464" si="1128">IFERROR((E461*(1+AU461)-F461),"")</f>
        <v/>
      </c>
      <c r="H461" s="441">
        <f>IFERROR(INDEX('FEOR kodok'!$A$2:$J$1126,MATCH(Bérköltség!AB461,'FEOR kodok'!$B$2:$B$1126,0),8),"NA")</f>
        <v>3910</v>
      </c>
      <c r="I461" s="436">
        <f ca="1">IFERROR(INDEX('FEOR kodok'!$A$2:$J$1126,MATCH(Bérköltség!AB461,'FEOR kodok'!$B$2:$B$1126,0),10),"NA")</f>
        <v>28</v>
      </c>
      <c r="J461" s="442" t="str">
        <f t="shared" ref="J461:J464" ca="1" si="1129">IF(I461="NA","NA",
IF(I461&lt;30,"30 év alatt",
IF(AND(I461&gt;=30,I461&lt;=39),"30–39 éves",
IF(AND(I461&gt;=40,I461&lt;=49),"40–49 éves",
IF(I461&gt;=50,"50 év és afelett",
"")))))</f>
        <v>30 év alatt</v>
      </c>
      <c r="K461" s="436" t="str">
        <f>IFERROR(INDEX(admin_feor[#All],MATCH(Bérköltség!H461,admin_feor[[#All],[Foglalkozás]],0),2),"NA")</f>
        <v>Egyéb ügyintéző</v>
      </c>
      <c r="L461" s="438">
        <f ca="1">IFERROR(
INDEX('Admin - FEOR'!$A$4:$F$465,MATCH(Bérköltség!H461,'Admin - FEOR'!$A$4:$A$465,0),
IF(J461="30 év alatt",3,
IF(J461="30–39 éves",4,
IF(J461="40–49 éves",5,
IF(J461="50 év és afelett",6
)))))*1,"NA")</f>
        <v>359927</v>
      </c>
      <c r="M461" s="438">
        <f t="shared" ref="M461:M464" si="1130">AM461</f>
        <v>350000</v>
      </c>
      <c r="N461" s="443">
        <f t="shared" ref="N461:N464" ca="1" si="1131">IFERROR(
M461/L461,"NA")</f>
        <v>0.97241940726869613</v>
      </c>
      <c r="O461" s="438">
        <f ca="1">IFERROR(
INDEX('Admin - FEOR'!$A$4:$F$465,MATCH(Bérköltség!H461,'Admin - FEOR'!$A$4:$A$465,0),
IF(J461="30 év alatt",3,
IF(J461="30–39 éves",4,
IF(J461="40–49 éves",5,
IF(J461="50 év és afelett",6
)))))*1.5,"NA")</f>
        <v>539890.5</v>
      </c>
      <c r="P461" s="438">
        <f t="shared" ref="P461:P464" ca="1" si="1132">IFERROR(
AQ461*O461,"NA")</f>
        <v>539890.5</v>
      </c>
      <c r="Q461" s="438">
        <f t="shared" ref="Q461:Q464" si="1133">IFERROR(AR461,"")</f>
        <v>350000</v>
      </c>
      <c r="R461" s="444">
        <f t="shared" ref="R461:R464" si="1134">IFERROR(AQ461,"")</f>
        <v>1</v>
      </c>
      <c r="S461" s="438">
        <f t="shared" ref="S461:S464" ca="1" si="1135">IFERROR(
IF(AR461-P461&lt;0,0,AR461-P461),"NA")</f>
        <v>0</v>
      </c>
      <c r="T461" s="438">
        <f t="shared" ref="T461:T464" ca="1" si="1136">IFERROR(
S461*AU461,"NA")</f>
        <v>0</v>
      </c>
      <c r="U461" s="445">
        <f t="shared" ref="U461:U464" ca="1" si="1137">IFERROR(
S461+T461,"NA")</f>
        <v>0</v>
      </c>
      <c r="V461" s="446">
        <f t="shared" ref="V461:V464" ca="1" si="1138">IFERROR(
IF(U461&gt;0,AR461+AS461-U461,AR461+AS461),"NA")</f>
        <v>365340</v>
      </c>
      <c r="W461" s="447" t="str">
        <f t="shared" ref="W461:W464" ca="1" si="1139">IF(P461="NA","FEOR hiányzik",
IF(AND(N461&gt;1,A461="FEOR"),CONCATENATE("Indoklás szükséges mivel a FEOR: ",ROUND(N461*100,1),"%"),"Nem szükséges indoklás.")
)</f>
        <v>Nem szükséges indoklás.</v>
      </c>
      <c r="X461" s="571">
        <f t="shared" ca="1" si="1121"/>
        <v>0</v>
      </c>
      <c r="Y461" s="554">
        <f t="shared" ca="1" si="1122"/>
        <v>350000</v>
      </c>
      <c r="Z461" s="556">
        <f t="shared" ref="Z461:Z464" ca="1" si="1140">IF(A461="FEOR",ROUND(V461-Y461,0),IF(A461="HIÁNYOS ADATOK","HIÁNYOS ADATOK",ROUND(G461-Y461,0)))</f>
        <v>15340</v>
      </c>
      <c r="AA461" s="115"/>
      <c r="AB461" s="873">
        <v>8469983482</v>
      </c>
      <c r="AC461" s="874" t="s">
        <v>4593</v>
      </c>
      <c r="AD461" s="815" t="s">
        <v>45</v>
      </c>
      <c r="AE461" s="875" t="s">
        <v>24</v>
      </c>
      <c r="AF461" s="816" t="s">
        <v>124</v>
      </c>
      <c r="AG461" s="816" t="s">
        <v>224</v>
      </c>
      <c r="AH461" s="827" t="s">
        <v>131</v>
      </c>
      <c r="AI461" s="817">
        <v>45200</v>
      </c>
      <c r="AJ461" s="818" t="str">
        <f>IF(AI461&gt;0,
(IF(AI461&lt;Hónapok!$A$10,Admin!$A$28,
(IF(AI461&lt;Hónapok!$A$22,Admin!$B$28,
(IF(AI461&lt;Hónapok!$A$34,Admin!$C$28,
(IF(AI461&lt;Hónapok!$A$46,Admin!$D$28,"")))))))),"")</f>
        <v>3. mérföldkő</v>
      </c>
      <c r="AK461" s="876" t="s">
        <v>8</v>
      </c>
      <c r="AL461" s="877" t="s">
        <v>26</v>
      </c>
      <c r="AM461" s="902">
        <v>350000</v>
      </c>
      <c r="AN461" s="863">
        <v>15340</v>
      </c>
      <c r="AO461" s="819">
        <v>130</v>
      </c>
      <c r="AP461" s="820">
        <v>130</v>
      </c>
      <c r="AQ461" s="821">
        <f t="shared" ref="AQ461:AQ464" si="1141">IFERROR(AP461/AO461,"")</f>
        <v>1</v>
      </c>
      <c r="AR461" s="822">
        <f t="shared" ref="AR461:AR464" si="1142">IFERROR(ROUND(AM461*AP461/AO461,0),"")</f>
        <v>350000</v>
      </c>
      <c r="AS461" s="528">
        <v>15340</v>
      </c>
      <c r="AT461" s="823">
        <f t="shared" ref="AT461:AT464" si="1143">IFERROR(AP461/AO461-AR461/AM461,"")</f>
        <v>0</v>
      </c>
      <c r="AU461" s="683">
        <f t="shared" ref="AU461:AU464" si="1144">AN461/AM461</f>
        <v>4.3828571428571432E-2</v>
      </c>
      <c r="AV461" s="825" t="str">
        <f>VLOOKUP(LEFT(AB461,10),Törzsszám!$A$1:$B$908,2,0)</f>
        <v>40001985</v>
      </c>
      <c r="AW461" s="681"/>
      <c r="AX461" s="540"/>
      <c r="AY461" s="505"/>
      <c r="AZ461" s="803"/>
      <c r="BA461" s="673"/>
      <c r="BB461" s="650"/>
      <c r="BC461" s="649"/>
      <c r="BD461" s="672"/>
      <c r="BE461" s="143"/>
    </row>
    <row r="462" spans="1:57" s="117" customFormat="1" ht="14.45" customHeight="1" x14ac:dyDescent="0.25">
      <c r="A462" s="694" t="str">
        <f ca="1">Bérköltség!$B462</f>
        <v>FEOR</v>
      </c>
      <c r="B462" s="694" t="str">
        <f ca="1">IFERROR(
IF(AND(Bérköltség!$F462="",H462="NA"),"HIÁNYOS ADATOK",
IF(Bérköltség!$F462&lt;Bérköltség!$U462,Admin!$B$18,Admin!$B$17)),
"")</f>
        <v>FEOR</v>
      </c>
      <c r="C462" s="437" t="str">
        <f>IFERROR(INDEX('Historikus berek_2021-2'!$A$1:$F$903,MATCH(AB462,'Historikus berek_2021-2'!$A$1:$A$903,0),4),"")</f>
        <v/>
      </c>
      <c r="D462" s="438" t="str">
        <f t="shared" si="1125"/>
        <v>NA</v>
      </c>
      <c r="E462" s="437">
        <f t="shared" si="1126"/>
        <v>350000</v>
      </c>
      <c r="F462" s="439" t="str">
        <f t="shared" si="1127"/>
        <v/>
      </c>
      <c r="G462" s="440" t="str">
        <f t="shared" si="1128"/>
        <v/>
      </c>
      <c r="H462" s="441">
        <f>IFERROR(INDEX('FEOR kodok'!$A$2:$J$1126,MATCH(Bérköltség!AB462,'FEOR kodok'!$B$2:$B$1126,0),8),"NA")</f>
        <v>3910</v>
      </c>
      <c r="I462" s="436">
        <f ca="1">IFERROR(INDEX('FEOR kodok'!$A$2:$J$1126,MATCH(Bérköltség!AB462,'FEOR kodok'!$B$2:$B$1126,0),10),"NA")</f>
        <v>28</v>
      </c>
      <c r="J462" s="442" t="str">
        <f t="shared" ca="1" si="1129"/>
        <v>30 év alatt</v>
      </c>
      <c r="K462" s="436" t="str">
        <f>IFERROR(INDEX(admin_feor[#All],MATCH(Bérköltség!H462,admin_feor[[#All],[Foglalkozás]],0),2),"NA")</f>
        <v>Egyéb ügyintéző</v>
      </c>
      <c r="L462" s="438">
        <f ca="1">IFERROR(
INDEX('Admin - FEOR'!$A$4:$F$465,MATCH(Bérköltség!H462,'Admin - FEOR'!$A$4:$A$465,0),
IF(J462="30 év alatt",3,
IF(J462="30–39 éves",4,
IF(J462="40–49 éves",5,
IF(J462="50 év és afelett",6
)))))*1,"NA")</f>
        <v>359927</v>
      </c>
      <c r="M462" s="438">
        <f t="shared" si="1130"/>
        <v>350000</v>
      </c>
      <c r="N462" s="443">
        <f t="shared" ca="1" si="1131"/>
        <v>0.97241940726869613</v>
      </c>
      <c r="O462" s="438">
        <f ca="1">IFERROR(
INDEX('Admin - FEOR'!$A$4:$F$465,MATCH(Bérköltség!H462,'Admin - FEOR'!$A$4:$A$465,0),
IF(J462="30 év alatt",3,
IF(J462="30–39 éves",4,
IF(J462="40–49 éves",5,
IF(J462="50 év és afelett",6
)))))*1.5,"NA")</f>
        <v>539890.5</v>
      </c>
      <c r="P462" s="438">
        <f t="shared" ca="1" si="1132"/>
        <v>539890.5</v>
      </c>
      <c r="Q462" s="438">
        <f t="shared" si="1133"/>
        <v>350000</v>
      </c>
      <c r="R462" s="444">
        <f t="shared" si="1134"/>
        <v>1</v>
      </c>
      <c r="S462" s="438">
        <f t="shared" ca="1" si="1135"/>
        <v>0</v>
      </c>
      <c r="T462" s="438">
        <f t="shared" ca="1" si="1136"/>
        <v>0</v>
      </c>
      <c r="U462" s="445">
        <f t="shared" ca="1" si="1137"/>
        <v>0</v>
      </c>
      <c r="V462" s="446">
        <f t="shared" ca="1" si="1138"/>
        <v>365340</v>
      </c>
      <c r="W462" s="447" t="str">
        <f t="shared" ca="1" si="1139"/>
        <v>Nem szükséges indoklás.</v>
      </c>
      <c r="X462" s="571">
        <f t="shared" ca="1" si="1121"/>
        <v>0</v>
      </c>
      <c r="Y462" s="554">
        <f t="shared" ca="1" si="1122"/>
        <v>350000</v>
      </c>
      <c r="Z462" s="556">
        <f t="shared" ca="1" si="1140"/>
        <v>15340</v>
      </c>
      <c r="AA462" s="115"/>
      <c r="AB462" s="873">
        <v>8469983482</v>
      </c>
      <c r="AC462" s="874" t="s">
        <v>4593</v>
      </c>
      <c r="AD462" s="815" t="s">
        <v>45</v>
      </c>
      <c r="AE462" s="875" t="s">
        <v>24</v>
      </c>
      <c r="AF462" s="816" t="s">
        <v>124</v>
      </c>
      <c r="AG462" s="816" t="s">
        <v>224</v>
      </c>
      <c r="AH462" s="827" t="s">
        <v>131</v>
      </c>
      <c r="AI462" s="817">
        <v>45231</v>
      </c>
      <c r="AJ462" s="818" t="str">
        <f>IF(AI462&gt;0,
(IF(AI462&lt;Hónapok!$A$10,Admin!$A$28,
(IF(AI462&lt;Hónapok!$A$22,Admin!$B$28,
(IF(AI462&lt;Hónapok!$A$34,Admin!$C$28,
(IF(AI462&lt;Hónapok!$A$46,Admin!$D$28,"")))))))),"")</f>
        <v>3. mérföldkő</v>
      </c>
      <c r="AK462" s="876" t="s">
        <v>8</v>
      </c>
      <c r="AL462" s="877" t="s">
        <v>26</v>
      </c>
      <c r="AM462" s="902">
        <v>350000</v>
      </c>
      <c r="AN462" s="863">
        <v>15340</v>
      </c>
      <c r="AO462" s="819">
        <v>130</v>
      </c>
      <c r="AP462" s="820">
        <v>130</v>
      </c>
      <c r="AQ462" s="821">
        <f t="shared" si="1141"/>
        <v>1</v>
      </c>
      <c r="AR462" s="822">
        <f t="shared" si="1142"/>
        <v>350000</v>
      </c>
      <c r="AS462" s="528">
        <v>15340</v>
      </c>
      <c r="AT462" s="823">
        <f t="shared" si="1143"/>
        <v>0</v>
      </c>
      <c r="AU462" s="683">
        <f t="shared" si="1144"/>
        <v>4.3828571428571432E-2</v>
      </c>
      <c r="AV462" s="825" t="str">
        <f>VLOOKUP(LEFT(AB462,10),Törzsszám!$A$1:$B$908,2,0)</f>
        <v>40001985</v>
      </c>
      <c r="AW462" s="681"/>
      <c r="AX462" s="540"/>
      <c r="AY462" s="505"/>
      <c r="AZ462" s="803"/>
      <c r="BA462" s="673"/>
      <c r="BB462" s="650"/>
      <c r="BC462" s="649"/>
      <c r="BD462" s="672"/>
      <c r="BE462" s="143"/>
    </row>
    <row r="463" spans="1:57" s="117" customFormat="1" ht="14.45" customHeight="1" x14ac:dyDescent="0.25">
      <c r="A463" s="694" t="str">
        <f ca="1">Bérköltség!$B463</f>
        <v>FEOR</v>
      </c>
      <c r="B463" s="694" t="str">
        <f ca="1">IFERROR(
IF(AND(Bérköltség!$F463="",H463="NA"),"HIÁNYOS ADATOK",
IF(Bérköltség!$F463&lt;Bérköltség!$U463,Admin!$B$18,Admin!$B$17)),
"")</f>
        <v>FEOR</v>
      </c>
      <c r="C463" s="437" t="str">
        <f>IFERROR(INDEX('Historikus berek_2021-2'!$A$1:$F$903,MATCH(AB463,'Historikus berek_2021-2'!$A$1:$A$903,0),4),"")</f>
        <v/>
      </c>
      <c r="D463" s="438" t="str">
        <f t="shared" si="1125"/>
        <v>NA</v>
      </c>
      <c r="E463" s="437">
        <f t="shared" si="1126"/>
        <v>350000</v>
      </c>
      <c r="F463" s="439" t="str">
        <f t="shared" si="1127"/>
        <v/>
      </c>
      <c r="G463" s="440" t="str">
        <f t="shared" si="1128"/>
        <v/>
      </c>
      <c r="H463" s="441">
        <f>IFERROR(INDEX('FEOR kodok'!$A$2:$J$1126,MATCH(Bérköltség!AB463,'FEOR kodok'!$B$2:$B$1126,0),8),"NA")</f>
        <v>3910</v>
      </c>
      <c r="I463" s="436">
        <f ca="1">IFERROR(INDEX('FEOR kodok'!$A$2:$J$1126,MATCH(Bérköltség!AB463,'FEOR kodok'!$B$2:$B$1126,0),10),"NA")</f>
        <v>28</v>
      </c>
      <c r="J463" s="442" t="str">
        <f t="shared" ca="1" si="1129"/>
        <v>30 év alatt</v>
      </c>
      <c r="K463" s="436" t="str">
        <f>IFERROR(INDEX(admin_feor[#All],MATCH(Bérköltség!H463,admin_feor[[#All],[Foglalkozás]],0),2),"NA")</f>
        <v>Egyéb ügyintéző</v>
      </c>
      <c r="L463" s="438">
        <f ca="1">IFERROR(
INDEX('Admin - FEOR'!$A$4:$F$465,MATCH(Bérköltség!H463,'Admin - FEOR'!$A$4:$A$465,0),
IF(J463="30 év alatt",3,
IF(J463="30–39 éves",4,
IF(J463="40–49 éves",5,
IF(J463="50 év és afelett",6
)))))*1,"NA")</f>
        <v>359927</v>
      </c>
      <c r="M463" s="438">
        <f t="shared" si="1130"/>
        <v>350000</v>
      </c>
      <c r="N463" s="443">
        <f t="shared" ca="1" si="1131"/>
        <v>0.97241940726869613</v>
      </c>
      <c r="O463" s="438">
        <f ca="1">IFERROR(
INDEX('Admin - FEOR'!$A$4:$F$465,MATCH(Bérköltség!H463,'Admin - FEOR'!$A$4:$A$465,0),
IF(J463="30 év alatt",3,
IF(J463="30–39 éves",4,
IF(J463="40–49 éves",5,
IF(J463="50 év és afelett",6
)))))*1.5,"NA")</f>
        <v>539890.5</v>
      </c>
      <c r="P463" s="438">
        <f t="shared" ca="1" si="1132"/>
        <v>539890.5</v>
      </c>
      <c r="Q463" s="438">
        <f t="shared" si="1133"/>
        <v>350000</v>
      </c>
      <c r="R463" s="444">
        <f t="shared" si="1134"/>
        <v>1</v>
      </c>
      <c r="S463" s="438">
        <f t="shared" ca="1" si="1135"/>
        <v>0</v>
      </c>
      <c r="T463" s="438">
        <f t="shared" ca="1" si="1136"/>
        <v>0</v>
      </c>
      <c r="U463" s="445">
        <f t="shared" ca="1" si="1137"/>
        <v>0</v>
      </c>
      <c r="V463" s="446">
        <f t="shared" ca="1" si="1138"/>
        <v>365340</v>
      </c>
      <c r="W463" s="447" t="str">
        <f t="shared" ca="1" si="1139"/>
        <v>Nem szükséges indoklás.</v>
      </c>
      <c r="X463" s="571">
        <f t="shared" ca="1" si="1121"/>
        <v>0</v>
      </c>
      <c r="Y463" s="554">
        <f t="shared" ca="1" si="1122"/>
        <v>350000</v>
      </c>
      <c r="Z463" s="556">
        <f t="shared" ca="1" si="1140"/>
        <v>15340</v>
      </c>
      <c r="AA463" s="115"/>
      <c r="AB463" s="873">
        <v>8469983482</v>
      </c>
      <c r="AC463" s="874" t="s">
        <v>4593</v>
      </c>
      <c r="AD463" s="815" t="s">
        <v>45</v>
      </c>
      <c r="AE463" s="875" t="s">
        <v>24</v>
      </c>
      <c r="AF463" s="816" t="s">
        <v>124</v>
      </c>
      <c r="AG463" s="816" t="s">
        <v>224</v>
      </c>
      <c r="AH463" s="827" t="s">
        <v>131</v>
      </c>
      <c r="AI463" s="817">
        <v>45261</v>
      </c>
      <c r="AJ463" s="818" t="str">
        <f>IF(AI463&gt;0,
(IF(AI463&lt;Hónapok!$A$10,Admin!$A$28,
(IF(AI463&lt;Hónapok!$A$22,Admin!$B$28,
(IF(AI463&lt;Hónapok!$A$34,Admin!$C$28,
(IF(AI463&lt;Hónapok!$A$46,Admin!$D$28,"")))))))),"")</f>
        <v>3. mérföldkő</v>
      </c>
      <c r="AK463" s="876" t="s">
        <v>8</v>
      </c>
      <c r="AL463" s="877" t="s">
        <v>26</v>
      </c>
      <c r="AM463" s="902">
        <v>350000</v>
      </c>
      <c r="AN463" s="863">
        <v>15340</v>
      </c>
      <c r="AO463" s="819">
        <v>130</v>
      </c>
      <c r="AP463" s="820">
        <v>130</v>
      </c>
      <c r="AQ463" s="821">
        <f t="shared" si="1141"/>
        <v>1</v>
      </c>
      <c r="AR463" s="822">
        <f t="shared" si="1142"/>
        <v>350000</v>
      </c>
      <c r="AS463" s="528">
        <v>15340</v>
      </c>
      <c r="AT463" s="823">
        <f t="shared" si="1143"/>
        <v>0</v>
      </c>
      <c r="AU463" s="683">
        <f t="shared" si="1144"/>
        <v>4.3828571428571432E-2</v>
      </c>
      <c r="AV463" s="825" t="str">
        <f>VLOOKUP(LEFT(AB463,10),Törzsszám!$A$1:$B$908,2,0)</f>
        <v>40001985</v>
      </c>
      <c r="AW463" s="681"/>
      <c r="AX463" s="540"/>
      <c r="AY463" s="505"/>
      <c r="AZ463" s="803"/>
      <c r="BA463" s="673"/>
      <c r="BB463" s="650"/>
      <c r="BC463" s="649"/>
      <c r="BD463" s="672"/>
      <c r="BE463" s="143"/>
    </row>
    <row r="464" spans="1:57" s="117" customFormat="1" ht="14.45" customHeight="1" x14ac:dyDescent="0.25">
      <c r="A464" s="694" t="str">
        <f ca="1">Bérköltség!$B464</f>
        <v>FEOR</v>
      </c>
      <c r="B464" s="694" t="str">
        <f ca="1">IFERROR(
IF(AND(Bérköltség!$F464="",H464="NA"),"HIÁNYOS ADATOK",
IF(Bérköltség!$F464&lt;Bérköltség!$U464,Admin!$B$18,Admin!$B$17)),
"")</f>
        <v>FEOR</v>
      </c>
      <c r="C464" s="437" t="str">
        <f>IFERROR(INDEX('Historikus berek_2021-2'!$A$1:$F$903,MATCH(AB464,'Historikus berek_2021-2'!$A$1:$A$903,0),4),"")</f>
        <v/>
      </c>
      <c r="D464" s="438" t="str">
        <f t="shared" si="1125"/>
        <v>NA</v>
      </c>
      <c r="E464" s="437">
        <f t="shared" si="1126"/>
        <v>350000</v>
      </c>
      <c r="F464" s="439" t="str">
        <f t="shared" si="1127"/>
        <v/>
      </c>
      <c r="G464" s="440" t="str">
        <f t="shared" si="1128"/>
        <v/>
      </c>
      <c r="H464" s="441">
        <f>IFERROR(INDEX('FEOR kodok'!$A$2:$J$1126,MATCH(Bérköltség!AB464,'FEOR kodok'!$B$2:$B$1126,0),8),"NA")</f>
        <v>3910</v>
      </c>
      <c r="I464" s="436">
        <f ca="1">IFERROR(INDEX('FEOR kodok'!$A$2:$J$1126,MATCH(Bérköltség!AB464,'FEOR kodok'!$B$2:$B$1126,0),10),"NA")</f>
        <v>28</v>
      </c>
      <c r="J464" s="442" t="str">
        <f t="shared" ca="1" si="1129"/>
        <v>30 év alatt</v>
      </c>
      <c r="K464" s="436" t="str">
        <f>IFERROR(INDEX(admin_feor[#All],MATCH(Bérköltség!H464,admin_feor[[#All],[Foglalkozás]],0),2),"NA")</f>
        <v>Egyéb ügyintéző</v>
      </c>
      <c r="L464" s="438">
        <f ca="1">IFERROR(
INDEX('Admin - FEOR'!$A$4:$F$465,MATCH(Bérköltség!H464,'Admin - FEOR'!$A$4:$A$465,0),
IF(J464="30 év alatt",3,
IF(J464="30–39 éves",4,
IF(J464="40–49 éves",5,
IF(J464="50 év és afelett",6
)))))*1,"NA")</f>
        <v>359927</v>
      </c>
      <c r="M464" s="438">
        <f t="shared" si="1130"/>
        <v>350000</v>
      </c>
      <c r="N464" s="443">
        <f t="shared" ca="1" si="1131"/>
        <v>0.97241940726869613</v>
      </c>
      <c r="O464" s="438">
        <f ca="1">IFERROR(
INDEX('Admin - FEOR'!$A$4:$F$465,MATCH(Bérköltség!H464,'Admin - FEOR'!$A$4:$A$465,0),
IF(J464="30 év alatt",3,
IF(J464="30–39 éves",4,
IF(J464="40–49 éves",5,
IF(J464="50 év és afelett",6
)))))*1.5,"NA")</f>
        <v>539890.5</v>
      </c>
      <c r="P464" s="438">
        <f t="shared" ca="1" si="1132"/>
        <v>539890.5</v>
      </c>
      <c r="Q464" s="438">
        <f t="shared" si="1133"/>
        <v>350000</v>
      </c>
      <c r="R464" s="444">
        <f t="shared" si="1134"/>
        <v>1</v>
      </c>
      <c r="S464" s="438">
        <f t="shared" ca="1" si="1135"/>
        <v>0</v>
      </c>
      <c r="T464" s="438">
        <f t="shared" ca="1" si="1136"/>
        <v>0</v>
      </c>
      <c r="U464" s="445">
        <f t="shared" ca="1" si="1137"/>
        <v>0</v>
      </c>
      <c r="V464" s="446">
        <f t="shared" ca="1" si="1138"/>
        <v>365340</v>
      </c>
      <c r="W464" s="447" t="str">
        <f t="shared" ca="1" si="1139"/>
        <v>Nem szükséges indoklás.</v>
      </c>
      <c r="X464" s="571">
        <f t="shared" ca="1" si="1121"/>
        <v>0</v>
      </c>
      <c r="Y464" s="554">
        <f t="shared" ca="1" si="1122"/>
        <v>350000</v>
      </c>
      <c r="Z464" s="556">
        <f t="shared" ca="1" si="1140"/>
        <v>15340</v>
      </c>
      <c r="AA464" s="115"/>
      <c r="AB464" s="873">
        <v>8469983482</v>
      </c>
      <c r="AC464" s="874" t="s">
        <v>4593</v>
      </c>
      <c r="AD464" s="815" t="s">
        <v>45</v>
      </c>
      <c r="AE464" s="875" t="s">
        <v>24</v>
      </c>
      <c r="AF464" s="816" t="s">
        <v>124</v>
      </c>
      <c r="AG464" s="816" t="s">
        <v>224</v>
      </c>
      <c r="AH464" s="827" t="s">
        <v>131</v>
      </c>
      <c r="AI464" s="817">
        <v>45292</v>
      </c>
      <c r="AJ464" s="818" t="str">
        <f>IF(AI464&gt;0,
(IF(AI464&lt;Hónapok!$A$10,Admin!$A$28,
(IF(AI464&lt;Hónapok!$A$22,Admin!$B$28,
(IF(AI464&lt;Hónapok!$A$34,Admin!$C$28,
(IF(AI464&lt;Hónapok!$A$46,Admin!$D$28,"")))))))),"")</f>
        <v>3. mérföldkő</v>
      </c>
      <c r="AK464" s="876" t="s">
        <v>8</v>
      </c>
      <c r="AL464" s="877" t="s">
        <v>26</v>
      </c>
      <c r="AM464" s="902">
        <v>350000</v>
      </c>
      <c r="AN464" s="863">
        <v>15340</v>
      </c>
      <c r="AO464" s="819">
        <v>130</v>
      </c>
      <c r="AP464" s="820">
        <v>130</v>
      </c>
      <c r="AQ464" s="821">
        <f t="shared" si="1141"/>
        <v>1</v>
      </c>
      <c r="AR464" s="822">
        <f t="shared" si="1142"/>
        <v>350000</v>
      </c>
      <c r="AS464" s="528">
        <v>15340</v>
      </c>
      <c r="AT464" s="823">
        <f t="shared" si="1143"/>
        <v>0</v>
      </c>
      <c r="AU464" s="683">
        <f t="shared" si="1144"/>
        <v>4.3828571428571432E-2</v>
      </c>
      <c r="AV464" s="825" t="str">
        <f>VLOOKUP(LEFT(AB464,10),Törzsszám!$A$1:$B$908,2,0)</f>
        <v>40001985</v>
      </c>
      <c r="AW464" s="681"/>
      <c r="AX464" s="540"/>
      <c r="AY464" s="505"/>
      <c r="AZ464" s="803"/>
      <c r="BA464" s="673"/>
      <c r="BB464" s="650"/>
      <c r="BC464" s="649"/>
      <c r="BD464" s="672"/>
      <c r="BE464" s="143"/>
    </row>
    <row r="465" spans="1:57" s="117" customFormat="1" ht="14.45" customHeight="1" x14ac:dyDescent="0.25">
      <c r="A465" s="694" t="str">
        <f ca="1">Bérköltség!$B465</f>
        <v>FEOR</v>
      </c>
      <c r="B465" s="694" t="str">
        <f ca="1">IFERROR(
IF(AND(Bérköltség!$F465="",H465="NA"),"HIÁNYOS ADATOK",
IF(Bérköltség!$F465&lt;Bérköltség!$U465,Admin!$B$18,Admin!$B$17)),
"")</f>
        <v>FEOR</v>
      </c>
      <c r="C465" s="437" t="str">
        <f>IFERROR(INDEX('Historikus berek_2021-2'!$A$1:$F$903,MATCH(AB465,'Historikus berek_2021-2'!$A$1:$A$903,0),4),"")</f>
        <v/>
      </c>
      <c r="D465" s="438" t="str">
        <f t="shared" ref="D465" si="1145">IFERROR(C465*AQ465,"NA")</f>
        <v>NA</v>
      </c>
      <c r="E465" s="437">
        <f t="shared" ref="E465" si="1146">AR465</f>
        <v>350000</v>
      </c>
      <c r="F465" s="439" t="str">
        <f t="shared" ref="F465" si="1147">IFERROR(IF((E465*(1+AU465)-D465*(1+AU465))&lt;0,0,(E465*(1+AU465)-D465*(1+AU465))),"")</f>
        <v/>
      </c>
      <c r="G465" s="440" t="str">
        <f t="shared" ref="G465" si="1148">IFERROR((E465*(1+AU465)-F465),"")</f>
        <v/>
      </c>
      <c r="H465" s="441">
        <f>IFERROR(INDEX('FEOR kodok'!$A$2:$J$1126,MATCH(Bérköltség!AB465,'FEOR kodok'!$B$2:$B$1126,0),8),"NA")</f>
        <v>3910</v>
      </c>
      <c r="I465" s="436">
        <f ca="1">IFERROR(INDEX('FEOR kodok'!$A$2:$J$1126,MATCH(Bérköltség!AB465,'FEOR kodok'!$B$2:$B$1126,0),10),"NA")</f>
        <v>28</v>
      </c>
      <c r="J465" s="442" t="str">
        <f t="shared" ref="J465" ca="1" si="1149">IF(I465="NA","NA",
IF(I465&lt;30,"30 év alatt",
IF(AND(I465&gt;=30,I465&lt;=39),"30–39 éves",
IF(AND(I465&gt;=40,I465&lt;=49),"40–49 éves",
IF(I465&gt;=50,"50 év és afelett",
"")))))</f>
        <v>30 év alatt</v>
      </c>
      <c r="K465" s="436" t="str">
        <f>IFERROR(INDEX(admin_feor[#All],MATCH(Bérköltség!H465,admin_feor[[#All],[Foglalkozás]],0),2),"NA")</f>
        <v>Egyéb ügyintéző</v>
      </c>
      <c r="L465" s="438">
        <f ca="1">IFERROR(
INDEX('Admin - FEOR'!$A$4:$F$465,MATCH(Bérköltség!H465,'Admin - FEOR'!$A$4:$A$465,0),
IF(J465="30 év alatt",3,
IF(J465="30–39 éves",4,
IF(J465="40–49 éves",5,
IF(J465="50 év és afelett",6
)))))*1,"NA")</f>
        <v>359927</v>
      </c>
      <c r="M465" s="438">
        <f t="shared" ref="M465" si="1150">AM465</f>
        <v>350000</v>
      </c>
      <c r="N465" s="443">
        <f t="shared" ref="N465" ca="1" si="1151">IFERROR(
M465/L465,"NA")</f>
        <v>0.97241940726869613</v>
      </c>
      <c r="O465" s="438">
        <f ca="1">IFERROR(
INDEX('Admin - FEOR'!$A$4:$F$465,MATCH(Bérköltség!H465,'Admin - FEOR'!$A$4:$A$465,0),
IF(J465="30 év alatt",3,
IF(J465="30–39 éves",4,
IF(J465="40–49 éves",5,
IF(J465="50 év és afelett",6
)))))*1.5,"NA")</f>
        <v>539890.5</v>
      </c>
      <c r="P465" s="438">
        <f t="shared" ref="P465" ca="1" si="1152">IFERROR(
AQ465*O465,"NA")</f>
        <v>539890.5</v>
      </c>
      <c r="Q465" s="438">
        <f t="shared" ref="Q465" si="1153">IFERROR(AR465,"")</f>
        <v>350000</v>
      </c>
      <c r="R465" s="444">
        <f t="shared" ref="R465" si="1154">IFERROR(AQ465,"")</f>
        <v>1</v>
      </c>
      <c r="S465" s="438">
        <f t="shared" ref="S465" ca="1" si="1155">IFERROR(
IF(AR465-P465&lt;0,0,AR465-P465),"NA")</f>
        <v>0</v>
      </c>
      <c r="T465" s="438">
        <f t="shared" ref="T465" ca="1" si="1156">IFERROR(
S465*AU465,"NA")</f>
        <v>0</v>
      </c>
      <c r="U465" s="445">
        <f t="shared" ref="U465" ca="1" si="1157">IFERROR(
S465+T465,"NA")</f>
        <v>0</v>
      </c>
      <c r="V465" s="446">
        <f t="shared" ref="V465" ca="1" si="1158">IFERROR(
IF(U465&gt;0,AR465+AS465-U465,AR465+AS465),"NA")</f>
        <v>365340</v>
      </c>
      <c r="W465" s="447" t="str">
        <f t="shared" ref="W465" ca="1" si="1159">IF(P465="NA","FEOR hiányzik",
IF(AND(N465&gt;1,A465="FEOR"),CONCATENATE("Indoklás szükséges mivel a FEOR: ",ROUND(N465*100,1),"%"),"Nem szükséges indoklás.")
)</f>
        <v>Nem szükséges indoklás.</v>
      </c>
      <c r="X465" s="571">
        <f t="shared" ca="1" si="1121"/>
        <v>0</v>
      </c>
      <c r="Y465" s="554">
        <f t="shared" ca="1" si="1122"/>
        <v>350000</v>
      </c>
      <c r="Z465" s="556">
        <f t="shared" ref="Z465" ca="1" si="1160">IF(A465="FEOR",ROUND(V465-Y465,0),IF(A465="HIÁNYOS ADATOK","HIÁNYOS ADATOK",ROUND(G465-Y465,0)))</f>
        <v>15340</v>
      </c>
      <c r="AA465" s="115"/>
      <c r="AB465" s="873">
        <v>8469983482</v>
      </c>
      <c r="AC465" s="874" t="s">
        <v>4593</v>
      </c>
      <c r="AD465" s="815" t="s">
        <v>45</v>
      </c>
      <c r="AE465" s="875" t="s">
        <v>24</v>
      </c>
      <c r="AF465" s="816" t="s">
        <v>124</v>
      </c>
      <c r="AG465" s="816" t="s">
        <v>224</v>
      </c>
      <c r="AH465" s="827" t="s">
        <v>131</v>
      </c>
      <c r="AI465" s="817">
        <v>45323</v>
      </c>
      <c r="AJ465" s="818" t="str">
        <f>IF(AI465&gt;0,
(IF(AI465&lt;Hónapok!$A$10,Admin!$A$28,
(IF(AI465&lt;Hónapok!$A$22,Admin!$B$28,
(IF(AI465&lt;Hónapok!$A$34,Admin!$C$28,
(IF(AI465&lt;Hónapok!$A$46,Admin!$D$28,"")))))))),"")</f>
        <v>3. mérföldkő</v>
      </c>
      <c r="AK465" s="876" t="s">
        <v>8</v>
      </c>
      <c r="AL465" s="877" t="s">
        <v>26</v>
      </c>
      <c r="AM465" s="902">
        <v>350000</v>
      </c>
      <c r="AN465" s="863">
        <v>15340</v>
      </c>
      <c r="AO465" s="819">
        <v>130</v>
      </c>
      <c r="AP465" s="820">
        <v>130</v>
      </c>
      <c r="AQ465" s="821">
        <f t="shared" ref="AQ465" si="1161">IFERROR(AP465/AO465,"")</f>
        <v>1</v>
      </c>
      <c r="AR465" s="822">
        <f t="shared" ref="AR465" si="1162">IFERROR(ROUND(AM465*AP465/AO465,0),"")</f>
        <v>350000</v>
      </c>
      <c r="AS465" s="528">
        <v>15340</v>
      </c>
      <c r="AT465" s="823">
        <f t="shared" ref="AT465" si="1163">IFERROR(AP465/AO465-AR465/AM465,"")</f>
        <v>0</v>
      </c>
      <c r="AU465" s="683">
        <f t="shared" ref="AU465" si="1164">AN465/AM465</f>
        <v>4.3828571428571432E-2</v>
      </c>
      <c r="AV465" s="825" t="str">
        <f>VLOOKUP(LEFT(AB465,10),Törzsszám!$A$1:$B$908,2,0)</f>
        <v>40001985</v>
      </c>
      <c r="AW465" s="681"/>
      <c r="AX465" s="540"/>
      <c r="AY465" s="505"/>
      <c r="AZ465" s="803"/>
      <c r="BA465" s="673"/>
      <c r="BB465" s="650"/>
      <c r="BC465" s="649"/>
      <c r="BD465" s="672"/>
      <c r="BE465" s="143"/>
    </row>
    <row r="466" spans="1:57" s="117" customFormat="1" ht="14.45" customHeight="1" x14ac:dyDescent="0.25">
      <c r="A466" s="694" t="str">
        <f ca="1">Bérköltség!$B466</f>
        <v>FEOR</v>
      </c>
      <c r="B466" s="694" t="str">
        <f ca="1">IFERROR(
IF(AND(Bérköltség!$F466="",H466="NA"),"HIÁNYOS ADATOK",
IF(Bérköltség!$F466&lt;Bérköltség!$U466,Admin!$B$18,Admin!$B$17)),
"")</f>
        <v>FEOR</v>
      </c>
      <c r="C466" s="437">
        <f>IFERROR(INDEX('Historikus berek_2021-2'!$A$1:$F$903,MATCH(AB466,'Historikus berek_2021-2'!$A$1:$A$903,0),4),"")</f>
        <v>316866.66666666669</v>
      </c>
      <c r="D466" s="438">
        <f t="shared" ref="D466:D474" si="1165">IFERROR(C466*AQ466,"NA")</f>
        <v>78306.130268199238</v>
      </c>
      <c r="E466" s="437">
        <f t="shared" ref="E466:E474" si="1166">AR466</f>
        <v>100333</v>
      </c>
      <c r="F466" s="439">
        <f t="shared" ref="F466:F474" si="1167">IFERROR(IF((E466*(1+AU466)-D466*(1+AU466))&lt;0,0,(E466*(1+AU466)-D466*(1+AU466))),"")</f>
        <v>24890.36279693486</v>
      </c>
      <c r="G466" s="440">
        <f t="shared" ref="G466:G474" si="1168">IFERROR((E466*(1+AU466)-F466),"")</f>
        <v>88485.927203065134</v>
      </c>
      <c r="H466" s="441">
        <f>IFERROR(INDEX('FEOR kodok'!$A$2:$J$1126,MATCH(Bérköltség!AB466,'FEOR kodok'!$B$2:$B$1126,0),8),"NA")</f>
        <v>3910</v>
      </c>
      <c r="I466" s="436">
        <f ca="1">IFERROR(INDEX('FEOR kodok'!$A$2:$J$1126,MATCH(Bérköltség!AB466,'FEOR kodok'!$B$2:$B$1126,0),10),"NA")</f>
        <v>30</v>
      </c>
      <c r="J466" s="442" t="str">
        <f t="shared" ref="J466:J474" ca="1" si="1169">IF(I466="NA","NA",
IF(I466&lt;30,"30 év alatt",
IF(AND(I466&gt;=30,I466&lt;=39),"30–39 éves",
IF(AND(I466&gt;=40,I466&lt;=49),"40–49 éves",
IF(I466&gt;=50,"50 év és afelett",
"")))))</f>
        <v>30–39 éves</v>
      </c>
      <c r="K466" s="436" t="str">
        <f>IFERROR(INDEX(admin_feor[#All],MATCH(Bérköltség!H466,admin_feor[[#All],[Foglalkozás]],0),2),"NA")</f>
        <v>Egyéb ügyintéző</v>
      </c>
      <c r="L466" s="438">
        <f ca="1">IFERROR(
INDEX('Admin - FEOR'!$A$4:$F$465,MATCH(Bérköltség!H466,'Admin - FEOR'!$A$4:$A$465,0),
IF(J466="30 év alatt",3,
IF(J466="30–39 éves",4,
IF(J466="40–49 éves",5,
IF(J466="50 év és afelett",6
)))))*1,"NA")</f>
        <v>408171</v>
      </c>
      <c r="M466" s="438">
        <f t="shared" ref="M466:M474" si="1170">AM466</f>
        <v>406000</v>
      </c>
      <c r="N466" s="443">
        <f t="shared" ref="N466:N474" ca="1" si="1171">IFERROR(
M466/L466,"NA")</f>
        <v>0.99468115079219244</v>
      </c>
      <c r="O466" s="438">
        <f ca="1">IFERROR(
INDEX('Admin - FEOR'!$A$4:$F$465,MATCH(Bérköltség!H466,'Admin - FEOR'!$A$4:$A$465,0),
IF(J466="30 év alatt",3,
IF(J466="30–39 éves",4,
IF(J466="40–49 éves",5,
IF(J466="50 év és afelett",6
)))))*1.5,"NA")</f>
        <v>612256.5</v>
      </c>
      <c r="P466" s="438">
        <f t="shared" ref="P466:P474" ca="1" si="1172">IFERROR(
AQ466*O466,"NA")</f>
        <v>151304.7672413793</v>
      </c>
      <c r="Q466" s="438">
        <f t="shared" ref="Q466:Q474" si="1173">IFERROR(AR466,"")</f>
        <v>100333</v>
      </c>
      <c r="R466" s="444">
        <f t="shared" ref="R466:R474" si="1174">IFERROR(AQ466,"")</f>
        <v>0.2471264367816092</v>
      </c>
      <c r="S466" s="438">
        <f t="shared" ref="S466:S474" ca="1" si="1175">IFERROR(
IF(AR466-P466&lt;0,0,AR466-P466),"NA")</f>
        <v>0</v>
      </c>
      <c r="T466" s="438">
        <f t="shared" ref="T466:T474" ca="1" si="1176">IFERROR(
S466*AU466,"NA")</f>
        <v>0</v>
      </c>
      <c r="U466" s="445">
        <f t="shared" ref="U466:U474" ca="1" si="1177">IFERROR(
S466+T466,"NA")</f>
        <v>0</v>
      </c>
      <c r="V466" s="446">
        <f t="shared" ref="V466:V474" ca="1" si="1178">IFERROR(
IF(U466&gt;0,AR466+AS466-U466,AR466+AS466),"NA")</f>
        <v>113376</v>
      </c>
      <c r="W466" s="447" t="str">
        <f t="shared" ref="W466:W474" ca="1" si="1179">IF(P466="NA","FEOR hiányzik",
IF(AND(N466&gt;1,A466="FEOR"),CONCATENATE("Indoklás szükséges mivel a FEOR: ",ROUND(N466*100,1),"%"),"Nem szükséges indoklás.")
)</f>
        <v>Nem szükséges indoklás.</v>
      </c>
      <c r="X466" s="571">
        <f t="shared" ref="X466:X474" ca="1" si="1180">IF(A466="FEOR",U466,IF(A466="HIÁNYOS ADATOK","HIÁNYOS ADATOK",F466))</f>
        <v>0</v>
      </c>
      <c r="Y466" s="554">
        <f t="shared" ref="Y466:Y474" ca="1" si="1181">IF(A466="FEOR",ROUND(V466/(1+AU466),0),IF(A466="HIÁNYOS ADATOK","HIÁNYOS ADATOK",ROUND(G466/(1+AU466),0)))</f>
        <v>100333</v>
      </c>
      <c r="Z466" s="554">
        <f t="shared" ref="Z466:Z474" ca="1" si="1182">IF(A466="FEOR",ROUND(V466-Y466,0),IF(A466="HIÁNYOS ADATOK","HIÁNYOS ADATOK",ROUND(G466-Y466,0)))</f>
        <v>13043</v>
      </c>
      <c r="AA466" s="115"/>
      <c r="AB466" s="514">
        <v>8461583191</v>
      </c>
      <c r="AC466" s="515" t="s">
        <v>1695</v>
      </c>
      <c r="AD466" s="513" t="s">
        <v>45</v>
      </c>
      <c r="AE466" s="516" t="s">
        <v>24</v>
      </c>
      <c r="AF466" s="299" t="s">
        <v>125</v>
      </c>
      <c r="AG466" s="299" t="s">
        <v>4572</v>
      </c>
      <c r="AH466" s="104" t="s">
        <v>131</v>
      </c>
      <c r="AI466" s="153">
        <v>45078</v>
      </c>
      <c r="AJ466" s="105" t="str">
        <f>IF(AI466&gt;0,
(IF(AI466&lt;Hónapok!$A$10,Admin!$A$28,
(IF(AI466&lt;Hónapok!$A$22,Admin!$B$28,
(IF(AI466&lt;Hónapok!$A$34,Admin!$C$28,
(IF(AI466&lt;Hónapok!$A$46,Admin!$D$28,"")))))))),"")</f>
        <v>3. mérföldkő</v>
      </c>
      <c r="AK466" s="517" t="s">
        <v>7</v>
      </c>
      <c r="AL466" s="518" t="s">
        <v>26</v>
      </c>
      <c r="AM466" s="901">
        <v>406000</v>
      </c>
      <c r="AN466" s="861">
        <f t="shared" ref="AN466" si="1183">IFERROR(ROUND(AM466*AU466,0),"")</f>
        <v>52780</v>
      </c>
      <c r="AO466" s="106">
        <v>174</v>
      </c>
      <c r="AP466" s="300">
        <v>43</v>
      </c>
      <c r="AQ466" s="813">
        <f t="shared" ref="AQ466:AQ474" si="1184">IFERROR(AP466/AO466,"")</f>
        <v>0.2471264367816092</v>
      </c>
      <c r="AR466" s="511">
        <f t="shared" ref="AR466" si="1185">IFERROR(ROUND(AM466*AP466/AO466,0),"")</f>
        <v>100333</v>
      </c>
      <c r="AS466" s="511">
        <f t="shared" ref="AS466" si="1186">IFERROR(ROUND(AR466*AU466,0),"")</f>
        <v>13043</v>
      </c>
      <c r="AT466" s="296">
        <f t="shared" ref="AT466" si="1187">IFERROR(AP466/AO466-AR466/AM466,"")</f>
        <v>8.2101806239687214E-7</v>
      </c>
      <c r="AU466" s="512">
        <v>0.13</v>
      </c>
      <c r="AV466" s="661" t="str">
        <f>VLOOKUP(LEFT(AB466,10),Törzsszám!$A$1:$B$908,2,0)</f>
        <v>10001966</v>
      </c>
      <c r="AW466" s="681"/>
      <c r="AX466" s="471" t="s">
        <v>4606</v>
      </c>
      <c r="AY466" s="505"/>
      <c r="AZ466" s="803"/>
      <c r="BA466" s="673"/>
      <c r="BB466" s="650"/>
      <c r="BC466" s="649"/>
      <c r="BD466" s="672"/>
      <c r="BE466" s="143"/>
    </row>
    <row r="467" spans="1:57" s="117" customFormat="1" ht="14.45" customHeight="1" x14ac:dyDescent="0.25">
      <c r="A467" s="694" t="str">
        <f ca="1">Bérköltség!$B467</f>
        <v>FEOR</v>
      </c>
      <c r="B467" s="694" t="str">
        <f ca="1">IFERROR(
IF(AND(Bérköltség!$F467="",H467="NA"),"HIÁNYOS ADATOK",
IF(Bérköltség!$F467&lt;Bérköltség!$U467,Admin!$B$18,Admin!$B$17)),
"")</f>
        <v>FEOR</v>
      </c>
      <c r="C467" s="437">
        <f>IFERROR(INDEX('Historikus berek_2021-2'!$A$1:$F$903,MATCH(AB467,'Historikus berek_2021-2'!$A$1:$A$903,0),4),"")</f>
        <v>316866.66666666669</v>
      </c>
      <c r="D467" s="438">
        <f t="shared" si="1165"/>
        <v>78306.130268199238</v>
      </c>
      <c r="E467" s="437">
        <f t="shared" si="1166"/>
        <v>100333</v>
      </c>
      <c r="F467" s="439">
        <f t="shared" si="1167"/>
        <v>24890.36279693486</v>
      </c>
      <c r="G467" s="440">
        <f t="shared" si="1168"/>
        <v>88485.927203065134</v>
      </c>
      <c r="H467" s="441">
        <f>IFERROR(INDEX('FEOR kodok'!$A$2:$J$1126,MATCH(Bérköltség!AB467,'FEOR kodok'!$B$2:$B$1126,0),8),"NA")</f>
        <v>3910</v>
      </c>
      <c r="I467" s="436">
        <f ca="1">IFERROR(INDEX('FEOR kodok'!$A$2:$J$1126,MATCH(Bérköltség!AB467,'FEOR kodok'!$B$2:$B$1126,0),10),"NA")</f>
        <v>30</v>
      </c>
      <c r="J467" s="442" t="str">
        <f t="shared" ca="1" si="1169"/>
        <v>30–39 éves</v>
      </c>
      <c r="K467" s="436" t="str">
        <f>IFERROR(INDEX(admin_feor[#All],MATCH(Bérköltség!H467,admin_feor[[#All],[Foglalkozás]],0),2),"NA")</f>
        <v>Egyéb ügyintéző</v>
      </c>
      <c r="L467" s="438">
        <f ca="1">IFERROR(
INDEX('Admin - FEOR'!$A$4:$F$465,MATCH(Bérköltség!H467,'Admin - FEOR'!$A$4:$A$465,0),
IF(J467="30 év alatt",3,
IF(J467="30–39 éves",4,
IF(J467="40–49 éves",5,
IF(J467="50 év és afelett",6
)))))*1,"NA")</f>
        <v>408171</v>
      </c>
      <c r="M467" s="438">
        <f t="shared" si="1170"/>
        <v>406000</v>
      </c>
      <c r="N467" s="443">
        <f t="shared" ca="1" si="1171"/>
        <v>0.99468115079219244</v>
      </c>
      <c r="O467" s="438">
        <f ca="1">IFERROR(
INDEX('Admin - FEOR'!$A$4:$F$465,MATCH(Bérköltség!H467,'Admin - FEOR'!$A$4:$A$465,0),
IF(J467="30 év alatt",3,
IF(J467="30–39 éves",4,
IF(J467="40–49 éves",5,
IF(J467="50 év és afelett",6
)))))*1.5,"NA")</f>
        <v>612256.5</v>
      </c>
      <c r="P467" s="438">
        <f t="shared" ca="1" si="1172"/>
        <v>151304.7672413793</v>
      </c>
      <c r="Q467" s="438">
        <f t="shared" si="1173"/>
        <v>100333</v>
      </c>
      <c r="R467" s="444">
        <f t="shared" si="1174"/>
        <v>0.2471264367816092</v>
      </c>
      <c r="S467" s="438">
        <f t="shared" ca="1" si="1175"/>
        <v>0</v>
      </c>
      <c r="T467" s="438">
        <f t="shared" ca="1" si="1176"/>
        <v>0</v>
      </c>
      <c r="U467" s="445">
        <f t="shared" ca="1" si="1177"/>
        <v>0</v>
      </c>
      <c r="V467" s="446">
        <f t="shared" ca="1" si="1178"/>
        <v>113376</v>
      </c>
      <c r="W467" s="447" t="str">
        <f t="shared" ca="1" si="1179"/>
        <v>Nem szükséges indoklás.</v>
      </c>
      <c r="X467" s="571">
        <f t="shared" ca="1" si="1180"/>
        <v>0</v>
      </c>
      <c r="Y467" s="554">
        <f t="shared" ca="1" si="1181"/>
        <v>100333</v>
      </c>
      <c r="Z467" s="554">
        <f t="shared" ca="1" si="1182"/>
        <v>13043</v>
      </c>
      <c r="AA467" s="115"/>
      <c r="AB467" s="514">
        <v>8461583191</v>
      </c>
      <c r="AC467" s="515" t="s">
        <v>1695</v>
      </c>
      <c r="AD467" s="513" t="s">
        <v>45</v>
      </c>
      <c r="AE467" s="516" t="s">
        <v>24</v>
      </c>
      <c r="AF467" s="299" t="s">
        <v>125</v>
      </c>
      <c r="AG467" s="299" t="s">
        <v>4572</v>
      </c>
      <c r="AH467" s="104" t="s">
        <v>131</v>
      </c>
      <c r="AI467" s="153">
        <v>45108</v>
      </c>
      <c r="AJ467" s="105" t="str">
        <f>IF(AI467&gt;0,
(IF(AI467&lt;Hónapok!$A$10,Admin!$A$28,
(IF(AI467&lt;Hónapok!$A$22,Admin!$B$28,
(IF(AI467&lt;Hónapok!$A$34,Admin!$C$28,
(IF(AI467&lt;Hónapok!$A$46,Admin!$D$28,"")))))))),"")</f>
        <v>3. mérföldkő</v>
      </c>
      <c r="AK467" s="517" t="s">
        <v>7</v>
      </c>
      <c r="AL467" s="518" t="s">
        <v>26</v>
      </c>
      <c r="AM467" s="901">
        <v>406000</v>
      </c>
      <c r="AN467" s="861">
        <f t="shared" ref="AN467:AN474" si="1188">IFERROR(ROUND(AM467*AU467,0),"")</f>
        <v>52780</v>
      </c>
      <c r="AO467" s="106">
        <v>174</v>
      </c>
      <c r="AP467" s="300">
        <v>43</v>
      </c>
      <c r="AQ467" s="813">
        <f t="shared" si="1184"/>
        <v>0.2471264367816092</v>
      </c>
      <c r="AR467" s="511">
        <f t="shared" ref="AR467:AR474" si="1189">IFERROR(ROUND(AM467*AP467/AO467,0),"")</f>
        <v>100333</v>
      </c>
      <c r="AS467" s="511">
        <f t="shared" ref="AS467:AS474" si="1190">IFERROR(ROUND(AR467*AU467,0),"")</f>
        <v>13043</v>
      </c>
      <c r="AT467" s="296">
        <f t="shared" ref="AT467:AT474" si="1191">IFERROR(AP467/AO467-AR467/AM467,"")</f>
        <v>8.2101806239687214E-7</v>
      </c>
      <c r="AU467" s="512">
        <v>0.13</v>
      </c>
      <c r="AV467" s="661" t="str">
        <f>VLOOKUP(LEFT(AB467,10),Törzsszám!$A$1:$B$908,2,0)</f>
        <v>10001966</v>
      </c>
      <c r="AW467" s="681"/>
      <c r="AX467" s="471" t="s">
        <v>4610</v>
      </c>
      <c r="AY467" s="505"/>
      <c r="AZ467" s="803"/>
      <c r="BA467" s="673"/>
      <c r="BB467" s="650"/>
      <c r="BC467" s="649"/>
      <c r="BD467" s="672"/>
      <c r="BE467" s="143"/>
    </row>
    <row r="468" spans="1:57" s="117" customFormat="1" ht="14.45" customHeight="1" x14ac:dyDescent="0.25">
      <c r="A468" s="694" t="str">
        <f ca="1">Bérköltség!$B468</f>
        <v>FEOR</v>
      </c>
      <c r="B468" s="694" t="str">
        <f ca="1">IFERROR(
IF(AND(Bérköltség!$F468="",H468="NA"),"HIÁNYOS ADATOK",
IF(Bérköltség!$F468&lt;Bérköltség!$U468,Admin!$B$18,Admin!$B$17)),
"")</f>
        <v>FEOR</v>
      </c>
      <c r="C468" s="437">
        <f>IFERROR(INDEX('Historikus berek_2021-2'!$A$1:$F$903,MATCH(AB468,'Historikus berek_2021-2'!$A$1:$A$903,0),4),"")</f>
        <v>316866.66666666669</v>
      </c>
      <c r="D468" s="438">
        <f t="shared" si="1165"/>
        <v>78306.130268199238</v>
      </c>
      <c r="E468" s="437">
        <f t="shared" si="1166"/>
        <v>100333</v>
      </c>
      <c r="F468" s="439">
        <f t="shared" si="1167"/>
        <v>24890.36279693486</v>
      </c>
      <c r="G468" s="440">
        <f t="shared" si="1168"/>
        <v>88485.927203065134</v>
      </c>
      <c r="H468" s="441">
        <f>IFERROR(INDEX('FEOR kodok'!$A$2:$J$1126,MATCH(Bérköltség!AB468,'FEOR kodok'!$B$2:$B$1126,0),8),"NA")</f>
        <v>3910</v>
      </c>
      <c r="I468" s="436">
        <f ca="1">IFERROR(INDEX('FEOR kodok'!$A$2:$J$1126,MATCH(Bérköltség!AB468,'FEOR kodok'!$B$2:$B$1126,0),10),"NA")</f>
        <v>30</v>
      </c>
      <c r="J468" s="442" t="str">
        <f t="shared" ca="1" si="1169"/>
        <v>30–39 éves</v>
      </c>
      <c r="K468" s="436" t="str">
        <f>IFERROR(INDEX(admin_feor[#All],MATCH(Bérköltség!H468,admin_feor[[#All],[Foglalkozás]],0),2),"NA")</f>
        <v>Egyéb ügyintéző</v>
      </c>
      <c r="L468" s="438">
        <f ca="1">IFERROR(
INDEX('Admin - FEOR'!$A$4:$F$465,MATCH(Bérköltség!H468,'Admin - FEOR'!$A$4:$A$465,0),
IF(J468="30 év alatt",3,
IF(J468="30–39 éves",4,
IF(J468="40–49 éves",5,
IF(J468="50 év és afelett",6
)))))*1,"NA")</f>
        <v>408171</v>
      </c>
      <c r="M468" s="438">
        <f t="shared" si="1170"/>
        <v>406000</v>
      </c>
      <c r="N468" s="443">
        <f t="shared" ca="1" si="1171"/>
        <v>0.99468115079219244</v>
      </c>
      <c r="O468" s="438">
        <f ca="1">IFERROR(
INDEX('Admin - FEOR'!$A$4:$F$465,MATCH(Bérköltség!H468,'Admin - FEOR'!$A$4:$A$465,0),
IF(J468="30 év alatt",3,
IF(J468="30–39 éves",4,
IF(J468="40–49 éves",5,
IF(J468="50 év és afelett",6
)))))*1.5,"NA")</f>
        <v>612256.5</v>
      </c>
      <c r="P468" s="438">
        <f t="shared" ca="1" si="1172"/>
        <v>151304.7672413793</v>
      </c>
      <c r="Q468" s="438">
        <f t="shared" si="1173"/>
        <v>100333</v>
      </c>
      <c r="R468" s="444">
        <f t="shared" si="1174"/>
        <v>0.2471264367816092</v>
      </c>
      <c r="S468" s="438">
        <f t="shared" ca="1" si="1175"/>
        <v>0</v>
      </c>
      <c r="T468" s="438">
        <f t="shared" ca="1" si="1176"/>
        <v>0</v>
      </c>
      <c r="U468" s="445">
        <f t="shared" ca="1" si="1177"/>
        <v>0</v>
      </c>
      <c r="V468" s="446">
        <f t="shared" ca="1" si="1178"/>
        <v>113376</v>
      </c>
      <c r="W468" s="447" t="str">
        <f t="shared" ca="1" si="1179"/>
        <v>Nem szükséges indoklás.</v>
      </c>
      <c r="X468" s="571">
        <f t="shared" ca="1" si="1180"/>
        <v>0</v>
      </c>
      <c r="Y468" s="554">
        <f t="shared" ca="1" si="1181"/>
        <v>100333</v>
      </c>
      <c r="Z468" s="554">
        <f t="shared" ca="1" si="1182"/>
        <v>13043</v>
      </c>
      <c r="AA468" s="115"/>
      <c r="AB468" s="514">
        <v>8461583191</v>
      </c>
      <c r="AC468" s="515" t="s">
        <v>1695</v>
      </c>
      <c r="AD468" s="513" t="s">
        <v>45</v>
      </c>
      <c r="AE468" s="516" t="s">
        <v>24</v>
      </c>
      <c r="AF468" s="299" t="s">
        <v>125</v>
      </c>
      <c r="AG468" s="299" t="s">
        <v>4572</v>
      </c>
      <c r="AH468" s="104" t="s">
        <v>131</v>
      </c>
      <c r="AI468" s="153">
        <v>45139</v>
      </c>
      <c r="AJ468" s="105" t="str">
        <f>IF(AI468&gt;0,
(IF(AI468&lt;Hónapok!$A$10,Admin!$A$28,
(IF(AI468&lt;Hónapok!$A$22,Admin!$B$28,
(IF(AI468&lt;Hónapok!$A$34,Admin!$C$28,
(IF(AI468&lt;Hónapok!$A$46,Admin!$D$28,"")))))))),"")</f>
        <v>3. mérföldkő</v>
      </c>
      <c r="AK468" s="517" t="s">
        <v>7</v>
      </c>
      <c r="AL468" s="518" t="s">
        <v>26</v>
      </c>
      <c r="AM468" s="901">
        <v>406000</v>
      </c>
      <c r="AN468" s="861">
        <f t="shared" si="1188"/>
        <v>52780</v>
      </c>
      <c r="AO468" s="106">
        <v>174</v>
      </c>
      <c r="AP468" s="300">
        <v>43</v>
      </c>
      <c r="AQ468" s="813">
        <f t="shared" si="1184"/>
        <v>0.2471264367816092</v>
      </c>
      <c r="AR468" s="511">
        <f t="shared" si="1189"/>
        <v>100333</v>
      </c>
      <c r="AS468" s="511">
        <f t="shared" si="1190"/>
        <v>13043</v>
      </c>
      <c r="AT468" s="296">
        <f t="shared" si="1191"/>
        <v>8.2101806239687214E-7</v>
      </c>
      <c r="AU468" s="512">
        <v>0.13</v>
      </c>
      <c r="AV468" s="661" t="str">
        <f>VLOOKUP(LEFT(AB468,10),Törzsszám!$A$1:$B$908,2,0)</f>
        <v>10001966</v>
      </c>
      <c r="AW468" s="681"/>
      <c r="AX468" s="471" t="s">
        <v>4613</v>
      </c>
      <c r="AY468" s="505"/>
      <c r="AZ468" s="803"/>
      <c r="BA468" s="673"/>
      <c r="BB468" s="650"/>
      <c r="BC468" s="649"/>
      <c r="BD468" s="672"/>
      <c r="BE468" s="143"/>
    </row>
    <row r="469" spans="1:57" s="117" customFormat="1" ht="14.45" customHeight="1" x14ac:dyDescent="0.25">
      <c r="A469" s="694" t="str">
        <f ca="1">Bérköltség!$B469</f>
        <v>FEOR</v>
      </c>
      <c r="B469" s="694" t="str">
        <f ca="1">IFERROR(
IF(AND(Bérköltség!$F469="",H469="NA"),"HIÁNYOS ADATOK",
IF(Bérköltség!$F469&lt;Bérköltség!$U469,Admin!$B$18,Admin!$B$17)),
"")</f>
        <v>FEOR</v>
      </c>
      <c r="C469" s="437">
        <f>IFERROR(INDEX('Historikus berek_2021-2'!$A$1:$F$903,MATCH(AB469,'Historikus berek_2021-2'!$A$1:$A$903,0),4),"")</f>
        <v>316866.66666666669</v>
      </c>
      <c r="D469" s="438">
        <f t="shared" si="1165"/>
        <v>78306.130268199238</v>
      </c>
      <c r="E469" s="437">
        <f t="shared" si="1166"/>
        <v>100333</v>
      </c>
      <c r="F469" s="439">
        <f t="shared" si="1167"/>
        <v>24890.36279693486</v>
      </c>
      <c r="G469" s="440">
        <f t="shared" si="1168"/>
        <v>88485.927203065134</v>
      </c>
      <c r="H469" s="441">
        <f>IFERROR(INDEX('FEOR kodok'!$A$2:$J$1126,MATCH(Bérköltség!AB469,'FEOR kodok'!$B$2:$B$1126,0),8),"NA")</f>
        <v>3910</v>
      </c>
      <c r="I469" s="436">
        <f ca="1">IFERROR(INDEX('FEOR kodok'!$A$2:$J$1126,MATCH(Bérköltség!AB469,'FEOR kodok'!$B$2:$B$1126,0),10),"NA")</f>
        <v>30</v>
      </c>
      <c r="J469" s="442" t="str">
        <f t="shared" ca="1" si="1169"/>
        <v>30–39 éves</v>
      </c>
      <c r="K469" s="436" t="str">
        <f>IFERROR(INDEX(admin_feor[#All],MATCH(Bérköltség!H469,admin_feor[[#All],[Foglalkozás]],0),2),"NA")</f>
        <v>Egyéb ügyintéző</v>
      </c>
      <c r="L469" s="438">
        <f ca="1">IFERROR(
INDEX('Admin - FEOR'!$A$4:$F$465,MATCH(Bérköltség!H469,'Admin - FEOR'!$A$4:$A$465,0),
IF(J469="30 év alatt",3,
IF(J469="30–39 éves",4,
IF(J469="40–49 éves",5,
IF(J469="50 év és afelett",6
)))))*1,"NA")</f>
        <v>408171</v>
      </c>
      <c r="M469" s="438">
        <f t="shared" si="1170"/>
        <v>406000</v>
      </c>
      <c r="N469" s="443">
        <f t="shared" ca="1" si="1171"/>
        <v>0.99468115079219244</v>
      </c>
      <c r="O469" s="438">
        <f ca="1">IFERROR(
INDEX('Admin - FEOR'!$A$4:$F$465,MATCH(Bérköltség!H469,'Admin - FEOR'!$A$4:$A$465,0),
IF(J469="30 év alatt",3,
IF(J469="30–39 éves",4,
IF(J469="40–49 éves",5,
IF(J469="50 év és afelett",6
)))))*1.5,"NA")</f>
        <v>612256.5</v>
      </c>
      <c r="P469" s="438">
        <f t="shared" ca="1" si="1172"/>
        <v>151304.7672413793</v>
      </c>
      <c r="Q469" s="438">
        <f t="shared" si="1173"/>
        <v>100333</v>
      </c>
      <c r="R469" s="444">
        <f t="shared" si="1174"/>
        <v>0.2471264367816092</v>
      </c>
      <c r="S469" s="438">
        <f t="shared" ca="1" si="1175"/>
        <v>0</v>
      </c>
      <c r="T469" s="438">
        <f t="shared" ca="1" si="1176"/>
        <v>0</v>
      </c>
      <c r="U469" s="445">
        <f t="shared" ca="1" si="1177"/>
        <v>0</v>
      </c>
      <c r="V469" s="446">
        <f t="shared" ca="1" si="1178"/>
        <v>113376</v>
      </c>
      <c r="W469" s="447" t="str">
        <f t="shared" ca="1" si="1179"/>
        <v>Nem szükséges indoklás.</v>
      </c>
      <c r="X469" s="571">
        <f t="shared" ca="1" si="1180"/>
        <v>0</v>
      </c>
      <c r="Y469" s="554">
        <f t="shared" ca="1" si="1181"/>
        <v>100333</v>
      </c>
      <c r="Z469" s="554">
        <f t="shared" ca="1" si="1182"/>
        <v>13043</v>
      </c>
      <c r="AA469" s="115"/>
      <c r="AB469" s="514">
        <v>8461583191</v>
      </c>
      <c r="AC469" s="515" t="s">
        <v>1695</v>
      </c>
      <c r="AD469" s="513" t="s">
        <v>45</v>
      </c>
      <c r="AE469" s="516" t="s">
        <v>24</v>
      </c>
      <c r="AF469" s="299" t="s">
        <v>125</v>
      </c>
      <c r="AG469" s="299" t="s">
        <v>4572</v>
      </c>
      <c r="AH469" s="104" t="s">
        <v>131</v>
      </c>
      <c r="AI469" s="153">
        <v>45170</v>
      </c>
      <c r="AJ469" s="105" t="str">
        <f>IF(AI469&gt;0,
(IF(AI469&lt;Hónapok!$A$10,Admin!$A$28,
(IF(AI469&lt;Hónapok!$A$22,Admin!$B$28,
(IF(AI469&lt;Hónapok!$A$34,Admin!$C$28,
(IF(AI469&lt;Hónapok!$A$46,Admin!$D$28,"")))))))),"")</f>
        <v>3. mérföldkő</v>
      </c>
      <c r="AK469" s="517" t="s">
        <v>7</v>
      </c>
      <c r="AL469" s="518" t="s">
        <v>26</v>
      </c>
      <c r="AM469" s="901">
        <v>406000</v>
      </c>
      <c r="AN469" s="861">
        <f t="shared" si="1188"/>
        <v>52780</v>
      </c>
      <c r="AO469" s="106">
        <v>174</v>
      </c>
      <c r="AP469" s="300">
        <v>43</v>
      </c>
      <c r="AQ469" s="813">
        <f t="shared" si="1184"/>
        <v>0.2471264367816092</v>
      </c>
      <c r="AR469" s="511">
        <f t="shared" si="1189"/>
        <v>100333</v>
      </c>
      <c r="AS469" s="511">
        <f t="shared" si="1190"/>
        <v>13043</v>
      </c>
      <c r="AT469" s="296">
        <f t="shared" si="1191"/>
        <v>8.2101806239687214E-7</v>
      </c>
      <c r="AU469" s="512">
        <v>0.13</v>
      </c>
      <c r="AV469" s="661" t="str">
        <f>VLOOKUP(LEFT(AB469,10),Törzsszám!$A$1:$B$908,2,0)</f>
        <v>10001966</v>
      </c>
      <c r="AW469" s="681"/>
      <c r="AX469" s="471" t="s">
        <v>4618</v>
      </c>
      <c r="AY469" s="505"/>
      <c r="AZ469" s="803"/>
      <c r="BA469" s="673"/>
      <c r="BB469" s="650"/>
      <c r="BC469" s="649"/>
      <c r="BD469" s="672"/>
      <c r="BE469" s="143"/>
    </row>
    <row r="470" spans="1:57" s="117" customFormat="1" ht="14.45" customHeight="1" x14ac:dyDescent="0.25">
      <c r="A470" s="694" t="str">
        <f ca="1">Bérköltség!$B470</f>
        <v>FEOR</v>
      </c>
      <c r="B470" s="694" t="str">
        <f ca="1">IFERROR(
IF(AND(Bérköltség!$F470="",H470="NA"),"HIÁNYOS ADATOK",
IF(Bérköltség!$F470&lt;Bérköltség!$U470,Admin!$B$18,Admin!$B$17)),
"")</f>
        <v>FEOR</v>
      </c>
      <c r="C470" s="437">
        <f>IFERROR(INDEX('Historikus berek_2021-2'!$A$1:$F$903,MATCH(AB470,'Historikus berek_2021-2'!$A$1:$A$903,0),4),"")</f>
        <v>316866.66666666669</v>
      </c>
      <c r="D470" s="438">
        <f t="shared" si="1165"/>
        <v>78306.130268199238</v>
      </c>
      <c r="E470" s="437">
        <f t="shared" si="1166"/>
        <v>100333</v>
      </c>
      <c r="F470" s="439">
        <f t="shared" si="1167"/>
        <v>24890.36279693486</v>
      </c>
      <c r="G470" s="440">
        <f t="shared" si="1168"/>
        <v>88485.927203065134</v>
      </c>
      <c r="H470" s="441">
        <f>IFERROR(INDEX('FEOR kodok'!$A$2:$J$1126,MATCH(Bérköltség!AB470,'FEOR kodok'!$B$2:$B$1126,0),8),"NA")</f>
        <v>3910</v>
      </c>
      <c r="I470" s="436">
        <f ca="1">IFERROR(INDEX('FEOR kodok'!$A$2:$J$1126,MATCH(Bérköltség!AB470,'FEOR kodok'!$B$2:$B$1126,0),10),"NA")</f>
        <v>30</v>
      </c>
      <c r="J470" s="442" t="str">
        <f t="shared" ca="1" si="1169"/>
        <v>30–39 éves</v>
      </c>
      <c r="K470" s="436" t="str">
        <f>IFERROR(INDEX(admin_feor[#All],MATCH(Bérköltség!H470,admin_feor[[#All],[Foglalkozás]],0),2),"NA")</f>
        <v>Egyéb ügyintéző</v>
      </c>
      <c r="L470" s="438">
        <f ca="1">IFERROR(
INDEX('Admin - FEOR'!$A$4:$F$465,MATCH(Bérköltség!H470,'Admin - FEOR'!$A$4:$A$465,0),
IF(J470="30 év alatt",3,
IF(J470="30–39 éves",4,
IF(J470="40–49 éves",5,
IF(J470="50 év és afelett",6
)))))*1,"NA")</f>
        <v>408171</v>
      </c>
      <c r="M470" s="438">
        <f t="shared" si="1170"/>
        <v>406000</v>
      </c>
      <c r="N470" s="443">
        <f t="shared" ca="1" si="1171"/>
        <v>0.99468115079219244</v>
      </c>
      <c r="O470" s="438">
        <f ca="1">IFERROR(
INDEX('Admin - FEOR'!$A$4:$F$465,MATCH(Bérköltség!H470,'Admin - FEOR'!$A$4:$A$465,0),
IF(J470="30 év alatt",3,
IF(J470="30–39 éves",4,
IF(J470="40–49 éves",5,
IF(J470="50 év és afelett",6
)))))*1.5,"NA")</f>
        <v>612256.5</v>
      </c>
      <c r="P470" s="438">
        <f t="shared" ca="1" si="1172"/>
        <v>151304.7672413793</v>
      </c>
      <c r="Q470" s="438">
        <f t="shared" si="1173"/>
        <v>100333</v>
      </c>
      <c r="R470" s="444">
        <f t="shared" si="1174"/>
        <v>0.2471264367816092</v>
      </c>
      <c r="S470" s="438">
        <f t="shared" ca="1" si="1175"/>
        <v>0</v>
      </c>
      <c r="T470" s="438">
        <f t="shared" ca="1" si="1176"/>
        <v>0</v>
      </c>
      <c r="U470" s="445">
        <f t="shared" ca="1" si="1177"/>
        <v>0</v>
      </c>
      <c r="V470" s="446">
        <f t="shared" ca="1" si="1178"/>
        <v>113376</v>
      </c>
      <c r="W470" s="447" t="str">
        <f t="shared" ca="1" si="1179"/>
        <v>Nem szükséges indoklás.</v>
      </c>
      <c r="X470" s="571">
        <f t="shared" ca="1" si="1180"/>
        <v>0</v>
      </c>
      <c r="Y470" s="554">
        <f t="shared" ca="1" si="1181"/>
        <v>100333</v>
      </c>
      <c r="Z470" s="554">
        <f t="shared" ca="1" si="1182"/>
        <v>13043</v>
      </c>
      <c r="AA470" s="115"/>
      <c r="AB470" s="514">
        <v>8461583191</v>
      </c>
      <c r="AC470" s="515" t="s">
        <v>1695</v>
      </c>
      <c r="AD470" s="513" t="s">
        <v>45</v>
      </c>
      <c r="AE470" s="516" t="s">
        <v>24</v>
      </c>
      <c r="AF470" s="299" t="s">
        <v>125</v>
      </c>
      <c r="AG470" s="299" t="s">
        <v>4572</v>
      </c>
      <c r="AH470" s="104" t="s">
        <v>131</v>
      </c>
      <c r="AI470" s="153">
        <v>45200</v>
      </c>
      <c r="AJ470" s="105" t="str">
        <f>IF(AI470&gt;0,
(IF(AI470&lt;Hónapok!$A$10,Admin!$A$28,
(IF(AI470&lt;Hónapok!$A$22,Admin!$B$28,
(IF(AI470&lt;Hónapok!$A$34,Admin!$C$28,
(IF(AI470&lt;Hónapok!$A$46,Admin!$D$28,"")))))))),"")</f>
        <v>3. mérföldkő</v>
      </c>
      <c r="AK470" s="517" t="s">
        <v>8</v>
      </c>
      <c r="AL470" s="518" t="s">
        <v>26</v>
      </c>
      <c r="AM470" s="901">
        <v>406000</v>
      </c>
      <c r="AN470" s="861">
        <f t="shared" si="1188"/>
        <v>52780</v>
      </c>
      <c r="AO470" s="106">
        <v>174</v>
      </c>
      <c r="AP470" s="300">
        <v>43</v>
      </c>
      <c r="AQ470" s="813">
        <f t="shared" si="1184"/>
        <v>0.2471264367816092</v>
      </c>
      <c r="AR470" s="511">
        <f t="shared" si="1189"/>
        <v>100333</v>
      </c>
      <c r="AS470" s="511">
        <f t="shared" si="1190"/>
        <v>13043</v>
      </c>
      <c r="AT470" s="296">
        <f t="shared" si="1191"/>
        <v>8.2101806239687214E-7</v>
      </c>
      <c r="AU470" s="512">
        <v>0.13</v>
      </c>
      <c r="AV470" s="661" t="str">
        <f>VLOOKUP(LEFT(AB470,10),Törzsszám!$A$1:$B$908,2,0)</f>
        <v>10001966</v>
      </c>
      <c r="AW470" s="681"/>
      <c r="AX470" s="150"/>
      <c r="AY470" s="505"/>
      <c r="AZ470" s="803"/>
      <c r="BA470" s="673"/>
      <c r="BB470" s="650"/>
      <c r="BC470" s="649"/>
      <c r="BD470" s="672"/>
      <c r="BE470" s="143"/>
    </row>
    <row r="471" spans="1:57" s="117" customFormat="1" ht="14.45" customHeight="1" x14ac:dyDescent="0.25">
      <c r="A471" s="694" t="str">
        <f ca="1">Bérköltség!$B471</f>
        <v>FEOR</v>
      </c>
      <c r="B471" s="694" t="str">
        <f ca="1">IFERROR(
IF(AND(Bérköltség!$F471="",H471="NA"),"HIÁNYOS ADATOK",
IF(Bérköltség!$F471&lt;Bérköltség!$U471,Admin!$B$18,Admin!$B$17)),
"")</f>
        <v>FEOR</v>
      </c>
      <c r="C471" s="437">
        <f>IFERROR(INDEX('Historikus berek_2021-2'!$A$1:$F$903,MATCH(AB471,'Historikus berek_2021-2'!$A$1:$A$903,0),4),"")</f>
        <v>316866.66666666669</v>
      </c>
      <c r="D471" s="438">
        <f t="shared" si="1165"/>
        <v>78306.130268199238</v>
      </c>
      <c r="E471" s="437">
        <f t="shared" si="1166"/>
        <v>100333</v>
      </c>
      <c r="F471" s="439">
        <f t="shared" si="1167"/>
        <v>24890.36279693486</v>
      </c>
      <c r="G471" s="440">
        <f t="shared" si="1168"/>
        <v>88485.927203065134</v>
      </c>
      <c r="H471" s="441">
        <f>IFERROR(INDEX('FEOR kodok'!$A$2:$J$1126,MATCH(Bérköltség!AB471,'FEOR kodok'!$B$2:$B$1126,0),8),"NA")</f>
        <v>3910</v>
      </c>
      <c r="I471" s="436">
        <f ca="1">IFERROR(INDEX('FEOR kodok'!$A$2:$J$1126,MATCH(Bérköltség!AB471,'FEOR kodok'!$B$2:$B$1126,0),10),"NA")</f>
        <v>30</v>
      </c>
      <c r="J471" s="442" t="str">
        <f t="shared" ca="1" si="1169"/>
        <v>30–39 éves</v>
      </c>
      <c r="K471" s="436" t="str">
        <f>IFERROR(INDEX(admin_feor[#All],MATCH(Bérköltség!H471,admin_feor[[#All],[Foglalkozás]],0),2),"NA")</f>
        <v>Egyéb ügyintéző</v>
      </c>
      <c r="L471" s="438">
        <f ca="1">IFERROR(
INDEX('Admin - FEOR'!$A$4:$F$465,MATCH(Bérköltség!H471,'Admin - FEOR'!$A$4:$A$465,0),
IF(J471="30 év alatt",3,
IF(J471="30–39 éves",4,
IF(J471="40–49 éves",5,
IF(J471="50 év és afelett",6
)))))*1,"NA")</f>
        <v>408171</v>
      </c>
      <c r="M471" s="438">
        <f t="shared" si="1170"/>
        <v>406000</v>
      </c>
      <c r="N471" s="443">
        <f t="shared" ca="1" si="1171"/>
        <v>0.99468115079219244</v>
      </c>
      <c r="O471" s="438">
        <f ca="1">IFERROR(
INDEX('Admin - FEOR'!$A$4:$F$465,MATCH(Bérköltség!H471,'Admin - FEOR'!$A$4:$A$465,0),
IF(J471="30 év alatt",3,
IF(J471="30–39 éves",4,
IF(J471="40–49 éves",5,
IF(J471="50 év és afelett",6
)))))*1.5,"NA")</f>
        <v>612256.5</v>
      </c>
      <c r="P471" s="438">
        <f t="shared" ca="1" si="1172"/>
        <v>151304.7672413793</v>
      </c>
      <c r="Q471" s="438">
        <f t="shared" si="1173"/>
        <v>100333</v>
      </c>
      <c r="R471" s="444">
        <f t="shared" si="1174"/>
        <v>0.2471264367816092</v>
      </c>
      <c r="S471" s="438">
        <f t="shared" ca="1" si="1175"/>
        <v>0</v>
      </c>
      <c r="T471" s="438">
        <f t="shared" ca="1" si="1176"/>
        <v>0</v>
      </c>
      <c r="U471" s="445">
        <f t="shared" ca="1" si="1177"/>
        <v>0</v>
      </c>
      <c r="V471" s="446">
        <f t="shared" ca="1" si="1178"/>
        <v>113376</v>
      </c>
      <c r="W471" s="447" t="str">
        <f t="shared" ca="1" si="1179"/>
        <v>Nem szükséges indoklás.</v>
      </c>
      <c r="X471" s="571">
        <f t="shared" ca="1" si="1180"/>
        <v>0</v>
      </c>
      <c r="Y471" s="554">
        <f t="shared" ca="1" si="1181"/>
        <v>100333</v>
      </c>
      <c r="Z471" s="554">
        <f t="shared" ca="1" si="1182"/>
        <v>13043</v>
      </c>
      <c r="AA471" s="115"/>
      <c r="AB471" s="514">
        <v>8461583191</v>
      </c>
      <c r="AC471" s="515" t="s">
        <v>1695</v>
      </c>
      <c r="AD471" s="513" t="s">
        <v>45</v>
      </c>
      <c r="AE471" s="516" t="s">
        <v>24</v>
      </c>
      <c r="AF471" s="299" t="s">
        <v>125</v>
      </c>
      <c r="AG471" s="299" t="s">
        <v>4572</v>
      </c>
      <c r="AH471" s="104" t="s">
        <v>131</v>
      </c>
      <c r="AI471" s="153">
        <v>45231</v>
      </c>
      <c r="AJ471" s="105" t="str">
        <f>IF(AI471&gt;0,
(IF(AI471&lt;Hónapok!$A$10,Admin!$A$28,
(IF(AI471&lt;Hónapok!$A$22,Admin!$B$28,
(IF(AI471&lt;Hónapok!$A$34,Admin!$C$28,
(IF(AI471&lt;Hónapok!$A$46,Admin!$D$28,"")))))))),"")</f>
        <v>3. mérföldkő</v>
      </c>
      <c r="AK471" s="517" t="s">
        <v>8</v>
      </c>
      <c r="AL471" s="518" t="s">
        <v>26</v>
      </c>
      <c r="AM471" s="901">
        <v>406000</v>
      </c>
      <c r="AN471" s="861">
        <f t="shared" si="1188"/>
        <v>52780</v>
      </c>
      <c r="AO471" s="106">
        <v>174</v>
      </c>
      <c r="AP471" s="300">
        <v>43</v>
      </c>
      <c r="AQ471" s="813">
        <f t="shared" si="1184"/>
        <v>0.2471264367816092</v>
      </c>
      <c r="AR471" s="511">
        <f t="shared" si="1189"/>
        <v>100333</v>
      </c>
      <c r="AS471" s="511">
        <f t="shared" si="1190"/>
        <v>13043</v>
      </c>
      <c r="AT471" s="296">
        <f t="shared" si="1191"/>
        <v>8.2101806239687214E-7</v>
      </c>
      <c r="AU471" s="512">
        <v>0.13</v>
      </c>
      <c r="AV471" s="661" t="str">
        <f>VLOOKUP(LEFT(AB471,10),Törzsszám!$A$1:$B$908,2,0)</f>
        <v>10001966</v>
      </c>
      <c r="AW471" s="681"/>
      <c r="AX471" s="150"/>
      <c r="AY471" s="505"/>
      <c r="AZ471" s="803"/>
      <c r="BA471" s="673"/>
      <c r="BB471" s="650"/>
      <c r="BC471" s="649"/>
      <c r="BD471" s="672"/>
      <c r="BE471" s="143"/>
    </row>
    <row r="472" spans="1:57" s="117" customFormat="1" ht="14.45" customHeight="1" x14ac:dyDescent="0.25">
      <c r="A472" s="694" t="str">
        <f ca="1">Bérköltség!$B472</f>
        <v>FEOR</v>
      </c>
      <c r="B472" s="694" t="str">
        <f ca="1">IFERROR(
IF(AND(Bérköltség!$F472="",H472="NA"),"HIÁNYOS ADATOK",
IF(Bérköltség!$F472&lt;Bérköltség!$U472,Admin!$B$18,Admin!$B$17)),
"")</f>
        <v>FEOR</v>
      </c>
      <c r="C472" s="437">
        <f>IFERROR(INDEX('Historikus berek_2021-2'!$A$1:$F$903,MATCH(AB472,'Historikus berek_2021-2'!$A$1:$A$903,0),4),"")</f>
        <v>316866.66666666669</v>
      </c>
      <c r="D472" s="438">
        <f t="shared" si="1165"/>
        <v>78306.130268199238</v>
      </c>
      <c r="E472" s="437">
        <f t="shared" si="1166"/>
        <v>100333</v>
      </c>
      <c r="F472" s="439">
        <f t="shared" si="1167"/>
        <v>24890.36279693486</v>
      </c>
      <c r="G472" s="440">
        <f t="shared" si="1168"/>
        <v>88485.927203065134</v>
      </c>
      <c r="H472" s="441">
        <f>IFERROR(INDEX('FEOR kodok'!$A$2:$J$1126,MATCH(Bérköltség!AB472,'FEOR kodok'!$B$2:$B$1126,0),8),"NA")</f>
        <v>3910</v>
      </c>
      <c r="I472" s="436">
        <f ca="1">IFERROR(INDEX('FEOR kodok'!$A$2:$J$1126,MATCH(Bérköltség!AB472,'FEOR kodok'!$B$2:$B$1126,0),10),"NA")</f>
        <v>30</v>
      </c>
      <c r="J472" s="442" t="str">
        <f t="shared" ca="1" si="1169"/>
        <v>30–39 éves</v>
      </c>
      <c r="K472" s="436" t="str">
        <f>IFERROR(INDEX(admin_feor[#All],MATCH(Bérköltség!H472,admin_feor[[#All],[Foglalkozás]],0),2),"NA")</f>
        <v>Egyéb ügyintéző</v>
      </c>
      <c r="L472" s="438">
        <f ca="1">IFERROR(
INDEX('Admin - FEOR'!$A$4:$F$465,MATCH(Bérköltség!H472,'Admin - FEOR'!$A$4:$A$465,0),
IF(J472="30 év alatt",3,
IF(J472="30–39 éves",4,
IF(J472="40–49 éves",5,
IF(J472="50 év és afelett",6
)))))*1,"NA")</f>
        <v>408171</v>
      </c>
      <c r="M472" s="438">
        <f t="shared" si="1170"/>
        <v>406000</v>
      </c>
      <c r="N472" s="443">
        <f t="shared" ca="1" si="1171"/>
        <v>0.99468115079219244</v>
      </c>
      <c r="O472" s="438">
        <f ca="1">IFERROR(
INDEX('Admin - FEOR'!$A$4:$F$465,MATCH(Bérköltség!H472,'Admin - FEOR'!$A$4:$A$465,0),
IF(J472="30 év alatt",3,
IF(J472="30–39 éves",4,
IF(J472="40–49 éves",5,
IF(J472="50 év és afelett",6
)))))*1.5,"NA")</f>
        <v>612256.5</v>
      </c>
      <c r="P472" s="438">
        <f t="shared" ca="1" si="1172"/>
        <v>151304.7672413793</v>
      </c>
      <c r="Q472" s="438">
        <f t="shared" si="1173"/>
        <v>100333</v>
      </c>
      <c r="R472" s="444">
        <f t="shared" si="1174"/>
        <v>0.2471264367816092</v>
      </c>
      <c r="S472" s="438">
        <f t="shared" ca="1" si="1175"/>
        <v>0</v>
      </c>
      <c r="T472" s="438">
        <f t="shared" ca="1" si="1176"/>
        <v>0</v>
      </c>
      <c r="U472" s="445">
        <f t="shared" ca="1" si="1177"/>
        <v>0</v>
      </c>
      <c r="V472" s="446">
        <f t="shared" ca="1" si="1178"/>
        <v>113376</v>
      </c>
      <c r="W472" s="447" t="str">
        <f t="shared" ca="1" si="1179"/>
        <v>Nem szükséges indoklás.</v>
      </c>
      <c r="X472" s="571">
        <f t="shared" ca="1" si="1180"/>
        <v>0</v>
      </c>
      <c r="Y472" s="554">
        <f t="shared" ca="1" si="1181"/>
        <v>100333</v>
      </c>
      <c r="Z472" s="554">
        <f t="shared" ca="1" si="1182"/>
        <v>13043</v>
      </c>
      <c r="AA472" s="115"/>
      <c r="AB472" s="514">
        <v>8461583191</v>
      </c>
      <c r="AC472" s="515" t="s">
        <v>1695</v>
      </c>
      <c r="AD472" s="513" t="s">
        <v>45</v>
      </c>
      <c r="AE472" s="516" t="s">
        <v>24</v>
      </c>
      <c r="AF472" s="299" t="s">
        <v>125</v>
      </c>
      <c r="AG472" s="299" t="s">
        <v>4572</v>
      </c>
      <c r="AH472" s="104" t="s">
        <v>131</v>
      </c>
      <c r="AI472" s="153">
        <v>45261</v>
      </c>
      <c r="AJ472" s="105" t="str">
        <f>IF(AI472&gt;0,
(IF(AI472&lt;Hónapok!$A$10,Admin!$A$28,
(IF(AI472&lt;Hónapok!$A$22,Admin!$B$28,
(IF(AI472&lt;Hónapok!$A$34,Admin!$C$28,
(IF(AI472&lt;Hónapok!$A$46,Admin!$D$28,"")))))))),"")</f>
        <v>3. mérföldkő</v>
      </c>
      <c r="AK472" s="517" t="s">
        <v>8</v>
      </c>
      <c r="AL472" s="518" t="s">
        <v>26</v>
      </c>
      <c r="AM472" s="901">
        <v>406000</v>
      </c>
      <c r="AN472" s="861">
        <f t="shared" si="1188"/>
        <v>52780</v>
      </c>
      <c r="AO472" s="106">
        <v>174</v>
      </c>
      <c r="AP472" s="300">
        <v>43</v>
      </c>
      <c r="AQ472" s="813">
        <f t="shared" si="1184"/>
        <v>0.2471264367816092</v>
      </c>
      <c r="AR472" s="511">
        <f t="shared" si="1189"/>
        <v>100333</v>
      </c>
      <c r="AS472" s="511">
        <f t="shared" si="1190"/>
        <v>13043</v>
      </c>
      <c r="AT472" s="296">
        <f t="shared" si="1191"/>
        <v>8.2101806239687214E-7</v>
      </c>
      <c r="AU472" s="512">
        <v>0.13</v>
      </c>
      <c r="AV472" s="661" t="str">
        <f>VLOOKUP(LEFT(AB472,10),Törzsszám!$A$1:$B$908,2,0)</f>
        <v>10001966</v>
      </c>
      <c r="AW472" s="681"/>
      <c r="AX472" s="150"/>
      <c r="AY472" s="505"/>
      <c r="AZ472" s="803"/>
      <c r="BA472" s="673"/>
      <c r="BB472" s="650"/>
      <c r="BC472" s="649"/>
      <c r="BD472" s="672"/>
      <c r="BE472" s="143"/>
    </row>
    <row r="473" spans="1:57" s="117" customFormat="1" ht="14.45" customHeight="1" x14ac:dyDescent="0.25">
      <c r="A473" s="694" t="str">
        <f ca="1">Bérköltség!$B473</f>
        <v>FEOR</v>
      </c>
      <c r="B473" s="694" t="str">
        <f ca="1">IFERROR(
IF(AND(Bérköltség!$F473="",H473="NA"),"HIÁNYOS ADATOK",
IF(Bérköltség!$F473&lt;Bérköltség!$U473,Admin!$B$18,Admin!$B$17)),
"")</f>
        <v>FEOR</v>
      </c>
      <c r="C473" s="437">
        <f>IFERROR(INDEX('Historikus berek_2021-2'!$A$1:$F$903,MATCH(AB473,'Historikus berek_2021-2'!$A$1:$A$903,0),4),"")</f>
        <v>316866.66666666669</v>
      </c>
      <c r="D473" s="438">
        <f t="shared" si="1165"/>
        <v>78306.130268199238</v>
      </c>
      <c r="E473" s="437">
        <f t="shared" si="1166"/>
        <v>100333</v>
      </c>
      <c r="F473" s="439">
        <f t="shared" si="1167"/>
        <v>24890.36279693486</v>
      </c>
      <c r="G473" s="440">
        <f t="shared" si="1168"/>
        <v>88485.927203065134</v>
      </c>
      <c r="H473" s="441">
        <f>IFERROR(INDEX('FEOR kodok'!$A$2:$J$1126,MATCH(Bérköltség!AB473,'FEOR kodok'!$B$2:$B$1126,0),8),"NA")</f>
        <v>3910</v>
      </c>
      <c r="I473" s="436">
        <f ca="1">IFERROR(INDEX('FEOR kodok'!$A$2:$J$1126,MATCH(Bérköltség!AB473,'FEOR kodok'!$B$2:$B$1126,0),10),"NA")</f>
        <v>30</v>
      </c>
      <c r="J473" s="442" t="str">
        <f t="shared" ca="1" si="1169"/>
        <v>30–39 éves</v>
      </c>
      <c r="K473" s="436" t="str">
        <f>IFERROR(INDEX(admin_feor[#All],MATCH(Bérköltség!H473,admin_feor[[#All],[Foglalkozás]],0),2),"NA")</f>
        <v>Egyéb ügyintéző</v>
      </c>
      <c r="L473" s="438">
        <f ca="1">IFERROR(
INDEX('Admin - FEOR'!$A$4:$F$465,MATCH(Bérköltség!H473,'Admin - FEOR'!$A$4:$A$465,0),
IF(J473="30 év alatt",3,
IF(J473="30–39 éves",4,
IF(J473="40–49 éves",5,
IF(J473="50 év és afelett",6
)))))*1,"NA")</f>
        <v>408171</v>
      </c>
      <c r="M473" s="438">
        <f t="shared" si="1170"/>
        <v>406000</v>
      </c>
      <c r="N473" s="443">
        <f t="shared" ca="1" si="1171"/>
        <v>0.99468115079219244</v>
      </c>
      <c r="O473" s="438">
        <f ca="1">IFERROR(
INDEX('Admin - FEOR'!$A$4:$F$465,MATCH(Bérköltség!H473,'Admin - FEOR'!$A$4:$A$465,0),
IF(J473="30 év alatt",3,
IF(J473="30–39 éves",4,
IF(J473="40–49 éves",5,
IF(J473="50 év és afelett",6
)))))*1.5,"NA")</f>
        <v>612256.5</v>
      </c>
      <c r="P473" s="438">
        <f t="shared" ca="1" si="1172"/>
        <v>151304.7672413793</v>
      </c>
      <c r="Q473" s="438">
        <f t="shared" si="1173"/>
        <v>100333</v>
      </c>
      <c r="R473" s="444">
        <f t="shared" si="1174"/>
        <v>0.2471264367816092</v>
      </c>
      <c r="S473" s="438">
        <f t="shared" ca="1" si="1175"/>
        <v>0</v>
      </c>
      <c r="T473" s="438">
        <f t="shared" ca="1" si="1176"/>
        <v>0</v>
      </c>
      <c r="U473" s="445">
        <f t="shared" ca="1" si="1177"/>
        <v>0</v>
      </c>
      <c r="V473" s="446">
        <f t="shared" ca="1" si="1178"/>
        <v>113376</v>
      </c>
      <c r="W473" s="447" t="str">
        <f t="shared" ca="1" si="1179"/>
        <v>Nem szükséges indoklás.</v>
      </c>
      <c r="X473" s="571">
        <f t="shared" ca="1" si="1180"/>
        <v>0</v>
      </c>
      <c r="Y473" s="554">
        <f t="shared" ca="1" si="1181"/>
        <v>100333</v>
      </c>
      <c r="Z473" s="554">
        <f t="shared" ca="1" si="1182"/>
        <v>13043</v>
      </c>
      <c r="AA473" s="115"/>
      <c r="AB473" s="514">
        <v>8461583191</v>
      </c>
      <c r="AC473" s="515" t="s">
        <v>1695</v>
      </c>
      <c r="AD473" s="513" t="s">
        <v>45</v>
      </c>
      <c r="AE473" s="516" t="s">
        <v>24</v>
      </c>
      <c r="AF473" s="299" t="s">
        <v>125</v>
      </c>
      <c r="AG473" s="299" t="s">
        <v>4572</v>
      </c>
      <c r="AH473" s="104" t="s">
        <v>131</v>
      </c>
      <c r="AI473" s="153">
        <v>45292</v>
      </c>
      <c r="AJ473" s="105" t="str">
        <f>IF(AI473&gt;0,
(IF(AI473&lt;Hónapok!$A$10,Admin!$A$28,
(IF(AI473&lt;Hónapok!$A$22,Admin!$B$28,
(IF(AI473&lt;Hónapok!$A$34,Admin!$C$28,
(IF(AI473&lt;Hónapok!$A$46,Admin!$D$28,"")))))))),"")</f>
        <v>3. mérföldkő</v>
      </c>
      <c r="AK473" s="517" t="s">
        <v>8</v>
      </c>
      <c r="AL473" s="518" t="s">
        <v>26</v>
      </c>
      <c r="AM473" s="901">
        <v>406000</v>
      </c>
      <c r="AN473" s="861">
        <f t="shared" si="1188"/>
        <v>52780</v>
      </c>
      <c r="AO473" s="106">
        <v>174</v>
      </c>
      <c r="AP473" s="300">
        <v>43</v>
      </c>
      <c r="AQ473" s="813">
        <f t="shared" si="1184"/>
        <v>0.2471264367816092</v>
      </c>
      <c r="AR473" s="511">
        <f t="shared" si="1189"/>
        <v>100333</v>
      </c>
      <c r="AS473" s="511">
        <f t="shared" si="1190"/>
        <v>13043</v>
      </c>
      <c r="AT473" s="296">
        <f t="shared" si="1191"/>
        <v>8.2101806239687214E-7</v>
      </c>
      <c r="AU473" s="512">
        <v>0.13</v>
      </c>
      <c r="AV473" s="661" t="str">
        <f>VLOOKUP(LEFT(AB473,10),Törzsszám!$A$1:$B$908,2,0)</f>
        <v>10001966</v>
      </c>
      <c r="AW473" s="681"/>
      <c r="AX473" s="150"/>
      <c r="AY473" s="505"/>
      <c r="AZ473" s="803"/>
      <c r="BA473" s="673"/>
      <c r="BB473" s="650"/>
      <c r="BC473" s="649"/>
      <c r="BD473" s="672"/>
      <c r="BE473" s="143"/>
    </row>
    <row r="474" spans="1:57" s="117" customFormat="1" ht="14.45" customHeight="1" x14ac:dyDescent="0.25">
      <c r="A474" s="694" t="str">
        <f ca="1">Bérköltség!$B474</f>
        <v>FEOR</v>
      </c>
      <c r="B474" s="694" t="str">
        <f ca="1">IFERROR(
IF(AND(Bérköltség!$F474="",H474="NA"),"HIÁNYOS ADATOK",
IF(Bérköltség!$F474&lt;Bérköltség!$U474,Admin!$B$18,Admin!$B$17)),
"")</f>
        <v>FEOR</v>
      </c>
      <c r="C474" s="437">
        <f>IFERROR(INDEX('Historikus berek_2021-2'!$A$1:$F$903,MATCH(AB474,'Historikus berek_2021-2'!$A$1:$A$903,0),4),"")</f>
        <v>316866.66666666669</v>
      </c>
      <c r="D474" s="438">
        <f t="shared" si="1165"/>
        <v>78306.130268199238</v>
      </c>
      <c r="E474" s="437">
        <f t="shared" si="1166"/>
        <v>100333</v>
      </c>
      <c r="F474" s="439">
        <f t="shared" si="1167"/>
        <v>24890.36279693486</v>
      </c>
      <c r="G474" s="440">
        <f t="shared" si="1168"/>
        <v>88485.927203065134</v>
      </c>
      <c r="H474" s="441">
        <f>IFERROR(INDEX('FEOR kodok'!$A$2:$J$1126,MATCH(Bérköltség!AB474,'FEOR kodok'!$B$2:$B$1126,0),8),"NA")</f>
        <v>3910</v>
      </c>
      <c r="I474" s="436">
        <f ca="1">IFERROR(INDEX('FEOR kodok'!$A$2:$J$1126,MATCH(Bérköltség!AB474,'FEOR kodok'!$B$2:$B$1126,0),10),"NA")</f>
        <v>30</v>
      </c>
      <c r="J474" s="442" t="str">
        <f t="shared" ca="1" si="1169"/>
        <v>30–39 éves</v>
      </c>
      <c r="K474" s="436" t="str">
        <f>IFERROR(INDEX(admin_feor[#All],MATCH(Bérköltség!H474,admin_feor[[#All],[Foglalkozás]],0),2),"NA")</f>
        <v>Egyéb ügyintéző</v>
      </c>
      <c r="L474" s="438">
        <f ca="1">IFERROR(
INDEX('Admin - FEOR'!$A$4:$F$465,MATCH(Bérköltség!H474,'Admin - FEOR'!$A$4:$A$465,0),
IF(J474="30 év alatt",3,
IF(J474="30–39 éves",4,
IF(J474="40–49 éves",5,
IF(J474="50 év és afelett",6
)))))*1,"NA")</f>
        <v>408171</v>
      </c>
      <c r="M474" s="438">
        <f t="shared" si="1170"/>
        <v>406000</v>
      </c>
      <c r="N474" s="443">
        <f t="shared" ca="1" si="1171"/>
        <v>0.99468115079219244</v>
      </c>
      <c r="O474" s="438">
        <f ca="1">IFERROR(
INDEX('Admin - FEOR'!$A$4:$F$465,MATCH(Bérköltség!H474,'Admin - FEOR'!$A$4:$A$465,0),
IF(J474="30 év alatt",3,
IF(J474="30–39 éves",4,
IF(J474="40–49 éves",5,
IF(J474="50 év és afelett",6
)))))*1.5,"NA")</f>
        <v>612256.5</v>
      </c>
      <c r="P474" s="438">
        <f t="shared" ca="1" si="1172"/>
        <v>151304.7672413793</v>
      </c>
      <c r="Q474" s="438">
        <f t="shared" si="1173"/>
        <v>100333</v>
      </c>
      <c r="R474" s="444">
        <f t="shared" si="1174"/>
        <v>0.2471264367816092</v>
      </c>
      <c r="S474" s="438">
        <f t="shared" ca="1" si="1175"/>
        <v>0</v>
      </c>
      <c r="T474" s="438">
        <f t="shared" ca="1" si="1176"/>
        <v>0</v>
      </c>
      <c r="U474" s="445">
        <f t="shared" ca="1" si="1177"/>
        <v>0</v>
      </c>
      <c r="V474" s="446">
        <f t="shared" ca="1" si="1178"/>
        <v>113376</v>
      </c>
      <c r="W474" s="447" t="str">
        <f t="shared" ca="1" si="1179"/>
        <v>Nem szükséges indoklás.</v>
      </c>
      <c r="X474" s="571">
        <f t="shared" ca="1" si="1180"/>
        <v>0</v>
      </c>
      <c r="Y474" s="554">
        <f t="shared" ca="1" si="1181"/>
        <v>100333</v>
      </c>
      <c r="Z474" s="554">
        <f t="shared" ca="1" si="1182"/>
        <v>13043</v>
      </c>
      <c r="AA474" s="115"/>
      <c r="AB474" s="514">
        <v>8461583191</v>
      </c>
      <c r="AC474" s="515" t="s">
        <v>1695</v>
      </c>
      <c r="AD474" s="513" t="s">
        <v>45</v>
      </c>
      <c r="AE474" s="516" t="s">
        <v>24</v>
      </c>
      <c r="AF474" s="299" t="s">
        <v>125</v>
      </c>
      <c r="AG474" s="299" t="s">
        <v>4572</v>
      </c>
      <c r="AH474" s="104" t="s">
        <v>131</v>
      </c>
      <c r="AI474" s="153">
        <v>45323</v>
      </c>
      <c r="AJ474" s="105" t="str">
        <f>IF(AI474&gt;0,
(IF(AI474&lt;Hónapok!$A$10,Admin!$A$28,
(IF(AI474&lt;Hónapok!$A$22,Admin!$B$28,
(IF(AI474&lt;Hónapok!$A$34,Admin!$C$28,
(IF(AI474&lt;Hónapok!$A$46,Admin!$D$28,"")))))))),"")</f>
        <v>3. mérföldkő</v>
      </c>
      <c r="AK474" s="517" t="s">
        <v>8</v>
      </c>
      <c r="AL474" s="518" t="s">
        <v>26</v>
      </c>
      <c r="AM474" s="901">
        <v>406000</v>
      </c>
      <c r="AN474" s="861">
        <f t="shared" si="1188"/>
        <v>52780</v>
      </c>
      <c r="AO474" s="106">
        <v>174</v>
      </c>
      <c r="AP474" s="300">
        <v>43</v>
      </c>
      <c r="AQ474" s="813">
        <f t="shared" si="1184"/>
        <v>0.2471264367816092</v>
      </c>
      <c r="AR474" s="511">
        <f t="shared" si="1189"/>
        <v>100333</v>
      </c>
      <c r="AS474" s="511">
        <f t="shared" si="1190"/>
        <v>13043</v>
      </c>
      <c r="AT474" s="296">
        <f t="shared" si="1191"/>
        <v>8.2101806239687214E-7</v>
      </c>
      <c r="AU474" s="512">
        <v>0.13</v>
      </c>
      <c r="AV474" s="661" t="str">
        <f>VLOOKUP(LEFT(AB474,10),Törzsszám!$A$1:$B$908,2,0)</f>
        <v>10001966</v>
      </c>
      <c r="AW474" s="681"/>
      <c r="AX474" s="150"/>
      <c r="AY474" s="505"/>
      <c r="AZ474" s="803"/>
      <c r="BA474" s="673"/>
      <c r="BB474" s="650"/>
      <c r="BC474" s="649"/>
      <c r="BD474" s="672"/>
      <c r="BE474" s="143"/>
    </row>
    <row r="475" spans="1:57" s="117" customFormat="1" ht="14.45" customHeight="1" x14ac:dyDescent="0.25">
      <c r="A475" s="694" t="str">
        <f ca="1">Bérköltség!$B475</f>
        <v>FEOR</v>
      </c>
      <c r="B475" s="694" t="str">
        <f ca="1">IFERROR(
IF(AND(Bérköltség!$F475="",H475="NA"),"HIÁNYOS ADATOK",
IF(Bérköltség!$F475&lt;Bérköltség!$U475,Admin!$B$18,Admin!$B$17)),
"")</f>
        <v>FEOR</v>
      </c>
      <c r="C475" s="437" t="str">
        <f>IFERROR(INDEX('Historikus berek_2021-2'!$A$1:$F$903,MATCH(AB475,'Historikus berek_2021-2'!$A$1:$A$903,0),4),"")</f>
        <v/>
      </c>
      <c r="D475" s="438" t="str">
        <f>IFERROR(C475*AQ475,"NA")</f>
        <v>NA</v>
      </c>
      <c r="E475" s="437">
        <f>AR475</f>
        <v>210000</v>
      </c>
      <c r="F475" s="439" t="str">
        <f>IFERROR(IF((E475*(1+AU475)-D475*(1+AU475))&lt;0,0,(E475*(1+AU475)-D475*(1+AU475))),"")</f>
        <v/>
      </c>
      <c r="G475" s="440" t="str">
        <f>IFERROR((E475*(1+AU475)-F475),"")</f>
        <v/>
      </c>
      <c r="H475" s="441">
        <f>IFERROR(INDEX('FEOR kodok'!$A$2:$J$1126,MATCH(Bérköltség!AB475,'FEOR kodok'!$B$2:$B$1126,0),8),"NA")</f>
        <v>2139</v>
      </c>
      <c r="I475" s="436">
        <f ca="1">IFERROR(INDEX('FEOR kodok'!$A$2:$J$1126,MATCH(Bérköltség!AB475,'FEOR kodok'!$B$2:$B$1126,0),10),"NA")</f>
        <v>26</v>
      </c>
      <c r="J475" s="442" t="str">
        <f ca="1">IF(I475="NA","NA",
IF(I475&lt;30,"30 év alatt",
IF(AND(I475&gt;=30,I475&lt;=39),"30–39 éves",
IF(AND(I475&gt;=40,I475&lt;=49),"40–49 éves",
IF(I475&gt;=50,"50 év és afelett",
"")))))</f>
        <v>30 év alatt</v>
      </c>
      <c r="K475" s="436" t="str">
        <f>IFERROR(INDEX(admin_feor[#All],MATCH(Bérköltség!H475,admin_feor[[#All],[Foglalkozás]],0),2),"NA")</f>
        <v>Egyéb, máshova nem sorolható mérnök</v>
      </c>
      <c r="L475" s="438">
        <f ca="1">IFERROR(
INDEX('Admin - FEOR'!$A$4:$F$465,MATCH(Bérköltség!H475,'Admin - FEOR'!$A$4:$A$465,0),
IF(J475="30 év alatt",3,
IF(J475="30–39 éves",4,
IF(J475="40–49 éves",5,
IF(J475="50 év és afelett",6
)))))*1,"NA")</f>
        <v>639238</v>
      </c>
      <c r="M475" s="438">
        <f>AM475</f>
        <v>210000</v>
      </c>
      <c r="N475" s="443">
        <f ca="1">IFERROR(
M475/L475,"NA")</f>
        <v>0.32851613952862629</v>
      </c>
      <c r="O475" s="438">
        <f ca="1">IFERROR(
INDEX('Admin - FEOR'!$A$4:$F$465,MATCH(Bérköltség!H475,'Admin - FEOR'!$A$4:$A$465,0),
IF(J475="30 év alatt",3,
IF(J475="30–39 éves",4,
IF(J475="40–49 éves",5,
IF(J475="50 év és afelett",6
)))))*1.5,"NA")</f>
        <v>958857</v>
      </c>
      <c r="P475" s="438">
        <f ca="1">IFERROR(
AQ475*O475,"NA")</f>
        <v>958857</v>
      </c>
      <c r="Q475" s="438">
        <f>IFERROR(AR475,"")</f>
        <v>210000</v>
      </c>
      <c r="R475" s="444">
        <f>IFERROR(AQ475,"")</f>
        <v>1</v>
      </c>
      <c r="S475" s="438">
        <f ca="1">IFERROR(
IF(AR475-P475&lt;0,0,AR475-P475),"NA")</f>
        <v>0</v>
      </c>
      <c r="T475" s="438">
        <f ca="1">IFERROR(
S475*AU475,"NA")</f>
        <v>0</v>
      </c>
      <c r="U475" s="445">
        <f ca="1">IFERROR(
S475+T475,"NA")</f>
        <v>0</v>
      </c>
      <c r="V475" s="446">
        <f ca="1">IFERROR(
IF(U475&gt;0,AR475+AS475-U475,AR475+AS475),"NA")</f>
        <v>237300</v>
      </c>
      <c r="W475" s="447" t="str">
        <f ca="1">IF(P475="NA","FEOR hiányzik",
IF(AND(N475&gt;1,A475="FEOR"),CONCATENATE("Indoklás szükséges mivel a FEOR: ",ROUND(N475*100,1),"%"),"Nem szükséges indoklás.")
)</f>
        <v>Nem szükséges indoklás.</v>
      </c>
      <c r="X475" s="571">
        <f ca="1">IF(A475="FEOR",U475,IF(A475="HIÁNYOS ADATOK","HIÁNYOS ADATOK",F475))</f>
        <v>0</v>
      </c>
      <c r="Y475" s="554">
        <f t="shared" ca="1" si="1006"/>
        <v>210000</v>
      </c>
      <c r="Z475" s="554">
        <f t="shared" ca="1" si="1007"/>
        <v>27300</v>
      </c>
      <c r="AA475" s="573">
        <v>2</v>
      </c>
      <c r="AB475" s="146">
        <v>8476102356</v>
      </c>
      <c r="AC475" s="112" t="s">
        <v>164</v>
      </c>
      <c r="AD475" s="483" t="s">
        <v>45</v>
      </c>
      <c r="AE475" s="143" t="s">
        <v>24</v>
      </c>
      <c r="AF475" s="99" t="s">
        <v>124</v>
      </c>
      <c r="AG475" s="99" t="s">
        <v>161</v>
      </c>
      <c r="AH475" s="451" t="s">
        <v>131</v>
      </c>
      <c r="AI475" s="154">
        <v>44743</v>
      </c>
      <c r="AJ475" s="100" t="str">
        <f>IF(AI475&gt;0,
(IF(AI475&lt;Hónapok!$A$10,Admin!$A$28,
(IF(AI475&lt;Hónapok!$A$22,Admin!$B$28,
(IF(AI475&lt;Hónapok!$A$34,Admin!$C$28,
(IF(AI475&lt;Hónapok!$A$46,Admin!$D$28,"")))))))),"")</f>
        <v>2. mérföldkő</v>
      </c>
      <c r="AK475" s="500" t="s">
        <v>7</v>
      </c>
      <c r="AL475" s="115" t="s">
        <v>26</v>
      </c>
      <c r="AM475" s="900">
        <v>210000</v>
      </c>
      <c r="AN475" s="860">
        <f t="shared" si="1080"/>
        <v>27300</v>
      </c>
      <c r="AO475" s="101">
        <v>87</v>
      </c>
      <c r="AP475" s="111">
        <v>87</v>
      </c>
      <c r="AQ475" s="454">
        <f t="shared" si="985"/>
        <v>1</v>
      </c>
      <c r="AR475" s="455">
        <f t="shared" si="986"/>
        <v>210000</v>
      </c>
      <c r="AS475" s="455">
        <f t="shared" si="987"/>
        <v>27300</v>
      </c>
      <c r="AT475" s="102">
        <f t="shared" si="988"/>
        <v>0</v>
      </c>
      <c r="AU475" s="116">
        <v>0.13</v>
      </c>
      <c r="AV475" s="565" t="str">
        <f>VLOOKUP(LEFT(AB475,10),Törzsszám!$A$1:$B$908,2,0)</f>
        <v>10002167</v>
      </c>
      <c r="AW475" s="681">
        <f t="shared" ca="1" si="989"/>
        <v>0</v>
      </c>
      <c r="AX475" s="150" t="s">
        <v>209</v>
      </c>
      <c r="AY475" s="505"/>
      <c r="AZ475" s="502" t="s">
        <v>4607</v>
      </c>
      <c r="BA475" s="673">
        <v>154867</v>
      </c>
      <c r="BB475" s="650">
        <v>20133</v>
      </c>
      <c r="BC475" s="649">
        <f t="shared" ref="BC475:BD481" ca="1" si="1192">Y475-BA475</f>
        <v>55133</v>
      </c>
      <c r="BD475" s="672">
        <f t="shared" ca="1" si="1192"/>
        <v>7167</v>
      </c>
      <c r="BE475" s="143" t="s">
        <v>165</v>
      </c>
    </row>
    <row r="476" spans="1:57" s="117" customFormat="1" ht="14.45" customHeight="1" x14ac:dyDescent="0.25">
      <c r="A476" s="694" t="str">
        <f ca="1">Bérköltség!$B476</f>
        <v>FEOR</v>
      </c>
      <c r="B476" s="694" t="str">
        <f ca="1">IFERROR(
IF(AND(Bérköltség!$F476="",H476="NA"),"HIÁNYOS ADATOK",
IF(Bérköltség!$F476&lt;Bérköltség!$U476,Admin!$B$18,Admin!$B$17)),
"")</f>
        <v>FEOR</v>
      </c>
      <c r="C476" s="437" t="str">
        <f>IFERROR(INDEX('Historikus berek_2021-2'!$A$1:$F$903,MATCH(AB476,'Historikus berek_2021-2'!$A$1:$A$903,0),4),"")</f>
        <v/>
      </c>
      <c r="D476" s="438" t="str">
        <f t="shared" si="990"/>
        <v>NA</v>
      </c>
      <c r="E476" s="437">
        <f t="shared" si="991"/>
        <v>164348</v>
      </c>
      <c r="F476" s="439" t="str">
        <f t="shared" si="992"/>
        <v/>
      </c>
      <c r="G476" s="440" t="str">
        <f t="shared" si="993"/>
        <v/>
      </c>
      <c r="H476" s="441">
        <f>IFERROR(INDEX('FEOR kodok'!$A$2:$J$1126,MATCH(Bérköltség!AB476,'FEOR kodok'!$B$2:$B$1126,0),8),"NA")</f>
        <v>2139</v>
      </c>
      <c r="I476" s="436">
        <f ca="1">IFERROR(INDEX('FEOR kodok'!$A$2:$J$1126,MATCH(Bérköltség!AB476,'FEOR kodok'!$B$2:$B$1126,0),10),"NA")</f>
        <v>26</v>
      </c>
      <c r="J476" s="442" t="str">
        <f t="shared" ca="1" si="994"/>
        <v>30 év alatt</v>
      </c>
      <c r="K476" s="436" t="str">
        <f>IFERROR(INDEX(admin_feor[#All],MATCH(Bérköltség!H476,admin_feor[[#All],[Foglalkozás]],0),2),"NA")</f>
        <v>Egyéb, máshova nem sorolható mérnök</v>
      </c>
      <c r="L476" s="438">
        <f ca="1">IFERROR(
INDEX('Admin - FEOR'!$A$4:$F$465,MATCH(Bérköltség!H476,'Admin - FEOR'!$A$4:$A$465,0),
IF(J476="30 év alatt",3,
IF(J476="30–39 éves",4,
IF(J476="40–49 éves",5,
IF(J476="50 év és afelett",6
)))))*1,"NA")</f>
        <v>639238</v>
      </c>
      <c r="M476" s="438">
        <f t="shared" si="995"/>
        <v>164348</v>
      </c>
      <c r="N476" s="443">
        <f t="shared" ca="1" si="996"/>
        <v>0.25709985952024128</v>
      </c>
      <c r="O476" s="438">
        <f ca="1">IFERROR(
INDEX('Admin - FEOR'!$A$4:$F$465,MATCH(Bérköltség!H476,'Admin - FEOR'!$A$4:$A$465,0),
IF(J476="30 év alatt",3,
IF(J476="30–39 éves",4,
IF(J476="40–49 éves",5,
IF(J476="50 év és afelett",6
)))))*1.5,"NA")</f>
        <v>958857</v>
      </c>
      <c r="P476" s="438">
        <f t="shared" ca="1" si="997"/>
        <v>958857</v>
      </c>
      <c r="Q476" s="438">
        <f t="shared" si="998"/>
        <v>164348</v>
      </c>
      <c r="R476" s="444">
        <f t="shared" si="999"/>
        <v>1</v>
      </c>
      <c r="S476" s="438">
        <f t="shared" ca="1" si="1000"/>
        <v>0</v>
      </c>
      <c r="T476" s="438">
        <f t="shared" ca="1" si="1001"/>
        <v>0</v>
      </c>
      <c r="U476" s="445">
        <f t="shared" ca="1" si="1002"/>
        <v>0</v>
      </c>
      <c r="V476" s="446">
        <f t="shared" ca="1" si="1003"/>
        <v>165365</v>
      </c>
      <c r="W476" s="447" t="str">
        <f t="shared" ca="1" si="1004"/>
        <v>Nem szükséges indoklás.</v>
      </c>
      <c r="X476" s="571">
        <f t="shared" ca="1" si="1005"/>
        <v>0</v>
      </c>
      <c r="Y476" s="554">
        <f t="shared" ca="1" si="1006"/>
        <v>164348</v>
      </c>
      <c r="Z476" s="556">
        <f t="shared" ca="1" si="1007"/>
        <v>1017</v>
      </c>
      <c r="AA476" s="573">
        <v>2</v>
      </c>
      <c r="AB476" s="146">
        <v>8476102356</v>
      </c>
      <c r="AC476" s="112" t="s">
        <v>164</v>
      </c>
      <c r="AD476" s="483" t="s">
        <v>45</v>
      </c>
      <c r="AE476" s="143" t="s">
        <v>24</v>
      </c>
      <c r="AF476" s="99" t="s">
        <v>124</v>
      </c>
      <c r="AG476" s="99" t="s">
        <v>161</v>
      </c>
      <c r="AH476" s="451" t="s">
        <v>131</v>
      </c>
      <c r="AI476" s="154">
        <v>44774</v>
      </c>
      <c r="AJ476" s="100" t="str">
        <f>IF(AI476&gt;0,
(IF(AI476&lt;Hónapok!$A$10,Admin!$A$28,
(IF(AI476&lt;Hónapok!$A$22,Admin!$B$28,
(IF(AI476&lt;Hónapok!$A$34,Admin!$C$28,
(IF(AI476&lt;Hónapok!$A$46,Admin!$D$28,"")))))))),"")</f>
        <v>2. mérföldkő</v>
      </c>
      <c r="AK476" s="500" t="s">
        <v>7</v>
      </c>
      <c r="AL476" s="115" t="s">
        <v>26</v>
      </c>
      <c r="AM476" s="900">
        <v>164348</v>
      </c>
      <c r="AN476" s="863">
        <f>ROUND(1300/210000*164348,0)</f>
        <v>1017</v>
      </c>
      <c r="AO476" s="101">
        <v>87</v>
      </c>
      <c r="AP476" s="111">
        <v>87</v>
      </c>
      <c r="AQ476" s="454">
        <f t="shared" si="985"/>
        <v>1</v>
      </c>
      <c r="AR476" s="455">
        <f t="shared" si="986"/>
        <v>164348</v>
      </c>
      <c r="AS476" s="528">
        <f t="shared" si="987"/>
        <v>1017</v>
      </c>
      <c r="AT476" s="102">
        <f t="shared" si="988"/>
        <v>0</v>
      </c>
      <c r="AU476" s="529">
        <f t="shared" ref="AU476:AU481" si="1193">AN476/AM476</f>
        <v>6.1880886898532383E-3</v>
      </c>
      <c r="AV476" s="565" t="str">
        <f>VLOOKUP(LEFT(AB476,10),Törzsszám!$A$1:$B$908,2,0)</f>
        <v>10002167</v>
      </c>
      <c r="AW476" s="615">
        <f t="shared" ca="1" si="989"/>
        <v>0</v>
      </c>
      <c r="AX476" s="150" t="s">
        <v>218</v>
      </c>
      <c r="AY476" s="505"/>
      <c r="AZ476" s="502" t="s">
        <v>4607</v>
      </c>
      <c r="BA476" s="673">
        <v>154867</v>
      </c>
      <c r="BB476" s="650">
        <v>20133</v>
      </c>
      <c r="BC476" s="649">
        <f t="shared" ca="1" si="1192"/>
        <v>9481</v>
      </c>
      <c r="BD476" s="672">
        <f t="shared" ca="1" si="1192"/>
        <v>-19116</v>
      </c>
      <c r="BE476" s="143" t="s">
        <v>165</v>
      </c>
    </row>
    <row r="477" spans="1:57" s="117" customFormat="1" ht="14.45" customHeight="1" x14ac:dyDescent="0.25">
      <c r="A477" s="694" t="str">
        <f ca="1">Bérköltség!$B477</f>
        <v>FEOR</v>
      </c>
      <c r="B477" s="694" t="str">
        <f ca="1">IFERROR(
IF(AND(Bérköltség!$F477="",H477="NA"),"HIÁNYOS ADATOK",
IF(Bérköltség!$F477&lt;Bérköltség!$U477,Admin!$B$18,Admin!$B$17)),
"")</f>
        <v>FEOR</v>
      </c>
      <c r="C477" s="437" t="str">
        <f>IFERROR(INDEX('Historikus berek_2021-2'!$A$1:$F$903,MATCH(AB477,'Historikus berek_2021-2'!$A$1:$A$903,0),4),"")</f>
        <v/>
      </c>
      <c r="D477" s="438" t="str">
        <f t="shared" si="990"/>
        <v>NA</v>
      </c>
      <c r="E477" s="437">
        <f t="shared" si="991"/>
        <v>210000</v>
      </c>
      <c r="F477" s="439" t="str">
        <f t="shared" si="992"/>
        <v/>
      </c>
      <c r="G477" s="440" t="str">
        <f t="shared" si="993"/>
        <v/>
      </c>
      <c r="H477" s="441">
        <f>IFERROR(INDEX('FEOR kodok'!$A$2:$J$1126,MATCH(Bérköltség!AB477,'FEOR kodok'!$B$2:$B$1126,0),8),"NA")</f>
        <v>2139</v>
      </c>
      <c r="I477" s="436">
        <f ca="1">IFERROR(INDEX('FEOR kodok'!$A$2:$J$1126,MATCH(Bérköltség!AB477,'FEOR kodok'!$B$2:$B$1126,0),10),"NA")</f>
        <v>26</v>
      </c>
      <c r="J477" s="442" t="str">
        <f t="shared" ca="1" si="994"/>
        <v>30 év alatt</v>
      </c>
      <c r="K477" s="436" t="str">
        <f>IFERROR(INDEX(admin_feor[#All],MATCH(Bérköltség!H477,admin_feor[[#All],[Foglalkozás]],0),2),"NA")</f>
        <v>Egyéb, máshova nem sorolható mérnök</v>
      </c>
      <c r="L477" s="438">
        <f ca="1">IFERROR(
INDEX('Admin - FEOR'!$A$4:$F$465,MATCH(Bérköltség!H477,'Admin - FEOR'!$A$4:$A$465,0),
IF(J477="30 év alatt",3,
IF(J477="30–39 éves",4,
IF(J477="40–49 éves",5,
IF(J477="50 év és afelett",6
)))))*1,"NA")</f>
        <v>639238</v>
      </c>
      <c r="M477" s="438">
        <f t="shared" si="995"/>
        <v>210000</v>
      </c>
      <c r="N477" s="443">
        <f t="shared" ca="1" si="996"/>
        <v>0.32851613952862629</v>
      </c>
      <c r="O477" s="438">
        <f ca="1">IFERROR(
INDEX('Admin - FEOR'!$A$4:$F$465,MATCH(Bérköltség!H477,'Admin - FEOR'!$A$4:$A$465,0),
IF(J477="30 év alatt",3,
IF(J477="30–39 éves",4,
IF(J477="40–49 éves",5,
IF(J477="50 év és afelett",6
)))))*1.5,"NA")</f>
        <v>958857</v>
      </c>
      <c r="P477" s="438">
        <f t="shared" ca="1" si="997"/>
        <v>958857</v>
      </c>
      <c r="Q477" s="438">
        <f t="shared" si="998"/>
        <v>210000</v>
      </c>
      <c r="R477" s="444">
        <f t="shared" si="999"/>
        <v>1</v>
      </c>
      <c r="S477" s="438">
        <f t="shared" ca="1" si="1000"/>
        <v>0</v>
      </c>
      <c r="T477" s="438">
        <f t="shared" ca="1" si="1001"/>
        <v>0</v>
      </c>
      <c r="U477" s="445">
        <f t="shared" ca="1" si="1002"/>
        <v>0</v>
      </c>
      <c r="V477" s="446">
        <f t="shared" ca="1" si="1003"/>
        <v>211300</v>
      </c>
      <c r="W477" s="447" t="str">
        <f t="shared" ca="1" si="1004"/>
        <v>Nem szükséges indoklás.</v>
      </c>
      <c r="X477" s="571">
        <f t="shared" ca="1" si="1005"/>
        <v>0</v>
      </c>
      <c r="Y477" s="554">
        <f t="shared" ca="1" si="1006"/>
        <v>210000</v>
      </c>
      <c r="Z477" s="556">
        <f t="shared" ca="1" si="1007"/>
        <v>1300</v>
      </c>
      <c r="AA477" s="573">
        <v>2</v>
      </c>
      <c r="AB477" s="146">
        <v>8476102356</v>
      </c>
      <c r="AC477" s="112" t="s">
        <v>164</v>
      </c>
      <c r="AD477" s="483" t="s">
        <v>45</v>
      </c>
      <c r="AE477" s="143" t="s">
        <v>24</v>
      </c>
      <c r="AF477" s="99" t="s">
        <v>124</v>
      </c>
      <c r="AG477" s="99" t="s">
        <v>161</v>
      </c>
      <c r="AH477" s="451" t="s">
        <v>131</v>
      </c>
      <c r="AI477" s="154">
        <v>44805</v>
      </c>
      <c r="AJ477" s="100" t="str">
        <f>IF(AI477&gt;0,
(IF(AI477&lt;Hónapok!$A$10,Admin!$A$28,
(IF(AI477&lt;Hónapok!$A$22,Admin!$B$28,
(IF(AI477&lt;Hónapok!$A$34,Admin!$C$28,
(IF(AI477&lt;Hónapok!$A$46,Admin!$D$28,"")))))))),"")</f>
        <v>2. mérföldkő</v>
      </c>
      <c r="AK477" s="500" t="s">
        <v>7</v>
      </c>
      <c r="AL477" s="115" t="s">
        <v>26</v>
      </c>
      <c r="AM477" s="900">
        <v>210000</v>
      </c>
      <c r="AN477" s="863">
        <v>1300</v>
      </c>
      <c r="AO477" s="101">
        <v>87</v>
      </c>
      <c r="AP477" s="111">
        <v>87</v>
      </c>
      <c r="AQ477" s="454">
        <f t="shared" si="985"/>
        <v>1</v>
      </c>
      <c r="AR477" s="455">
        <f t="shared" si="986"/>
        <v>210000</v>
      </c>
      <c r="AS477" s="528">
        <f t="shared" si="987"/>
        <v>1300</v>
      </c>
      <c r="AT477" s="102">
        <f t="shared" si="988"/>
        <v>0</v>
      </c>
      <c r="AU477" s="529">
        <f t="shared" si="1193"/>
        <v>6.1904761904761907E-3</v>
      </c>
      <c r="AV477" s="565" t="str">
        <f>VLOOKUP(LEFT(AB477,10),Törzsszám!$A$1:$B$908,2,0)</f>
        <v>10002167</v>
      </c>
      <c r="AW477" s="615">
        <f t="shared" ca="1" si="989"/>
        <v>0</v>
      </c>
      <c r="AX477" s="150" t="s">
        <v>228</v>
      </c>
      <c r="AY477" s="505"/>
      <c r="AZ477" s="502" t="s">
        <v>4607</v>
      </c>
      <c r="BA477" s="673">
        <v>154867</v>
      </c>
      <c r="BB477" s="650">
        <v>959</v>
      </c>
      <c r="BC477" s="649">
        <f t="shared" ca="1" si="1192"/>
        <v>55133</v>
      </c>
      <c r="BD477" s="672">
        <f t="shared" ca="1" si="1192"/>
        <v>341</v>
      </c>
      <c r="BE477" s="143" t="s">
        <v>165</v>
      </c>
    </row>
    <row r="478" spans="1:57" s="117" customFormat="1" ht="14.45" customHeight="1" x14ac:dyDescent="0.25">
      <c r="A478" s="694" t="str">
        <f ca="1">Bérköltség!$B478</f>
        <v>FEOR</v>
      </c>
      <c r="B478" s="694" t="str">
        <f ca="1">IFERROR(
IF(AND(Bérköltség!$F478="",H478="NA"),"HIÁNYOS ADATOK",
IF(Bérköltség!$F478&lt;Bérköltség!$U478,Admin!$B$18,Admin!$B$17)),
"")</f>
        <v>FEOR</v>
      </c>
      <c r="C478" s="437" t="str">
        <f>IFERROR(INDEX('Historikus berek_2021-2'!$A$1:$F$903,MATCH(AB478,'Historikus berek_2021-2'!$A$1:$A$903,0),4),"")</f>
        <v/>
      </c>
      <c r="D478" s="438" t="str">
        <f t="shared" si="990"/>
        <v>NA</v>
      </c>
      <c r="E478" s="437">
        <f t="shared" si="991"/>
        <v>210000</v>
      </c>
      <c r="F478" s="439" t="str">
        <f t="shared" si="992"/>
        <v/>
      </c>
      <c r="G478" s="440" t="str">
        <f t="shared" si="993"/>
        <v/>
      </c>
      <c r="H478" s="441">
        <f>IFERROR(INDEX('FEOR kodok'!$A$2:$J$1126,MATCH(Bérköltség!AB478,'FEOR kodok'!$B$2:$B$1126,0),8),"NA")</f>
        <v>2139</v>
      </c>
      <c r="I478" s="436">
        <f ca="1">IFERROR(INDEX('FEOR kodok'!$A$2:$J$1126,MATCH(Bérköltség!AB478,'FEOR kodok'!$B$2:$B$1126,0),10),"NA")</f>
        <v>26</v>
      </c>
      <c r="J478" s="442" t="str">
        <f t="shared" ca="1" si="994"/>
        <v>30 év alatt</v>
      </c>
      <c r="K478" s="436" t="str">
        <f>IFERROR(INDEX(admin_feor[#All],MATCH(Bérköltség!H478,admin_feor[[#All],[Foglalkozás]],0),2),"NA")</f>
        <v>Egyéb, máshova nem sorolható mérnök</v>
      </c>
      <c r="L478" s="438">
        <f ca="1">IFERROR(
INDEX('Admin - FEOR'!$A$4:$F$465,MATCH(Bérköltség!H478,'Admin - FEOR'!$A$4:$A$465,0),
IF(J478="30 év alatt",3,
IF(J478="30–39 éves",4,
IF(J478="40–49 éves",5,
IF(J478="50 év és afelett",6
)))))*1,"NA")</f>
        <v>639238</v>
      </c>
      <c r="M478" s="438">
        <f t="shared" si="995"/>
        <v>210000</v>
      </c>
      <c r="N478" s="443">
        <f t="shared" ca="1" si="996"/>
        <v>0.32851613952862629</v>
      </c>
      <c r="O478" s="438">
        <f ca="1">IFERROR(
INDEX('Admin - FEOR'!$A$4:$F$465,MATCH(Bérköltség!H478,'Admin - FEOR'!$A$4:$A$465,0),
IF(J478="30 év alatt",3,
IF(J478="30–39 éves",4,
IF(J478="40–49 éves",5,
IF(J478="50 év és afelett",6
)))))*1.5,"NA")</f>
        <v>958857</v>
      </c>
      <c r="P478" s="438">
        <f t="shared" ca="1" si="997"/>
        <v>958857</v>
      </c>
      <c r="Q478" s="438">
        <f t="shared" si="998"/>
        <v>210000</v>
      </c>
      <c r="R478" s="444">
        <f t="shared" si="999"/>
        <v>1</v>
      </c>
      <c r="S478" s="438">
        <f t="shared" ca="1" si="1000"/>
        <v>0</v>
      </c>
      <c r="T478" s="438">
        <f t="shared" ca="1" si="1001"/>
        <v>0</v>
      </c>
      <c r="U478" s="445">
        <f t="shared" ca="1" si="1002"/>
        <v>0</v>
      </c>
      <c r="V478" s="446">
        <f t="shared" ca="1" si="1003"/>
        <v>211300</v>
      </c>
      <c r="W478" s="447" t="str">
        <f t="shared" ca="1" si="1004"/>
        <v>Nem szükséges indoklás.</v>
      </c>
      <c r="X478" s="571">
        <f t="shared" ca="1" si="1005"/>
        <v>0</v>
      </c>
      <c r="Y478" s="554">
        <f t="shared" ca="1" si="1006"/>
        <v>210000</v>
      </c>
      <c r="Z478" s="556">
        <f t="shared" ca="1" si="1007"/>
        <v>1300</v>
      </c>
      <c r="AA478" s="573">
        <v>2</v>
      </c>
      <c r="AB478" s="146">
        <v>8476102356</v>
      </c>
      <c r="AC478" s="112" t="s">
        <v>164</v>
      </c>
      <c r="AD478" s="483" t="s">
        <v>45</v>
      </c>
      <c r="AE478" s="143" t="s">
        <v>24</v>
      </c>
      <c r="AF478" s="99" t="s">
        <v>124</v>
      </c>
      <c r="AG478" s="99" t="s">
        <v>161</v>
      </c>
      <c r="AH478" s="451" t="s">
        <v>131</v>
      </c>
      <c r="AI478" s="154">
        <v>44835</v>
      </c>
      <c r="AJ478" s="100" t="str">
        <f>IF(AI478&gt;0,
(IF(AI478&lt;Hónapok!$A$10,Admin!$A$28,
(IF(AI478&lt;Hónapok!$A$22,Admin!$B$28,
(IF(AI478&lt;Hónapok!$A$34,Admin!$C$28,
(IF(AI478&lt;Hónapok!$A$46,Admin!$D$28,"")))))))),"")</f>
        <v>2. mérföldkő</v>
      </c>
      <c r="AK478" s="500" t="s">
        <v>7</v>
      </c>
      <c r="AL478" s="115" t="s">
        <v>26</v>
      </c>
      <c r="AM478" s="900">
        <v>210000</v>
      </c>
      <c r="AN478" s="863">
        <v>1300</v>
      </c>
      <c r="AO478" s="101">
        <v>87</v>
      </c>
      <c r="AP478" s="111">
        <v>87</v>
      </c>
      <c r="AQ478" s="454">
        <f t="shared" si="985"/>
        <v>1</v>
      </c>
      <c r="AR478" s="455">
        <f t="shared" si="986"/>
        <v>210000</v>
      </c>
      <c r="AS478" s="528">
        <f t="shared" si="987"/>
        <v>1300</v>
      </c>
      <c r="AT478" s="102">
        <f t="shared" si="988"/>
        <v>0</v>
      </c>
      <c r="AU478" s="529">
        <f t="shared" si="1193"/>
        <v>6.1904761904761907E-3</v>
      </c>
      <c r="AV478" s="565" t="str">
        <f>VLOOKUP(LEFT(AB478,10),Törzsszám!$A$1:$B$908,2,0)</f>
        <v>10002167</v>
      </c>
      <c r="AW478" s="615">
        <f t="shared" ca="1" si="989"/>
        <v>0</v>
      </c>
      <c r="AX478" s="150" t="s">
        <v>251</v>
      </c>
      <c r="AY478" s="505"/>
      <c r="AZ478" s="502" t="s">
        <v>4607</v>
      </c>
      <c r="BA478" s="673">
        <v>154867</v>
      </c>
      <c r="BB478" s="650">
        <v>959</v>
      </c>
      <c r="BC478" s="649">
        <f t="shared" ca="1" si="1192"/>
        <v>55133</v>
      </c>
      <c r="BD478" s="672">
        <f t="shared" ca="1" si="1192"/>
        <v>341</v>
      </c>
      <c r="BE478" s="143" t="s">
        <v>165</v>
      </c>
    </row>
    <row r="479" spans="1:57" s="117" customFormat="1" ht="14.45" customHeight="1" x14ac:dyDescent="0.25">
      <c r="A479" s="694" t="str">
        <f ca="1">Bérköltség!$B479</f>
        <v>FEOR</v>
      </c>
      <c r="B479" s="694" t="str">
        <f ca="1">IFERROR(
IF(AND(Bérköltség!$F479="",H479="NA"),"HIÁNYOS ADATOK",
IF(Bérköltség!$F479&lt;Bérköltség!$U479,Admin!$B$18,Admin!$B$17)),
"")</f>
        <v>FEOR</v>
      </c>
      <c r="C479" s="437" t="str">
        <f>IFERROR(INDEX('Historikus berek_2021-2'!$A$1:$F$903,MATCH(AB479,'Historikus berek_2021-2'!$A$1:$A$903,0),4),"")</f>
        <v/>
      </c>
      <c r="D479" s="438" t="str">
        <f t="shared" si="990"/>
        <v>NA</v>
      </c>
      <c r="E479" s="437">
        <f t="shared" si="991"/>
        <v>201000</v>
      </c>
      <c r="F479" s="439" t="str">
        <f t="shared" si="992"/>
        <v/>
      </c>
      <c r="G479" s="440" t="str">
        <f t="shared" si="993"/>
        <v/>
      </c>
      <c r="H479" s="441">
        <f>IFERROR(INDEX('FEOR kodok'!$A$2:$J$1126,MATCH(Bérköltség!AB479,'FEOR kodok'!$B$2:$B$1126,0),8),"NA")</f>
        <v>2139</v>
      </c>
      <c r="I479" s="436">
        <f ca="1">IFERROR(INDEX('FEOR kodok'!$A$2:$J$1126,MATCH(Bérköltség!AB479,'FEOR kodok'!$B$2:$B$1126,0),10),"NA")</f>
        <v>26</v>
      </c>
      <c r="J479" s="442" t="str">
        <f t="shared" ca="1" si="994"/>
        <v>30 év alatt</v>
      </c>
      <c r="K479" s="436" t="str">
        <f>IFERROR(INDEX(admin_feor[#All],MATCH(Bérköltség!H479,admin_feor[[#All],[Foglalkozás]],0),2),"NA")</f>
        <v>Egyéb, máshova nem sorolható mérnök</v>
      </c>
      <c r="L479" s="438">
        <f ca="1">IFERROR(
INDEX('Admin - FEOR'!$A$4:$F$465,MATCH(Bérköltség!H479,'Admin - FEOR'!$A$4:$A$465,0),
IF(J479="30 év alatt",3,
IF(J479="30–39 éves",4,
IF(J479="40–49 éves",5,
IF(J479="50 év és afelett",6
)))))*1,"NA")</f>
        <v>639238</v>
      </c>
      <c r="M479" s="438">
        <f t="shared" si="995"/>
        <v>201000</v>
      </c>
      <c r="N479" s="443">
        <f t="shared" ca="1" si="996"/>
        <v>0.31443687640597084</v>
      </c>
      <c r="O479" s="438">
        <f ca="1">IFERROR(
INDEX('Admin - FEOR'!$A$4:$F$465,MATCH(Bérköltség!H479,'Admin - FEOR'!$A$4:$A$465,0),
IF(J479="30 év alatt",3,
IF(J479="30–39 éves",4,
IF(J479="40–49 éves",5,
IF(J479="50 év és afelett",6
)))))*1.5,"NA")</f>
        <v>958857</v>
      </c>
      <c r="P479" s="438">
        <f t="shared" ca="1" si="997"/>
        <v>958857</v>
      </c>
      <c r="Q479" s="438">
        <f t="shared" si="998"/>
        <v>201000</v>
      </c>
      <c r="R479" s="444">
        <f t="shared" si="999"/>
        <v>1</v>
      </c>
      <c r="S479" s="438">
        <f t="shared" ca="1" si="1000"/>
        <v>0</v>
      </c>
      <c r="T479" s="438">
        <f t="shared" ca="1" si="1001"/>
        <v>0</v>
      </c>
      <c r="U479" s="445">
        <f t="shared" ca="1" si="1002"/>
        <v>0</v>
      </c>
      <c r="V479" s="446">
        <f t="shared" ca="1" si="1003"/>
        <v>203730</v>
      </c>
      <c r="W479" s="447" t="str">
        <f t="shared" ca="1" si="1004"/>
        <v>Nem szükséges indoklás.</v>
      </c>
      <c r="X479" s="571">
        <f t="shared" ca="1" si="1005"/>
        <v>0</v>
      </c>
      <c r="Y479" s="554">
        <f t="shared" ca="1" si="1006"/>
        <v>201000</v>
      </c>
      <c r="Z479" s="556">
        <f t="shared" ca="1" si="1007"/>
        <v>2730</v>
      </c>
      <c r="AA479" s="573">
        <v>2</v>
      </c>
      <c r="AB479" s="146">
        <v>8476102356</v>
      </c>
      <c r="AC479" s="112" t="s">
        <v>164</v>
      </c>
      <c r="AD479" s="483" t="s">
        <v>45</v>
      </c>
      <c r="AE479" s="143" t="s">
        <v>24</v>
      </c>
      <c r="AF479" s="99" t="s">
        <v>124</v>
      </c>
      <c r="AG479" s="99" t="s">
        <v>161</v>
      </c>
      <c r="AH479" s="451" t="s">
        <v>131</v>
      </c>
      <c r="AI479" s="154">
        <v>44866</v>
      </c>
      <c r="AJ479" s="100" t="str">
        <f>IF(AI479&gt;0,
(IF(AI479&lt;Hónapok!$A$10,Admin!$A$28,
(IF(AI479&lt;Hónapok!$A$22,Admin!$B$28,
(IF(AI479&lt;Hónapok!$A$34,Admin!$C$28,
(IF(AI479&lt;Hónapok!$A$46,Admin!$D$28,"")))))))),"")</f>
        <v>2. mérföldkő</v>
      </c>
      <c r="AK479" s="500" t="s">
        <v>7</v>
      </c>
      <c r="AL479" s="115" t="s">
        <v>26</v>
      </c>
      <c r="AM479" s="900">
        <v>201000</v>
      </c>
      <c r="AN479" s="863">
        <v>2730</v>
      </c>
      <c r="AO479" s="101">
        <v>87</v>
      </c>
      <c r="AP479" s="111">
        <v>87</v>
      </c>
      <c r="AQ479" s="454">
        <f t="shared" si="985"/>
        <v>1</v>
      </c>
      <c r="AR479" s="455">
        <f t="shared" si="986"/>
        <v>201000</v>
      </c>
      <c r="AS479" s="528">
        <f t="shared" si="987"/>
        <v>2730</v>
      </c>
      <c r="AT479" s="102">
        <f t="shared" si="988"/>
        <v>0</v>
      </c>
      <c r="AU479" s="529">
        <f t="shared" si="1193"/>
        <v>1.3582089552238805E-2</v>
      </c>
      <c r="AV479" s="565" t="str">
        <f>VLOOKUP(LEFT(AB479,10),Törzsszám!$A$1:$B$908,2,0)</f>
        <v>10002167</v>
      </c>
      <c r="AW479" s="615">
        <f t="shared" ca="1" si="989"/>
        <v>0</v>
      </c>
      <c r="AX479" s="150" t="s">
        <v>260</v>
      </c>
      <c r="AY479" s="505"/>
      <c r="AZ479" s="502" t="s">
        <v>4607</v>
      </c>
      <c r="BA479" s="673">
        <v>154867</v>
      </c>
      <c r="BB479" s="650">
        <v>2103</v>
      </c>
      <c r="BC479" s="649">
        <f t="shared" ca="1" si="1192"/>
        <v>46133</v>
      </c>
      <c r="BD479" s="672">
        <f t="shared" ca="1" si="1192"/>
        <v>627</v>
      </c>
      <c r="BE479" s="143" t="s">
        <v>165</v>
      </c>
    </row>
    <row r="480" spans="1:57" s="117" customFormat="1" ht="14.45" customHeight="1" x14ac:dyDescent="0.25">
      <c r="A480" s="694" t="str">
        <f ca="1">Bérköltség!$B480</f>
        <v>FEOR</v>
      </c>
      <c r="B480" s="694" t="str">
        <f ca="1">IFERROR(
IF(AND(Bérköltség!$F480="",H480="NA"),"HIÁNYOS ADATOK",
IF(Bérköltség!$F480&lt;Bérköltség!$U480,Admin!$B$18,Admin!$B$17)),
"")</f>
        <v>FEOR</v>
      </c>
      <c r="C480" s="437" t="str">
        <f>IFERROR(INDEX('Historikus berek_2021-2'!$A$1:$F$903,MATCH(AB480,'Historikus berek_2021-2'!$A$1:$A$903,0),4),"")</f>
        <v/>
      </c>
      <c r="D480" s="438" t="str">
        <f t="shared" si="990"/>
        <v>NA</v>
      </c>
      <c r="E480" s="437">
        <f t="shared" si="991"/>
        <v>210000</v>
      </c>
      <c r="F480" s="439" t="str">
        <f t="shared" si="992"/>
        <v/>
      </c>
      <c r="G480" s="440" t="str">
        <f t="shared" si="993"/>
        <v/>
      </c>
      <c r="H480" s="441">
        <f>IFERROR(INDEX('FEOR kodok'!$A$2:$J$1126,MATCH(Bérköltség!AB480,'FEOR kodok'!$B$2:$B$1126,0),8),"NA")</f>
        <v>2139</v>
      </c>
      <c r="I480" s="436">
        <f ca="1">IFERROR(INDEX('FEOR kodok'!$A$2:$J$1126,MATCH(Bérköltség!AB480,'FEOR kodok'!$B$2:$B$1126,0),10),"NA")</f>
        <v>26</v>
      </c>
      <c r="J480" s="442" t="str">
        <f t="shared" ca="1" si="994"/>
        <v>30 év alatt</v>
      </c>
      <c r="K480" s="436" t="str">
        <f>IFERROR(INDEX(admin_feor[#All],MATCH(Bérköltség!H480,admin_feor[[#All],[Foglalkozás]],0),2),"NA")</f>
        <v>Egyéb, máshova nem sorolható mérnök</v>
      </c>
      <c r="L480" s="438">
        <f ca="1">IFERROR(
INDEX('Admin - FEOR'!$A$4:$F$465,MATCH(Bérköltség!H480,'Admin - FEOR'!$A$4:$A$465,0),
IF(J480="30 év alatt",3,
IF(J480="30–39 éves",4,
IF(J480="40–49 éves",5,
IF(J480="50 év és afelett",6
)))))*1,"NA")</f>
        <v>639238</v>
      </c>
      <c r="M480" s="438">
        <f t="shared" si="995"/>
        <v>210000</v>
      </c>
      <c r="N480" s="443">
        <f t="shared" ca="1" si="996"/>
        <v>0.32851613952862629</v>
      </c>
      <c r="O480" s="438">
        <f ca="1">IFERROR(
INDEX('Admin - FEOR'!$A$4:$F$465,MATCH(Bérköltség!H480,'Admin - FEOR'!$A$4:$A$465,0),
IF(J480="30 év alatt",3,
IF(J480="30–39 éves",4,
IF(J480="40–49 éves",5,
IF(J480="50 év és afelett",6
)))))*1.5,"NA")</f>
        <v>958857</v>
      </c>
      <c r="P480" s="438">
        <f t="shared" ca="1" si="997"/>
        <v>958857</v>
      </c>
      <c r="Q480" s="438">
        <f t="shared" si="998"/>
        <v>210000</v>
      </c>
      <c r="R480" s="444">
        <f t="shared" si="999"/>
        <v>1</v>
      </c>
      <c r="S480" s="438">
        <f t="shared" ca="1" si="1000"/>
        <v>0</v>
      </c>
      <c r="T480" s="438">
        <f t="shared" ca="1" si="1001"/>
        <v>0</v>
      </c>
      <c r="U480" s="445">
        <f t="shared" ca="1" si="1002"/>
        <v>0</v>
      </c>
      <c r="V480" s="446">
        <f t="shared" ca="1" si="1003"/>
        <v>211666</v>
      </c>
      <c r="W480" s="447" t="str">
        <f t="shared" ca="1" si="1004"/>
        <v>Nem szükséges indoklás.</v>
      </c>
      <c r="X480" s="571">
        <f t="shared" ca="1" si="1005"/>
        <v>0</v>
      </c>
      <c r="Y480" s="554">
        <f t="shared" ca="1" si="1006"/>
        <v>210000</v>
      </c>
      <c r="Z480" s="556">
        <f t="shared" ca="1" si="1007"/>
        <v>1666</v>
      </c>
      <c r="AA480" s="573">
        <v>2</v>
      </c>
      <c r="AB480" s="146">
        <v>8476102356</v>
      </c>
      <c r="AC480" s="112" t="s">
        <v>164</v>
      </c>
      <c r="AD480" s="483" t="s">
        <v>45</v>
      </c>
      <c r="AE480" s="143" t="s">
        <v>24</v>
      </c>
      <c r="AF480" s="99" t="s">
        <v>124</v>
      </c>
      <c r="AG480" s="99" t="s">
        <v>161</v>
      </c>
      <c r="AH480" s="451" t="s">
        <v>131</v>
      </c>
      <c r="AI480" s="154">
        <v>44896</v>
      </c>
      <c r="AJ480" s="100" t="str">
        <f>IF(AI480&gt;0,
(IF(AI480&lt;Hónapok!$A$10,Admin!$A$28,
(IF(AI480&lt;Hónapok!$A$22,Admin!$B$28,
(IF(AI480&lt;Hónapok!$A$34,Admin!$C$28,
(IF(AI480&lt;Hónapok!$A$46,Admin!$D$28,"")))))))),"")</f>
        <v>2. mérföldkő</v>
      </c>
      <c r="AK480" s="500" t="s">
        <v>7</v>
      </c>
      <c r="AL480" s="115" t="s">
        <v>26</v>
      </c>
      <c r="AM480" s="900">
        <v>210000</v>
      </c>
      <c r="AN480" s="863">
        <v>1666</v>
      </c>
      <c r="AO480" s="101">
        <v>87</v>
      </c>
      <c r="AP480" s="111">
        <v>87</v>
      </c>
      <c r="AQ480" s="454">
        <f t="shared" si="985"/>
        <v>1</v>
      </c>
      <c r="AR480" s="455">
        <f t="shared" si="986"/>
        <v>210000</v>
      </c>
      <c r="AS480" s="528">
        <f t="shared" si="987"/>
        <v>1666</v>
      </c>
      <c r="AT480" s="102">
        <f t="shared" si="988"/>
        <v>0</v>
      </c>
      <c r="AU480" s="529">
        <f t="shared" si="1193"/>
        <v>7.9333333333333339E-3</v>
      </c>
      <c r="AV480" s="565" t="str">
        <f>VLOOKUP(LEFT(AB480,10),Törzsszám!$A$1:$B$908,2,0)</f>
        <v>10002167</v>
      </c>
      <c r="AW480" s="615">
        <f t="shared" ca="1" si="989"/>
        <v>0</v>
      </c>
      <c r="AX480" s="150" t="s">
        <v>262</v>
      </c>
      <c r="AY480" s="505"/>
      <c r="AZ480" s="502" t="s">
        <v>4607</v>
      </c>
      <c r="BA480" s="673">
        <v>154867</v>
      </c>
      <c r="BB480" s="650">
        <v>1229</v>
      </c>
      <c r="BC480" s="649">
        <f t="shared" ca="1" si="1192"/>
        <v>55133</v>
      </c>
      <c r="BD480" s="672">
        <f t="shared" ca="1" si="1192"/>
        <v>437</v>
      </c>
      <c r="BE480" s="143" t="s">
        <v>165</v>
      </c>
    </row>
    <row r="481" spans="1:57" s="117" customFormat="1" ht="14.45" customHeight="1" x14ac:dyDescent="0.25">
      <c r="A481" s="694" t="str">
        <f ca="1">Bérköltség!$B481</f>
        <v>FEOR</v>
      </c>
      <c r="B481" s="694" t="str">
        <f ca="1">IFERROR(
IF(AND(Bérköltség!$F481="",H481="NA"),"HIÁNYOS ADATOK",
IF(Bérköltség!$F481&lt;Bérköltség!$U481,Admin!$B$18,Admin!$B$17)),
"")</f>
        <v>FEOR</v>
      </c>
      <c r="C481" s="437" t="str">
        <f>IFERROR(INDEX('Historikus berek_2021-2'!$A$1:$F$903,MATCH(AB481,'Historikus berek_2021-2'!$A$1:$A$903,0),4),"")</f>
        <v/>
      </c>
      <c r="D481" s="438" t="str">
        <f t="shared" si="990"/>
        <v>NA</v>
      </c>
      <c r="E481" s="437">
        <f t="shared" si="991"/>
        <v>210000</v>
      </c>
      <c r="F481" s="439" t="str">
        <f t="shared" si="992"/>
        <v/>
      </c>
      <c r="G481" s="440" t="str">
        <f t="shared" si="993"/>
        <v/>
      </c>
      <c r="H481" s="441">
        <f>IFERROR(INDEX('FEOR kodok'!$A$2:$J$1126,MATCH(Bérköltség!AB481,'FEOR kodok'!$B$2:$B$1126,0),8),"NA")</f>
        <v>2139</v>
      </c>
      <c r="I481" s="436">
        <f ca="1">IFERROR(INDEX('FEOR kodok'!$A$2:$J$1126,MATCH(Bérköltség!AB481,'FEOR kodok'!$B$2:$B$1126,0),10),"NA")</f>
        <v>26</v>
      </c>
      <c r="J481" s="442" t="str">
        <f t="shared" ca="1" si="994"/>
        <v>30 év alatt</v>
      </c>
      <c r="K481" s="436" t="str">
        <f>IFERROR(INDEX(admin_feor[#All],MATCH(Bérköltség!H481,admin_feor[[#All],[Foglalkozás]],0),2),"NA")</f>
        <v>Egyéb, máshova nem sorolható mérnök</v>
      </c>
      <c r="L481" s="438">
        <f ca="1">IFERROR(
INDEX('Admin - FEOR'!$A$4:$F$465,MATCH(Bérköltség!H481,'Admin - FEOR'!$A$4:$A$465,0),
IF(J481="30 év alatt",3,
IF(J481="30–39 éves",4,
IF(J481="40–49 éves",5,
IF(J481="50 év és afelett",6
)))))*1,"NA")</f>
        <v>639238</v>
      </c>
      <c r="M481" s="438">
        <f t="shared" si="995"/>
        <v>210000</v>
      </c>
      <c r="N481" s="443">
        <f t="shared" ca="1" si="996"/>
        <v>0.32851613952862629</v>
      </c>
      <c r="O481" s="438">
        <f ca="1">IFERROR(
INDEX('Admin - FEOR'!$A$4:$F$465,MATCH(Bérköltség!H481,'Admin - FEOR'!$A$4:$A$465,0),
IF(J481="30 év alatt",3,
IF(J481="30–39 éves",4,
IF(J481="40–49 éves",5,
IF(J481="50 év és afelett",6
)))))*1.5,"NA")</f>
        <v>958857</v>
      </c>
      <c r="P481" s="438">
        <f t="shared" ca="1" si="997"/>
        <v>958857</v>
      </c>
      <c r="Q481" s="438">
        <f t="shared" si="998"/>
        <v>210000</v>
      </c>
      <c r="R481" s="444">
        <f t="shared" si="999"/>
        <v>1</v>
      </c>
      <c r="S481" s="438">
        <f t="shared" ca="1" si="1000"/>
        <v>0</v>
      </c>
      <c r="T481" s="438">
        <f t="shared" ca="1" si="1001"/>
        <v>0</v>
      </c>
      <c r="U481" s="445">
        <f t="shared" ca="1" si="1002"/>
        <v>0</v>
      </c>
      <c r="V481" s="446">
        <f t="shared" ca="1" si="1003"/>
        <v>213560</v>
      </c>
      <c r="W481" s="447" t="str">
        <f t="shared" ca="1" si="1004"/>
        <v>Nem szükséges indoklás.</v>
      </c>
      <c r="X481" s="571">
        <f t="shared" ca="1" si="1005"/>
        <v>0</v>
      </c>
      <c r="Y481" s="554">
        <f t="shared" ca="1" si="1006"/>
        <v>210000</v>
      </c>
      <c r="Z481" s="556">
        <f t="shared" ca="1" si="1007"/>
        <v>3560</v>
      </c>
      <c r="AA481" s="573">
        <v>2</v>
      </c>
      <c r="AB481" s="146">
        <v>8476102356</v>
      </c>
      <c r="AC481" s="112" t="s">
        <v>164</v>
      </c>
      <c r="AD481" s="483" t="s">
        <v>45</v>
      </c>
      <c r="AE481" s="143" t="s">
        <v>24</v>
      </c>
      <c r="AF481" s="99" t="s">
        <v>124</v>
      </c>
      <c r="AG481" s="99" t="s">
        <v>161</v>
      </c>
      <c r="AH481" s="451" t="s">
        <v>131</v>
      </c>
      <c r="AI481" s="154">
        <v>44927</v>
      </c>
      <c r="AJ481" s="100" t="str">
        <f>IF(AI481&gt;0,
(IF(AI481&lt;Hónapok!$A$10,Admin!$A$28,
(IF(AI481&lt;Hónapok!$A$22,Admin!$B$28,
(IF(AI481&lt;Hónapok!$A$34,Admin!$C$28,
(IF(AI481&lt;Hónapok!$A$46,Admin!$D$28,"")))))))),"")</f>
        <v>2. mérföldkő</v>
      </c>
      <c r="AK481" s="500" t="s">
        <v>7</v>
      </c>
      <c r="AL481" s="115" t="s">
        <v>26</v>
      </c>
      <c r="AM481" s="900">
        <v>210000</v>
      </c>
      <c r="AN481" s="863">
        <v>3560</v>
      </c>
      <c r="AO481" s="101">
        <v>87</v>
      </c>
      <c r="AP481" s="111">
        <v>87</v>
      </c>
      <c r="AQ481" s="454">
        <f t="shared" si="985"/>
        <v>1</v>
      </c>
      <c r="AR481" s="455">
        <f t="shared" si="986"/>
        <v>210000</v>
      </c>
      <c r="AS481" s="528">
        <f t="shared" si="987"/>
        <v>3560</v>
      </c>
      <c r="AT481" s="102">
        <f t="shared" si="988"/>
        <v>0</v>
      </c>
      <c r="AU481" s="529">
        <f t="shared" si="1193"/>
        <v>1.6952380952380951E-2</v>
      </c>
      <c r="AV481" s="565" t="str">
        <f>VLOOKUP(LEFT(AB481,10),Törzsszám!$A$1:$B$908,2,0)</f>
        <v>10002167</v>
      </c>
      <c r="AW481" s="615">
        <f t="shared" ca="1" si="989"/>
        <v>0</v>
      </c>
      <c r="AX481" s="150" t="s">
        <v>2518</v>
      </c>
      <c r="AY481" s="505"/>
      <c r="AZ481" s="502" t="s">
        <v>4607</v>
      </c>
      <c r="BA481" s="673">
        <v>154867</v>
      </c>
      <c r="BB481" s="650">
        <v>2625</v>
      </c>
      <c r="BC481" s="649">
        <f t="shared" ca="1" si="1192"/>
        <v>55133</v>
      </c>
      <c r="BD481" s="672">
        <f t="shared" ca="1" si="1192"/>
        <v>935</v>
      </c>
      <c r="BE481" s="143" t="s">
        <v>165</v>
      </c>
    </row>
    <row r="482" spans="1:57" s="117" customFormat="1" ht="14.45" customHeight="1" x14ac:dyDescent="0.25">
      <c r="A482" s="694" t="str">
        <f ca="1">Bérköltség!$B482</f>
        <v>FEOR</v>
      </c>
      <c r="B482" s="694" t="str">
        <f ca="1">IFERROR(
IF(AND(Bérköltség!$F482="",H482="NA"),"HIÁNYOS ADATOK",
IF(Bérköltség!$F482&lt;Bérköltség!$U482,Admin!$B$18,Admin!$B$17)),
"")</f>
        <v>FEOR</v>
      </c>
      <c r="C482" s="437" t="str">
        <f>IFERROR(INDEX('Historikus berek_2021-2'!$A$1:$F$903,MATCH(AB482,'Historikus berek_2021-2'!$A$1:$A$903,0),4),"")</f>
        <v/>
      </c>
      <c r="D482" s="438" t="str">
        <f t="shared" si="990"/>
        <v>NA</v>
      </c>
      <c r="E482" s="437">
        <f t="shared" si="991"/>
        <v>206850</v>
      </c>
      <c r="F482" s="439" t="str">
        <f t="shared" si="992"/>
        <v/>
      </c>
      <c r="G482" s="440" t="str">
        <f t="shared" si="993"/>
        <v/>
      </c>
      <c r="H482" s="441">
        <f>IFERROR(INDEX('FEOR kodok'!$A$2:$J$1126,MATCH(Bérköltség!AB482,'FEOR kodok'!$B$2:$B$1126,0),8),"NA")</f>
        <v>2139</v>
      </c>
      <c r="I482" s="436">
        <f ca="1">IFERROR(INDEX('FEOR kodok'!$A$2:$J$1126,MATCH(Bérköltség!AB482,'FEOR kodok'!$B$2:$B$1126,0),10),"NA")</f>
        <v>26</v>
      </c>
      <c r="J482" s="442" t="str">
        <f t="shared" ca="1" si="994"/>
        <v>30 év alatt</v>
      </c>
      <c r="K482" s="436" t="str">
        <f>IFERROR(INDEX(admin_feor[#All],MATCH(Bérköltség!H482,admin_feor[[#All],[Foglalkozás]],0),2),"NA")</f>
        <v>Egyéb, máshova nem sorolható mérnök</v>
      </c>
      <c r="L482" s="438">
        <f ca="1">IFERROR(
INDEX('Admin - FEOR'!$A$4:$F$465,MATCH(Bérköltség!H482,'Admin - FEOR'!$A$4:$A$465,0),
IF(J482="30 év alatt",3,
IF(J482="30–39 éves",4,
IF(J482="40–49 éves",5,
IF(J482="50 év és afelett",6
)))))*1,"NA")</f>
        <v>639238</v>
      </c>
      <c r="M482" s="438">
        <f t="shared" si="995"/>
        <v>206850</v>
      </c>
      <c r="N482" s="443">
        <f t="shared" ca="1" si="996"/>
        <v>0.3235883974356969</v>
      </c>
      <c r="O482" s="438">
        <f ca="1">IFERROR(
INDEX('Admin - FEOR'!$A$4:$F$465,MATCH(Bérköltség!H482,'Admin - FEOR'!$A$4:$A$465,0),
IF(J482="30 év alatt",3,
IF(J482="30–39 éves",4,
IF(J482="40–49 éves",5,
IF(J482="50 év és afelett",6
)))))*1.5,"NA")</f>
        <v>958857</v>
      </c>
      <c r="P482" s="438">
        <f t="shared" ca="1" si="997"/>
        <v>958857</v>
      </c>
      <c r="Q482" s="438">
        <f t="shared" si="998"/>
        <v>206850</v>
      </c>
      <c r="R482" s="444">
        <f t="shared" si="999"/>
        <v>1</v>
      </c>
      <c r="S482" s="438">
        <f t="shared" ca="1" si="1000"/>
        <v>0</v>
      </c>
      <c r="T482" s="438">
        <f t="shared" ca="1" si="1001"/>
        <v>0</v>
      </c>
      <c r="U482" s="445">
        <f t="shared" ca="1" si="1002"/>
        <v>0</v>
      </c>
      <c r="V482" s="446">
        <f t="shared" ca="1" si="1003"/>
        <v>207806</v>
      </c>
      <c r="W482" s="447" t="str">
        <f t="shared" ca="1" si="1004"/>
        <v>Nem szükséges indoklás.</v>
      </c>
      <c r="X482" s="571">
        <f t="shared" ca="1" si="1005"/>
        <v>0</v>
      </c>
      <c r="Y482" s="554">
        <f t="shared" ca="1" si="1006"/>
        <v>206850</v>
      </c>
      <c r="Z482" s="556">
        <f t="shared" ca="1" si="1007"/>
        <v>956</v>
      </c>
      <c r="AA482" s="115"/>
      <c r="AB482" s="146">
        <v>8476102356</v>
      </c>
      <c r="AC482" s="112" t="s">
        <v>164</v>
      </c>
      <c r="AD482" s="483" t="s">
        <v>45</v>
      </c>
      <c r="AE482" s="143" t="s">
        <v>24</v>
      </c>
      <c r="AF482" s="99" t="s">
        <v>124</v>
      </c>
      <c r="AG482" s="99" t="s">
        <v>161</v>
      </c>
      <c r="AH482" s="451" t="s">
        <v>131</v>
      </c>
      <c r="AI482" s="154">
        <v>44958</v>
      </c>
      <c r="AJ482" s="100" t="str">
        <f>IF(AI482&gt;0,
(IF(AI482&lt;Hónapok!$A$10,Admin!$A$28,
(IF(AI482&lt;Hónapok!$A$22,Admin!$B$28,
(IF(AI482&lt;Hónapok!$A$34,Admin!$C$28,
(IF(AI482&lt;Hónapok!$A$46,Admin!$D$28,"")))))))),"")</f>
        <v>2. mérföldkő</v>
      </c>
      <c r="AK482" s="500" t="s">
        <v>7</v>
      </c>
      <c r="AL482" s="115" t="s">
        <v>26</v>
      </c>
      <c r="AM482" s="900">
        <v>206850</v>
      </c>
      <c r="AN482" s="863">
        <v>956</v>
      </c>
      <c r="AO482" s="101">
        <v>87</v>
      </c>
      <c r="AP482" s="111">
        <v>87</v>
      </c>
      <c r="AQ482" s="454">
        <f t="shared" si="985"/>
        <v>1</v>
      </c>
      <c r="AR482" s="455">
        <f t="shared" si="986"/>
        <v>206850</v>
      </c>
      <c r="AS482" s="528">
        <f t="shared" si="987"/>
        <v>956</v>
      </c>
      <c r="AT482" s="102">
        <f t="shared" si="988"/>
        <v>0</v>
      </c>
      <c r="AU482" s="529">
        <f>AN482/AM482</f>
        <v>4.6217065506405607E-3</v>
      </c>
      <c r="AV482" s="565" t="str">
        <f>VLOOKUP(LEFT(AB482,10),Törzsszám!$A$1:$B$908,2,0)</f>
        <v>10002167</v>
      </c>
      <c r="AW482" s="615">
        <f t="shared" ca="1" si="989"/>
        <v>0</v>
      </c>
      <c r="AX482" s="537" t="s">
        <v>4557</v>
      </c>
      <c r="AY482" s="505"/>
      <c r="AZ482" s="803"/>
      <c r="BA482" s="673"/>
      <c r="BB482" s="650"/>
      <c r="BC482" s="649"/>
      <c r="BD482" s="672"/>
      <c r="BE482" s="143" t="s">
        <v>165</v>
      </c>
    </row>
    <row r="483" spans="1:57" s="117" customFormat="1" ht="14.45" customHeight="1" x14ac:dyDescent="0.25">
      <c r="A483" s="694" t="str">
        <f ca="1">Bérköltség!$B483</f>
        <v>FEOR</v>
      </c>
      <c r="B483" s="694" t="str">
        <f ca="1">IFERROR(
IF(AND(Bérköltség!$F483="",H483="NA"),"HIÁNYOS ADATOK",
IF(Bérköltség!$F483&lt;Bérköltség!$U483,Admin!$B$18,Admin!$B$17)),
"")</f>
        <v>FEOR</v>
      </c>
      <c r="C483" s="437" t="str">
        <f>IFERROR(INDEX('Historikus berek_2021-2'!$A$1:$F$903,MATCH(AB483,'Historikus berek_2021-2'!$A$1:$A$903,0),4),"")</f>
        <v/>
      </c>
      <c r="D483" s="438" t="str">
        <f t="shared" si="990"/>
        <v>NA</v>
      </c>
      <c r="E483" s="437">
        <f t="shared" si="991"/>
        <v>232500</v>
      </c>
      <c r="F483" s="439" t="str">
        <f t="shared" si="992"/>
        <v/>
      </c>
      <c r="G483" s="440" t="str">
        <f t="shared" si="993"/>
        <v/>
      </c>
      <c r="H483" s="441">
        <f>IFERROR(INDEX('FEOR kodok'!$A$2:$J$1126,MATCH(Bérköltség!AB483,'FEOR kodok'!$B$2:$B$1126,0),8),"NA")</f>
        <v>2139</v>
      </c>
      <c r="I483" s="436">
        <f ca="1">IFERROR(INDEX('FEOR kodok'!$A$2:$J$1126,MATCH(Bérköltség!AB483,'FEOR kodok'!$B$2:$B$1126,0),10),"NA")</f>
        <v>26</v>
      </c>
      <c r="J483" s="442" t="str">
        <f t="shared" ca="1" si="994"/>
        <v>30 év alatt</v>
      </c>
      <c r="K483" s="436" t="str">
        <f>IFERROR(INDEX(admin_feor[#All],MATCH(Bérköltség!H483,admin_feor[[#All],[Foglalkozás]],0),2),"NA")</f>
        <v>Egyéb, máshova nem sorolható mérnök</v>
      </c>
      <c r="L483" s="438">
        <f ca="1">IFERROR(
INDEX('Admin - FEOR'!$A$4:$F$465,MATCH(Bérköltség!H483,'Admin - FEOR'!$A$4:$A$465,0),
IF(J483="30 év alatt",3,
IF(J483="30–39 éves",4,
IF(J483="40–49 éves",5,
IF(J483="50 év és afelett",6
)))))*1,"NA")</f>
        <v>639238</v>
      </c>
      <c r="M483" s="438">
        <f t="shared" si="995"/>
        <v>232500</v>
      </c>
      <c r="N483" s="443">
        <f t="shared" ca="1" si="996"/>
        <v>0.36371429733526478</v>
      </c>
      <c r="O483" s="438">
        <f ca="1">IFERROR(
INDEX('Admin - FEOR'!$A$4:$F$465,MATCH(Bérköltség!H483,'Admin - FEOR'!$A$4:$A$465,0),
IF(J483="30 év alatt",3,
IF(J483="30–39 éves",4,
IF(J483="40–49 éves",5,
IF(J483="50 év és afelett",6
)))))*1.5,"NA")</f>
        <v>958857</v>
      </c>
      <c r="P483" s="438">
        <f t="shared" ca="1" si="997"/>
        <v>958857</v>
      </c>
      <c r="Q483" s="438">
        <f t="shared" si="998"/>
        <v>232500</v>
      </c>
      <c r="R483" s="444">
        <f t="shared" si="999"/>
        <v>1</v>
      </c>
      <c r="S483" s="438">
        <f t="shared" ca="1" si="1000"/>
        <v>0</v>
      </c>
      <c r="T483" s="438">
        <f t="shared" ca="1" si="1001"/>
        <v>0</v>
      </c>
      <c r="U483" s="445">
        <f t="shared" ca="1" si="1002"/>
        <v>0</v>
      </c>
      <c r="V483" s="446">
        <f t="shared" ca="1" si="1003"/>
        <v>232565</v>
      </c>
      <c r="W483" s="447" t="str">
        <f t="shared" ca="1" si="1004"/>
        <v>Nem szükséges indoklás.</v>
      </c>
      <c r="X483" s="571">
        <f t="shared" ca="1" si="1005"/>
        <v>0</v>
      </c>
      <c r="Y483" s="554">
        <f t="shared" ca="1" si="1006"/>
        <v>232500</v>
      </c>
      <c r="Z483" s="556">
        <f t="shared" ca="1" si="1007"/>
        <v>65</v>
      </c>
      <c r="AA483" s="115"/>
      <c r="AB483" s="146">
        <v>8476102356</v>
      </c>
      <c r="AC483" s="112" t="s">
        <v>164</v>
      </c>
      <c r="AD483" s="483" t="s">
        <v>45</v>
      </c>
      <c r="AE483" s="143" t="s">
        <v>24</v>
      </c>
      <c r="AF483" s="99" t="s">
        <v>124</v>
      </c>
      <c r="AG483" s="99" t="s">
        <v>161</v>
      </c>
      <c r="AH483" s="451" t="s">
        <v>131</v>
      </c>
      <c r="AI483" s="154">
        <v>44986</v>
      </c>
      <c r="AJ483" s="100" t="str">
        <f>IF(AI483&gt;0,
(IF(AI483&lt;Hónapok!$A$10,Admin!$A$28,
(IF(AI483&lt;Hónapok!$A$22,Admin!$B$28,
(IF(AI483&lt;Hónapok!$A$34,Admin!$C$28,
(IF(AI483&lt;Hónapok!$A$46,Admin!$D$28,"")))))))),"")</f>
        <v>3. mérföldkő</v>
      </c>
      <c r="AK483" s="470" t="s">
        <v>7</v>
      </c>
      <c r="AL483" s="115" t="s">
        <v>26</v>
      </c>
      <c r="AM483" s="900">
        <v>232500</v>
      </c>
      <c r="AN483" s="863">
        <v>65</v>
      </c>
      <c r="AO483" s="101">
        <v>87</v>
      </c>
      <c r="AP483" s="111">
        <v>87</v>
      </c>
      <c r="AQ483" s="454">
        <f t="shared" si="985"/>
        <v>1</v>
      </c>
      <c r="AR483" s="455">
        <f t="shared" si="986"/>
        <v>232500</v>
      </c>
      <c r="AS483" s="528">
        <f t="shared" si="987"/>
        <v>65</v>
      </c>
      <c r="AT483" s="102">
        <f t="shared" si="988"/>
        <v>0</v>
      </c>
      <c r="AU483" s="529">
        <f>AN483/AM483</f>
        <v>2.7956989247311827E-4</v>
      </c>
      <c r="AV483" s="565" t="str">
        <f>VLOOKUP(LEFT(AB483,10),Törzsszám!$A$1:$B$908,2,0)</f>
        <v>10002167</v>
      </c>
      <c r="AW483" s="681">
        <f t="shared" ca="1" si="989"/>
        <v>0</v>
      </c>
      <c r="AX483" s="471" t="s">
        <v>4561</v>
      </c>
      <c r="AY483" s="505"/>
      <c r="AZ483" s="803"/>
      <c r="BA483" s="673"/>
      <c r="BB483" s="650"/>
      <c r="BC483" s="649"/>
      <c r="BD483" s="672"/>
      <c r="BE483" s="143" t="s">
        <v>165</v>
      </c>
    </row>
    <row r="484" spans="1:57" s="117" customFormat="1" ht="25.9" customHeight="1" x14ac:dyDescent="0.25">
      <c r="A484" s="694" t="str">
        <f ca="1">Bérköltség!$B484</f>
        <v>FEOR</v>
      </c>
      <c r="B484" s="694" t="str">
        <f ca="1">IFERROR(
IF(AND(Bérköltség!$F484="",H484="NA"),"HIÁNYOS ADATOK",
IF(Bérköltség!$F484&lt;Bérköltség!$U484,Admin!$B$18,Admin!$B$17)),
"")</f>
        <v>FEOR</v>
      </c>
      <c r="C484" s="437" t="str">
        <f>IFERROR(INDEX('Historikus berek_2021-2'!$A$1:$F$903,MATCH(AB484,'Historikus berek_2021-2'!$A$1:$A$903,0),4),"")</f>
        <v/>
      </c>
      <c r="D484" s="438" t="str">
        <f t="shared" si="990"/>
        <v>NA</v>
      </c>
      <c r="E484" s="437">
        <f t="shared" si="991"/>
        <v>232500</v>
      </c>
      <c r="F484" s="439" t="str">
        <f t="shared" si="992"/>
        <v/>
      </c>
      <c r="G484" s="440" t="str">
        <f t="shared" si="993"/>
        <v/>
      </c>
      <c r="H484" s="441">
        <f>IFERROR(INDEX('FEOR kodok'!$A$2:$J$1126,MATCH(Bérköltség!AB484,'FEOR kodok'!$B$2:$B$1126,0),8),"NA")</f>
        <v>2139</v>
      </c>
      <c r="I484" s="436">
        <f ca="1">IFERROR(INDEX('FEOR kodok'!$A$2:$J$1126,MATCH(Bérköltség!AB484,'FEOR kodok'!$B$2:$B$1126,0),10),"NA")</f>
        <v>26</v>
      </c>
      <c r="J484" s="442" t="str">
        <f t="shared" ca="1" si="994"/>
        <v>30 év alatt</v>
      </c>
      <c r="K484" s="436" t="str">
        <f>IFERROR(INDEX(admin_feor[#All],MATCH(Bérköltség!H484,admin_feor[[#All],[Foglalkozás]],0),2),"NA")</f>
        <v>Egyéb, máshova nem sorolható mérnök</v>
      </c>
      <c r="L484" s="438">
        <f ca="1">IFERROR(
INDEX('Admin - FEOR'!$A$4:$F$465,MATCH(Bérköltség!H484,'Admin - FEOR'!$A$4:$A$465,0),
IF(J484="30 év alatt",3,
IF(J484="30–39 éves",4,
IF(J484="40–49 éves",5,
IF(J484="50 év és afelett",6
)))))*1,"NA")</f>
        <v>639238</v>
      </c>
      <c r="M484" s="438">
        <f t="shared" si="995"/>
        <v>232500</v>
      </c>
      <c r="N484" s="443">
        <f t="shared" ca="1" si="996"/>
        <v>0.36371429733526478</v>
      </c>
      <c r="O484" s="438">
        <f ca="1">IFERROR(
INDEX('Admin - FEOR'!$A$4:$F$465,MATCH(Bérköltség!H484,'Admin - FEOR'!$A$4:$A$465,0),
IF(J484="30 év alatt",3,
IF(J484="30–39 éves",4,
IF(J484="40–49 éves",5,
IF(J484="50 év és afelett",6
)))))*1.5,"NA")</f>
        <v>958857</v>
      </c>
      <c r="P484" s="438">
        <f t="shared" ca="1" si="997"/>
        <v>958857</v>
      </c>
      <c r="Q484" s="438">
        <f t="shared" si="998"/>
        <v>232500</v>
      </c>
      <c r="R484" s="444">
        <f t="shared" si="999"/>
        <v>1</v>
      </c>
      <c r="S484" s="438">
        <f t="shared" ca="1" si="1000"/>
        <v>0</v>
      </c>
      <c r="T484" s="438">
        <f t="shared" ca="1" si="1001"/>
        <v>0</v>
      </c>
      <c r="U484" s="445">
        <f t="shared" ca="1" si="1002"/>
        <v>0</v>
      </c>
      <c r="V484" s="446">
        <f t="shared" ca="1" si="1003"/>
        <v>232565</v>
      </c>
      <c r="W484" s="447" t="str">
        <f t="shared" ca="1" si="1004"/>
        <v>Nem szükséges indoklás.</v>
      </c>
      <c r="X484" s="571">
        <f t="shared" ca="1" si="1005"/>
        <v>0</v>
      </c>
      <c r="Y484" s="554">
        <f t="shared" ca="1" si="1006"/>
        <v>232500</v>
      </c>
      <c r="Z484" s="556">
        <f t="shared" ca="1" si="1007"/>
        <v>65</v>
      </c>
      <c r="AA484" s="115"/>
      <c r="AB484" s="146">
        <v>8476102356</v>
      </c>
      <c r="AC484" s="112" t="s">
        <v>164</v>
      </c>
      <c r="AD484" s="483" t="s">
        <v>45</v>
      </c>
      <c r="AE484" s="143" t="s">
        <v>24</v>
      </c>
      <c r="AF484" s="99" t="s">
        <v>124</v>
      </c>
      <c r="AG484" s="99" t="s">
        <v>161</v>
      </c>
      <c r="AH484" s="451" t="s">
        <v>131</v>
      </c>
      <c r="AI484" s="154">
        <v>45017</v>
      </c>
      <c r="AJ484" s="100" t="str">
        <f>IF(AI484&gt;0,
(IF(AI484&lt;Hónapok!$A$10,Admin!$A$28,
(IF(AI484&lt;Hónapok!$A$22,Admin!$B$28,
(IF(AI484&lt;Hónapok!$A$34,Admin!$C$28,
(IF(AI484&lt;Hónapok!$A$46,Admin!$D$28,"")))))))),"")</f>
        <v>3. mérföldkő</v>
      </c>
      <c r="AK484" s="500" t="s">
        <v>7</v>
      </c>
      <c r="AL484" s="115" t="s">
        <v>26</v>
      </c>
      <c r="AM484" s="900">
        <v>232500</v>
      </c>
      <c r="AN484" s="863">
        <v>65</v>
      </c>
      <c r="AO484" s="101">
        <v>87</v>
      </c>
      <c r="AP484" s="111">
        <v>87</v>
      </c>
      <c r="AQ484" s="454">
        <f t="shared" si="985"/>
        <v>1</v>
      </c>
      <c r="AR484" s="455">
        <f t="shared" si="986"/>
        <v>232500</v>
      </c>
      <c r="AS484" s="528">
        <f t="shared" si="987"/>
        <v>65</v>
      </c>
      <c r="AT484" s="102">
        <f t="shared" si="988"/>
        <v>0</v>
      </c>
      <c r="AU484" s="529">
        <f>AN484/AM484</f>
        <v>2.7956989247311827E-4</v>
      </c>
      <c r="AV484" s="565" t="str">
        <f>VLOOKUP(LEFT(AB484,10),Törzsszám!$A$1:$B$908,2,0)</f>
        <v>10002167</v>
      </c>
      <c r="AW484" s="681">
        <f t="shared" ca="1" si="989"/>
        <v>0</v>
      </c>
      <c r="AX484" s="471" t="s">
        <v>4581</v>
      </c>
      <c r="AY484" s="831" t="s">
        <v>4595</v>
      </c>
      <c r="AZ484" s="803"/>
      <c r="BA484" s="673"/>
      <c r="BB484" s="650"/>
      <c r="BC484" s="649"/>
      <c r="BD484" s="672"/>
      <c r="BE484" s="143" t="s">
        <v>165</v>
      </c>
    </row>
    <row r="485" spans="1:57" s="117" customFormat="1" ht="14.45" customHeight="1" x14ac:dyDescent="0.25">
      <c r="A485" s="694" t="str">
        <f ca="1">Bérköltség!$B485</f>
        <v>FEOR</v>
      </c>
      <c r="B485" s="694" t="str">
        <f ca="1">IFERROR(
IF(AND(Bérköltség!$F485="",H485="NA"),"HIÁNYOS ADATOK",
IF(Bérköltség!$F485&lt;Bérköltség!$U485,Admin!$B$18,Admin!$B$17)),
"")</f>
        <v>FEOR</v>
      </c>
      <c r="C485" s="437" t="str">
        <f>IFERROR(INDEX('Historikus berek_2021-2'!$A$1:$F$903,MATCH(AB485,'Historikus berek_2021-2'!$A$1:$A$903,0),4),"")</f>
        <v/>
      </c>
      <c r="D485" s="438" t="str">
        <f t="shared" si="990"/>
        <v>NA</v>
      </c>
      <c r="E485" s="437">
        <f t="shared" si="991"/>
        <v>232500</v>
      </c>
      <c r="F485" s="439" t="str">
        <f t="shared" si="992"/>
        <v/>
      </c>
      <c r="G485" s="440" t="str">
        <f t="shared" si="993"/>
        <v/>
      </c>
      <c r="H485" s="441">
        <f>IFERROR(INDEX('FEOR kodok'!$A$2:$J$1126,MATCH(Bérköltség!AB485,'FEOR kodok'!$B$2:$B$1126,0),8),"NA")</f>
        <v>2139</v>
      </c>
      <c r="I485" s="436">
        <f ca="1">IFERROR(INDEX('FEOR kodok'!$A$2:$J$1126,MATCH(Bérköltség!AB485,'FEOR kodok'!$B$2:$B$1126,0),10),"NA")</f>
        <v>26</v>
      </c>
      <c r="J485" s="442" t="str">
        <f t="shared" ca="1" si="994"/>
        <v>30 év alatt</v>
      </c>
      <c r="K485" s="436" t="str">
        <f>IFERROR(INDEX(admin_feor[#All],MATCH(Bérköltség!H485,admin_feor[[#All],[Foglalkozás]],0),2),"NA")</f>
        <v>Egyéb, máshova nem sorolható mérnök</v>
      </c>
      <c r="L485" s="438">
        <f ca="1">IFERROR(
INDEX('Admin - FEOR'!$A$4:$F$465,MATCH(Bérköltség!H485,'Admin - FEOR'!$A$4:$A$465,0),
IF(J485="30 év alatt",3,
IF(J485="30–39 éves",4,
IF(J485="40–49 éves",5,
IF(J485="50 év és afelett",6
)))))*1,"NA")</f>
        <v>639238</v>
      </c>
      <c r="M485" s="438">
        <f t="shared" si="995"/>
        <v>232500</v>
      </c>
      <c r="N485" s="443">
        <f t="shared" ca="1" si="996"/>
        <v>0.36371429733526478</v>
      </c>
      <c r="O485" s="438">
        <f ca="1">IFERROR(
INDEX('Admin - FEOR'!$A$4:$F$465,MATCH(Bérköltség!H485,'Admin - FEOR'!$A$4:$A$465,0),
IF(J485="30 év alatt",3,
IF(J485="30–39 éves",4,
IF(J485="40–49 éves",5,
IF(J485="50 év és afelett",6
)))))*1.5,"NA")</f>
        <v>958857</v>
      </c>
      <c r="P485" s="438">
        <f t="shared" ca="1" si="997"/>
        <v>958857</v>
      </c>
      <c r="Q485" s="438">
        <f t="shared" si="998"/>
        <v>232500</v>
      </c>
      <c r="R485" s="444">
        <f t="shared" si="999"/>
        <v>1</v>
      </c>
      <c r="S485" s="438">
        <f t="shared" ca="1" si="1000"/>
        <v>0</v>
      </c>
      <c r="T485" s="438">
        <f t="shared" ca="1" si="1001"/>
        <v>0</v>
      </c>
      <c r="U485" s="445">
        <f t="shared" ca="1" si="1002"/>
        <v>0</v>
      </c>
      <c r="V485" s="446">
        <f t="shared" ca="1" si="1003"/>
        <v>232565</v>
      </c>
      <c r="W485" s="447" t="str">
        <f t="shared" ca="1" si="1004"/>
        <v>Nem szükséges indoklás.</v>
      </c>
      <c r="X485" s="571">
        <f t="shared" ca="1" si="1005"/>
        <v>0</v>
      </c>
      <c r="Y485" s="554">
        <f t="shared" ca="1" si="1006"/>
        <v>232500</v>
      </c>
      <c r="Z485" s="556">
        <f t="shared" ca="1" si="1007"/>
        <v>65</v>
      </c>
      <c r="AA485" s="115"/>
      <c r="AB485" s="146">
        <v>8476102356</v>
      </c>
      <c r="AC485" s="112" t="s">
        <v>164</v>
      </c>
      <c r="AD485" s="483" t="s">
        <v>45</v>
      </c>
      <c r="AE485" s="143" t="s">
        <v>24</v>
      </c>
      <c r="AF485" s="99" t="s">
        <v>124</v>
      </c>
      <c r="AG485" s="99" t="s">
        <v>161</v>
      </c>
      <c r="AH485" s="451" t="s">
        <v>131</v>
      </c>
      <c r="AI485" s="154">
        <v>45047</v>
      </c>
      <c r="AJ485" s="100" t="str">
        <f>IF(AI485&gt;0,
(IF(AI485&lt;Hónapok!$A$10,Admin!$A$28,
(IF(AI485&lt;Hónapok!$A$22,Admin!$B$28,
(IF(AI485&lt;Hónapok!$A$34,Admin!$C$28,
(IF(AI485&lt;Hónapok!$A$46,Admin!$D$28,"")))))))),"")</f>
        <v>3. mérföldkő</v>
      </c>
      <c r="AK485" s="500" t="s">
        <v>7</v>
      </c>
      <c r="AL485" s="115" t="s">
        <v>26</v>
      </c>
      <c r="AM485" s="900">
        <v>232500</v>
      </c>
      <c r="AN485" s="863">
        <v>65</v>
      </c>
      <c r="AO485" s="101">
        <v>87</v>
      </c>
      <c r="AP485" s="111">
        <v>87</v>
      </c>
      <c r="AQ485" s="454">
        <f t="shared" si="985"/>
        <v>1</v>
      </c>
      <c r="AR485" s="455">
        <f t="shared" si="986"/>
        <v>232500</v>
      </c>
      <c r="AS485" s="528">
        <f t="shared" si="987"/>
        <v>65</v>
      </c>
      <c r="AT485" s="102">
        <f t="shared" si="988"/>
        <v>0</v>
      </c>
      <c r="AU485" s="529">
        <f>AN485/AM485</f>
        <v>2.7956989247311827E-4</v>
      </c>
      <c r="AV485" s="565" t="str">
        <f>VLOOKUP(LEFT(AB485,10),Törzsszám!$A$1:$B$908,2,0)</f>
        <v>10002167</v>
      </c>
      <c r="AW485" s="681">
        <f t="shared" ca="1" si="989"/>
        <v>0</v>
      </c>
      <c r="AX485" s="471" t="s">
        <v>4596</v>
      </c>
      <c r="AY485" s="505"/>
      <c r="AZ485" s="803"/>
      <c r="BA485" s="673"/>
      <c r="BB485" s="650"/>
      <c r="BC485" s="649"/>
      <c r="BD485" s="672"/>
      <c r="BE485" s="143" t="s">
        <v>165</v>
      </c>
    </row>
    <row r="486" spans="1:57" s="117" customFormat="1" ht="14.45" customHeight="1" x14ac:dyDescent="0.25">
      <c r="A486" s="694" t="str">
        <f ca="1">Bérköltség!$B486</f>
        <v>FEOR</v>
      </c>
      <c r="B486" s="694" t="str">
        <f ca="1">IFERROR(
IF(AND(Bérköltség!$F486="",H486="NA"),"HIÁNYOS ADATOK",
IF(Bérköltség!$F486&lt;Bérköltség!$U486,Admin!$B$18,Admin!$B$17)),
"")</f>
        <v>FEOR</v>
      </c>
      <c r="C486" s="437" t="str">
        <f>IFERROR(INDEX('Historikus berek_2021-2'!$A$1:$F$903,MATCH(AB486,'Historikus berek_2021-2'!$A$1:$A$903,0),4),"")</f>
        <v/>
      </c>
      <c r="D486" s="438" t="str">
        <f t="shared" si="990"/>
        <v>NA</v>
      </c>
      <c r="E486" s="437">
        <f t="shared" si="991"/>
        <v>232500</v>
      </c>
      <c r="F486" s="439" t="str">
        <f t="shared" si="992"/>
        <v/>
      </c>
      <c r="G486" s="440" t="str">
        <f t="shared" si="993"/>
        <v/>
      </c>
      <c r="H486" s="441">
        <f>IFERROR(INDEX('FEOR kodok'!$A$2:$J$1126,MATCH(Bérköltség!AB486,'FEOR kodok'!$B$2:$B$1126,0),8),"NA")</f>
        <v>2139</v>
      </c>
      <c r="I486" s="436">
        <f ca="1">IFERROR(INDEX('FEOR kodok'!$A$2:$J$1126,MATCH(Bérköltség!AB486,'FEOR kodok'!$B$2:$B$1126,0),10),"NA")</f>
        <v>26</v>
      </c>
      <c r="J486" s="442" t="str">
        <f t="shared" ca="1" si="994"/>
        <v>30 év alatt</v>
      </c>
      <c r="K486" s="436" t="str">
        <f>IFERROR(INDEX(admin_feor[#All],MATCH(Bérköltség!H486,admin_feor[[#All],[Foglalkozás]],0),2),"NA")</f>
        <v>Egyéb, máshova nem sorolható mérnök</v>
      </c>
      <c r="L486" s="438">
        <f ca="1">IFERROR(
INDEX('Admin - FEOR'!$A$4:$F$465,MATCH(Bérköltség!H486,'Admin - FEOR'!$A$4:$A$465,0),
IF(J486="30 év alatt",3,
IF(J486="30–39 éves",4,
IF(J486="40–49 éves",5,
IF(J486="50 év és afelett",6
)))))*1,"NA")</f>
        <v>639238</v>
      </c>
      <c r="M486" s="438">
        <f t="shared" si="995"/>
        <v>232500</v>
      </c>
      <c r="N486" s="443">
        <f t="shared" ca="1" si="996"/>
        <v>0.36371429733526478</v>
      </c>
      <c r="O486" s="438">
        <f ca="1">IFERROR(
INDEX('Admin - FEOR'!$A$4:$F$465,MATCH(Bérköltség!H486,'Admin - FEOR'!$A$4:$A$465,0),
IF(J486="30 év alatt",3,
IF(J486="30–39 éves",4,
IF(J486="40–49 éves",5,
IF(J486="50 év és afelett",6
)))))*1.5,"NA")</f>
        <v>958857</v>
      </c>
      <c r="P486" s="438">
        <f t="shared" ca="1" si="997"/>
        <v>958857</v>
      </c>
      <c r="Q486" s="438">
        <f t="shared" si="998"/>
        <v>232500</v>
      </c>
      <c r="R486" s="444">
        <f t="shared" si="999"/>
        <v>1</v>
      </c>
      <c r="S486" s="438">
        <f t="shared" ca="1" si="1000"/>
        <v>0</v>
      </c>
      <c r="T486" s="438">
        <f t="shared" ca="1" si="1001"/>
        <v>0</v>
      </c>
      <c r="U486" s="445">
        <f t="shared" ca="1" si="1002"/>
        <v>0</v>
      </c>
      <c r="V486" s="446">
        <f t="shared" ca="1" si="1003"/>
        <v>232565</v>
      </c>
      <c r="W486" s="447" t="str">
        <f t="shared" ca="1" si="1004"/>
        <v>Nem szükséges indoklás.</v>
      </c>
      <c r="X486" s="571">
        <f t="shared" ca="1" si="1005"/>
        <v>0</v>
      </c>
      <c r="Y486" s="554">
        <f t="shared" ca="1" si="1006"/>
        <v>232500</v>
      </c>
      <c r="Z486" s="556">
        <f t="shared" ca="1" si="1007"/>
        <v>65</v>
      </c>
      <c r="AA486" s="115"/>
      <c r="AB486" s="146">
        <v>8476102356</v>
      </c>
      <c r="AC486" s="112" t="s">
        <v>164</v>
      </c>
      <c r="AD486" s="483" t="s">
        <v>45</v>
      </c>
      <c r="AE486" s="143" t="s">
        <v>24</v>
      </c>
      <c r="AF486" s="99" t="s">
        <v>124</v>
      </c>
      <c r="AG486" s="99" t="s">
        <v>161</v>
      </c>
      <c r="AH486" s="451" t="s">
        <v>131</v>
      </c>
      <c r="AI486" s="154">
        <v>45078</v>
      </c>
      <c r="AJ486" s="100" t="str">
        <f>IF(AI486&gt;0,
(IF(AI486&lt;Hónapok!$A$10,Admin!$A$28,
(IF(AI486&lt;Hónapok!$A$22,Admin!$B$28,
(IF(AI486&lt;Hónapok!$A$34,Admin!$C$28,
(IF(AI486&lt;Hónapok!$A$46,Admin!$D$28,"")))))))),"")</f>
        <v>3. mérföldkő</v>
      </c>
      <c r="AK486" s="500" t="s">
        <v>7</v>
      </c>
      <c r="AL486" s="115" t="s">
        <v>26</v>
      </c>
      <c r="AM486" s="900">
        <v>232500</v>
      </c>
      <c r="AN486" s="863">
        <v>65</v>
      </c>
      <c r="AO486" s="101">
        <v>87</v>
      </c>
      <c r="AP486" s="111">
        <v>87</v>
      </c>
      <c r="AQ486" s="843">
        <f t="shared" si="985"/>
        <v>1</v>
      </c>
      <c r="AR486" s="455">
        <f t="shared" si="986"/>
        <v>232500</v>
      </c>
      <c r="AS486" s="528">
        <f t="shared" si="987"/>
        <v>65</v>
      </c>
      <c r="AT486" s="102">
        <f t="shared" si="988"/>
        <v>0</v>
      </c>
      <c r="AU486" s="529">
        <f t="shared" ref="AU486:AU491" si="1194">AN486/AM486</f>
        <v>2.7956989247311827E-4</v>
      </c>
      <c r="AV486" s="565" t="str">
        <f>VLOOKUP(LEFT(AB486,10),Törzsszám!$A$1:$B$908,2,0)</f>
        <v>10002167</v>
      </c>
      <c r="AW486" s="681">
        <f t="shared" ca="1" si="989"/>
        <v>0</v>
      </c>
      <c r="AX486" s="471" t="s">
        <v>4606</v>
      </c>
      <c r="AY486" s="505"/>
      <c r="AZ486" s="803"/>
      <c r="BA486" s="673"/>
      <c r="BB486" s="650"/>
      <c r="BC486" s="649"/>
      <c r="BD486" s="672"/>
      <c r="BE486" s="143" t="s">
        <v>165</v>
      </c>
    </row>
    <row r="487" spans="1:57" s="117" customFormat="1" ht="14.45" customHeight="1" x14ac:dyDescent="0.25">
      <c r="A487" s="694" t="str">
        <f ca="1">Bérköltség!$B487</f>
        <v>FEOR</v>
      </c>
      <c r="B487" s="694" t="str">
        <f ca="1">IFERROR(
IF(AND(Bérköltség!$F487="",H487="NA"),"HIÁNYOS ADATOK",
IF(Bérköltség!$F487&lt;Bérköltség!$U487,Admin!$B$18,Admin!$B$17)),
"")</f>
        <v>FEOR</v>
      </c>
      <c r="C487" s="437" t="str">
        <f>IFERROR(INDEX('Historikus berek_2021-2'!$A$1:$F$903,MATCH(AB487,'Historikus berek_2021-2'!$A$1:$A$903,0),4),"")</f>
        <v/>
      </c>
      <c r="D487" s="438" t="str">
        <f t="shared" ref="D487:D491" si="1195">IFERROR(C487*AQ487,"NA")</f>
        <v>NA</v>
      </c>
      <c r="E487" s="437">
        <f t="shared" ref="E487:E491" si="1196">AR487</f>
        <v>232500</v>
      </c>
      <c r="F487" s="439" t="str">
        <f t="shared" ref="F487:F491" si="1197">IFERROR(IF((E487*(1+AU487)-D487*(1+AU487))&lt;0,0,(E487*(1+AU487)-D487*(1+AU487))),"")</f>
        <v/>
      </c>
      <c r="G487" s="440" t="str">
        <f t="shared" ref="G487:G491" si="1198">IFERROR((E487*(1+AU487)-F487),"")</f>
        <v/>
      </c>
      <c r="H487" s="441">
        <f>IFERROR(INDEX('FEOR kodok'!$A$2:$J$1126,MATCH(Bérköltség!AB487,'FEOR kodok'!$B$2:$B$1126,0),8),"NA")</f>
        <v>2139</v>
      </c>
      <c r="I487" s="436">
        <f ca="1">IFERROR(INDEX('FEOR kodok'!$A$2:$J$1126,MATCH(Bérköltség!AB487,'FEOR kodok'!$B$2:$B$1126,0),10),"NA")</f>
        <v>26</v>
      </c>
      <c r="J487" s="442" t="str">
        <f t="shared" ref="J487:J491" ca="1" si="1199">IF(I487="NA","NA",
IF(I487&lt;30,"30 év alatt",
IF(AND(I487&gt;=30,I487&lt;=39),"30–39 éves",
IF(AND(I487&gt;=40,I487&lt;=49),"40–49 éves",
IF(I487&gt;=50,"50 év és afelett",
"")))))</f>
        <v>30 év alatt</v>
      </c>
      <c r="K487" s="436" t="str">
        <f>IFERROR(INDEX(admin_feor[#All],MATCH(Bérköltség!H487,admin_feor[[#All],[Foglalkozás]],0),2),"NA")</f>
        <v>Egyéb, máshova nem sorolható mérnök</v>
      </c>
      <c r="L487" s="438">
        <f ca="1">IFERROR(
INDEX('Admin - FEOR'!$A$4:$F$465,MATCH(Bérköltség!H487,'Admin - FEOR'!$A$4:$A$465,0),
IF(J487="30 év alatt",3,
IF(J487="30–39 éves",4,
IF(J487="40–49 éves",5,
IF(J487="50 év és afelett",6
)))))*1,"NA")</f>
        <v>639238</v>
      </c>
      <c r="M487" s="438">
        <f t="shared" ref="M487:M491" si="1200">AM487</f>
        <v>232500</v>
      </c>
      <c r="N487" s="443">
        <f t="shared" ref="N487:N491" ca="1" si="1201">IFERROR(
M487/L487,"NA")</f>
        <v>0.36371429733526478</v>
      </c>
      <c r="O487" s="438">
        <f ca="1">IFERROR(
INDEX('Admin - FEOR'!$A$4:$F$465,MATCH(Bérköltség!H487,'Admin - FEOR'!$A$4:$A$465,0),
IF(J487="30 év alatt",3,
IF(J487="30–39 éves",4,
IF(J487="40–49 éves",5,
IF(J487="50 év és afelett",6
)))))*1.5,"NA")</f>
        <v>958857</v>
      </c>
      <c r="P487" s="438">
        <f t="shared" ref="P487:P491" ca="1" si="1202">IFERROR(
AQ487*O487,"NA")</f>
        <v>958857</v>
      </c>
      <c r="Q487" s="438">
        <f t="shared" ref="Q487:Q491" si="1203">IFERROR(AR487,"")</f>
        <v>232500</v>
      </c>
      <c r="R487" s="444">
        <f t="shared" ref="R487:R491" si="1204">IFERROR(AQ487,"")</f>
        <v>1</v>
      </c>
      <c r="S487" s="438">
        <f t="shared" ref="S487:S491" ca="1" si="1205">IFERROR(
IF(AR487-P487&lt;0,0,AR487-P487),"NA")</f>
        <v>0</v>
      </c>
      <c r="T487" s="438">
        <f t="shared" ref="T487:T491" ca="1" si="1206">IFERROR(
S487*AU487,"NA")</f>
        <v>0</v>
      </c>
      <c r="U487" s="445">
        <f t="shared" ref="U487:U491" ca="1" si="1207">IFERROR(
S487+T487,"NA")</f>
        <v>0</v>
      </c>
      <c r="V487" s="446">
        <f t="shared" ref="V487:V491" ca="1" si="1208">IFERROR(
IF(U487&gt;0,AR487+AS487-U487,AR487+AS487),"NA")</f>
        <v>232565</v>
      </c>
      <c r="W487" s="447" t="str">
        <f t="shared" ref="W487:W491" ca="1" si="1209">IF(P487="NA","FEOR hiányzik",
IF(AND(N487&gt;1,A487="FEOR"),CONCATENATE("Indoklás szükséges mivel a FEOR: ",ROUND(N487*100,1),"%"),"Nem szükséges indoklás.")
)</f>
        <v>Nem szükséges indoklás.</v>
      </c>
      <c r="X487" s="571">
        <f t="shared" ref="X487:X491" ca="1" si="1210">IF(A487="FEOR",U487,IF(A487="HIÁNYOS ADATOK","HIÁNYOS ADATOK",F487))</f>
        <v>0</v>
      </c>
      <c r="Y487" s="554">
        <f t="shared" ref="Y487:Y491" ca="1" si="1211">IF(A487="FEOR",ROUND(V487/(1+AU487),0),IF(A487="HIÁNYOS ADATOK","HIÁNYOS ADATOK",ROUND(G487/(1+AU487),0)))</f>
        <v>232500</v>
      </c>
      <c r="Z487" s="556">
        <f t="shared" ref="Z487:Z491" ca="1" si="1212">IF(A487="FEOR",ROUND(V487-Y487,0),IF(A487="HIÁNYOS ADATOK","HIÁNYOS ADATOK",ROUND(G487-Y487,0)))</f>
        <v>65</v>
      </c>
      <c r="AA487" s="115"/>
      <c r="AB487" s="146">
        <v>8476102356</v>
      </c>
      <c r="AC487" s="112" t="s">
        <v>164</v>
      </c>
      <c r="AD487" s="483" t="s">
        <v>45</v>
      </c>
      <c r="AE487" s="143" t="s">
        <v>24</v>
      </c>
      <c r="AF487" s="99" t="s">
        <v>124</v>
      </c>
      <c r="AG487" s="99" t="s">
        <v>161</v>
      </c>
      <c r="AH487" s="451" t="s">
        <v>131</v>
      </c>
      <c r="AI487" s="154">
        <v>45108</v>
      </c>
      <c r="AJ487" s="100" t="str">
        <f>IF(AI487&gt;0,
(IF(AI487&lt;Hónapok!$A$10,Admin!$A$28,
(IF(AI487&lt;Hónapok!$A$22,Admin!$B$28,
(IF(AI487&lt;Hónapok!$A$34,Admin!$C$28,
(IF(AI487&lt;Hónapok!$A$46,Admin!$D$28,"")))))))),"")</f>
        <v>3. mérföldkő</v>
      </c>
      <c r="AK487" s="500" t="s">
        <v>7</v>
      </c>
      <c r="AL487" s="115" t="s">
        <v>26</v>
      </c>
      <c r="AM487" s="900">
        <v>232500</v>
      </c>
      <c r="AN487" s="863">
        <v>65</v>
      </c>
      <c r="AO487" s="101">
        <v>87</v>
      </c>
      <c r="AP487" s="111">
        <v>87</v>
      </c>
      <c r="AQ487" s="682">
        <f t="shared" ref="AQ487:AQ491" si="1213">IFERROR(AP487/AO487,"")</f>
        <v>1</v>
      </c>
      <c r="AR487" s="455">
        <f t="shared" ref="AR487:AR491" si="1214">IFERROR(ROUND(AM487*AP487/AO487,0),"")</f>
        <v>232500</v>
      </c>
      <c r="AS487" s="528">
        <f t="shared" ref="AS487:AS491" si="1215">IFERROR(ROUND(AR487*AU487,0),"")</f>
        <v>65</v>
      </c>
      <c r="AT487" s="102">
        <f t="shared" ref="AT487:AT491" si="1216">IFERROR(AP487/AO487-AR487/AM487,"")</f>
        <v>0</v>
      </c>
      <c r="AU487" s="529">
        <f t="shared" si="1194"/>
        <v>2.7956989247311827E-4</v>
      </c>
      <c r="AV487" s="565" t="str">
        <f>VLOOKUP(LEFT(AB487,10),Törzsszám!$A$1:$B$908,2,0)</f>
        <v>10002167</v>
      </c>
      <c r="AW487" s="681">
        <f t="shared" ref="AW487:AW491" ca="1" si="1217">(Y487+Z487)-(AR487+AS487)</f>
        <v>0</v>
      </c>
      <c r="AX487" s="471" t="s">
        <v>4610</v>
      </c>
      <c r="AY487" s="505"/>
      <c r="AZ487" s="803"/>
      <c r="BA487" s="673"/>
      <c r="BB487" s="650"/>
      <c r="BC487" s="649"/>
      <c r="BD487" s="672"/>
      <c r="BE487" s="143" t="s">
        <v>165</v>
      </c>
    </row>
    <row r="488" spans="1:57" s="117" customFormat="1" ht="14.45" customHeight="1" x14ac:dyDescent="0.25">
      <c r="A488" s="694" t="str">
        <f ca="1">Bérköltség!$B488</f>
        <v>FEOR</v>
      </c>
      <c r="B488" s="694" t="str">
        <f ca="1">IFERROR(
IF(AND(Bérköltség!$F488="",H488="NA"),"HIÁNYOS ADATOK",
IF(Bérköltség!$F488&lt;Bérköltség!$U488,Admin!$B$18,Admin!$B$17)),
"")</f>
        <v>FEOR</v>
      </c>
      <c r="C488" s="437" t="str">
        <f>IFERROR(INDEX('Historikus berek_2021-2'!$A$1:$F$903,MATCH(AB488,'Historikus berek_2021-2'!$A$1:$A$903,0),4),"")</f>
        <v/>
      </c>
      <c r="D488" s="438" t="str">
        <f t="shared" si="1195"/>
        <v>NA</v>
      </c>
      <c r="E488" s="437">
        <f t="shared" si="1196"/>
        <v>232500</v>
      </c>
      <c r="F488" s="439" t="str">
        <f t="shared" si="1197"/>
        <v/>
      </c>
      <c r="G488" s="440" t="str">
        <f t="shared" si="1198"/>
        <v/>
      </c>
      <c r="H488" s="441">
        <f>IFERROR(INDEX('FEOR kodok'!$A$2:$J$1126,MATCH(Bérköltség!AB488,'FEOR kodok'!$B$2:$B$1126,0),8),"NA")</f>
        <v>2139</v>
      </c>
      <c r="I488" s="436">
        <f ca="1">IFERROR(INDEX('FEOR kodok'!$A$2:$J$1126,MATCH(Bérköltség!AB488,'FEOR kodok'!$B$2:$B$1126,0),10),"NA")</f>
        <v>26</v>
      </c>
      <c r="J488" s="442" t="str">
        <f t="shared" ca="1" si="1199"/>
        <v>30 év alatt</v>
      </c>
      <c r="K488" s="436" t="str">
        <f>IFERROR(INDEX(admin_feor[#All],MATCH(Bérköltség!H488,admin_feor[[#All],[Foglalkozás]],0),2),"NA")</f>
        <v>Egyéb, máshova nem sorolható mérnök</v>
      </c>
      <c r="L488" s="438">
        <f ca="1">IFERROR(
INDEX('Admin - FEOR'!$A$4:$F$465,MATCH(Bérköltség!H488,'Admin - FEOR'!$A$4:$A$465,0),
IF(J488="30 év alatt",3,
IF(J488="30–39 éves",4,
IF(J488="40–49 éves",5,
IF(J488="50 év és afelett",6
)))))*1,"NA")</f>
        <v>639238</v>
      </c>
      <c r="M488" s="438">
        <f t="shared" si="1200"/>
        <v>232500</v>
      </c>
      <c r="N488" s="443">
        <f t="shared" ca="1" si="1201"/>
        <v>0.36371429733526478</v>
      </c>
      <c r="O488" s="438">
        <f ca="1">IFERROR(
INDEX('Admin - FEOR'!$A$4:$F$465,MATCH(Bérköltség!H488,'Admin - FEOR'!$A$4:$A$465,0),
IF(J488="30 év alatt",3,
IF(J488="30–39 éves",4,
IF(J488="40–49 éves",5,
IF(J488="50 év és afelett",6
)))))*1.5,"NA")</f>
        <v>958857</v>
      </c>
      <c r="P488" s="438">
        <f t="shared" ca="1" si="1202"/>
        <v>958857</v>
      </c>
      <c r="Q488" s="438">
        <f t="shared" si="1203"/>
        <v>232500</v>
      </c>
      <c r="R488" s="444">
        <f t="shared" si="1204"/>
        <v>1</v>
      </c>
      <c r="S488" s="438">
        <f t="shared" ca="1" si="1205"/>
        <v>0</v>
      </c>
      <c r="T488" s="438">
        <f t="shared" ca="1" si="1206"/>
        <v>0</v>
      </c>
      <c r="U488" s="445">
        <f t="shared" ca="1" si="1207"/>
        <v>0</v>
      </c>
      <c r="V488" s="446">
        <f t="shared" ca="1" si="1208"/>
        <v>232565</v>
      </c>
      <c r="W488" s="447" t="str">
        <f t="shared" ca="1" si="1209"/>
        <v>Nem szükséges indoklás.</v>
      </c>
      <c r="X488" s="571">
        <f t="shared" ca="1" si="1210"/>
        <v>0</v>
      </c>
      <c r="Y488" s="554">
        <f t="shared" ca="1" si="1211"/>
        <v>232500</v>
      </c>
      <c r="Z488" s="556">
        <f t="shared" ca="1" si="1212"/>
        <v>65</v>
      </c>
      <c r="AA488" s="115"/>
      <c r="AB488" s="146">
        <v>8476102356</v>
      </c>
      <c r="AC488" s="112" t="s">
        <v>164</v>
      </c>
      <c r="AD488" s="483" t="s">
        <v>45</v>
      </c>
      <c r="AE488" s="143" t="s">
        <v>24</v>
      </c>
      <c r="AF488" s="99" t="s">
        <v>124</v>
      </c>
      <c r="AG488" s="99" t="s">
        <v>161</v>
      </c>
      <c r="AH488" s="451" t="s">
        <v>131</v>
      </c>
      <c r="AI488" s="154">
        <v>45139</v>
      </c>
      <c r="AJ488" s="100" t="str">
        <f>IF(AI488&gt;0,
(IF(AI488&lt;Hónapok!$A$10,Admin!$A$28,
(IF(AI488&lt;Hónapok!$A$22,Admin!$B$28,
(IF(AI488&lt;Hónapok!$A$34,Admin!$C$28,
(IF(AI488&lt;Hónapok!$A$46,Admin!$D$28,"")))))))),"")</f>
        <v>3. mérföldkő</v>
      </c>
      <c r="AK488" s="500" t="s">
        <v>7</v>
      </c>
      <c r="AL488" s="115" t="s">
        <v>26</v>
      </c>
      <c r="AM488" s="900">
        <v>232500</v>
      </c>
      <c r="AN488" s="863">
        <v>65</v>
      </c>
      <c r="AO488" s="101">
        <v>87</v>
      </c>
      <c r="AP488" s="111">
        <v>87</v>
      </c>
      <c r="AQ488" s="454">
        <f t="shared" si="1213"/>
        <v>1</v>
      </c>
      <c r="AR488" s="455">
        <f t="shared" si="1214"/>
        <v>232500</v>
      </c>
      <c r="AS488" s="528">
        <f t="shared" si="1215"/>
        <v>65</v>
      </c>
      <c r="AT488" s="102">
        <f t="shared" si="1216"/>
        <v>0</v>
      </c>
      <c r="AU488" s="529">
        <f t="shared" si="1194"/>
        <v>2.7956989247311827E-4</v>
      </c>
      <c r="AV488" s="565" t="str">
        <f>VLOOKUP(LEFT(AB488,10),Törzsszám!$A$1:$B$908,2,0)</f>
        <v>10002167</v>
      </c>
      <c r="AW488" s="681">
        <f t="shared" ca="1" si="1217"/>
        <v>0</v>
      </c>
      <c r="AX488" s="471" t="s">
        <v>4613</v>
      </c>
      <c r="AY488" s="505"/>
      <c r="AZ488" s="803"/>
      <c r="BA488" s="673"/>
      <c r="BB488" s="650"/>
      <c r="BC488" s="649"/>
      <c r="BD488" s="672"/>
      <c r="BE488" s="143" t="s">
        <v>165</v>
      </c>
    </row>
    <row r="489" spans="1:57" s="117" customFormat="1" ht="14.45" customHeight="1" x14ac:dyDescent="0.25">
      <c r="A489" s="694" t="str">
        <f ca="1">Bérköltség!$B489</f>
        <v>FEOR</v>
      </c>
      <c r="B489" s="694" t="str">
        <f ca="1">IFERROR(
IF(AND(Bérköltség!$F489="",H489="NA"),"HIÁNYOS ADATOK",
IF(Bérköltség!$F489&lt;Bérköltség!$U489,Admin!$B$18,Admin!$B$17)),
"")</f>
        <v>FEOR</v>
      </c>
      <c r="C489" s="437" t="str">
        <f>IFERROR(INDEX('Historikus berek_2021-2'!$A$1:$F$903,MATCH(AB489,'Historikus berek_2021-2'!$A$1:$A$903,0),4),"")</f>
        <v/>
      </c>
      <c r="D489" s="438" t="str">
        <f t="shared" si="1195"/>
        <v>NA</v>
      </c>
      <c r="E489" s="437">
        <f t="shared" si="1196"/>
        <v>232500</v>
      </c>
      <c r="F489" s="439" t="str">
        <f t="shared" si="1197"/>
        <v/>
      </c>
      <c r="G489" s="440" t="str">
        <f t="shared" si="1198"/>
        <v/>
      </c>
      <c r="H489" s="441">
        <f>IFERROR(INDEX('FEOR kodok'!$A$2:$J$1126,MATCH(Bérköltség!AB489,'FEOR kodok'!$B$2:$B$1126,0),8),"NA")</f>
        <v>2139</v>
      </c>
      <c r="I489" s="436">
        <f ca="1">IFERROR(INDEX('FEOR kodok'!$A$2:$J$1126,MATCH(Bérköltség!AB489,'FEOR kodok'!$B$2:$B$1126,0),10),"NA")</f>
        <v>26</v>
      </c>
      <c r="J489" s="442" t="str">
        <f t="shared" ca="1" si="1199"/>
        <v>30 év alatt</v>
      </c>
      <c r="K489" s="436" t="str">
        <f>IFERROR(INDEX(admin_feor[#All],MATCH(Bérköltség!H489,admin_feor[[#All],[Foglalkozás]],0),2),"NA")</f>
        <v>Egyéb, máshova nem sorolható mérnök</v>
      </c>
      <c r="L489" s="438">
        <f ca="1">IFERROR(
INDEX('Admin - FEOR'!$A$4:$F$465,MATCH(Bérköltség!H489,'Admin - FEOR'!$A$4:$A$465,0),
IF(J489="30 év alatt",3,
IF(J489="30–39 éves",4,
IF(J489="40–49 éves",5,
IF(J489="50 év és afelett",6
)))))*1,"NA")</f>
        <v>639238</v>
      </c>
      <c r="M489" s="438">
        <f t="shared" si="1200"/>
        <v>232500</v>
      </c>
      <c r="N489" s="443">
        <f t="shared" ca="1" si="1201"/>
        <v>0.36371429733526478</v>
      </c>
      <c r="O489" s="438">
        <f ca="1">IFERROR(
INDEX('Admin - FEOR'!$A$4:$F$465,MATCH(Bérköltség!H489,'Admin - FEOR'!$A$4:$A$465,0),
IF(J489="30 év alatt",3,
IF(J489="30–39 éves",4,
IF(J489="40–49 éves",5,
IF(J489="50 év és afelett",6
)))))*1.5,"NA")</f>
        <v>958857</v>
      </c>
      <c r="P489" s="438">
        <f t="shared" ca="1" si="1202"/>
        <v>958857</v>
      </c>
      <c r="Q489" s="438">
        <f t="shared" si="1203"/>
        <v>232500</v>
      </c>
      <c r="R489" s="444">
        <f t="shared" si="1204"/>
        <v>1</v>
      </c>
      <c r="S489" s="438">
        <f t="shared" ca="1" si="1205"/>
        <v>0</v>
      </c>
      <c r="T489" s="438">
        <f t="shared" ca="1" si="1206"/>
        <v>0</v>
      </c>
      <c r="U489" s="445">
        <f t="shared" ca="1" si="1207"/>
        <v>0</v>
      </c>
      <c r="V489" s="446">
        <f t="shared" ca="1" si="1208"/>
        <v>232565</v>
      </c>
      <c r="W489" s="447" t="str">
        <f t="shared" ca="1" si="1209"/>
        <v>Nem szükséges indoklás.</v>
      </c>
      <c r="X489" s="571">
        <f t="shared" ca="1" si="1210"/>
        <v>0</v>
      </c>
      <c r="Y489" s="554">
        <f t="shared" ca="1" si="1211"/>
        <v>232500</v>
      </c>
      <c r="Z489" s="556">
        <f t="shared" ca="1" si="1212"/>
        <v>65</v>
      </c>
      <c r="AA489" s="115"/>
      <c r="AB489" s="146">
        <v>8476102356</v>
      </c>
      <c r="AC489" s="112" t="s">
        <v>164</v>
      </c>
      <c r="AD489" s="483" t="s">
        <v>45</v>
      </c>
      <c r="AE489" s="143" t="s">
        <v>24</v>
      </c>
      <c r="AF489" s="99" t="s">
        <v>124</v>
      </c>
      <c r="AG489" s="99" t="s">
        <v>161</v>
      </c>
      <c r="AH489" s="451" t="s">
        <v>131</v>
      </c>
      <c r="AI489" s="154">
        <v>45170</v>
      </c>
      <c r="AJ489" s="100" t="str">
        <f>IF(AI489&gt;0,
(IF(AI489&lt;Hónapok!$A$10,Admin!$A$28,
(IF(AI489&lt;Hónapok!$A$22,Admin!$B$28,
(IF(AI489&lt;Hónapok!$A$34,Admin!$C$28,
(IF(AI489&lt;Hónapok!$A$46,Admin!$D$28,"")))))))),"")</f>
        <v>3. mérföldkő</v>
      </c>
      <c r="AK489" s="500" t="s">
        <v>7</v>
      </c>
      <c r="AL489" s="115" t="s">
        <v>26</v>
      </c>
      <c r="AM489" s="900">
        <v>232500</v>
      </c>
      <c r="AN489" s="863">
        <v>65</v>
      </c>
      <c r="AO489" s="101">
        <v>87</v>
      </c>
      <c r="AP489" s="111">
        <v>87</v>
      </c>
      <c r="AQ489" s="454">
        <f t="shared" si="1213"/>
        <v>1</v>
      </c>
      <c r="AR489" s="455">
        <f t="shared" si="1214"/>
        <v>232500</v>
      </c>
      <c r="AS489" s="455">
        <f t="shared" si="1215"/>
        <v>65</v>
      </c>
      <c r="AT489" s="102">
        <f t="shared" si="1216"/>
        <v>0</v>
      </c>
      <c r="AU489" s="529">
        <f t="shared" si="1194"/>
        <v>2.7956989247311827E-4</v>
      </c>
      <c r="AV489" s="565" t="str">
        <f>VLOOKUP(LEFT(AB489,10),Törzsszám!$A$1:$B$908,2,0)</f>
        <v>10002167</v>
      </c>
      <c r="AW489" s="681">
        <f t="shared" ca="1" si="1217"/>
        <v>0</v>
      </c>
      <c r="AX489" s="471" t="s">
        <v>4618</v>
      </c>
      <c r="AY489" s="505"/>
      <c r="AZ489" s="803"/>
      <c r="BA489" s="673"/>
      <c r="BB489" s="650"/>
      <c r="BC489" s="649"/>
      <c r="BD489" s="672"/>
      <c r="BE489" s="143" t="s">
        <v>165</v>
      </c>
    </row>
    <row r="490" spans="1:57" s="117" customFormat="1" ht="14.45" customHeight="1" x14ac:dyDescent="0.25">
      <c r="A490" s="694" t="str">
        <f ca="1">Bérköltség!$B490</f>
        <v>FEOR</v>
      </c>
      <c r="B490" s="694" t="str">
        <f ca="1">IFERROR(
IF(AND(Bérköltség!$F490="",H490="NA"),"HIÁNYOS ADATOK",
IF(Bérköltség!$F490&lt;Bérköltség!$U490,Admin!$B$18,Admin!$B$17)),
"")</f>
        <v>FEOR</v>
      </c>
      <c r="C490" s="437" t="str">
        <f>IFERROR(INDEX('Historikus berek_2021-2'!$A$1:$F$903,MATCH(AB490,'Historikus berek_2021-2'!$A$1:$A$903,0),4),"")</f>
        <v/>
      </c>
      <c r="D490" s="438" t="str">
        <f t="shared" si="1195"/>
        <v>NA</v>
      </c>
      <c r="E490" s="437">
        <f t="shared" si="1196"/>
        <v>232500</v>
      </c>
      <c r="F490" s="439" t="str">
        <f t="shared" si="1197"/>
        <v/>
      </c>
      <c r="G490" s="440" t="str">
        <f t="shared" si="1198"/>
        <v/>
      </c>
      <c r="H490" s="441">
        <f>IFERROR(INDEX('FEOR kodok'!$A$2:$J$1126,MATCH(Bérköltség!AB490,'FEOR kodok'!$B$2:$B$1126,0),8),"NA")</f>
        <v>2139</v>
      </c>
      <c r="I490" s="436">
        <f ca="1">IFERROR(INDEX('FEOR kodok'!$A$2:$J$1126,MATCH(Bérköltség!AB490,'FEOR kodok'!$B$2:$B$1126,0),10),"NA")</f>
        <v>26</v>
      </c>
      <c r="J490" s="442" t="str">
        <f t="shared" ca="1" si="1199"/>
        <v>30 év alatt</v>
      </c>
      <c r="K490" s="436" t="str">
        <f>IFERROR(INDEX(admin_feor[#All],MATCH(Bérköltség!H490,admin_feor[[#All],[Foglalkozás]],0),2),"NA")</f>
        <v>Egyéb, máshova nem sorolható mérnök</v>
      </c>
      <c r="L490" s="438">
        <f ca="1">IFERROR(
INDEX('Admin - FEOR'!$A$4:$F$465,MATCH(Bérköltség!H490,'Admin - FEOR'!$A$4:$A$465,0),
IF(J490="30 év alatt",3,
IF(J490="30–39 éves",4,
IF(J490="40–49 éves",5,
IF(J490="50 év és afelett",6
)))))*1,"NA")</f>
        <v>639238</v>
      </c>
      <c r="M490" s="438">
        <f t="shared" si="1200"/>
        <v>232500</v>
      </c>
      <c r="N490" s="443">
        <f t="shared" ca="1" si="1201"/>
        <v>0.36371429733526478</v>
      </c>
      <c r="O490" s="438">
        <f ca="1">IFERROR(
INDEX('Admin - FEOR'!$A$4:$F$465,MATCH(Bérköltség!H490,'Admin - FEOR'!$A$4:$A$465,0),
IF(J490="30 év alatt",3,
IF(J490="30–39 éves",4,
IF(J490="40–49 éves",5,
IF(J490="50 év és afelett",6
)))))*1.5,"NA")</f>
        <v>958857</v>
      </c>
      <c r="P490" s="438">
        <f t="shared" ca="1" si="1202"/>
        <v>958857</v>
      </c>
      <c r="Q490" s="438">
        <f t="shared" si="1203"/>
        <v>232500</v>
      </c>
      <c r="R490" s="444">
        <f t="shared" si="1204"/>
        <v>1</v>
      </c>
      <c r="S490" s="438">
        <f t="shared" ca="1" si="1205"/>
        <v>0</v>
      </c>
      <c r="T490" s="438">
        <f t="shared" ca="1" si="1206"/>
        <v>0</v>
      </c>
      <c r="U490" s="445">
        <f t="shared" ca="1" si="1207"/>
        <v>0</v>
      </c>
      <c r="V490" s="446">
        <f t="shared" ca="1" si="1208"/>
        <v>232565</v>
      </c>
      <c r="W490" s="447" t="str">
        <f t="shared" ca="1" si="1209"/>
        <v>Nem szükséges indoklás.</v>
      </c>
      <c r="X490" s="571">
        <f t="shared" ca="1" si="1210"/>
        <v>0</v>
      </c>
      <c r="Y490" s="554">
        <f t="shared" ca="1" si="1211"/>
        <v>232500</v>
      </c>
      <c r="Z490" s="556">
        <f t="shared" ca="1" si="1212"/>
        <v>65</v>
      </c>
      <c r="AA490" s="115"/>
      <c r="AB490" s="146">
        <v>8476102356</v>
      </c>
      <c r="AC490" s="112" t="s">
        <v>164</v>
      </c>
      <c r="AD490" s="483" t="s">
        <v>45</v>
      </c>
      <c r="AE490" s="143" t="s">
        <v>24</v>
      </c>
      <c r="AF490" s="99" t="s">
        <v>124</v>
      </c>
      <c r="AG490" s="99" t="s">
        <v>161</v>
      </c>
      <c r="AH490" s="451" t="s">
        <v>131</v>
      </c>
      <c r="AI490" s="154">
        <v>45200</v>
      </c>
      <c r="AJ490" s="100" t="str">
        <f>IF(AI490&gt;0,
(IF(AI490&lt;Hónapok!$A$10,Admin!$A$28,
(IF(AI490&lt;Hónapok!$A$22,Admin!$B$28,
(IF(AI490&lt;Hónapok!$A$34,Admin!$C$28,
(IF(AI490&lt;Hónapok!$A$46,Admin!$D$28,"")))))))),"")</f>
        <v>3. mérföldkő</v>
      </c>
      <c r="AK490" s="500" t="s">
        <v>8</v>
      </c>
      <c r="AL490" s="115" t="s">
        <v>26</v>
      </c>
      <c r="AM490" s="900">
        <v>232500</v>
      </c>
      <c r="AN490" s="863">
        <v>65</v>
      </c>
      <c r="AO490" s="101">
        <v>87</v>
      </c>
      <c r="AP490" s="111">
        <v>87</v>
      </c>
      <c r="AQ490" s="454">
        <f t="shared" si="1213"/>
        <v>1</v>
      </c>
      <c r="AR490" s="455">
        <f t="shared" si="1214"/>
        <v>232500</v>
      </c>
      <c r="AS490" s="455">
        <f t="shared" si="1215"/>
        <v>65</v>
      </c>
      <c r="AT490" s="102">
        <f t="shared" si="1216"/>
        <v>0</v>
      </c>
      <c r="AU490" s="702">
        <f t="shared" si="1194"/>
        <v>2.7956989247311827E-4</v>
      </c>
      <c r="AV490" s="565" t="str">
        <f>VLOOKUP(LEFT(AB490,10),Törzsszám!$A$1:$B$908,2,0)</f>
        <v>10002167</v>
      </c>
      <c r="AW490" s="681">
        <f t="shared" ca="1" si="1217"/>
        <v>0</v>
      </c>
      <c r="AX490" s="150"/>
      <c r="AY490" s="505"/>
      <c r="AZ490" s="803"/>
      <c r="BA490" s="673"/>
      <c r="BB490" s="650"/>
      <c r="BC490" s="649"/>
      <c r="BD490" s="672"/>
      <c r="BE490" s="143" t="s">
        <v>165</v>
      </c>
    </row>
    <row r="491" spans="1:57" s="117" customFormat="1" ht="14.45" customHeight="1" x14ac:dyDescent="0.25">
      <c r="A491" s="694" t="str">
        <f ca="1">Bérköltség!$B491</f>
        <v>FEOR</v>
      </c>
      <c r="B491" s="694" t="str">
        <f ca="1">IFERROR(
IF(AND(Bérköltség!$F491="",H491="NA"),"HIÁNYOS ADATOK",
IF(Bérköltség!$F491&lt;Bérköltség!$U491,Admin!$B$18,Admin!$B$17)),
"")</f>
        <v>FEOR</v>
      </c>
      <c r="C491" s="437" t="str">
        <f>IFERROR(INDEX('Historikus berek_2021-2'!$A$1:$F$903,MATCH(AB491,'Historikus berek_2021-2'!$A$1:$A$903,0),4),"")</f>
        <v/>
      </c>
      <c r="D491" s="438" t="str">
        <f t="shared" si="1195"/>
        <v>NA</v>
      </c>
      <c r="E491" s="437">
        <f t="shared" si="1196"/>
        <v>232500</v>
      </c>
      <c r="F491" s="439" t="str">
        <f t="shared" si="1197"/>
        <v/>
      </c>
      <c r="G491" s="440" t="str">
        <f t="shared" si="1198"/>
        <v/>
      </c>
      <c r="H491" s="441">
        <f>IFERROR(INDEX('FEOR kodok'!$A$2:$J$1126,MATCH(Bérköltség!AB491,'FEOR kodok'!$B$2:$B$1126,0),8),"NA")</f>
        <v>2139</v>
      </c>
      <c r="I491" s="436">
        <f ca="1">IFERROR(INDEX('FEOR kodok'!$A$2:$J$1126,MATCH(Bérköltség!AB491,'FEOR kodok'!$B$2:$B$1126,0),10),"NA")</f>
        <v>26</v>
      </c>
      <c r="J491" s="442" t="str">
        <f t="shared" ca="1" si="1199"/>
        <v>30 év alatt</v>
      </c>
      <c r="K491" s="436" t="str">
        <f>IFERROR(INDEX(admin_feor[#All],MATCH(Bérköltség!H491,admin_feor[[#All],[Foglalkozás]],0),2),"NA")</f>
        <v>Egyéb, máshova nem sorolható mérnök</v>
      </c>
      <c r="L491" s="438">
        <f ca="1">IFERROR(
INDEX('Admin - FEOR'!$A$4:$F$465,MATCH(Bérköltség!H491,'Admin - FEOR'!$A$4:$A$465,0),
IF(J491="30 év alatt",3,
IF(J491="30–39 éves",4,
IF(J491="40–49 éves",5,
IF(J491="50 év és afelett",6
)))))*1,"NA")</f>
        <v>639238</v>
      </c>
      <c r="M491" s="438">
        <f t="shared" si="1200"/>
        <v>232500</v>
      </c>
      <c r="N491" s="443">
        <f t="shared" ca="1" si="1201"/>
        <v>0.36371429733526478</v>
      </c>
      <c r="O491" s="438">
        <f ca="1">IFERROR(
INDEX('Admin - FEOR'!$A$4:$F$465,MATCH(Bérköltség!H491,'Admin - FEOR'!$A$4:$A$465,0),
IF(J491="30 év alatt",3,
IF(J491="30–39 éves",4,
IF(J491="40–49 éves",5,
IF(J491="50 év és afelett",6
)))))*1.5,"NA")</f>
        <v>958857</v>
      </c>
      <c r="P491" s="438">
        <f t="shared" ca="1" si="1202"/>
        <v>958857</v>
      </c>
      <c r="Q491" s="438">
        <f t="shared" si="1203"/>
        <v>232500</v>
      </c>
      <c r="R491" s="444">
        <f t="shared" si="1204"/>
        <v>1</v>
      </c>
      <c r="S491" s="438">
        <f t="shared" ca="1" si="1205"/>
        <v>0</v>
      </c>
      <c r="T491" s="438">
        <f t="shared" ca="1" si="1206"/>
        <v>0</v>
      </c>
      <c r="U491" s="445">
        <f t="shared" ca="1" si="1207"/>
        <v>0</v>
      </c>
      <c r="V491" s="446">
        <f t="shared" ca="1" si="1208"/>
        <v>232565</v>
      </c>
      <c r="W491" s="447" t="str">
        <f t="shared" ca="1" si="1209"/>
        <v>Nem szükséges indoklás.</v>
      </c>
      <c r="X491" s="571">
        <f t="shared" ca="1" si="1210"/>
        <v>0</v>
      </c>
      <c r="Y491" s="554">
        <f t="shared" ca="1" si="1211"/>
        <v>232500</v>
      </c>
      <c r="Z491" s="556">
        <f t="shared" ca="1" si="1212"/>
        <v>65</v>
      </c>
      <c r="AA491" s="115"/>
      <c r="AB491" s="146">
        <v>8476102356</v>
      </c>
      <c r="AC491" s="112" t="s">
        <v>164</v>
      </c>
      <c r="AD491" s="483" t="s">
        <v>45</v>
      </c>
      <c r="AE491" s="143" t="s">
        <v>24</v>
      </c>
      <c r="AF491" s="99" t="s">
        <v>124</v>
      </c>
      <c r="AG491" s="99" t="s">
        <v>161</v>
      </c>
      <c r="AH491" s="451" t="s">
        <v>131</v>
      </c>
      <c r="AI491" s="154">
        <v>45231</v>
      </c>
      <c r="AJ491" s="100" t="str">
        <f>IF(AI491&gt;0,
(IF(AI491&lt;Hónapok!$A$10,Admin!$A$28,
(IF(AI491&lt;Hónapok!$A$22,Admin!$B$28,
(IF(AI491&lt;Hónapok!$A$34,Admin!$C$28,
(IF(AI491&lt;Hónapok!$A$46,Admin!$D$28,"")))))))),"")</f>
        <v>3. mérföldkő</v>
      </c>
      <c r="AK491" s="500" t="s">
        <v>8</v>
      </c>
      <c r="AL491" s="115" t="s">
        <v>26</v>
      </c>
      <c r="AM491" s="900">
        <v>232500</v>
      </c>
      <c r="AN491" s="863">
        <v>65</v>
      </c>
      <c r="AO491" s="101">
        <v>87</v>
      </c>
      <c r="AP491" s="111">
        <v>87</v>
      </c>
      <c r="AQ491" s="454">
        <f t="shared" si="1213"/>
        <v>1</v>
      </c>
      <c r="AR491" s="455">
        <f t="shared" si="1214"/>
        <v>232500</v>
      </c>
      <c r="AS491" s="455">
        <f t="shared" si="1215"/>
        <v>65</v>
      </c>
      <c r="AT491" s="102">
        <f t="shared" si="1216"/>
        <v>0</v>
      </c>
      <c r="AU491" s="702">
        <f t="shared" si="1194"/>
        <v>2.7956989247311827E-4</v>
      </c>
      <c r="AV491" s="565" t="str">
        <f>VLOOKUP(LEFT(AB491,10),Törzsszám!$A$1:$B$908,2,0)</f>
        <v>10002167</v>
      </c>
      <c r="AW491" s="681">
        <f t="shared" ca="1" si="1217"/>
        <v>0</v>
      </c>
      <c r="AX491" s="150"/>
      <c r="AY491" s="505"/>
      <c r="AZ491" s="803"/>
      <c r="BA491" s="673"/>
      <c r="BB491" s="650"/>
      <c r="BC491" s="649"/>
      <c r="BD491" s="672"/>
      <c r="BE491" s="143" t="s">
        <v>165</v>
      </c>
    </row>
    <row r="492" spans="1:57" s="117" customFormat="1" ht="14.45" customHeight="1" x14ac:dyDescent="0.25">
      <c r="A492" s="694" t="str">
        <f ca="1">Bérköltség!$B492</f>
        <v>FEOR</v>
      </c>
      <c r="B492" s="694" t="str">
        <f ca="1">IFERROR(
IF(AND(Bérköltség!$F492="",H492="NA"),"HIÁNYOS ADATOK",
IF(Bérköltség!$F492&lt;Bérköltség!$U492,Admin!$B$18,Admin!$B$17)),
"")</f>
        <v>FEOR</v>
      </c>
      <c r="C492" s="437">
        <f>IFERROR(INDEX('Historikus berek_2021-2'!$A$1:$F$903,MATCH(AB492,'Historikus berek_2021-2'!$A$1:$A$903,0),4),"")</f>
        <v>597500</v>
      </c>
      <c r="D492" s="438">
        <f t="shared" si="990"/>
        <v>298750</v>
      </c>
      <c r="E492" s="437">
        <f t="shared" si="991"/>
        <v>320000</v>
      </c>
      <c r="F492" s="439">
        <f t="shared" si="992"/>
        <v>24012.5</v>
      </c>
      <c r="G492" s="440">
        <f t="shared" si="993"/>
        <v>337587.49999999994</v>
      </c>
      <c r="H492" s="441">
        <f>IFERROR(INDEX('FEOR kodok'!$A$2:$J$1126,MATCH(Bérköltség!AB492,'FEOR kodok'!$B$2:$B$1126,0),8),"NA")</f>
        <v>2117</v>
      </c>
      <c r="I492" s="436">
        <f ca="1">IFERROR(INDEX('FEOR kodok'!$A$2:$J$1126,MATCH(Bérköltség!AB492,'FEOR kodok'!$B$2:$B$1126,0),10),"NA")</f>
        <v>40</v>
      </c>
      <c r="J492" s="442" t="str">
        <f t="shared" ca="1" si="994"/>
        <v>40–49 éves</v>
      </c>
      <c r="K492" s="436" t="str">
        <f>IFERROR(INDEX(admin_feor[#All],MATCH(Bérköltség!H492,admin_feor[[#All],[Foglalkozás]],0),2),"NA")</f>
        <v>Vegyészmérnök</v>
      </c>
      <c r="L492" s="438">
        <f ca="1">IFERROR(
INDEX('Admin - FEOR'!$A$4:$F$465,MATCH(Bérköltség!H492,'Admin - FEOR'!$A$4:$A$465,0),
IF(J492="30 év alatt",3,
IF(J492="30–39 éves",4,
IF(J492="40–49 éves",5,
IF(J492="50 év és afelett",6
)))))*1,"NA")</f>
        <v>824591</v>
      </c>
      <c r="M492" s="438">
        <f t="shared" si="995"/>
        <v>640000</v>
      </c>
      <c r="N492" s="443">
        <f t="shared" ca="1" si="996"/>
        <v>0.77614235420954147</v>
      </c>
      <c r="O492" s="438">
        <f ca="1">IFERROR(
INDEX('Admin - FEOR'!$A$4:$F$465,MATCH(Bérköltség!H492,'Admin - FEOR'!$A$4:$A$465,0),
IF(J492="30 év alatt",3,
IF(J492="30–39 éves",4,
IF(J492="40–49 éves",5,
IF(J492="50 év és afelett",6
)))))*1.5,"NA")</f>
        <v>1236886.5</v>
      </c>
      <c r="P492" s="438">
        <f t="shared" ca="1" si="997"/>
        <v>618443.25</v>
      </c>
      <c r="Q492" s="438">
        <f t="shared" si="998"/>
        <v>320000</v>
      </c>
      <c r="R492" s="444">
        <f t="shared" si="999"/>
        <v>0.5</v>
      </c>
      <c r="S492" s="438">
        <f t="shared" ca="1" si="1000"/>
        <v>0</v>
      </c>
      <c r="T492" s="438">
        <f t="shared" ca="1" si="1001"/>
        <v>0</v>
      </c>
      <c r="U492" s="445">
        <f t="shared" ca="1" si="1002"/>
        <v>0</v>
      </c>
      <c r="V492" s="446">
        <f t="shared" ca="1" si="1003"/>
        <v>361600</v>
      </c>
      <c r="W492" s="447" t="str">
        <f t="shared" ca="1" si="1004"/>
        <v>Nem szükséges indoklás.</v>
      </c>
      <c r="X492" s="571">
        <f t="shared" ca="1" si="1005"/>
        <v>0</v>
      </c>
      <c r="Y492" s="554">
        <f t="shared" ca="1" si="1006"/>
        <v>320000</v>
      </c>
      <c r="Z492" s="554">
        <f t="shared" ca="1" si="1007"/>
        <v>41600</v>
      </c>
      <c r="AA492" s="573">
        <v>2</v>
      </c>
      <c r="AB492" s="146">
        <v>8426440355</v>
      </c>
      <c r="AC492" s="112" t="s">
        <v>234</v>
      </c>
      <c r="AD492" s="483" t="s">
        <v>45</v>
      </c>
      <c r="AE492" s="143" t="s">
        <v>22</v>
      </c>
      <c r="AF492" s="99" t="s">
        <v>120</v>
      </c>
      <c r="AG492" s="99" t="s">
        <v>157</v>
      </c>
      <c r="AH492" s="451" t="s">
        <v>131</v>
      </c>
      <c r="AI492" s="154">
        <v>44866</v>
      </c>
      <c r="AJ492" s="100" t="str">
        <f>IF(AI492&gt;0,
(IF(AI492&lt;Hónapok!$A$10,Admin!$A$28,
(IF(AI492&lt;Hónapok!$A$22,Admin!$B$28,
(IF(AI492&lt;Hónapok!$A$34,Admin!$C$28,
(IF(AI492&lt;Hónapok!$A$46,Admin!$D$28,"")))))))),"")</f>
        <v>2. mérföldkő</v>
      </c>
      <c r="AK492" s="500" t="s">
        <v>7</v>
      </c>
      <c r="AL492" s="115" t="s">
        <v>26</v>
      </c>
      <c r="AM492" s="900">
        <v>640000</v>
      </c>
      <c r="AN492" s="860">
        <f t="shared" ref="AN492:AN526" si="1218">IFERROR(ROUND(AM492*AU492,0),"")</f>
        <v>83200</v>
      </c>
      <c r="AO492" s="101">
        <v>174</v>
      </c>
      <c r="AP492" s="111">
        <v>87</v>
      </c>
      <c r="AQ492" s="454">
        <f t="shared" si="985"/>
        <v>0.5</v>
      </c>
      <c r="AR492" s="455">
        <f t="shared" si="986"/>
        <v>320000</v>
      </c>
      <c r="AS492" s="455">
        <f t="shared" si="987"/>
        <v>41600</v>
      </c>
      <c r="AT492" s="102">
        <f t="shared" si="988"/>
        <v>0</v>
      </c>
      <c r="AU492" s="116">
        <v>0.13</v>
      </c>
      <c r="AV492" s="565" t="str">
        <f>VLOOKUP(LEFT(AB492,10),Törzsszám!$A$1:$B$908,2,0)</f>
        <v>10001075</v>
      </c>
      <c r="AW492" s="615">
        <f t="shared" ca="1" si="989"/>
        <v>0</v>
      </c>
      <c r="AX492" s="150" t="s">
        <v>260</v>
      </c>
      <c r="AY492" s="505"/>
      <c r="AZ492" s="803"/>
      <c r="BA492" s="673">
        <v>320000</v>
      </c>
      <c r="BB492" s="650">
        <v>41600</v>
      </c>
      <c r="BC492" s="649">
        <f t="shared" ref="BC492:BD495" ca="1" si="1219">Y492-BA492</f>
        <v>0</v>
      </c>
      <c r="BD492" s="672">
        <f t="shared" ca="1" si="1219"/>
        <v>0</v>
      </c>
      <c r="BE492" s="143" t="s">
        <v>208</v>
      </c>
    </row>
    <row r="493" spans="1:57" s="117" customFormat="1" ht="14.45" customHeight="1" x14ac:dyDescent="0.25">
      <c r="A493" s="694" t="str">
        <f ca="1">Bérköltség!$B493</f>
        <v>FEOR</v>
      </c>
      <c r="B493" s="694" t="str">
        <f ca="1">IFERROR(
IF(AND(Bérköltség!$F493="",H493="NA"),"HIÁNYOS ADATOK",
IF(Bérköltség!$F493&lt;Bérköltség!$U493,Admin!$B$18,Admin!$B$17)),
"")</f>
        <v>FEOR</v>
      </c>
      <c r="C493" s="437">
        <f>IFERROR(INDEX('Historikus berek_2021-2'!$A$1:$F$903,MATCH(AB493,'Historikus berek_2021-2'!$A$1:$A$903,0),4),"")</f>
        <v>597500</v>
      </c>
      <c r="D493" s="438">
        <f t="shared" si="990"/>
        <v>298750</v>
      </c>
      <c r="E493" s="437">
        <f t="shared" si="991"/>
        <v>0</v>
      </c>
      <c r="F493" s="439">
        <f t="shared" si="992"/>
        <v>0</v>
      </c>
      <c r="G493" s="440">
        <f t="shared" si="993"/>
        <v>0</v>
      </c>
      <c r="H493" s="441">
        <f>IFERROR(INDEX('FEOR kodok'!$A$2:$J$1126,MATCH(Bérköltség!AB493,'FEOR kodok'!$B$2:$B$1126,0),8),"NA")</f>
        <v>2117</v>
      </c>
      <c r="I493" s="436">
        <f ca="1">IFERROR(INDEX('FEOR kodok'!$A$2:$J$1126,MATCH(Bérköltség!AB493,'FEOR kodok'!$B$2:$B$1126,0),10),"NA")</f>
        <v>40</v>
      </c>
      <c r="J493" s="442" t="str">
        <f t="shared" ca="1" si="994"/>
        <v>40–49 éves</v>
      </c>
      <c r="K493" s="436" t="str">
        <f>IFERROR(INDEX(admin_feor[#All],MATCH(Bérköltség!H493,admin_feor[[#All],[Foglalkozás]],0),2),"NA")</f>
        <v>Vegyészmérnök</v>
      </c>
      <c r="L493" s="438">
        <f ca="1">IFERROR(
INDEX('Admin - FEOR'!$A$4:$F$465,MATCH(Bérköltség!H493,'Admin - FEOR'!$A$4:$A$465,0),
IF(J493="30 év alatt",3,
IF(J493="30–39 éves",4,
IF(J493="40–49 éves",5,
IF(J493="50 év és afelett",6
)))))*1,"NA")</f>
        <v>824591</v>
      </c>
      <c r="M493" s="438">
        <f t="shared" si="995"/>
        <v>0</v>
      </c>
      <c r="N493" s="443">
        <f t="shared" ca="1" si="996"/>
        <v>0</v>
      </c>
      <c r="O493" s="438">
        <f ca="1">IFERROR(
INDEX('Admin - FEOR'!$A$4:$F$465,MATCH(Bérköltség!H493,'Admin - FEOR'!$A$4:$A$465,0),
IF(J493="30 év alatt",3,
IF(J493="30–39 éves",4,
IF(J493="40–49 éves",5,
IF(J493="50 év és afelett",6
)))))*1.5,"NA")</f>
        <v>1236886.5</v>
      </c>
      <c r="P493" s="438">
        <f t="shared" ca="1" si="997"/>
        <v>618443.25</v>
      </c>
      <c r="Q493" s="438">
        <f t="shared" si="998"/>
        <v>0</v>
      </c>
      <c r="R493" s="444">
        <f t="shared" si="999"/>
        <v>0.5</v>
      </c>
      <c r="S493" s="438">
        <f t="shared" ca="1" si="1000"/>
        <v>0</v>
      </c>
      <c r="T493" s="438">
        <f t="shared" ca="1" si="1001"/>
        <v>0</v>
      </c>
      <c r="U493" s="445">
        <f t="shared" ca="1" si="1002"/>
        <v>0</v>
      </c>
      <c r="V493" s="446">
        <f t="shared" ca="1" si="1003"/>
        <v>0</v>
      </c>
      <c r="W493" s="447" t="str">
        <f t="shared" ca="1" si="1004"/>
        <v>Nem szükséges indoklás.</v>
      </c>
      <c r="X493" s="571">
        <f t="shared" ca="1" si="1005"/>
        <v>0</v>
      </c>
      <c r="Y493" s="554">
        <f t="shared" ca="1" si="1006"/>
        <v>0</v>
      </c>
      <c r="Z493" s="554">
        <f t="shared" ca="1" si="1007"/>
        <v>0</v>
      </c>
      <c r="AA493" s="115"/>
      <c r="AB493" s="146">
        <v>8426440355</v>
      </c>
      <c r="AC493" s="112" t="s">
        <v>234</v>
      </c>
      <c r="AD493" s="483" t="s">
        <v>45</v>
      </c>
      <c r="AE493" s="143" t="s">
        <v>22</v>
      </c>
      <c r="AF493" s="99" t="s">
        <v>120</v>
      </c>
      <c r="AG493" s="99" t="s">
        <v>157</v>
      </c>
      <c r="AH493" s="451" t="s">
        <v>131</v>
      </c>
      <c r="AI493" s="154">
        <v>44896</v>
      </c>
      <c r="AJ493" s="100" t="str">
        <f>IF(AI493&gt;0,
(IF(AI493&lt;Hónapok!$A$10,Admin!$A$28,
(IF(AI493&lt;Hónapok!$A$22,Admin!$B$28,
(IF(AI493&lt;Hónapok!$A$34,Admin!$C$28,
(IF(AI493&lt;Hónapok!$A$46,Admin!$D$28,"")))))))),"")</f>
        <v>2. mérföldkő</v>
      </c>
      <c r="AK493" s="500" t="s">
        <v>252</v>
      </c>
      <c r="AL493" s="115" t="s">
        <v>26</v>
      </c>
      <c r="AM493" s="900">
        <v>0</v>
      </c>
      <c r="AN493" s="860">
        <f t="shared" si="1218"/>
        <v>0</v>
      </c>
      <c r="AO493" s="101">
        <v>174</v>
      </c>
      <c r="AP493" s="111">
        <v>87</v>
      </c>
      <c r="AQ493" s="454">
        <f t="shared" si="985"/>
        <v>0.5</v>
      </c>
      <c r="AR493" s="455">
        <f t="shared" si="986"/>
        <v>0</v>
      </c>
      <c r="AS493" s="455">
        <f t="shared" si="987"/>
        <v>0</v>
      </c>
      <c r="AT493" s="102" t="str">
        <f t="shared" si="988"/>
        <v/>
      </c>
      <c r="AU493" s="116">
        <v>0.13</v>
      </c>
      <c r="AV493" s="565" t="str">
        <f>VLOOKUP(LEFT(AB493,10),Törzsszám!$A$1:$B$908,2,0)</f>
        <v>10001075</v>
      </c>
      <c r="AW493" s="615">
        <f t="shared" ca="1" si="989"/>
        <v>0</v>
      </c>
      <c r="AX493" s="150"/>
      <c r="AY493" s="505"/>
      <c r="AZ493" s="803"/>
      <c r="BA493" s="673"/>
      <c r="BB493" s="650"/>
      <c r="BC493" s="649">
        <f t="shared" ca="1" si="1219"/>
        <v>0</v>
      </c>
      <c r="BD493" s="672">
        <f t="shared" ca="1" si="1219"/>
        <v>0</v>
      </c>
      <c r="BE493" s="143" t="s">
        <v>208</v>
      </c>
    </row>
    <row r="494" spans="1:57" s="117" customFormat="1" ht="14.45" customHeight="1" x14ac:dyDescent="0.25">
      <c r="A494" s="694" t="str">
        <f ca="1">Bérköltség!$B494</f>
        <v>FEOR</v>
      </c>
      <c r="B494" s="694" t="str">
        <f ca="1">IFERROR(
IF(AND(Bérköltség!$F494="",H494="NA"),"HIÁNYOS ADATOK",
IF(Bérköltség!$F494&lt;Bérköltség!$U494,Admin!$B$18,Admin!$B$17)),
"")</f>
        <v>FEOR</v>
      </c>
      <c r="C494" s="437">
        <f>IFERROR(INDEX('Historikus berek_2021-2'!$A$1:$F$903,MATCH(AB494,'Historikus berek_2021-2'!$A$1:$A$903,0),4),"")</f>
        <v>597500</v>
      </c>
      <c r="D494" s="438">
        <f t="shared" si="990"/>
        <v>298750</v>
      </c>
      <c r="E494" s="437">
        <f t="shared" si="991"/>
        <v>0</v>
      </c>
      <c r="F494" s="439">
        <f t="shared" si="992"/>
        <v>0</v>
      </c>
      <c r="G494" s="440">
        <f t="shared" si="993"/>
        <v>0</v>
      </c>
      <c r="H494" s="441">
        <f>IFERROR(INDEX('FEOR kodok'!$A$2:$J$1126,MATCH(Bérköltség!AB494,'FEOR kodok'!$B$2:$B$1126,0),8),"NA")</f>
        <v>2117</v>
      </c>
      <c r="I494" s="436">
        <f ca="1">IFERROR(INDEX('FEOR kodok'!$A$2:$J$1126,MATCH(Bérköltség!AB494,'FEOR kodok'!$B$2:$B$1126,0),10),"NA")</f>
        <v>40</v>
      </c>
      <c r="J494" s="442" t="str">
        <f t="shared" ca="1" si="994"/>
        <v>40–49 éves</v>
      </c>
      <c r="K494" s="436" t="str">
        <f>IFERROR(INDEX(admin_feor[#All],MATCH(Bérköltség!H494,admin_feor[[#All],[Foglalkozás]],0),2),"NA")</f>
        <v>Vegyészmérnök</v>
      </c>
      <c r="L494" s="438">
        <f ca="1">IFERROR(
INDEX('Admin - FEOR'!$A$4:$F$465,MATCH(Bérköltség!H494,'Admin - FEOR'!$A$4:$A$465,0),
IF(J494="30 év alatt",3,
IF(J494="30–39 éves",4,
IF(J494="40–49 éves",5,
IF(J494="50 év és afelett",6
)))))*1,"NA")</f>
        <v>824591</v>
      </c>
      <c r="M494" s="438">
        <f t="shared" si="995"/>
        <v>0</v>
      </c>
      <c r="N494" s="443">
        <f t="shared" ca="1" si="996"/>
        <v>0</v>
      </c>
      <c r="O494" s="438">
        <f ca="1">IFERROR(
INDEX('Admin - FEOR'!$A$4:$F$465,MATCH(Bérköltség!H494,'Admin - FEOR'!$A$4:$A$465,0),
IF(J494="30 év alatt",3,
IF(J494="30–39 éves",4,
IF(J494="40–49 éves",5,
IF(J494="50 év és afelett",6
)))))*1.5,"NA")</f>
        <v>1236886.5</v>
      </c>
      <c r="P494" s="438">
        <f t="shared" ca="1" si="997"/>
        <v>618443.25</v>
      </c>
      <c r="Q494" s="438">
        <f t="shared" si="998"/>
        <v>0</v>
      </c>
      <c r="R494" s="444">
        <f t="shared" si="999"/>
        <v>0.5</v>
      </c>
      <c r="S494" s="438">
        <f t="shared" ca="1" si="1000"/>
        <v>0</v>
      </c>
      <c r="T494" s="438">
        <f t="shared" ca="1" si="1001"/>
        <v>0</v>
      </c>
      <c r="U494" s="445">
        <f t="shared" ca="1" si="1002"/>
        <v>0</v>
      </c>
      <c r="V494" s="446">
        <f t="shared" ca="1" si="1003"/>
        <v>0</v>
      </c>
      <c r="W494" s="447" t="str">
        <f t="shared" ca="1" si="1004"/>
        <v>Nem szükséges indoklás.</v>
      </c>
      <c r="X494" s="571">
        <f t="shared" ca="1" si="1005"/>
        <v>0</v>
      </c>
      <c r="Y494" s="554">
        <f t="shared" ca="1" si="1006"/>
        <v>0</v>
      </c>
      <c r="Z494" s="554">
        <f t="shared" ca="1" si="1007"/>
        <v>0</v>
      </c>
      <c r="AA494" s="115"/>
      <c r="AB494" s="146">
        <v>8426440355</v>
      </c>
      <c r="AC494" s="112" t="s">
        <v>234</v>
      </c>
      <c r="AD494" s="483" t="s">
        <v>45</v>
      </c>
      <c r="AE494" s="143" t="s">
        <v>22</v>
      </c>
      <c r="AF494" s="99" t="s">
        <v>120</v>
      </c>
      <c r="AG494" s="99" t="s">
        <v>157</v>
      </c>
      <c r="AH494" s="451" t="s">
        <v>131</v>
      </c>
      <c r="AI494" s="154">
        <v>44927</v>
      </c>
      <c r="AJ494" s="100" t="str">
        <f>IF(AI494&gt;0,
(IF(AI494&lt;Hónapok!$A$10,Admin!$A$28,
(IF(AI494&lt;Hónapok!$A$22,Admin!$B$28,
(IF(AI494&lt;Hónapok!$A$34,Admin!$C$28,
(IF(AI494&lt;Hónapok!$A$46,Admin!$D$28,"")))))))),"")</f>
        <v>2. mérföldkő</v>
      </c>
      <c r="AK494" s="500" t="s">
        <v>252</v>
      </c>
      <c r="AL494" s="115" t="s">
        <v>26</v>
      </c>
      <c r="AM494" s="900">
        <v>0</v>
      </c>
      <c r="AN494" s="860">
        <f t="shared" si="1218"/>
        <v>0</v>
      </c>
      <c r="AO494" s="101">
        <v>174</v>
      </c>
      <c r="AP494" s="111">
        <v>87</v>
      </c>
      <c r="AQ494" s="454">
        <f t="shared" si="985"/>
        <v>0.5</v>
      </c>
      <c r="AR494" s="455">
        <f t="shared" si="986"/>
        <v>0</v>
      </c>
      <c r="AS494" s="455">
        <f t="shared" si="987"/>
        <v>0</v>
      </c>
      <c r="AT494" s="102" t="str">
        <f t="shared" si="988"/>
        <v/>
      </c>
      <c r="AU494" s="116">
        <v>0.13</v>
      </c>
      <c r="AV494" s="565" t="str">
        <f>VLOOKUP(LEFT(AB494,10),Törzsszám!$A$1:$B$908,2,0)</f>
        <v>10001075</v>
      </c>
      <c r="AW494" s="615">
        <f t="shared" ca="1" si="989"/>
        <v>0</v>
      </c>
      <c r="AX494" s="150"/>
      <c r="AY494" s="505"/>
      <c r="AZ494" s="803"/>
      <c r="BA494" s="673">
        <v>320000</v>
      </c>
      <c r="BB494" s="650">
        <v>41600</v>
      </c>
      <c r="BC494" s="649">
        <f t="shared" ca="1" si="1219"/>
        <v>-320000</v>
      </c>
      <c r="BD494" s="672">
        <f t="shared" ca="1" si="1219"/>
        <v>-41600</v>
      </c>
      <c r="BE494" s="143" t="s">
        <v>208</v>
      </c>
    </row>
    <row r="495" spans="1:57" s="117" customFormat="1" ht="14.45" customHeight="1" x14ac:dyDescent="0.25">
      <c r="A495" s="694" t="str">
        <f ca="1">Bérköltség!$B495</f>
        <v>FEOR</v>
      </c>
      <c r="B495" s="694" t="str">
        <f ca="1">IFERROR(
IF(AND(Bérköltség!$F495="",H495="NA"),"HIÁNYOS ADATOK",
IF(Bérköltség!$F495&lt;Bérköltség!$U495,Admin!$B$18,Admin!$B$17)),
"")</f>
        <v>FEOR</v>
      </c>
      <c r="C495" s="437">
        <f>IFERROR(INDEX('Historikus berek_2021-2'!$A$1:$F$903,MATCH(AB495,'Historikus berek_2021-2'!$A$1:$A$903,0),4),"")</f>
        <v>597500</v>
      </c>
      <c r="D495" s="438">
        <f t="shared" si="990"/>
        <v>298750</v>
      </c>
      <c r="E495" s="437">
        <f t="shared" si="991"/>
        <v>0</v>
      </c>
      <c r="F495" s="439">
        <f t="shared" si="992"/>
        <v>0</v>
      </c>
      <c r="G495" s="440">
        <f t="shared" si="993"/>
        <v>0</v>
      </c>
      <c r="H495" s="441">
        <f>IFERROR(INDEX('FEOR kodok'!$A$2:$J$1126,MATCH(Bérköltség!AB495,'FEOR kodok'!$B$2:$B$1126,0),8),"NA")</f>
        <v>2117</v>
      </c>
      <c r="I495" s="436">
        <f ca="1">IFERROR(INDEX('FEOR kodok'!$A$2:$J$1126,MATCH(Bérköltség!AB495,'FEOR kodok'!$B$2:$B$1126,0),10),"NA")</f>
        <v>40</v>
      </c>
      <c r="J495" s="442" t="str">
        <f t="shared" ca="1" si="994"/>
        <v>40–49 éves</v>
      </c>
      <c r="K495" s="436" t="str">
        <f>IFERROR(INDEX(admin_feor[#All],MATCH(Bérköltség!H495,admin_feor[[#All],[Foglalkozás]],0),2),"NA")</f>
        <v>Vegyészmérnök</v>
      </c>
      <c r="L495" s="438">
        <f ca="1">IFERROR(
INDEX('Admin - FEOR'!$A$4:$F$465,MATCH(Bérköltség!H495,'Admin - FEOR'!$A$4:$A$465,0),
IF(J495="30 év alatt",3,
IF(J495="30–39 éves",4,
IF(J495="40–49 éves",5,
IF(J495="50 év és afelett",6
)))))*1,"NA")</f>
        <v>824591</v>
      </c>
      <c r="M495" s="438">
        <f t="shared" si="995"/>
        <v>0</v>
      </c>
      <c r="N495" s="443">
        <f t="shared" ca="1" si="996"/>
        <v>0</v>
      </c>
      <c r="O495" s="438">
        <f ca="1">IFERROR(
INDEX('Admin - FEOR'!$A$4:$F$465,MATCH(Bérköltség!H495,'Admin - FEOR'!$A$4:$A$465,0),
IF(J495="30 év alatt",3,
IF(J495="30–39 éves",4,
IF(J495="40–49 éves",5,
IF(J495="50 év és afelett",6
)))))*1.5,"NA")</f>
        <v>1236886.5</v>
      </c>
      <c r="P495" s="438">
        <f t="shared" ca="1" si="997"/>
        <v>618443.25</v>
      </c>
      <c r="Q495" s="438">
        <f t="shared" si="998"/>
        <v>0</v>
      </c>
      <c r="R495" s="444">
        <f t="shared" si="999"/>
        <v>0.5</v>
      </c>
      <c r="S495" s="438">
        <f t="shared" ca="1" si="1000"/>
        <v>0</v>
      </c>
      <c r="T495" s="438">
        <f t="shared" ca="1" si="1001"/>
        <v>0</v>
      </c>
      <c r="U495" s="445">
        <f t="shared" ca="1" si="1002"/>
        <v>0</v>
      </c>
      <c r="V495" s="446">
        <f t="shared" ca="1" si="1003"/>
        <v>0</v>
      </c>
      <c r="W495" s="447" t="str">
        <f t="shared" ca="1" si="1004"/>
        <v>Nem szükséges indoklás.</v>
      </c>
      <c r="X495" s="571">
        <f t="shared" ca="1" si="1005"/>
        <v>0</v>
      </c>
      <c r="Y495" s="554">
        <f t="shared" ca="1" si="1006"/>
        <v>0</v>
      </c>
      <c r="Z495" s="554">
        <f t="shared" ca="1" si="1007"/>
        <v>0</v>
      </c>
      <c r="AA495" s="115"/>
      <c r="AB495" s="146">
        <v>8426440355</v>
      </c>
      <c r="AC495" s="112" t="s">
        <v>234</v>
      </c>
      <c r="AD495" s="483" t="s">
        <v>45</v>
      </c>
      <c r="AE495" s="143" t="s">
        <v>22</v>
      </c>
      <c r="AF495" s="99" t="s">
        <v>120</v>
      </c>
      <c r="AG495" s="99" t="s">
        <v>157</v>
      </c>
      <c r="AH495" s="451" t="s">
        <v>131</v>
      </c>
      <c r="AI495" s="154">
        <v>44958</v>
      </c>
      <c r="AJ495" s="100" t="str">
        <f>IF(AI495&gt;0,
(IF(AI495&lt;Hónapok!$A$10,Admin!$A$28,
(IF(AI495&lt;Hónapok!$A$22,Admin!$B$28,
(IF(AI495&lt;Hónapok!$A$34,Admin!$C$28,
(IF(AI495&lt;Hónapok!$A$46,Admin!$D$28,"")))))))),"")</f>
        <v>2. mérföldkő</v>
      </c>
      <c r="AK495" s="500" t="s">
        <v>252</v>
      </c>
      <c r="AL495" s="115" t="s">
        <v>26</v>
      </c>
      <c r="AM495" s="900">
        <v>0</v>
      </c>
      <c r="AN495" s="860">
        <f t="shared" si="1218"/>
        <v>0</v>
      </c>
      <c r="AO495" s="101">
        <v>174</v>
      </c>
      <c r="AP495" s="111">
        <v>87</v>
      </c>
      <c r="AQ495" s="454">
        <f t="shared" si="985"/>
        <v>0.5</v>
      </c>
      <c r="AR495" s="455">
        <f t="shared" si="986"/>
        <v>0</v>
      </c>
      <c r="AS495" s="455">
        <f t="shared" si="987"/>
        <v>0</v>
      </c>
      <c r="AT495" s="102" t="str">
        <f t="shared" si="988"/>
        <v/>
      </c>
      <c r="AU495" s="116">
        <v>0.13</v>
      </c>
      <c r="AV495" s="565" t="str">
        <f>VLOOKUP(LEFT(AB495,10),Törzsszám!$A$1:$B$908,2,0)</f>
        <v>10001075</v>
      </c>
      <c r="AW495" s="615">
        <f t="shared" ca="1" si="989"/>
        <v>0</v>
      </c>
      <c r="AX495" s="150"/>
      <c r="AY495" s="505"/>
      <c r="AZ495" s="803"/>
      <c r="BA495" s="673"/>
      <c r="BB495" s="650"/>
      <c r="BC495" s="649">
        <f t="shared" ca="1" si="1219"/>
        <v>0</v>
      </c>
      <c r="BD495" s="672">
        <f t="shared" ca="1" si="1219"/>
        <v>0</v>
      </c>
      <c r="BE495" s="143" t="s">
        <v>208</v>
      </c>
    </row>
    <row r="496" spans="1:57" s="117" customFormat="1" ht="14.45" customHeight="1" x14ac:dyDescent="0.25">
      <c r="A496" s="694" t="str">
        <f ca="1">Bérköltség!$B496</f>
        <v>FEOR</v>
      </c>
      <c r="B496" s="694" t="str">
        <f ca="1">IFERROR(
IF(AND(Bérköltség!$F496="",H496="NA"),"HIÁNYOS ADATOK",
IF(Bérköltség!$F496&lt;Bérköltség!$U496,Admin!$B$18,Admin!$B$17)),
"")</f>
        <v>FEOR</v>
      </c>
      <c r="C496" s="437">
        <f>IFERROR(INDEX('Historikus berek_2021-2'!$A$1:$F$903,MATCH(AB496,'Historikus berek_2021-2'!$A$1:$A$903,0),4),"")</f>
        <v>275000</v>
      </c>
      <c r="D496" s="438">
        <f t="shared" si="990"/>
        <v>233908.0459770115</v>
      </c>
      <c r="E496" s="437">
        <f t="shared" si="991"/>
        <v>289621</v>
      </c>
      <c r="F496" s="439">
        <f t="shared" si="992"/>
        <v>62955.638045976986</v>
      </c>
      <c r="G496" s="440">
        <f t="shared" si="993"/>
        <v>264316.091954023</v>
      </c>
      <c r="H496" s="441">
        <f>IFERROR(INDEX('FEOR kodok'!$A$2:$J$1126,MATCH(Bérköltség!AB496,'FEOR kodok'!$B$2:$B$1126,0),8),"NA")</f>
        <v>3910</v>
      </c>
      <c r="I496" s="436">
        <f ca="1">IFERROR(INDEX('FEOR kodok'!$A$2:$J$1126,MATCH(Bérköltség!AB496,'FEOR kodok'!$B$2:$B$1126,0),10),"NA")</f>
        <v>26</v>
      </c>
      <c r="J496" s="442" t="str">
        <f t="shared" ca="1" si="994"/>
        <v>30 év alatt</v>
      </c>
      <c r="K496" s="436" t="str">
        <f>IFERROR(INDEX(admin_feor[#All],MATCH(Bérköltség!H496,admin_feor[[#All],[Foglalkozás]],0),2),"NA")</f>
        <v>Egyéb ügyintéző</v>
      </c>
      <c r="L496" s="438">
        <f ca="1">IFERROR(
INDEX('Admin - FEOR'!$A$4:$F$465,MATCH(Bérköltség!H496,'Admin - FEOR'!$A$4:$A$465,0),
IF(J496="30 év alatt",3,
IF(J496="30–39 éves",4,
IF(J496="40–49 éves",5,
IF(J496="50 év és afelett",6
)))))*1,"NA")</f>
        <v>359927</v>
      </c>
      <c r="M496" s="438">
        <f t="shared" si="995"/>
        <v>340500</v>
      </c>
      <c r="N496" s="443">
        <f t="shared" ca="1" si="996"/>
        <v>0.94602516621426014</v>
      </c>
      <c r="O496" s="438">
        <f ca="1">IFERROR(
INDEX('Admin - FEOR'!$A$4:$F$465,MATCH(Bérköltség!H496,'Admin - FEOR'!$A$4:$A$465,0),
IF(J496="30 év alatt",3,
IF(J496="30–39 éves",4,
IF(J496="40–49 éves",5,
IF(J496="50 év és afelett",6
)))))*1.5,"NA")</f>
        <v>539890.5</v>
      </c>
      <c r="P496" s="438">
        <f t="shared" ca="1" si="997"/>
        <v>459217.20689655171</v>
      </c>
      <c r="Q496" s="438">
        <f t="shared" si="998"/>
        <v>289621</v>
      </c>
      <c r="R496" s="444">
        <f t="shared" si="999"/>
        <v>0.85057471264367812</v>
      </c>
      <c r="S496" s="438">
        <f t="shared" ca="1" si="1000"/>
        <v>0</v>
      </c>
      <c r="T496" s="438">
        <f t="shared" ca="1" si="1001"/>
        <v>0</v>
      </c>
      <c r="U496" s="445">
        <f t="shared" ca="1" si="1002"/>
        <v>0</v>
      </c>
      <c r="V496" s="446">
        <f t="shared" ca="1" si="1003"/>
        <v>327272</v>
      </c>
      <c r="W496" s="447" t="str">
        <f t="shared" ca="1" si="1004"/>
        <v>Nem szükséges indoklás.</v>
      </c>
      <c r="X496" s="571">
        <f t="shared" ca="1" si="1005"/>
        <v>0</v>
      </c>
      <c r="Y496" s="554">
        <f t="shared" ca="1" si="1006"/>
        <v>289621</v>
      </c>
      <c r="Z496" s="554">
        <f t="shared" ca="1" si="1007"/>
        <v>37651</v>
      </c>
      <c r="AA496" s="115"/>
      <c r="AB496" s="146">
        <v>8476922108</v>
      </c>
      <c r="AC496" s="112" t="s">
        <v>1411</v>
      </c>
      <c r="AD496" s="483" t="s">
        <v>45</v>
      </c>
      <c r="AE496" s="143" t="s">
        <v>24</v>
      </c>
      <c r="AF496" s="99" t="s">
        <v>125</v>
      </c>
      <c r="AG496" s="99" t="s">
        <v>191</v>
      </c>
      <c r="AH496" s="451" t="s">
        <v>131</v>
      </c>
      <c r="AI496" s="154">
        <v>44986</v>
      </c>
      <c r="AJ496" s="100" t="str">
        <f>IF(AI496&gt;0,
(IF(AI496&lt;Hónapok!$A$10,Admin!$A$28,
(IF(AI496&lt;Hónapok!$A$22,Admin!$B$28,
(IF(AI496&lt;Hónapok!$A$34,Admin!$C$28,
(IF(AI496&lt;Hónapok!$A$46,Admin!$D$28,"")))))))),"")</f>
        <v>3. mérföldkő</v>
      </c>
      <c r="AK496" s="470" t="s">
        <v>7</v>
      </c>
      <c r="AL496" s="115" t="s">
        <v>26</v>
      </c>
      <c r="AM496" s="900">
        <v>340500</v>
      </c>
      <c r="AN496" s="860">
        <f t="shared" si="1218"/>
        <v>44265</v>
      </c>
      <c r="AO496" s="101">
        <v>174</v>
      </c>
      <c r="AP496" s="111">
        <v>148</v>
      </c>
      <c r="AQ496" s="454">
        <f t="shared" si="985"/>
        <v>0.85057471264367812</v>
      </c>
      <c r="AR496" s="455">
        <f t="shared" si="986"/>
        <v>289621</v>
      </c>
      <c r="AS496" s="455">
        <f t="shared" si="987"/>
        <v>37651</v>
      </c>
      <c r="AT496" s="102">
        <f t="shared" si="988"/>
        <v>-9.1143855385222849E-7</v>
      </c>
      <c r="AU496" s="116">
        <v>0.13</v>
      </c>
      <c r="AV496" s="565" t="str">
        <f>VLOOKUP(LEFT(AB496,10),Törzsszám!$A$1:$B$908,2,0)</f>
        <v>10001351</v>
      </c>
      <c r="AW496" s="681">
        <f t="shared" ca="1" si="989"/>
        <v>0</v>
      </c>
      <c r="AX496" s="471" t="s">
        <v>4561</v>
      </c>
      <c r="AY496" s="505"/>
      <c r="AZ496" s="803"/>
      <c r="BA496" s="673"/>
      <c r="BB496" s="650"/>
      <c r="BC496" s="649"/>
      <c r="BD496" s="672"/>
      <c r="BE496" s="143" t="s">
        <v>201</v>
      </c>
    </row>
    <row r="497" spans="1:57" s="117" customFormat="1" ht="14.45" customHeight="1" x14ac:dyDescent="0.25">
      <c r="A497" s="694" t="str">
        <f ca="1">Bérköltség!$B497</f>
        <v>FEOR</v>
      </c>
      <c r="B497" s="694" t="str">
        <f ca="1">IFERROR(
IF(AND(Bérköltség!$F497="",H497="NA"),"HIÁNYOS ADATOK",
IF(Bérköltség!$F497&lt;Bérköltség!$U497,Admin!$B$18,Admin!$B$17)),
"")</f>
        <v>FEOR</v>
      </c>
      <c r="C497" s="437">
        <f>IFERROR(INDEX('Historikus berek_2021-2'!$A$1:$F$903,MATCH(AB497,'Historikus berek_2021-2'!$A$1:$A$903,0),4),"")</f>
        <v>275000</v>
      </c>
      <c r="D497" s="438">
        <f t="shared" si="990"/>
        <v>233908.0459770115</v>
      </c>
      <c r="E497" s="437">
        <f t="shared" si="991"/>
        <v>251005</v>
      </c>
      <c r="F497" s="439">
        <f t="shared" si="992"/>
        <v>19319.55804597697</v>
      </c>
      <c r="G497" s="440">
        <f t="shared" si="993"/>
        <v>264316.091954023</v>
      </c>
      <c r="H497" s="441">
        <f>IFERROR(INDEX('FEOR kodok'!$A$2:$J$1126,MATCH(Bérköltség!AB497,'FEOR kodok'!$B$2:$B$1126,0),8),"NA")</f>
        <v>3910</v>
      </c>
      <c r="I497" s="436">
        <f ca="1">IFERROR(INDEX('FEOR kodok'!$A$2:$J$1126,MATCH(Bérköltség!AB497,'FEOR kodok'!$B$2:$B$1126,0),10),"NA")</f>
        <v>26</v>
      </c>
      <c r="J497" s="442" t="str">
        <f t="shared" ca="1" si="994"/>
        <v>30 év alatt</v>
      </c>
      <c r="K497" s="436" t="str">
        <f>IFERROR(INDEX(admin_feor[#All],MATCH(Bérköltség!H497,admin_feor[[#All],[Foglalkozás]],0),2),"NA")</f>
        <v>Egyéb ügyintéző</v>
      </c>
      <c r="L497" s="438">
        <f ca="1">IFERROR(
INDEX('Admin - FEOR'!$A$4:$F$465,MATCH(Bérköltség!H497,'Admin - FEOR'!$A$4:$A$465,0),
IF(J497="30 év alatt",3,
IF(J497="30–39 éves",4,
IF(J497="40–49 éves",5,
IF(J497="50 év és afelett",6
)))))*1,"NA")</f>
        <v>359927</v>
      </c>
      <c r="M497" s="438">
        <f t="shared" si="995"/>
        <v>295101</v>
      </c>
      <c r="N497" s="443">
        <f t="shared" ca="1" si="996"/>
        <v>0.81989125572685573</v>
      </c>
      <c r="O497" s="438">
        <f ca="1">IFERROR(
INDEX('Admin - FEOR'!$A$4:$F$465,MATCH(Bérköltség!H497,'Admin - FEOR'!$A$4:$A$465,0),
IF(J497="30 év alatt",3,
IF(J497="30–39 éves",4,
IF(J497="40–49 éves",5,
IF(J497="50 év és afelett",6
)))))*1.5,"NA")</f>
        <v>539890.5</v>
      </c>
      <c r="P497" s="438">
        <f t="shared" ca="1" si="997"/>
        <v>459217.20689655171</v>
      </c>
      <c r="Q497" s="438">
        <f t="shared" si="998"/>
        <v>251005</v>
      </c>
      <c r="R497" s="444">
        <f t="shared" si="999"/>
        <v>0.85057471264367812</v>
      </c>
      <c r="S497" s="438">
        <f t="shared" ca="1" si="1000"/>
        <v>0</v>
      </c>
      <c r="T497" s="438">
        <f t="shared" ca="1" si="1001"/>
        <v>0</v>
      </c>
      <c r="U497" s="445">
        <f t="shared" ca="1" si="1002"/>
        <v>0</v>
      </c>
      <c r="V497" s="446">
        <f t="shared" ca="1" si="1003"/>
        <v>283636</v>
      </c>
      <c r="W497" s="447" t="str">
        <f t="shared" ca="1" si="1004"/>
        <v>Nem szükséges indoklás.</v>
      </c>
      <c r="X497" s="571">
        <f t="shared" ca="1" si="1005"/>
        <v>0</v>
      </c>
      <c r="Y497" s="554">
        <f t="shared" ca="1" si="1006"/>
        <v>251005</v>
      </c>
      <c r="Z497" s="554">
        <f t="shared" ca="1" si="1007"/>
        <v>32631</v>
      </c>
      <c r="AA497" s="115"/>
      <c r="AB497" s="146">
        <v>8476922108</v>
      </c>
      <c r="AC497" s="112" t="s">
        <v>1411</v>
      </c>
      <c r="AD497" s="483" t="s">
        <v>45</v>
      </c>
      <c r="AE497" s="143" t="s">
        <v>24</v>
      </c>
      <c r="AF497" s="99" t="s">
        <v>125</v>
      </c>
      <c r="AG497" s="99" t="s">
        <v>191</v>
      </c>
      <c r="AH497" s="451" t="s">
        <v>131</v>
      </c>
      <c r="AI497" s="154">
        <v>45017</v>
      </c>
      <c r="AJ497" s="100" t="str">
        <f>IF(AI497&gt;0,
(IF(AI497&lt;Hónapok!$A$10,Admin!$A$28,
(IF(AI497&lt;Hónapok!$A$22,Admin!$B$28,
(IF(AI497&lt;Hónapok!$A$34,Admin!$C$28,
(IF(AI497&lt;Hónapok!$A$46,Admin!$D$28,"")))))))),"")</f>
        <v>3. mérföldkő</v>
      </c>
      <c r="AK497" s="500" t="s">
        <v>7</v>
      </c>
      <c r="AL497" s="115" t="s">
        <v>26</v>
      </c>
      <c r="AM497" s="900">
        <v>295101</v>
      </c>
      <c r="AN497" s="860">
        <f t="shared" si="1218"/>
        <v>38363</v>
      </c>
      <c r="AO497" s="101">
        <v>174</v>
      </c>
      <c r="AP497" s="111">
        <v>148</v>
      </c>
      <c r="AQ497" s="454">
        <f t="shared" si="985"/>
        <v>0.85057471264367812</v>
      </c>
      <c r="AR497" s="455">
        <f t="shared" si="986"/>
        <v>251005</v>
      </c>
      <c r="AS497" s="455">
        <f t="shared" si="987"/>
        <v>32631</v>
      </c>
      <c r="AT497" s="102">
        <f t="shared" si="988"/>
        <v>1.5190591087232974E-6</v>
      </c>
      <c r="AU497" s="116">
        <v>0.13</v>
      </c>
      <c r="AV497" s="565" t="str">
        <f>VLOOKUP(LEFT(AB497,10),Törzsszám!$A$1:$B$908,2,0)</f>
        <v>10001351</v>
      </c>
      <c r="AW497" s="681">
        <f t="shared" ca="1" si="989"/>
        <v>0</v>
      </c>
      <c r="AX497" s="471" t="s">
        <v>4581</v>
      </c>
      <c r="AY497" s="505"/>
      <c r="AZ497" s="803"/>
      <c r="BA497" s="673"/>
      <c r="BB497" s="650"/>
      <c r="BC497" s="649"/>
      <c r="BD497" s="672"/>
      <c r="BE497" s="143" t="s">
        <v>201</v>
      </c>
    </row>
    <row r="498" spans="1:57" s="117" customFormat="1" ht="14.45" customHeight="1" x14ac:dyDescent="0.25">
      <c r="A498" s="694" t="str">
        <f ca="1">Bérköltség!$B498</f>
        <v>FEOR</v>
      </c>
      <c r="B498" s="694" t="str">
        <f ca="1">IFERROR(
IF(AND(Bérköltség!$F498="",H498="NA"),"HIÁNYOS ADATOK",
IF(Bérköltség!$F498&lt;Bérköltség!$U498,Admin!$B$18,Admin!$B$17)),
"")</f>
        <v>FEOR</v>
      </c>
      <c r="C498" s="437">
        <f>IFERROR(INDEX('Historikus berek_2021-2'!$A$1:$F$903,MATCH(AB498,'Historikus berek_2021-2'!$A$1:$A$903,0),4),"")</f>
        <v>275000</v>
      </c>
      <c r="D498" s="438">
        <f t="shared" si="990"/>
        <v>233908.0459770115</v>
      </c>
      <c r="E498" s="437">
        <f t="shared" si="991"/>
        <v>289621</v>
      </c>
      <c r="F498" s="439">
        <f t="shared" si="992"/>
        <v>62955.638045976986</v>
      </c>
      <c r="G498" s="440">
        <f t="shared" si="993"/>
        <v>264316.091954023</v>
      </c>
      <c r="H498" s="441">
        <f>IFERROR(INDEX('FEOR kodok'!$A$2:$J$1126,MATCH(Bérköltség!AB498,'FEOR kodok'!$B$2:$B$1126,0),8),"NA")</f>
        <v>3910</v>
      </c>
      <c r="I498" s="436">
        <f ca="1">IFERROR(INDEX('FEOR kodok'!$A$2:$J$1126,MATCH(Bérköltség!AB498,'FEOR kodok'!$B$2:$B$1126,0),10),"NA")</f>
        <v>26</v>
      </c>
      <c r="J498" s="442" t="str">
        <f t="shared" ca="1" si="994"/>
        <v>30 év alatt</v>
      </c>
      <c r="K498" s="436" t="str">
        <f>IFERROR(INDEX(admin_feor[#All],MATCH(Bérköltség!H498,admin_feor[[#All],[Foglalkozás]],0),2),"NA")</f>
        <v>Egyéb ügyintéző</v>
      </c>
      <c r="L498" s="438">
        <f ca="1">IFERROR(
INDEX('Admin - FEOR'!$A$4:$F$465,MATCH(Bérköltség!H498,'Admin - FEOR'!$A$4:$A$465,0),
IF(J498="30 év alatt",3,
IF(J498="30–39 éves",4,
IF(J498="40–49 éves",5,
IF(J498="50 év és afelett",6
)))))*1,"NA")</f>
        <v>359927</v>
      </c>
      <c r="M498" s="438">
        <f t="shared" si="995"/>
        <v>340500</v>
      </c>
      <c r="N498" s="443">
        <f t="shared" ca="1" si="996"/>
        <v>0.94602516621426014</v>
      </c>
      <c r="O498" s="438">
        <f ca="1">IFERROR(
INDEX('Admin - FEOR'!$A$4:$F$465,MATCH(Bérköltség!H498,'Admin - FEOR'!$A$4:$A$465,0),
IF(J498="30 év alatt",3,
IF(J498="30–39 éves",4,
IF(J498="40–49 éves",5,
IF(J498="50 év és afelett",6
)))))*1.5,"NA")</f>
        <v>539890.5</v>
      </c>
      <c r="P498" s="438">
        <f t="shared" ca="1" si="997"/>
        <v>459217.20689655171</v>
      </c>
      <c r="Q498" s="438">
        <f t="shared" si="998"/>
        <v>289621</v>
      </c>
      <c r="R498" s="444">
        <f t="shared" si="999"/>
        <v>0.85057471264367812</v>
      </c>
      <c r="S498" s="438">
        <f t="shared" ca="1" si="1000"/>
        <v>0</v>
      </c>
      <c r="T498" s="438">
        <f t="shared" ca="1" si="1001"/>
        <v>0</v>
      </c>
      <c r="U498" s="445">
        <f t="shared" ca="1" si="1002"/>
        <v>0</v>
      </c>
      <c r="V498" s="446">
        <f t="shared" ca="1" si="1003"/>
        <v>327272</v>
      </c>
      <c r="W498" s="447" t="str">
        <f t="shared" ca="1" si="1004"/>
        <v>Nem szükséges indoklás.</v>
      </c>
      <c r="X498" s="571">
        <f t="shared" ca="1" si="1005"/>
        <v>0</v>
      </c>
      <c r="Y498" s="554">
        <f t="shared" ca="1" si="1006"/>
        <v>289621</v>
      </c>
      <c r="Z498" s="554">
        <f t="shared" ca="1" si="1007"/>
        <v>37651</v>
      </c>
      <c r="AA498" s="115"/>
      <c r="AB498" s="146">
        <v>8476922108</v>
      </c>
      <c r="AC498" s="112" t="s">
        <v>1411</v>
      </c>
      <c r="AD498" s="483" t="s">
        <v>45</v>
      </c>
      <c r="AE498" s="143" t="s">
        <v>24</v>
      </c>
      <c r="AF498" s="99" t="s">
        <v>125</v>
      </c>
      <c r="AG498" s="99" t="s">
        <v>191</v>
      </c>
      <c r="AH498" s="451" t="s">
        <v>131</v>
      </c>
      <c r="AI498" s="154">
        <v>45047</v>
      </c>
      <c r="AJ498" s="100" t="str">
        <f>IF(AI498&gt;0,
(IF(AI498&lt;Hónapok!$A$10,Admin!$A$28,
(IF(AI498&lt;Hónapok!$A$22,Admin!$B$28,
(IF(AI498&lt;Hónapok!$A$34,Admin!$C$28,
(IF(AI498&lt;Hónapok!$A$46,Admin!$D$28,"")))))))),"")</f>
        <v>3. mérföldkő</v>
      </c>
      <c r="AK498" s="500" t="s">
        <v>7</v>
      </c>
      <c r="AL498" s="115" t="s">
        <v>26</v>
      </c>
      <c r="AM498" s="900">
        <v>340500</v>
      </c>
      <c r="AN498" s="860">
        <f t="shared" si="1218"/>
        <v>44265</v>
      </c>
      <c r="AO498" s="101">
        <v>174</v>
      </c>
      <c r="AP498" s="111">
        <v>148</v>
      </c>
      <c r="AQ498" s="454">
        <f t="shared" si="985"/>
        <v>0.85057471264367812</v>
      </c>
      <c r="AR498" s="455">
        <f t="shared" si="986"/>
        <v>289621</v>
      </c>
      <c r="AS498" s="455">
        <f t="shared" si="987"/>
        <v>37651</v>
      </c>
      <c r="AT498" s="102">
        <f t="shared" si="988"/>
        <v>-9.1143855385222849E-7</v>
      </c>
      <c r="AU498" s="116">
        <v>0.13</v>
      </c>
      <c r="AV498" s="565" t="str">
        <f>VLOOKUP(LEFT(AB498,10),Törzsszám!$A$1:$B$908,2,0)</f>
        <v>10001351</v>
      </c>
      <c r="AW498" s="681">
        <f t="shared" ca="1" si="989"/>
        <v>0</v>
      </c>
      <c r="AX498" s="471" t="s">
        <v>4596</v>
      </c>
      <c r="AY498" s="505"/>
      <c r="AZ498" s="803"/>
      <c r="BA498" s="673"/>
      <c r="BB498" s="650"/>
      <c r="BC498" s="649"/>
      <c r="BD498" s="672"/>
      <c r="BE498" s="143" t="s">
        <v>201</v>
      </c>
    </row>
    <row r="499" spans="1:57" s="117" customFormat="1" ht="14.45" customHeight="1" x14ac:dyDescent="0.25">
      <c r="A499" s="694" t="str">
        <f ca="1">Bérköltség!$B499</f>
        <v>FEOR</v>
      </c>
      <c r="B499" s="694" t="str">
        <f ca="1">IFERROR(
IF(AND(Bérköltség!$F499="",H499="NA"),"HIÁNYOS ADATOK",
IF(Bérköltség!$F499&lt;Bérköltség!$U499,Admin!$B$18,Admin!$B$17)),
"")</f>
        <v>FEOR</v>
      </c>
      <c r="C499" s="437">
        <f>IFERROR(INDEX('Historikus berek_2021-2'!$A$1:$F$903,MATCH(AB499,'Historikus berek_2021-2'!$A$1:$A$903,0),4),"")</f>
        <v>275000</v>
      </c>
      <c r="D499" s="438">
        <f t="shared" si="990"/>
        <v>233908.0459770115</v>
      </c>
      <c r="E499" s="437">
        <f t="shared" si="991"/>
        <v>289621</v>
      </c>
      <c r="F499" s="439">
        <f t="shared" si="992"/>
        <v>62955.638045976986</v>
      </c>
      <c r="G499" s="440">
        <f t="shared" si="993"/>
        <v>264316.091954023</v>
      </c>
      <c r="H499" s="441">
        <f>IFERROR(INDEX('FEOR kodok'!$A$2:$J$1126,MATCH(Bérköltség!AB499,'FEOR kodok'!$B$2:$B$1126,0),8),"NA")</f>
        <v>3910</v>
      </c>
      <c r="I499" s="436">
        <f ca="1">IFERROR(INDEX('FEOR kodok'!$A$2:$J$1126,MATCH(Bérköltség!AB499,'FEOR kodok'!$B$2:$B$1126,0),10),"NA")</f>
        <v>26</v>
      </c>
      <c r="J499" s="442" t="str">
        <f t="shared" ca="1" si="994"/>
        <v>30 év alatt</v>
      </c>
      <c r="K499" s="436" t="str">
        <f>IFERROR(INDEX(admin_feor[#All],MATCH(Bérköltség!H499,admin_feor[[#All],[Foglalkozás]],0),2),"NA")</f>
        <v>Egyéb ügyintéző</v>
      </c>
      <c r="L499" s="438">
        <f ca="1">IFERROR(
INDEX('Admin - FEOR'!$A$4:$F$465,MATCH(Bérköltség!H499,'Admin - FEOR'!$A$4:$A$465,0),
IF(J499="30 év alatt",3,
IF(J499="30–39 éves",4,
IF(J499="40–49 éves",5,
IF(J499="50 év és afelett",6
)))))*1,"NA")</f>
        <v>359927</v>
      </c>
      <c r="M499" s="438">
        <f t="shared" si="995"/>
        <v>340500</v>
      </c>
      <c r="N499" s="443">
        <f t="shared" ca="1" si="996"/>
        <v>0.94602516621426014</v>
      </c>
      <c r="O499" s="438">
        <f ca="1">IFERROR(
INDEX('Admin - FEOR'!$A$4:$F$465,MATCH(Bérköltség!H499,'Admin - FEOR'!$A$4:$A$465,0),
IF(J499="30 év alatt",3,
IF(J499="30–39 éves",4,
IF(J499="40–49 éves",5,
IF(J499="50 év és afelett",6
)))))*1.5,"NA")</f>
        <v>539890.5</v>
      </c>
      <c r="P499" s="438">
        <f t="shared" ca="1" si="997"/>
        <v>459217.20689655171</v>
      </c>
      <c r="Q499" s="438">
        <f t="shared" si="998"/>
        <v>289621</v>
      </c>
      <c r="R499" s="444">
        <f t="shared" si="999"/>
        <v>0.85057471264367812</v>
      </c>
      <c r="S499" s="438">
        <f t="shared" ca="1" si="1000"/>
        <v>0</v>
      </c>
      <c r="T499" s="438">
        <f t="shared" ca="1" si="1001"/>
        <v>0</v>
      </c>
      <c r="U499" s="445">
        <f t="shared" ca="1" si="1002"/>
        <v>0</v>
      </c>
      <c r="V499" s="446">
        <f t="shared" ca="1" si="1003"/>
        <v>327272</v>
      </c>
      <c r="W499" s="447" t="str">
        <f t="shared" ca="1" si="1004"/>
        <v>Nem szükséges indoklás.</v>
      </c>
      <c r="X499" s="571">
        <f t="shared" ca="1" si="1005"/>
        <v>0</v>
      </c>
      <c r="Y499" s="554">
        <f t="shared" ca="1" si="1006"/>
        <v>289621</v>
      </c>
      <c r="Z499" s="554">
        <f t="shared" ca="1" si="1007"/>
        <v>37651</v>
      </c>
      <c r="AA499" s="115"/>
      <c r="AB499" s="146">
        <v>8476922108</v>
      </c>
      <c r="AC499" s="112" t="s">
        <v>1411</v>
      </c>
      <c r="AD499" s="483" t="s">
        <v>45</v>
      </c>
      <c r="AE499" s="143" t="s">
        <v>24</v>
      </c>
      <c r="AF499" s="99" t="s">
        <v>125</v>
      </c>
      <c r="AG499" s="99" t="s">
        <v>191</v>
      </c>
      <c r="AH499" s="451" t="s">
        <v>131</v>
      </c>
      <c r="AI499" s="154">
        <v>45078</v>
      </c>
      <c r="AJ499" s="100" t="str">
        <f>IF(AI499&gt;0,
(IF(AI499&lt;Hónapok!$A$10,Admin!$A$28,
(IF(AI499&lt;Hónapok!$A$22,Admin!$B$28,
(IF(AI499&lt;Hónapok!$A$34,Admin!$C$28,
(IF(AI499&lt;Hónapok!$A$46,Admin!$D$28,"")))))))),"")</f>
        <v>3. mérföldkő</v>
      </c>
      <c r="AK499" s="500" t="s">
        <v>7</v>
      </c>
      <c r="AL499" s="115" t="s">
        <v>26</v>
      </c>
      <c r="AM499" s="900">
        <v>340500</v>
      </c>
      <c r="AN499" s="860">
        <f t="shared" si="1218"/>
        <v>44265</v>
      </c>
      <c r="AO499" s="101">
        <v>174</v>
      </c>
      <c r="AP499" s="111">
        <v>148</v>
      </c>
      <c r="AQ499" s="843">
        <f t="shared" si="985"/>
        <v>0.85057471264367812</v>
      </c>
      <c r="AR499" s="455">
        <f t="shared" si="986"/>
        <v>289621</v>
      </c>
      <c r="AS499" s="455">
        <f t="shared" si="987"/>
        <v>37651</v>
      </c>
      <c r="AT499" s="102">
        <f t="shared" si="988"/>
        <v>-9.1143855385222849E-7</v>
      </c>
      <c r="AU499" s="116">
        <v>0.13</v>
      </c>
      <c r="AV499" s="565" t="str">
        <f>VLOOKUP(LEFT(AB499,10),Törzsszám!$A$1:$B$908,2,0)</f>
        <v>10001351</v>
      </c>
      <c r="AW499" s="681">
        <f t="shared" ca="1" si="989"/>
        <v>0</v>
      </c>
      <c r="AX499" s="471" t="s">
        <v>4606</v>
      </c>
      <c r="AY499" s="505"/>
      <c r="AZ499" s="803"/>
      <c r="BA499" s="673"/>
      <c r="BB499" s="650"/>
      <c r="BC499" s="649"/>
      <c r="BD499" s="672"/>
      <c r="BE499" s="143" t="s">
        <v>201</v>
      </c>
    </row>
    <row r="500" spans="1:57" s="117" customFormat="1" ht="14.45" customHeight="1" x14ac:dyDescent="0.25">
      <c r="A500" s="694" t="str">
        <f ca="1">Bérköltség!$B500</f>
        <v>FEOR</v>
      </c>
      <c r="B500" s="694" t="str">
        <f ca="1">IFERROR(
IF(AND(Bérköltség!$F500="",H500="NA"),"HIÁNYOS ADATOK",
IF(Bérköltség!$F500&lt;Bérköltség!$U500,Admin!$B$18,Admin!$B$17)),
"")</f>
        <v>FEOR</v>
      </c>
      <c r="C500" s="437">
        <f>IFERROR(INDEX('Historikus berek_2021-2'!$A$1:$F$903,MATCH(AB500,'Historikus berek_2021-2'!$A$1:$A$903,0),4),"")</f>
        <v>275000</v>
      </c>
      <c r="D500" s="438">
        <f t="shared" si="990"/>
        <v>233908.0459770115</v>
      </c>
      <c r="E500" s="437">
        <f t="shared" si="991"/>
        <v>289621</v>
      </c>
      <c r="F500" s="439">
        <f t="shared" si="992"/>
        <v>62955.638045976986</v>
      </c>
      <c r="G500" s="440">
        <f t="shared" si="993"/>
        <v>264316.091954023</v>
      </c>
      <c r="H500" s="441">
        <f>IFERROR(INDEX('FEOR kodok'!$A$2:$J$1126,MATCH(Bérköltség!AB500,'FEOR kodok'!$B$2:$B$1126,0),8),"NA")</f>
        <v>3910</v>
      </c>
      <c r="I500" s="436">
        <f ca="1">IFERROR(INDEX('FEOR kodok'!$A$2:$J$1126,MATCH(Bérköltség!AB500,'FEOR kodok'!$B$2:$B$1126,0),10),"NA")</f>
        <v>26</v>
      </c>
      <c r="J500" s="442" t="str">
        <f t="shared" ca="1" si="994"/>
        <v>30 év alatt</v>
      </c>
      <c r="K500" s="436" t="str">
        <f>IFERROR(INDEX(admin_feor[#All],MATCH(Bérköltség!H500,admin_feor[[#All],[Foglalkozás]],0),2),"NA")</f>
        <v>Egyéb ügyintéző</v>
      </c>
      <c r="L500" s="438">
        <f ca="1">IFERROR(
INDEX('Admin - FEOR'!$A$4:$F$465,MATCH(Bérköltség!H500,'Admin - FEOR'!$A$4:$A$465,0),
IF(J500="30 év alatt",3,
IF(J500="30–39 éves",4,
IF(J500="40–49 éves",5,
IF(J500="50 év és afelett",6
)))))*1,"NA")</f>
        <v>359927</v>
      </c>
      <c r="M500" s="438">
        <f t="shared" si="995"/>
        <v>340500</v>
      </c>
      <c r="N500" s="443">
        <f t="shared" ca="1" si="996"/>
        <v>0.94602516621426014</v>
      </c>
      <c r="O500" s="438">
        <f ca="1">IFERROR(
INDEX('Admin - FEOR'!$A$4:$F$465,MATCH(Bérköltség!H500,'Admin - FEOR'!$A$4:$A$465,0),
IF(J500="30 év alatt",3,
IF(J500="30–39 éves",4,
IF(J500="40–49 éves",5,
IF(J500="50 év és afelett",6
)))))*1.5,"NA")</f>
        <v>539890.5</v>
      </c>
      <c r="P500" s="438">
        <f t="shared" ca="1" si="997"/>
        <v>459217.20689655171</v>
      </c>
      <c r="Q500" s="438">
        <f t="shared" si="998"/>
        <v>289621</v>
      </c>
      <c r="R500" s="444">
        <f t="shared" si="999"/>
        <v>0.85057471264367812</v>
      </c>
      <c r="S500" s="438">
        <f t="shared" ca="1" si="1000"/>
        <v>0</v>
      </c>
      <c r="T500" s="438">
        <f t="shared" ca="1" si="1001"/>
        <v>0</v>
      </c>
      <c r="U500" s="445">
        <f t="shared" ca="1" si="1002"/>
        <v>0</v>
      </c>
      <c r="V500" s="446">
        <f t="shared" ca="1" si="1003"/>
        <v>327272</v>
      </c>
      <c r="W500" s="447" t="str">
        <f t="shared" ca="1" si="1004"/>
        <v>Nem szükséges indoklás.</v>
      </c>
      <c r="X500" s="571">
        <f t="shared" ca="1" si="1005"/>
        <v>0</v>
      </c>
      <c r="Y500" s="554">
        <f t="shared" ca="1" si="1006"/>
        <v>289621</v>
      </c>
      <c r="Z500" s="554">
        <f t="shared" ca="1" si="1007"/>
        <v>37651</v>
      </c>
      <c r="AA500" s="115"/>
      <c r="AB500" s="146">
        <v>8476922108</v>
      </c>
      <c r="AC500" s="112" t="s">
        <v>1411</v>
      </c>
      <c r="AD500" s="483" t="s">
        <v>45</v>
      </c>
      <c r="AE500" s="143" t="s">
        <v>24</v>
      </c>
      <c r="AF500" s="99" t="s">
        <v>125</v>
      </c>
      <c r="AG500" s="99" t="s">
        <v>191</v>
      </c>
      <c r="AH500" s="451" t="s">
        <v>131</v>
      </c>
      <c r="AI500" s="154">
        <v>45108</v>
      </c>
      <c r="AJ500" s="100" t="str">
        <f>IF(AI500&gt;0,
(IF(AI500&lt;Hónapok!$A$10,Admin!$A$28,
(IF(AI500&lt;Hónapok!$A$22,Admin!$B$28,
(IF(AI500&lt;Hónapok!$A$34,Admin!$C$28,
(IF(AI500&lt;Hónapok!$A$46,Admin!$D$28,"")))))))),"")</f>
        <v>3. mérföldkő</v>
      </c>
      <c r="AK500" s="500" t="s">
        <v>7</v>
      </c>
      <c r="AL500" s="115" t="s">
        <v>26</v>
      </c>
      <c r="AM500" s="900">
        <v>340500</v>
      </c>
      <c r="AN500" s="860">
        <f t="shared" si="1218"/>
        <v>44265</v>
      </c>
      <c r="AO500" s="101">
        <v>174</v>
      </c>
      <c r="AP500" s="111">
        <v>148</v>
      </c>
      <c r="AQ500" s="682">
        <f t="shared" si="985"/>
        <v>0.85057471264367812</v>
      </c>
      <c r="AR500" s="455">
        <f t="shared" si="986"/>
        <v>289621</v>
      </c>
      <c r="AS500" s="455">
        <f t="shared" si="987"/>
        <v>37651</v>
      </c>
      <c r="AT500" s="102">
        <f t="shared" si="988"/>
        <v>-9.1143855385222849E-7</v>
      </c>
      <c r="AU500" s="116">
        <v>0.13</v>
      </c>
      <c r="AV500" s="565" t="str">
        <f>VLOOKUP(LEFT(AB500,10),Törzsszám!$A$1:$B$908,2,0)</f>
        <v>10001351</v>
      </c>
      <c r="AW500" s="681">
        <f t="shared" ca="1" si="989"/>
        <v>0</v>
      </c>
      <c r="AX500" s="471" t="s">
        <v>4610</v>
      </c>
      <c r="AY500" s="505"/>
      <c r="AZ500" s="803"/>
      <c r="BA500" s="673"/>
      <c r="BB500" s="650"/>
      <c r="BC500" s="649"/>
      <c r="BD500" s="672"/>
      <c r="BE500" s="143" t="s">
        <v>201</v>
      </c>
    </row>
    <row r="501" spans="1:57" s="117" customFormat="1" ht="14.45" customHeight="1" x14ac:dyDescent="0.25">
      <c r="A501" s="694" t="str">
        <f ca="1">Bérköltség!$B501</f>
        <v>FEOR</v>
      </c>
      <c r="B501" s="694" t="str">
        <f ca="1">IFERROR(
IF(AND(Bérköltség!$F501="",H501="NA"),"HIÁNYOS ADATOK",
IF(Bérköltség!$F501&lt;Bérköltség!$U501,Admin!$B$18,Admin!$B$17)),
"")</f>
        <v>FEOR</v>
      </c>
      <c r="C501" s="437">
        <f>IFERROR(INDEX('Historikus berek_2021-2'!$A$1:$F$903,MATCH(AB501,'Historikus berek_2021-2'!$A$1:$A$903,0),4),"")</f>
        <v>275000</v>
      </c>
      <c r="D501" s="438">
        <f t="shared" si="990"/>
        <v>233908.0459770115</v>
      </c>
      <c r="E501" s="437">
        <f t="shared" si="991"/>
        <v>289621</v>
      </c>
      <c r="F501" s="439">
        <f t="shared" si="992"/>
        <v>62955.638045976986</v>
      </c>
      <c r="G501" s="440">
        <f t="shared" si="993"/>
        <v>264316.091954023</v>
      </c>
      <c r="H501" s="441">
        <f>IFERROR(INDEX('FEOR kodok'!$A$2:$J$1126,MATCH(Bérköltség!AB501,'FEOR kodok'!$B$2:$B$1126,0),8),"NA")</f>
        <v>3910</v>
      </c>
      <c r="I501" s="436">
        <f ca="1">IFERROR(INDEX('FEOR kodok'!$A$2:$J$1126,MATCH(Bérköltség!AB501,'FEOR kodok'!$B$2:$B$1126,0),10),"NA")</f>
        <v>26</v>
      </c>
      <c r="J501" s="442" t="str">
        <f t="shared" ca="1" si="994"/>
        <v>30 év alatt</v>
      </c>
      <c r="K501" s="436" t="str">
        <f>IFERROR(INDEX(admin_feor[#All],MATCH(Bérköltség!H501,admin_feor[[#All],[Foglalkozás]],0),2),"NA")</f>
        <v>Egyéb ügyintéző</v>
      </c>
      <c r="L501" s="438">
        <f ca="1">IFERROR(
INDEX('Admin - FEOR'!$A$4:$F$465,MATCH(Bérköltség!H501,'Admin - FEOR'!$A$4:$A$465,0),
IF(J501="30 év alatt",3,
IF(J501="30–39 éves",4,
IF(J501="40–49 éves",5,
IF(J501="50 év és afelett",6
)))))*1,"NA")</f>
        <v>359927</v>
      </c>
      <c r="M501" s="438">
        <f t="shared" si="995"/>
        <v>340500</v>
      </c>
      <c r="N501" s="443">
        <f t="shared" ca="1" si="996"/>
        <v>0.94602516621426014</v>
      </c>
      <c r="O501" s="438">
        <f ca="1">IFERROR(
INDEX('Admin - FEOR'!$A$4:$F$465,MATCH(Bérköltség!H501,'Admin - FEOR'!$A$4:$A$465,0),
IF(J501="30 év alatt",3,
IF(J501="30–39 éves",4,
IF(J501="40–49 éves",5,
IF(J501="50 év és afelett",6
)))))*1.5,"NA")</f>
        <v>539890.5</v>
      </c>
      <c r="P501" s="438">
        <f t="shared" ca="1" si="997"/>
        <v>459217.20689655171</v>
      </c>
      <c r="Q501" s="438">
        <f t="shared" si="998"/>
        <v>289621</v>
      </c>
      <c r="R501" s="444">
        <f t="shared" si="999"/>
        <v>0.85057471264367812</v>
      </c>
      <c r="S501" s="438">
        <f t="shared" ca="1" si="1000"/>
        <v>0</v>
      </c>
      <c r="T501" s="438">
        <f t="shared" ca="1" si="1001"/>
        <v>0</v>
      </c>
      <c r="U501" s="445">
        <f t="shared" ca="1" si="1002"/>
        <v>0</v>
      </c>
      <c r="V501" s="446">
        <f t="shared" ca="1" si="1003"/>
        <v>327272</v>
      </c>
      <c r="W501" s="447" t="str">
        <f t="shared" ca="1" si="1004"/>
        <v>Nem szükséges indoklás.</v>
      </c>
      <c r="X501" s="571">
        <f t="shared" ca="1" si="1005"/>
        <v>0</v>
      </c>
      <c r="Y501" s="554">
        <f t="shared" ca="1" si="1006"/>
        <v>289621</v>
      </c>
      <c r="Z501" s="554">
        <f t="shared" ca="1" si="1007"/>
        <v>37651</v>
      </c>
      <c r="AA501" s="115"/>
      <c r="AB501" s="146">
        <v>8476922108</v>
      </c>
      <c r="AC501" s="112" t="s">
        <v>1411</v>
      </c>
      <c r="AD501" s="483" t="s">
        <v>45</v>
      </c>
      <c r="AE501" s="143" t="s">
        <v>24</v>
      </c>
      <c r="AF501" s="99" t="s">
        <v>125</v>
      </c>
      <c r="AG501" s="99" t="s">
        <v>191</v>
      </c>
      <c r="AH501" s="451" t="s">
        <v>131</v>
      </c>
      <c r="AI501" s="154">
        <v>45139</v>
      </c>
      <c r="AJ501" s="100" t="str">
        <f>IF(AI501&gt;0,
(IF(AI501&lt;Hónapok!$A$10,Admin!$A$28,
(IF(AI501&lt;Hónapok!$A$22,Admin!$B$28,
(IF(AI501&lt;Hónapok!$A$34,Admin!$C$28,
(IF(AI501&lt;Hónapok!$A$46,Admin!$D$28,"")))))))),"")</f>
        <v>3. mérföldkő</v>
      </c>
      <c r="AK501" s="500" t="s">
        <v>7</v>
      </c>
      <c r="AL501" s="115" t="s">
        <v>26</v>
      </c>
      <c r="AM501" s="900">
        <v>340500</v>
      </c>
      <c r="AN501" s="860">
        <f t="shared" ref="AN501:AN502" si="1220">IFERROR(ROUND(AM501*AU501,0),"")</f>
        <v>44265</v>
      </c>
      <c r="AO501" s="101">
        <v>174</v>
      </c>
      <c r="AP501" s="111">
        <v>148</v>
      </c>
      <c r="AQ501" s="682">
        <f t="shared" ref="AQ501:AQ502" si="1221">IFERROR(AP501/AO501,"")</f>
        <v>0.85057471264367812</v>
      </c>
      <c r="AR501" s="455">
        <f t="shared" ref="AR501:AR502" si="1222">IFERROR(ROUND(AM501*AP501/AO501,0),"")</f>
        <v>289621</v>
      </c>
      <c r="AS501" s="455">
        <f t="shared" ref="AS501:AS502" si="1223">IFERROR(ROUND(AR501*AU501,0),"")</f>
        <v>37651</v>
      </c>
      <c r="AT501" s="102">
        <f t="shared" ref="AT501:AT502" si="1224">IFERROR(AP501/AO501-AR501/AM501,"")</f>
        <v>-9.1143855385222849E-7</v>
      </c>
      <c r="AU501" s="116">
        <v>0.13</v>
      </c>
      <c r="AV501" s="565" t="str">
        <f>VLOOKUP(LEFT(AB501,10),Törzsszám!$A$1:$B$908,2,0)</f>
        <v>10001351</v>
      </c>
      <c r="AW501" s="681">
        <f t="shared" ca="1" si="989"/>
        <v>0</v>
      </c>
      <c r="AX501" s="471" t="s">
        <v>4613</v>
      </c>
      <c r="AY501" s="505"/>
      <c r="AZ501" s="803"/>
      <c r="BA501" s="673"/>
      <c r="BB501" s="650"/>
      <c r="BC501" s="649"/>
      <c r="BD501" s="672"/>
      <c r="BE501" s="143" t="s">
        <v>201</v>
      </c>
    </row>
    <row r="502" spans="1:57" ht="31.5" x14ac:dyDescent="0.25">
      <c r="A502" s="694" t="str">
        <f ca="1">Bérköltség!$B502</f>
        <v>FEOR</v>
      </c>
      <c r="B502" s="694" t="str">
        <f ca="1">IFERROR(
IF(AND(Bérköltség!$F502="",H502="NA"),"HIÁNYOS ADATOK",
IF(Bérköltség!$F502&lt;Bérköltség!$U502,Admin!$B$18,Admin!$B$17)),
"")</f>
        <v>FEOR</v>
      </c>
      <c r="C502" s="437">
        <f>IFERROR(INDEX('Historikus berek_2021-2'!$A$1:$F$903,MATCH(AB502,'Historikus berek_2021-2'!$A$1:$A$903,0),4),"")</f>
        <v>275000</v>
      </c>
      <c r="D502" s="438">
        <f t="shared" ref="D502" si="1225">IFERROR(C502*AQ502,"NA")</f>
        <v>233908.0459770115</v>
      </c>
      <c r="E502" s="437">
        <f t="shared" ref="E502" si="1226">AR502</f>
        <v>289621</v>
      </c>
      <c r="F502" s="439">
        <f t="shared" ref="F502" si="1227">IFERROR(IF((E502*(1+AU502)-D502*(1+AU502))&lt;0,0,(E502*(1+AU502)-D502*(1+AU502))),"")</f>
        <v>62955.638045976986</v>
      </c>
      <c r="G502" s="440">
        <f t="shared" ref="G502" si="1228">IFERROR((E502*(1+AU502)-F502),"")</f>
        <v>264316.091954023</v>
      </c>
      <c r="H502" s="441">
        <f>IFERROR(INDEX('FEOR kodok'!$A$2:$J$1126,MATCH(Bérköltség!AB502,'FEOR kodok'!$B$2:$B$1126,0),8),"NA")</f>
        <v>3910</v>
      </c>
      <c r="I502" s="436">
        <f ca="1">IFERROR(INDEX('FEOR kodok'!$A$2:$J$1126,MATCH(Bérköltség!AB502,'FEOR kodok'!$B$2:$B$1126,0),10),"NA")</f>
        <v>26</v>
      </c>
      <c r="J502" s="442" t="str">
        <f t="shared" ref="J502" ca="1" si="1229">IF(I502="NA","NA",
IF(I502&lt;30,"30 év alatt",
IF(AND(I502&gt;=30,I502&lt;=39),"30–39 éves",
IF(AND(I502&gt;=40,I502&lt;=49),"40–49 éves",
IF(I502&gt;=50,"50 év és afelett",
"")))))</f>
        <v>30 év alatt</v>
      </c>
      <c r="K502" s="436" t="str">
        <f>IFERROR(INDEX(admin_feor[#All],MATCH(Bérköltség!H502,admin_feor[[#All],[Foglalkozás]],0),2),"NA")</f>
        <v>Egyéb ügyintéző</v>
      </c>
      <c r="L502" s="438">
        <f ca="1">IFERROR(
INDEX('Admin - FEOR'!$A$4:$F$465,MATCH(Bérköltség!H502,'Admin - FEOR'!$A$4:$A$465,0),
IF(J502="30 év alatt",3,
IF(J502="30–39 éves",4,
IF(J502="40–49 éves",5,
IF(J502="50 év és afelett",6
)))))*1,"NA")</f>
        <v>359927</v>
      </c>
      <c r="M502" s="438">
        <f t="shared" ref="M502" si="1230">AM502</f>
        <v>340500</v>
      </c>
      <c r="N502" s="443">
        <f t="shared" ref="N502" ca="1" si="1231">IFERROR(
M502/L502,"NA")</f>
        <v>0.94602516621426014</v>
      </c>
      <c r="O502" s="438">
        <f ca="1">IFERROR(
INDEX('Admin - FEOR'!$A$4:$F$465,MATCH(Bérköltség!H502,'Admin - FEOR'!$A$4:$A$465,0),
IF(J502="30 év alatt",3,
IF(J502="30–39 éves",4,
IF(J502="40–49 éves",5,
IF(J502="50 év és afelett",6
)))))*1.5,"NA")</f>
        <v>539890.5</v>
      </c>
      <c r="P502" s="438">
        <f t="shared" ref="P502" ca="1" si="1232">IFERROR(
AQ502*O502,"NA")</f>
        <v>459217.20689655171</v>
      </c>
      <c r="Q502" s="438">
        <f t="shared" ref="Q502" si="1233">IFERROR(AR502,"")</f>
        <v>289621</v>
      </c>
      <c r="R502" s="444">
        <f t="shared" ref="R502" si="1234">IFERROR(AQ502,"")</f>
        <v>0.85057471264367812</v>
      </c>
      <c r="S502" s="438">
        <f t="shared" ref="S502" ca="1" si="1235">IFERROR(
IF(AR502-P502&lt;0,0,AR502-P502),"NA")</f>
        <v>0</v>
      </c>
      <c r="T502" s="438">
        <f t="shared" ref="T502" ca="1" si="1236">IFERROR(
S502*AU502,"NA")</f>
        <v>0</v>
      </c>
      <c r="U502" s="445">
        <f t="shared" ref="U502" ca="1" si="1237">IFERROR(
S502+T502,"NA")</f>
        <v>0</v>
      </c>
      <c r="V502" s="446">
        <f t="shared" ref="V502" ca="1" si="1238">IFERROR(
IF(U502&gt;0,AR502+AS502-U502,AR502+AS502),"NA")</f>
        <v>327272</v>
      </c>
      <c r="W502" s="447" t="str">
        <f t="shared" ref="W502" ca="1" si="1239">IF(P502="NA","FEOR hiányzik",
IF(AND(N502&gt;1,A502="FEOR"),CONCATENATE("Indoklás szükséges mivel a FEOR: ",ROUND(N502*100,1),"%"),"Nem szükséges indoklás.")
)</f>
        <v>Nem szükséges indoklás.</v>
      </c>
      <c r="X502" s="571">
        <f t="shared" ref="X502" ca="1" si="1240">IF(A502="FEOR",U502,IF(A502="HIÁNYOS ADATOK","HIÁNYOS ADATOK",F502))</f>
        <v>0</v>
      </c>
      <c r="Y502" s="554">
        <f t="shared" ref="Y502" ca="1" si="1241">IF(A502="FEOR",ROUND(V502/(1+AU502),0),IF(A502="HIÁNYOS ADATOK","HIÁNYOS ADATOK",ROUND(G502/(1+AU502),0)))</f>
        <v>289621</v>
      </c>
      <c r="Z502" s="554">
        <f t="shared" ca="1" si="1007"/>
        <v>37651</v>
      </c>
      <c r="AB502" s="146">
        <v>8476922108</v>
      </c>
      <c r="AC502" s="112" t="s">
        <v>1411</v>
      </c>
      <c r="AD502" s="483" t="s">
        <v>45</v>
      </c>
      <c r="AE502" s="143" t="s">
        <v>24</v>
      </c>
      <c r="AF502" s="99" t="s">
        <v>125</v>
      </c>
      <c r="AG502" s="99" t="s">
        <v>191</v>
      </c>
      <c r="AH502" s="451" t="s">
        <v>131</v>
      </c>
      <c r="AI502" s="154">
        <v>45170</v>
      </c>
      <c r="AJ502" s="100" t="str">
        <f>IF(AI502&gt;0,
(IF(AI502&lt;Hónapok!$A$10,Admin!$A$28,
(IF(AI502&lt;Hónapok!$A$22,Admin!$B$28,
(IF(AI502&lt;Hónapok!$A$34,Admin!$C$28,
(IF(AI502&lt;Hónapok!$A$46,Admin!$D$28,"")))))))),"")</f>
        <v>3. mérföldkő</v>
      </c>
      <c r="AK502" s="500" t="s">
        <v>7</v>
      </c>
      <c r="AL502" s="115" t="s">
        <v>26</v>
      </c>
      <c r="AM502" s="900">
        <v>340500</v>
      </c>
      <c r="AN502" s="860">
        <f t="shared" si="1220"/>
        <v>44265</v>
      </c>
      <c r="AO502" s="101">
        <v>174</v>
      </c>
      <c r="AP502" s="111">
        <v>148</v>
      </c>
      <c r="AQ502" s="682">
        <f t="shared" si="1221"/>
        <v>0.85057471264367812</v>
      </c>
      <c r="AR502" s="455">
        <f t="shared" si="1222"/>
        <v>289621</v>
      </c>
      <c r="AS502" s="455">
        <f t="shared" si="1223"/>
        <v>37651</v>
      </c>
      <c r="AT502" s="102">
        <f t="shared" si="1224"/>
        <v>-9.1143855385222849E-7</v>
      </c>
      <c r="AU502" s="116">
        <v>0.13</v>
      </c>
      <c r="AV502" s="565" t="str">
        <f>VLOOKUP(LEFT(AB502,10),Törzsszám!$A$1:$B$908,2,0)</f>
        <v>10001351</v>
      </c>
      <c r="AW502" s="681">
        <f t="shared" ref="AW502" ca="1" si="1242">(Y502+Z502)-(AR502+AS502)</f>
        <v>0</v>
      </c>
      <c r="AX502" s="471" t="s">
        <v>4618</v>
      </c>
      <c r="AY502" s="505"/>
      <c r="AZ502" s="803"/>
      <c r="BA502" s="673"/>
      <c r="BB502" s="650"/>
      <c r="BC502" s="649"/>
      <c r="BD502" s="672"/>
      <c r="BE502" s="143" t="s">
        <v>201</v>
      </c>
    </row>
    <row r="503" spans="1:57" s="117" customFormat="1" ht="14.45" customHeight="1" x14ac:dyDescent="0.25">
      <c r="A503" s="694" t="str">
        <f ca="1">Bérköltség!$B503</f>
        <v>FEOR</v>
      </c>
      <c r="B503" s="694" t="str">
        <f ca="1">IFERROR(
IF(AND(Bérköltség!$F503="",H503="NA"),"HIÁNYOS ADATOK",
IF(Bérköltség!$F503&lt;Bérköltség!$U503,Admin!$B$18,Admin!$B$17)),
"")</f>
        <v>FEOR</v>
      </c>
      <c r="C503" s="437">
        <f>IFERROR(INDEX('Historikus berek_2021-2'!$A$1:$F$903,MATCH(AB503,'Historikus berek_2021-2'!$A$1:$A$903,0),4),"")</f>
        <v>275000</v>
      </c>
      <c r="D503" s="438">
        <f t="shared" ref="D503:D507" si="1243">IFERROR(C503*AQ503,"NA")</f>
        <v>233908.0459770115</v>
      </c>
      <c r="E503" s="437">
        <f t="shared" ref="E503:E507" si="1244">AR503</f>
        <v>289621</v>
      </c>
      <c r="F503" s="439">
        <f t="shared" ref="F503:F507" si="1245">IFERROR(IF((E503*(1+AU503)-D503*(1+AU503))&lt;0,0,(E503*(1+AU503)-D503*(1+AU503))),"")</f>
        <v>62955.638045976986</v>
      </c>
      <c r="G503" s="440">
        <f t="shared" ref="G503:G507" si="1246">IFERROR((E503*(1+AU503)-F503),"")</f>
        <v>264316.091954023</v>
      </c>
      <c r="H503" s="441">
        <f>IFERROR(INDEX('FEOR kodok'!$A$2:$J$1126,MATCH(Bérköltség!AB503,'FEOR kodok'!$B$2:$B$1126,0),8),"NA")</f>
        <v>3910</v>
      </c>
      <c r="I503" s="436">
        <f ca="1">IFERROR(INDEX('FEOR kodok'!$A$2:$J$1126,MATCH(Bérköltség!AB503,'FEOR kodok'!$B$2:$B$1126,0),10),"NA")</f>
        <v>26</v>
      </c>
      <c r="J503" s="442" t="str">
        <f t="shared" ref="J503:J507" ca="1" si="1247">IF(I503="NA","NA",
IF(I503&lt;30,"30 év alatt",
IF(AND(I503&gt;=30,I503&lt;=39),"30–39 éves",
IF(AND(I503&gt;=40,I503&lt;=49),"40–49 éves",
IF(I503&gt;=50,"50 év és afelett",
"")))))</f>
        <v>30 év alatt</v>
      </c>
      <c r="K503" s="436" t="str">
        <f>IFERROR(INDEX(admin_feor[#All],MATCH(Bérköltség!H503,admin_feor[[#All],[Foglalkozás]],0),2),"NA")</f>
        <v>Egyéb ügyintéző</v>
      </c>
      <c r="L503" s="438">
        <f ca="1">IFERROR(
INDEX('Admin - FEOR'!$A$4:$F$465,MATCH(Bérköltség!H503,'Admin - FEOR'!$A$4:$A$465,0),
IF(J503="30 év alatt",3,
IF(J503="30–39 éves",4,
IF(J503="40–49 éves",5,
IF(J503="50 év és afelett",6
)))))*1,"NA")</f>
        <v>359927</v>
      </c>
      <c r="M503" s="438">
        <f t="shared" ref="M503:M507" si="1248">AM503</f>
        <v>340500</v>
      </c>
      <c r="N503" s="443">
        <f t="shared" ref="N503:N507" ca="1" si="1249">IFERROR(
M503/L503,"NA")</f>
        <v>0.94602516621426014</v>
      </c>
      <c r="O503" s="438">
        <f ca="1">IFERROR(
INDEX('Admin - FEOR'!$A$4:$F$465,MATCH(Bérköltség!H503,'Admin - FEOR'!$A$4:$A$465,0),
IF(J503="30 év alatt",3,
IF(J503="30–39 éves",4,
IF(J503="40–49 éves",5,
IF(J503="50 év és afelett",6
)))))*1.5,"NA")</f>
        <v>539890.5</v>
      </c>
      <c r="P503" s="438">
        <f t="shared" ref="P503:P507" ca="1" si="1250">IFERROR(
AQ503*O503,"NA")</f>
        <v>459217.20689655171</v>
      </c>
      <c r="Q503" s="438">
        <f t="shared" ref="Q503:Q507" si="1251">IFERROR(AR503,"")</f>
        <v>289621</v>
      </c>
      <c r="R503" s="444">
        <f t="shared" ref="R503:R507" si="1252">IFERROR(AQ503,"")</f>
        <v>0.85057471264367812</v>
      </c>
      <c r="S503" s="438">
        <f t="shared" ref="S503:S507" ca="1" si="1253">IFERROR(
IF(AR503-P503&lt;0,0,AR503-P503),"NA")</f>
        <v>0</v>
      </c>
      <c r="T503" s="438">
        <f t="shared" ref="T503:T507" ca="1" si="1254">IFERROR(
S503*AU503,"NA")</f>
        <v>0</v>
      </c>
      <c r="U503" s="445">
        <f t="shared" ref="U503:U507" ca="1" si="1255">IFERROR(
S503+T503,"NA")</f>
        <v>0</v>
      </c>
      <c r="V503" s="446">
        <f t="shared" ref="V503:V507" ca="1" si="1256">IFERROR(
IF(U503&gt;0,AR503+AS503-U503,AR503+AS503),"NA")</f>
        <v>327272</v>
      </c>
      <c r="W503" s="447" t="str">
        <f t="shared" ref="W503:W507" ca="1" si="1257">IF(P503="NA","FEOR hiányzik",
IF(AND(N503&gt;1,A503="FEOR"),CONCATENATE("Indoklás szükséges mivel a FEOR: ",ROUND(N503*100,1),"%"),"Nem szükséges indoklás.")
)</f>
        <v>Nem szükséges indoklás.</v>
      </c>
      <c r="X503" s="571">
        <f t="shared" ref="X503:X507" ca="1" si="1258">IF(A503="FEOR",U503,IF(A503="HIÁNYOS ADATOK","HIÁNYOS ADATOK",F503))</f>
        <v>0</v>
      </c>
      <c r="Y503" s="554">
        <f t="shared" ref="Y503:Y507" ca="1" si="1259">IF(A503="FEOR",ROUND(V503/(1+AU503),0),IF(A503="HIÁNYOS ADATOK","HIÁNYOS ADATOK",ROUND(G503/(1+AU503),0)))</f>
        <v>289621</v>
      </c>
      <c r="Z503" s="554">
        <f t="shared" ref="Z503:Z507" ca="1" si="1260">IF(A503="FEOR",ROUND(V503-Y503,0),IF(A503="HIÁNYOS ADATOK","HIÁNYOS ADATOK",ROUND(G503-Y503,0)))</f>
        <v>37651</v>
      </c>
      <c r="AA503" s="115"/>
      <c r="AB503" s="146">
        <v>8476922108</v>
      </c>
      <c r="AC503" s="112" t="s">
        <v>1411</v>
      </c>
      <c r="AD503" s="483" t="s">
        <v>45</v>
      </c>
      <c r="AE503" s="143" t="s">
        <v>24</v>
      </c>
      <c r="AF503" s="99" t="s">
        <v>125</v>
      </c>
      <c r="AG503" s="99" t="s">
        <v>191</v>
      </c>
      <c r="AH503" s="451" t="s">
        <v>131</v>
      </c>
      <c r="AI503" s="154">
        <v>45200</v>
      </c>
      <c r="AJ503" s="100" t="str">
        <f>IF(AI503&gt;0,
(IF(AI503&lt;Hónapok!$A$10,Admin!$A$28,
(IF(AI503&lt;Hónapok!$A$22,Admin!$B$28,
(IF(AI503&lt;Hónapok!$A$34,Admin!$C$28,
(IF(AI503&lt;Hónapok!$A$46,Admin!$D$28,"")))))))),"")</f>
        <v>3. mérföldkő</v>
      </c>
      <c r="AK503" s="500" t="s">
        <v>8</v>
      </c>
      <c r="AL503" s="115" t="s">
        <v>26</v>
      </c>
      <c r="AM503" s="900">
        <v>340500</v>
      </c>
      <c r="AN503" s="860">
        <f t="shared" ref="AN503:AN507" si="1261">IFERROR(ROUND(AM503*AU503,0),"")</f>
        <v>44265</v>
      </c>
      <c r="AO503" s="101">
        <v>174</v>
      </c>
      <c r="AP503" s="111">
        <v>148</v>
      </c>
      <c r="AQ503" s="454">
        <f t="shared" ref="AQ503:AQ507" si="1262">IFERROR(AP503/AO503,"")</f>
        <v>0.85057471264367812</v>
      </c>
      <c r="AR503" s="455">
        <f t="shared" ref="AR503:AR507" si="1263">IFERROR(ROUND(AM503*AP503/AO503,0),"")</f>
        <v>289621</v>
      </c>
      <c r="AS503" s="455">
        <f t="shared" ref="AS503:AS507" si="1264">IFERROR(ROUND(AR503*AU503,0),"")</f>
        <v>37651</v>
      </c>
      <c r="AT503" s="102">
        <f t="shared" ref="AT503:AT507" si="1265">IFERROR(AP503/AO503-AR503/AM503,"")</f>
        <v>-9.1143855385222849E-7</v>
      </c>
      <c r="AU503" s="116">
        <v>0.13</v>
      </c>
      <c r="AV503" s="565" t="str">
        <f>VLOOKUP(LEFT(AB503,10),Törzsszám!$A$1:$B$908,2,0)</f>
        <v>10001351</v>
      </c>
      <c r="AW503" s="681">
        <f t="shared" ref="AW503:AW507" ca="1" si="1266">(Y503+Z503)-(AR503+AS503)</f>
        <v>0</v>
      </c>
      <c r="AX503" s="150"/>
      <c r="AY503" s="505"/>
      <c r="AZ503" s="803"/>
      <c r="BA503" s="673"/>
      <c r="BB503" s="650"/>
      <c r="BC503" s="649"/>
      <c r="BD503" s="672"/>
      <c r="BE503" s="143" t="s">
        <v>201</v>
      </c>
    </row>
    <row r="504" spans="1:57" s="117" customFormat="1" ht="14.45" customHeight="1" x14ac:dyDescent="0.25">
      <c r="A504" s="694" t="str">
        <f ca="1">Bérköltség!$B504</f>
        <v>FEOR</v>
      </c>
      <c r="B504" s="694" t="str">
        <f ca="1">IFERROR(
IF(AND(Bérköltség!$F504="",H504="NA"),"HIÁNYOS ADATOK",
IF(Bérköltség!$F504&lt;Bérköltség!$U504,Admin!$B$18,Admin!$B$17)),
"")</f>
        <v>FEOR</v>
      </c>
      <c r="C504" s="437">
        <f>IFERROR(INDEX('Historikus berek_2021-2'!$A$1:$F$903,MATCH(AB504,'Historikus berek_2021-2'!$A$1:$A$903,0),4),"")</f>
        <v>275000</v>
      </c>
      <c r="D504" s="438">
        <f t="shared" si="1243"/>
        <v>233908.0459770115</v>
      </c>
      <c r="E504" s="437">
        <f t="shared" si="1244"/>
        <v>289621</v>
      </c>
      <c r="F504" s="439">
        <f t="shared" si="1245"/>
        <v>62955.638045976986</v>
      </c>
      <c r="G504" s="440">
        <f t="shared" si="1246"/>
        <v>264316.091954023</v>
      </c>
      <c r="H504" s="441">
        <f>IFERROR(INDEX('FEOR kodok'!$A$2:$J$1126,MATCH(Bérköltség!AB504,'FEOR kodok'!$B$2:$B$1126,0),8),"NA")</f>
        <v>3910</v>
      </c>
      <c r="I504" s="436">
        <f ca="1">IFERROR(INDEX('FEOR kodok'!$A$2:$J$1126,MATCH(Bérköltség!AB504,'FEOR kodok'!$B$2:$B$1126,0),10),"NA")</f>
        <v>26</v>
      </c>
      <c r="J504" s="442" t="str">
        <f t="shared" ca="1" si="1247"/>
        <v>30 év alatt</v>
      </c>
      <c r="K504" s="436" t="str">
        <f>IFERROR(INDEX(admin_feor[#All],MATCH(Bérköltség!H504,admin_feor[[#All],[Foglalkozás]],0),2),"NA")</f>
        <v>Egyéb ügyintéző</v>
      </c>
      <c r="L504" s="438">
        <f ca="1">IFERROR(
INDEX('Admin - FEOR'!$A$4:$F$465,MATCH(Bérköltség!H504,'Admin - FEOR'!$A$4:$A$465,0),
IF(J504="30 év alatt",3,
IF(J504="30–39 éves",4,
IF(J504="40–49 éves",5,
IF(J504="50 év és afelett",6
)))))*1,"NA")</f>
        <v>359927</v>
      </c>
      <c r="M504" s="438">
        <f t="shared" si="1248"/>
        <v>340500</v>
      </c>
      <c r="N504" s="443">
        <f t="shared" ca="1" si="1249"/>
        <v>0.94602516621426014</v>
      </c>
      <c r="O504" s="438">
        <f ca="1">IFERROR(
INDEX('Admin - FEOR'!$A$4:$F$465,MATCH(Bérköltség!H504,'Admin - FEOR'!$A$4:$A$465,0),
IF(J504="30 év alatt",3,
IF(J504="30–39 éves",4,
IF(J504="40–49 éves",5,
IF(J504="50 év és afelett",6
)))))*1.5,"NA")</f>
        <v>539890.5</v>
      </c>
      <c r="P504" s="438">
        <f t="shared" ca="1" si="1250"/>
        <v>459217.20689655171</v>
      </c>
      <c r="Q504" s="438">
        <f t="shared" si="1251"/>
        <v>289621</v>
      </c>
      <c r="R504" s="444">
        <f t="shared" si="1252"/>
        <v>0.85057471264367812</v>
      </c>
      <c r="S504" s="438">
        <f t="shared" ca="1" si="1253"/>
        <v>0</v>
      </c>
      <c r="T504" s="438">
        <f t="shared" ca="1" si="1254"/>
        <v>0</v>
      </c>
      <c r="U504" s="445">
        <f t="shared" ca="1" si="1255"/>
        <v>0</v>
      </c>
      <c r="V504" s="446">
        <f t="shared" ca="1" si="1256"/>
        <v>327272</v>
      </c>
      <c r="W504" s="447" t="str">
        <f t="shared" ca="1" si="1257"/>
        <v>Nem szükséges indoklás.</v>
      </c>
      <c r="X504" s="571">
        <f t="shared" ca="1" si="1258"/>
        <v>0</v>
      </c>
      <c r="Y504" s="554">
        <f t="shared" ca="1" si="1259"/>
        <v>289621</v>
      </c>
      <c r="Z504" s="554">
        <f t="shared" ca="1" si="1260"/>
        <v>37651</v>
      </c>
      <c r="AA504" s="115"/>
      <c r="AB504" s="146">
        <v>8476922108</v>
      </c>
      <c r="AC504" s="112" t="s">
        <v>1411</v>
      </c>
      <c r="AD504" s="483" t="s">
        <v>45</v>
      </c>
      <c r="AE504" s="143" t="s">
        <v>24</v>
      </c>
      <c r="AF504" s="99" t="s">
        <v>125</v>
      </c>
      <c r="AG504" s="99" t="s">
        <v>191</v>
      </c>
      <c r="AH504" s="451" t="s">
        <v>131</v>
      </c>
      <c r="AI504" s="154">
        <v>45231</v>
      </c>
      <c r="AJ504" s="100" t="str">
        <f>IF(AI504&gt;0,
(IF(AI504&lt;Hónapok!$A$10,Admin!$A$28,
(IF(AI504&lt;Hónapok!$A$22,Admin!$B$28,
(IF(AI504&lt;Hónapok!$A$34,Admin!$C$28,
(IF(AI504&lt;Hónapok!$A$46,Admin!$D$28,"")))))))),"")</f>
        <v>3. mérföldkő</v>
      </c>
      <c r="AK504" s="500" t="s">
        <v>8</v>
      </c>
      <c r="AL504" s="115" t="s">
        <v>26</v>
      </c>
      <c r="AM504" s="900">
        <v>340500</v>
      </c>
      <c r="AN504" s="860">
        <f t="shared" si="1261"/>
        <v>44265</v>
      </c>
      <c r="AO504" s="101">
        <v>174</v>
      </c>
      <c r="AP504" s="111">
        <v>148</v>
      </c>
      <c r="AQ504" s="454">
        <f t="shared" si="1262"/>
        <v>0.85057471264367812</v>
      </c>
      <c r="AR504" s="455">
        <f t="shared" si="1263"/>
        <v>289621</v>
      </c>
      <c r="AS504" s="455">
        <f t="shared" si="1264"/>
        <v>37651</v>
      </c>
      <c r="AT504" s="102">
        <f t="shared" si="1265"/>
        <v>-9.1143855385222849E-7</v>
      </c>
      <c r="AU504" s="116">
        <v>0.13</v>
      </c>
      <c r="AV504" s="565" t="str">
        <f>VLOOKUP(LEFT(AB504,10),Törzsszám!$A$1:$B$908,2,0)</f>
        <v>10001351</v>
      </c>
      <c r="AW504" s="681">
        <f t="shared" ca="1" si="1266"/>
        <v>0</v>
      </c>
      <c r="AX504" s="150"/>
      <c r="AY504" s="505"/>
      <c r="AZ504" s="803"/>
      <c r="BA504" s="673"/>
      <c r="BB504" s="650"/>
      <c r="BC504" s="649"/>
      <c r="BD504" s="672"/>
      <c r="BE504" s="143" t="s">
        <v>201</v>
      </c>
    </row>
    <row r="505" spans="1:57" s="117" customFormat="1" ht="14.45" customHeight="1" x14ac:dyDescent="0.25">
      <c r="A505" s="694" t="str">
        <f ca="1">Bérköltség!$B505</f>
        <v>FEOR</v>
      </c>
      <c r="B505" s="694" t="str">
        <f ca="1">IFERROR(
IF(AND(Bérköltség!$F505="",H505="NA"),"HIÁNYOS ADATOK",
IF(Bérköltség!$F505&lt;Bérköltség!$U505,Admin!$B$18,Admin!$B$17)),
"")</f>
        <v>FEOR</v>
      </c>
      <c r="C505" s="437">
        <f>IFERROR(INDEX('Historikus berek_2021-2'!$A$1:$F$903,MATCH(AB505,'Historikus berek_2021-2'!$A$1:$A$903,0),4),"")</f>
        <v>275000</v>
      </c>
      <c r="D505" s="438">
        <f t="shared" si="1243"/>
        <v>233908.0459770115</v>
      </c>
      <c r="E505" s="437">
        <f t="shared" si="1244"/>
        <v>289621</v>
      </c>
      <c r="F505" s="439">
        <f t="shared" si="1245"/>
        <v>62955.638045976986</v>
      </c>
      <c r="G505" s="440">
        <f t="shared" si="1246"/>
        <v>264316.091954023</v>
      </c>
      <c r="H505" s="441">
        <f>IFERROR(INDEX('FEOR kodok'!$A$2:$J$1126,MATCH(Bérköltség!AB505,'FEOR kodok'!$B$2:$B$1126,0),8),"NA")</f>
        <v>3910</v>
      </c>
      <c r="I505" s="436">
        <f ca="1">IFERROR(INDEX('FEOR kodok'!$A$2:$J$1126,MATCH(Bérköltség!AB505,'FEOR kodok'!$B$2:$B$1126,0),10),"NA")</f>
        <v>26</v>
      </c>
      <c r="J505" s="442" t="str">
        <f t="shared" ca="1" si="1247"/>
        <v>30 év alatt</v>
      </c>
      <c r="K505" s="436" t="str">
        <f>IFERROR(INDEX(admin_feor[#All],MATCH(Bérköltség!H505,admin_feor[[#All],[Foglalkozás]],0),2),"NA")</f>
        <v>Egyéb ügyintéző</v>
      </c>
      <c r="L505" s="438">
        <f ca="1">IFERROR(
INDEX('Admin - FEOR'!$A$4:$F$465,MATCH(Bérköltség!H505,'Admin - FEOR'!$A$4:$A$465,0),
IF(J505="30 év alatt",3,
IF(J505="30–39 éves",4,
IF(J505="40–49 éves",5,
IF(J505="50 év és afelett",6
)))))*1,"NA")</f>
        <v>359927</v>
      </c>
      <c r="M505" s="438">
        <f t="shared" si="1248"/>
        <v>340500</v>
      </c>
      <c r="N505" s="443">
        <f t="shared" ca="1" si="1249"/>
        <v>0.94602516621426014</v>
      </c>
      <c r="O505" s="438">
        <f ca="1">IFERROR(
INDEX('Admin - FEOR'!$A$4:$F$465,MATCH(Bérköltség!H505,'Admin - FEOR'!$A$4:$A$465,0),
IF(J505="30 év alatt",3,
IF(J505="30–39 éves",4,
IF(J505="40–49 éves",5,
IF(J505="50 év és afelett",6
)))))*1.5,"NA")</f>
        <v>539890.5</v>
      </c>
      <c r="P505" s="438">
        <f t="shared" ca="1" si="1250"/>
        <v>459217.20689655171</v>
      </c>
      <c r="Q505" s="438">
        <f t="shared" si="1251"/>
        <v>289621</v>
      </c>
      <c r="R505" s="444">
        <f t="shared" si="1252"/>
        <v>0.85057471264367812</v>
      </c>
      <c r="S505" s="438">
        <f t="shared" ca="1" si="1253"/>
        <v>0</v>
      </c>
      <c r="T505" s="438">
        <f t="shared" ca="1" si="1254"/>
        <v>0</v>
      </c>
      <c r="U505" s="445">
        <f t="shared" ca="1" si="1255"/>
        <v>0</v>
      </c>
      <c r="V505" s="446">
        <f t="shared" ca="1" si="1256"/>
        <v>327272</v>
      </c>
      <c r="W505" s="447" t="str">
        <f t="shared" ca="1" si="1257"/>
        <v>Nem szükséges indoklás.</v>
      </c>
      <c r="X505" s="571">
        <f t="shared" ca="1" si="1258"/>
        <v>0</v>
      </c>
      <c r="Y505" s="554">
        <f t="shared" ca="1" si="1259"/>
        <v>289621</v>
      </c>
      <c r="Z505" s="554">
        <f t="shared" ca="1" si="1260"/>
        <v>37651</v>
      </c>
      <c r="AA505" s="115"/>
      <c r="AB505" s="146">
        <v>8476922108</v>
      </c>
      <c r="AC505" s="112" t="s">
        <v>1411</v>
      </c>
      <c r="AD505" s="483" t="s">
        <v>45</v>
      </c>
      <c r="AE505" s="143" t="s">
        <v>24</v>
      </c>
      <c r="AF505" s="99" t="s">
        <v>125</v>
      </c>
      <c r="AG505" s="99" t="s">
        <v>191</v>
      </c>
      <c r="AH505" s="451" t="s">
        <v>131</v>
      </c>
      <c r="AI505" s="154">
        <v>45261</v>
      </c>
      <c r="AJ505" s="100" t="str">
        <f>IF(AI505&gt;0,
(IF(AI505&lt;Hónapok!$A$10,Admin!$A$28,
(IF(AI505&lt;Hónapok!$A$22,Admin!$B$28,
(IF(AI505&lt;Hónapok!$A$34,Admin!$C$28,
(IF(AI505&lt;Hónapok!$A$46,Admin!$D$28,"")))))))),"")</f>
        <v>3. mérföldkő</v>
      </c>
      <c r="AK505" s="500" t="s">
        <v>8</v>
      </c>
      <c r="AL505" s="115" t="s">
        <v>26</v>
      </c>
      <c r="AM505" s="900">
        <v>340500</v>
      </c>
      <c r="AN505" s="860">
        <f t="shared" si="1261"/>
        <v>44265</v>
      </c>
      <c r="AO505" s="101">
        <v>174</v>
      </c>
      <c r="AP505" s="111">
        <v>148</v>
      </c>
      <c r="AQ505" s="454">
        <f t="shared" si="1262"/>
        <v>0.85057471264367812</v>
      </c>
      <c r="AR505" s="455">
        <f t="shared" si="1263"/>
        <v>289621</v>
      </c>
      <c r="AS505" s="455">
        <f t="shared" si="1264"/>
        <v>37651</v>
      </c>
      <c r="AT505" s="102">
        <f t="shared" si="1265"/>
        <v>-9.1143855385222849E-7</v>
      </c>
      <c r="AU505" s="116">
        <v>0.13</v>
      </c>
      <c r="AV505" s="565" t="str">
        <f>VLOOKUP(LEFT(AB505,10),Törzsszám!$A$1:$B$908,2,0)</f>
        <v>10001351</v>
      </c>
      <c r="AW505" s="681">
        <f t="shared" ca="1" si="1266"/>
        <v>0</v>
      </c>
      <c r="AX505" s="150"/>
      <c r="AY505" s="505"/>
      <c r="AZ505" s="803"/>
      <c r="BA505" s="673"/>
      <c r="BB505" s="650"/>
      <c r="BC505" s="649"/>
      <c r="BD505" s="672"/>
      <c r="BE505" s="143" t="s">
        <v>201</v>
      </c>
    </row>
    <row r="506" spans="1:57" s="117" customFormat="1" ht="14.45" customHeight="1" x14ac:dyDescent="0.25">
      <c r="A506" s="694" t="str">
        <f ca="1">Bérköltség!$B506</f>
        <v>FEOR</v>
      </c>
      <c r="B506" s="694" t="str">
        <f ca="1">IFERROR(
IF(AND(Bérköltség!$F506="",H506="NA"),"HIÁNYOS ADATOK",
IF(Bérköltség!$F506&lt;Bérköltség!$U506,Admin!$B$18,Admin!$B$17)),
"")</f>
        <v>FEOR</v>
      </c>
      <c r="C506" s="437">
        <f>IFERROR(INDEX('Historikus berek_2021-2'!$A$1:$F$903,MATCH(AB506,'Historikus berek_2021-2'!$A$1:$A$903,0),4),"")</f>
        <v>275000</v>
      </c>
      <c r="D506" s="438">
        <f t="shared" si="1243"/>
        <v>233908.0459770115</v>
      </c>
      <c r="E506" s="437">
        <f t="shared" si="1244"/>
        <v>289621</v>
      </c>
      <c r="F506" s="439">
        <f t="shared" si="1245"/>
        <v>62955.638045976986</v>
      </c>
      <c r="G506" s="440">
        <f t="shared" si="1246"/>
        <v>264316.091954023</v>
      </c>
      <c r="H506" s="441">
        <f>IFERROR(INDEX('FEOR kodok'!$A$2:$J$1126,MATCH(Bérköltség!AB506,'FEOR kodok'!$B$2:$B$1126,0),8),"NA")</f>
        <v>3910</v>
      </c>
      <c r="I506" s="436">
        <f ca="1">IFERROR(INDEX('FEOR kodok'!$A$2:$J$1126,MATCH(Bérköltség!AB506,'FEOR kodok'!$B$2:$B$1126,0),10),"NA")</f>
        <v>26</v>
      </c>
      <c r="J506" s="442" t="str">
        <f t="shared" ca="1" si="1247"/>
        <v>30 év alatt</v>
      </c>
      <c r="K506" s="436" t="str">
        <f>IFERROR(INDEX(admin_feor[#All],MATCH(Bérköltség!H506,admin_feor[[#All],[Foglalkozás]],0),2),"NA")</f>
        <v>Egyéb ügyintéző</v>
      </c>
      <c r="L506" s="438">
        <f ca="1">IFERROR(
INDEX('Admin - FEOR'!$A$4:$F$465,MATCH(Bérköltség!H506,'Admin - FEOR'!$A$4:$A$465,0),
IF(J506="30 év alatt",3,
IF(J506="30–39 éves",4,
IF(J506="40–49 éves",5,
IF(J506="50 év és afelett",6
)))))*1,"NA")</f>
        <v>359927</v>
      </c>
      <c r="M506" s="438">
        <f t="shared" si="1248"/>
        <v>340500</v>
      </c>
      <c r="N506" s="443">
        <f t="shared" ca="1" si="1249"/>
        <v>0.94602516621426014</v>
      </c>
      <c r="O506" s="438">
        <f ca="1">IFERROR(
INDEX('Admin - FEOR'!$A$4:$F$465,MATCH(Bérköltség!H506,'Admin - FEOR'!$A$4:$A$465,0),
IF(J506="30 év alatt",3,
IF(J506="30–39 éves",4,
IF(J506="40–49 éves",5,
IF(J506="50 év és afelett",6
)))))*1.5,"NA")</f>
        <v>539890.5</v>
      </c>
      <c r="P506" s="438">
        <f t="shared" ca="1" si="1250"/>
        <v>459217.20689655171</v>
      </c>
      <c r="Q506" s="438">
        <f t="shared" si="1251"/>
        <v>289621</v>
      </c>
      <c r="R506" s="444">
        <f t="shared" si="1252"/>
        <v>0.85057471264367812</v>
      </c>
      <c r="S506" s="438">
        <f t="shared" ca="1" si="1253"/>
        <v>0</v>
      </c>
      <c r="T506" s="438">
        <f t="shared" ca="1" si="1254"/>
        <v>0</v>
      </c>
      <c r="U506" s="445">
        <f t="shared" ca="1" si="1255"/>
        <v>0</v>
      </c>
      <c r="V506" s="446">
        <f t="shared" ca="1" si="1256"/>
        <v>327272</v>
      </c>
      <c r="W506" s="447" t="str">
        <f t="shared" ca="1" si="1257"/>
        <v>Nem szükséges indoklás.</v>
      </c>
      <c r="X506" s="571">
        <f t="shared" ca="1" si="1258"/>
        <v>0</v>
      </c>
      <c r="Y506" s="554">
        <f t="shared" ca="1" si="1259"/>
        <v>289621</v>
      </c>
      <c r="Z506" s="554">
        <f t="shared" ca="1" si="1260"/>
        <v>37651</v>
      </c>
      <c r="AA506" s="115"/>
      <c r="AB506" s="146">
        <v>8476922108</v>
      </c>
      <c r="AC506" s="112" t="s">
        <v>1411</v>
      </c>
      <c r="AD506" s="483" t="s">
        <v>45</v>
      </c>
      <c r="AE506" s="143" t="s">
        <v>24</v>
      </c>
      <c r="AF506" s="99" t="s">
        <v>125</v>
      </c>
      <c r="AG506" s="99" t="s">
        <v>191</v>
      </c>
      <c r="AH506" s="451" t="s">
        <v>131</v>
      </c>
      <c r="AI506" s="154">
        <v>45292</v>
      </c>
      <c r="AJ506" s="100" t="str">
        <f>IF(AI506&gt;0,
(IF(AI506&lt;Hónapok!$A$10,Admin!$A$28,
(IF(AI506&lt;Hónapok!$A$22,Admin!$B$28,
(IF(AI506&lt;Hónapok!$A$34,Admin!$C$28,
(IF(AI506&lt;Hónapok!$A$46,Admin!$D$28,"")))))))),"")</f>
        <v>3. mérföldkő</v>
      </c>
      <c r="AK506" s="500" t="s">
        <v>8</v>
      </c>
      <c r="AL506" s="115" t="s">
        <v>26</v>
      </c>
      <c r="AM506" s="900">
        <v>340500</v>
      </c>
      <c r="AN506" s="860">
        <f t="shared" si="1261"/>
        <v>44265</v>
      </c>
      <c r="AO506" s="101">
        <v>174</v>
      </c>
      <c r="AP506" s="111">
        <v>148</v>
      </c>
      <c r="AQ506" s="454">
        <f t="shared" si="1262"/>
        <v>0.85057471264367812</v>
      </c>
      <c r="AR506" s="455">
        <f t="shared" si="1263"/>
        <v>289621</v>
      </c>
      <c r="AS506" s="455">
        <f t="shared" si="1264"/>
        <v>37651</v>
      </c>
      <c r="AT506" s="102">
        <f t="shared" si="1265"/>
        <v>-9.1143855385222849E-7</v>
      </c>
      <c r="AU506" s="116">
        <v>0.13</v>
      </c>
      <c r="AV506" s="565" t="str">
        <f>VLOOKUP(LEFT(AB506,10),Törzsszám!$A$1:$B$908,2,0)</f>
        <v>10001351</v>
      </c>
      <c r="AW506" s="681">
        <f t="shared" ca="1" si="1266"/>
        <v>0</v>
      </c>
      <c r="AX506" s="150"/>
      <c r="AY506" s="505"/>
      <c r="AZ506" s="803"/>
      <c r="BA506" s="673"/>
      <c r="BB506" s="650"/>
      <c r="BC506" s="649"/>
      <c r="BD506" s="672"/>
      <c r="BE506" s="143" t="s">
        <v>201</v>
      </c>
    </row>
    <row r="507" spans="1:57" s="117" customFormat="1" ht="14.45" customHeight="1" x14ac:dyDescent="0.25">
      <c r="A507" s="694" t="str">
        <f ca="1">Bérköltség!$B507</f>
        <v>FEOR</v>
      </c>
      <c r="B507" s="694" t="str">
        <f ca="1">IFERROR(
IF(AND(Bérköltség!$F507="",H507="NA"),"HIÁNYOS ADATOK",
IF(Bérköltség!$F507&lt;Bérköltség!$U507,Admin!$B$18,Admin!$B$17)),
"")</f>
        <v>FEOR</v>
      </c>
      <c r="C507" s="437">
        <f>IFERROR(INDEX('Historikus berek_2021-2'!$A$1:$F$903,MATCH(AB507,'Historikus berek_2021-2'!$A$1:$A$903,0),4),"")</f>
        <v>275000</v>
      </c>
      <c r="D507" s="438">
        <f t="shared" si="1243"/>
        <v>233908.0459770115</v>
      </c>
      <c r="E507" s="437">
        <f t="shared" si="1244"/>
        <v>289621</v>
      </c>
      <c r="F507" s="439">
        <f t="shared" si="1245"/>
        <v>62955.638045976986</v>
      </c>
      <c r="G507" s="440">
        <f t="shared" si="1246"/>
        <v>264316.091954023</v>
      </c>
      <c r="H507" s="441">
        <f>IFERROR(INDEX('FEOR kodok'!$A$2:$J$1126,MATCH(Bérköltség!AB507,'FEOR kodok'!$B$2:$B$1126,0),8),"NA")</f>
        <v>3910</v>
      </c>
      <c r="I507" s="436">
        <f ca="1">IFERROR(INDEX('FEOR kodok'!$A$2:$J$1126,MATCH(Bérköltség!AB507,'FEOR kodok'!$B$2:$B$1126,0),10),"NA")</f>
        <v>26</v>
      </c>
      <c r="J507" s="442" t="str">
        <f t="shared" ca="1" si="1247"/>
        <v>30 év alatt</v>
      </c>
      <c r="K507" s="436" t="str">
        <f>IFERROR(INDEX(admin_feor[#All],MATCH(Bérköltség!H507,admin_feor[[#All],[Foglalkozás]],0),2),"NA")</f>
        <v>Egyéb ügyintéző</v>
      </c>
      <c r="L507" s="438">
        <f ca="1">IFERROR(
INDEX('Admin - FEOR'!$A$4:$F$465,MATCH(Bérköltség!H507,'Admin - FEOR'!$A$4:$A$465,0),
IF(J507="30 év alatt",3,
IF(J507="30–39 éves",4,
IF(J507="40–49 éves",5,
IF(J507="50 év és afelett",6
)))))*1,"NA")</f>
        <v>359927</v>
      </c>
      <c r="M507" s="438">
        <f t="shared" si="1248"/>
        <v>340500</v>
      </c>
      <c r="N507" s="443">
        <f t="shared" ca="1" si="1249"/>
        <v>0.94602516621426014</v>
      </c>
      <c r="O507" s="438">
        <f ca="1">IFERROR(
INDEX('Admin - FEOR'!$A$4:$F$465,MATCH(Bérköltség!H507,'Admin - FEOR'!$A$4:$A$465,0),
IF(J507="30 év alatt",3,
IF(J507="30–39 éves",4,
IF(J507="40–49 éves",5,
IF(J507="50 év és afelett",6
)))))*1.5,"NA")</f>
        <v>539890.5</v>
      </c>
      <c r="P507" s="438">
        <f t="shared" ca="1" si="1250"/>
        <v>459217.20689655171</v>
      </c>
      <c r="Q507" s="438">
        <f t="shared" si="1251"/>
        <v>289621</v>
      </c>
      <c r="R507" s="444">
        <f t="shared" si="1252"/>
        <v>0.85057471264367812</v>
      </c>
      <c r="S507" s="438">
        <f t="shared" ca="1" si="1253"/>
        <v>0</v>
      </c>
      <c r="T507" s="438">
        <f t="shared" ca="1" si="1254"/>
        <v>0</v>
      </c>
      <c r="U507" s="445">
        <f t="shared" ca="1" si="1255"/>
        <v>0</v>
      </c>
      <c r="V507" s="446">
        <f t="shared" ca="1" si="1256"/>
        <v>327272</v>
      </c>
      <c r="W507" s="447" t="str">
        <f t="shared" ca="1" si="1257"/>
        <v>Nem szükséges indoklás.</v>
      </c>
      <c r="X507" s="571">
        <f t="shared" ca="1" si="1258"/>
        <v>0</v>
      </c>
      <c r="Y507" s="554">
        <f t="shared" ca="1" si="1259"/>
        <v>289621</v>
      </c>
      <c r="Z507" s="554">
        <f t="shared" ca="1" si="1260"/>
        <v>37651</v>
      </c>
      <c r="AA507" s="115"/>
      <c r="AB507" s="146">
        <v>8476922108</v>
      </c>
      <c r="AC507" s="112" t="s">
        <v>1411</v>
      </c>
      <c r="AD507" s="483" t="s">
        <v>45</v>
      </c>
      <c r="AE507" s="143" t="s">
        <v>24</v>
      </c>
      <c r="AF507" s="99" t="s">
        <v>125</v>
      </c>
      <c r="AG507" s="99" t="s">
        <v>191</v>
      </c>
      <c r="AH507" s="451" t="s">
        <v>131</v>
      </c>
      <c r="AI507" s="154">
        <v>45323</v>
      </c>
      <c r="AJ507" s="100" t="str">
        <f>IF(AI507&gt;0,
(IF(AI507&lt;Hónapok!$A$10,Admin!$A$28,
(IF(AI507&lt;Hónapok!$A$22,Admin!$B$28,
(IF(AI507&lt;Hónapok!$A$34,Admin!$C$28,
(IF(AI507&lt;Hónapok!$A$46,Admin!$D$28,"")))))))),"")</f>
        <v>3. mérföldkő</v>
      </c>
      <c r="AK507" s="500" t="s">
        <v>8</v>
      </c>
      <c r="AL507" s="115" t="s">
        <v>26</v>
      </c>
      <c r="AM507" s="900">
        <v>340500</v>
      </c>
      <c r="AN507" s="860">
        <f t="shared" si="1261"/>
        <v>44265</v>
      </c>
      <c r="AO507" s="101">
        <v>174</v>
      </c>
      <c r="AP507" s="111">
        <v>148</v>
      </c>
      <c r="AQ507" s="454">
        <f t="shared" si="1262"/>
        <v>0.85057471264367812</v>
      </c>
      <c r="AR507" s="455">
        <f t="shared" si="1263"/>
        <v>289621</v>
      </c>
      <c r="AS507" s="455">
        <f t="shared" si="1264"/>
        <v>37651</v>
      </c>
      <c r="AT507" s="102">
        <f t="shared" si="1265"/>
        <v>-9.1143855385222849E-7</v>
      </c>
      <c r="AU507" s="116">
        <v>0.13</v>
      </c>
      <c r="AV507" s="565" t="str">
        <f>VLOOKUP(LEFT(AB507,10),Törzsszám!$A$1:$B$908,2,0)</f>
        <v>10001351</v>
      </c>
      <c r="AW507" s="681">
        <f t="shared" ca="1" si="1266"/>
        <v>0</v>
      </c>
      <c r="AX507" s="150"/>
      <c r="AY507" s="505"/>
      <c r="AZ507" s="803"/>
      <c r="BA507" s="673"/>
      <c r="BB507" s="650"/>
      <c r="BC507" s="649"/>
      <c r="BD507" s="672"/>
      <c r="BE507" s="143" t="s">
        <v>201</v>
      </c>
    </row>
    <row r="508" spans="1:57" s="117" customFormat="1" ht="47.25" x14ac:dyDescent="0.25">
      <c r="A508" s="694" t="str">
        <f ca="1">Bérköltség!$B508</f>
        <v>FEOR</v>
      </c>
      <c r="B508" s="694" t="str">
        <f ca="1">IFERROR(
IF(AND(Bérköltség!$F508="",H508="NA"),"HIÁNYOS ADATOK",
IF(Bérköltség!$F508&lt;Bérköltség!$U508,Admin!$B$18,Admin!$B$17)),
"")</f>
        <v>FEOR</v>
      </c>
      <c r="C508" s="437">
        <f>IFERROR(INDEX('Historikus berek_2021-2'!$A$1:$F$903,MATCH(AB508,'Historikus berek_2021-2'!$A$1:$A$903,0),4),"")</f>
        <v>815183.33333333337</v>
      </c>
      <c r="D508" s="438">
        <f t="shared" si="990"/>
        <v>454441.28352490428</v>
      </c>
      <c r="E508" s="437">
        <f t="shared" si="991"/>
        <v>696839</v>
      </c>
      <c r="F508" s="439">
        <f t="shared" si="992"/>
        <v>273909.41961685818</v>
      </c>
      <c r="G508" s="440">
        <f t="shared" si="993"/>
        <v>513518.65038314176</v>
      </c>
      <c r="H508" s="441">
        <f>IFERROR(INDEX('FEOR kodok'!$A$2:$J$1126,MATCH(Bérköltség!AB508,'FEOR kodok'!$B$2:$B$1126,0),8),"NA")</f>
        <v>2910</v>
      </c>
      <c r="I508" s="436">
        <f ca="1">IFERROR(INDEX('FEOR kodok'!$A$2:$J$1126,MATCH(Bérköltség!AB508,'FEOR kodok'!$B$2:$B$1126,0),10),"NA")</f>
        <v>44</v>
      </c>
      <c r="J508" s="442" t="str">
        <f t="shared" ca="1" si="994"/>
        <v>40–49 éves</v>
      </c>
      <c r="K508" s="436" t="str">
        <f>IFERROR(INDEX(admin_feor[#All],MATCH(Bérköltség!H508,admin_feor[[#All],[Foglalkozás]],0),2),"NA")</f>
        <v>Egyéb magasan képzett ügyintéző</v>
      </c>
      <c r="L508" s="438">
        <f ca="1">IFERROR(
INDEX('Admin - FEOR'!$A$4:$F$465,MATCH(Bérköltség!H508,'Admin - FEOR'!$A$4:$A$465,0),
IF(J508="30 év alatt",3,
IF(J508="30–39 éves",4,
IF(J508="40–49 éves",5,
IF(J508="50 év és afelett",6
)))))*1,"NA")</f>
        <v>657296</v>
      </c>
      <c r="M508" s="438">
        <f t="shared" si="995"/>
        <v>1250000</v>
      </c>
      <c r="N508" s="443">
        <f t="shared" ca="1" si="996"/>
        <v>1.9017307271001194</v>
      </c>
      <c r="O508" s="438">
        <f ca="1">IFERROR(
INDEX('Admin - FEOR'!$A$4:$F$465,MATCH(Bérköltség!H508,'Admin - FEOR'!$A$4:$A$465,0),
IF(J508="30 év alatt",3,
IF(J508="30–39 éves",4,
IF(J508="40–49 éves",5,
IF(J508="50 év és afelett",6
)))))*1.5,"NA")</f>
        <v>985944</v>
      </c>
      <c r="P508" s="438">
        <f t="shared" ca="1" si="997"/>
        <v>549635.44827586215</v>
      </c>
      <c r="Q508" s="438">
        <f t="shared" si="998"/>
        <v>696839</v>
      </c>
      <c r="R508" s="444">
        <f t="shared" si="999"/>
        <v>0.55747126436781613</v>
      </c>
      <c r="S508" s="438">
        <f t="shared" ca="1" si="1000"/>
        <v>147203.55172413785</v>
      </c>
      <c r="T508" s="438">
        <f t="shared" ca="1" si="1001"/>
        <v>19136.46172413792</v>
      </c>
      <c r="U508" s="445">
        <f t="shared" ca="1" si="1002"/>
        <v>166340.01344827577</v>
      </c>
      <c r="V508" s="446">
        <f t="shared" ca="1" si="1003"/>
        <v>621087.98655172426</v>
      </c>
      <c r="W508" s="447" t="str">
        <f t="shared" ca="1" si="1004"/>
        <v>Indoklás szükséges mivel a FEOR: 190,2%</v>
      </c>
      <c r="X508" s="571">
        <v>0</v>
      </c>
      <c r="Y508" s="560">
        <v>696839</v>
      </c>
      <c r="Z508" s="560">
        <v>90589</v>
      </c>
      <c r="AA508" s="573" t="s">
        <v>4551</v>
      </c>
      <c r="AB508" s="146">
        <v>8409494051</v>
      </c>
      <c r="AC508" s="112" t="s">
        <v>152</v>
      </c>
      <c r="AD508" s="113" t="s">
        <v>46</v>
      </c>
      <c r="AE508" s="143" t="s">
        <v>25</v>
      </c>
      <c r="AF508" s="99" t="s">
        <v>125</v>
      </c>
      <c r="AG508" s="99" t="s">
        <v>153</v>
      </c>
      <c r="AH508" s="451" t="s">
        <v>97</v>
      </c>
      <c r="AI508" s="154">
        <v>44743</v>
      </c>
      <c r="AJ508" s="100" t="str">
        <f>IF(AI508&gt;0,
(IF(AI508&lt;Hónapok!$A$10,Admin!$A$28,
(IF(AI508&lt;Hónapok!$A$22,Admin!$B$28,
(IF(AI508&lt;Hónapok!$A$34,Admin!$C$28,
(IF(AI508&lt;Hónapok!$A$46,Admin!$D$28,"")))))))),"")</f>
        <v>2. mérföldkő</v>
      </c>
      <c r="AK508" s="500" t="s">
        <v>7</v>
      </c>
      <c r="AL508" s="115" t="s">
        <v>26</v>
      </c>
      <c r="AM508" s="900">
        <v>1250000</v>
      </c>
      <c r="AN508" s="860">
        <f t="shared" si="1218"/>
        <v>162500</v>
      </c>
      <c r="AO508" s="101">
        <v>174</v>
      </c>
      <c r="AP508" s="111">
        <v>97</v>
      </c>
      <c r="AQ508" s="454">
        <f t="shared" si="985"/>
        <v>0.55747126436781613</v>
      </c>
      <c r="AR508" s="561">
        <f t="shared" si="986"/>
        <v>696839</v>
      </c>
      <c r="AS508" s="561">
        <f t="shared" si="987"/>
        <v>90589</v>
      </c>
      <c r="AT508" s="102">
        <f t="shared" si="988"/>
        <v>6.4367816188237725E-8</v>
      </c>
      <c r="AU508" s="116">
        <v>0.13</v>
      </c>
      <c r="AV508" s="565" t="str">
        <f>VLOOKUP(LEFT(AB508,10),Törzsszám!$A$1:$B$908,2,0)</f>
        <v>10000901</v>
      </c>
      <c r="AW508" s="615">
        <f t="shared" si="989"/>
        <v>0</v>
      </c>
      <c r="AX508" s="150" t="s">
        <v>209</v>
      </c>
      <c r="AY508" s="505"/>
      <c r="AZ508" s="803"/>
      <c r="BA508" s="673">
        <v>696839</v>
      </c>
      <c r="BB508" s="650">
        <v>90589</v>
      </c>
      <c r="BC508" s="649">
        <f t="shared" ref="BC508:BD514" si="1267">Y508-BA508</f>
        <v>0</v>
      </c>
      <c r="BD508" s="672">
        <f t="shared" si="1267"/>
        <v>0</v>
      </c>
      <c r="BE508" s="143" t="s">
        <v>154</v>
      </c>
    </row>
    <row r="509" spans="1:57" s="117" customFormat="1" ht="47.25" x14ac:dyDescent="0.25">
      <c r="A509" s="694" t="str">
        <f ca="1">Bérköltség!$B509</f>
        <v>FEOR</v>
      </c>
      <c r="B509" s="694" t="str">
        <f ca="1">IFERROR(
IF(AND(Bérköltség!$F509="",H509="NA"),"HIÁNYOS ADATOK",
IF(Bérköltség!$F509&lt;Bérköltség!$U509,Admin!$B$18,Admin!$B$17)),
"")</f>
        <v>FEOR</v>
      </c>
      <c r="C509" s="437">
        <f>IFERROR(INDEX('Historikus berek_2021-2'!$A$1:$F$903,MATCH(AB509,'Historikus berek_2021-2'!$A$1:$A$903,0),4),"")</f>
        <v>815183.33333333337</v>
      </c>
      <c r="D509" s="438">
        <f t="shared" si="990"/>
        <v>454441.28352490428</v>
      </c>
      <c r="E509" s="437">
        <f t="shared" si="991"/>
        <v>696839</v>
      </c>
      <c r="F509" s="439">
        <f t="shared" si="992"/>
        <v>273909.41961685818</v>
      </c>
      <c r="G509" s="440">
        <f t="shared" si="993"/>
        <v>513518.65038314176</v>
      </c>
      <c r="H509" s="441">
        <f>IFERROR(INDEX('FEOR kodok'!$A$2:$J$1126,MATCH(Bérköltség!AB509,'FEOR kodok'!$B$2:$B$1126,0),8),"NA")</f>
        <v>2910</v>
      </c>
      <c r="I509" s="436">
        <f ca="1">IFERROR(INDEX('FEOR kodok'!$A$2:$J$1126,MATCH(Bérköltség!AB509,'FEOR kodok'!$B$2:$B$1126,0),10),"NA")</f>
        <v>44</v>
      </c>
      <c r="J509" s="442" t="str">
        <f t="shared" ca="1" si="994"/>
        <v>40–49 éves</v>
      </c>
      <c r="K509" s="436" t="str">
        <f>IFERROR(INDEX(admin_feor[#All],MATCH(Bérköltség!H509,admin_feor[[#All],[Foglalkozás]],0),2),"NA")</f>
        <v>Egyéb magasan képzett ügyintéző</v>
      </c>
      <c r="L509" s="438">
        <f ca="1">IFERROR(
INDEX('Admin - FEOR'!$A$4:$F$465,MATCH(Bérköltség!H509,'Admin - FEOR'!$A$4:$A$465,0),
IF(J509="30 év alatt",3,
IF(J509="30–39 éves",4,
IF(J509="40–49 éves",5,
IF(J509="50 év és afelett",6
)))))*1,"NA")</f>
        <v>657296</v>
      </c>
      <c r="M509" s="438">
        <f t="shared" si="995"/>
        <v>1250000</v>
      </c>
      <c r="N509" s="443">
        <f t="shared" ca="1" si="996"/>
        <v>1.9017307271001194</v>
      </c>
      <c r="O509" s="438">
        <f ca="1">IFERROR(
INDEX('Admin - FEOR'!$A$4:$F$465,MATCH(Bérköltség!H509,'Admin - FEOR'!$A$4:$A$465,0),
IF(J509="30 év alatt",3,
IF(J509="30–39 éves",4,
IF(J509="40–49 éves",5,
IF(J509="50 év és afelett",6
)))))*1.5,"NA")</f>
        <v>985944</v>
      </c>
      <c r="P509" s="438">
        <f t="shared" ca="1" si="997"/>
        <v>549635.44827586215</v>
      </c>
      <c r="Q509" s="438">
        <f t="shared" si="998"/>
        <v>696839</v>
      </c>
      <c r="R509" s="444">
        <f t="shared" si="999"/>
        <v>0.55747126436781613</v>
      </c>
      <c r="S509" s="438">
        <f t="shared" ca="1" si="1000"/>
        <v>147203.55172413785</v>
      </c>
      <c r="T509" s="438">
        <f t="shared" ca="1" si="1001"/>
        <v>19136.46172413792</v>
      </c>
      <c r="U509" s="445">
        <f t="shared" ca="1" si="1002"/>
        <v>166340.01344827577</v>
      </c>
      <c r="V509" s="446">
        <f t="shared" ca="1" si="1003"/>
        <v>621087.98655172426</v>
      </c>
      <c r="W509" s="447" t="str">
        <f t="shared" ca="1" si="1004"/>
        <v>Indoklás szükséges mivel a FEOR: 190,2%</v>
      </c>
      <c r="X509" s="571">
        <v>0</v>
      </c>
      <c r="Y509" s="560">
        <v>696839</v>
      </c>
      <c r="Z509" s="560">
        <v>90589</v>
      </c>
      <c r="AA509" s="573" t="s">
        <v>4551</v>
      </c>
      <c r="AB509" s="146">
        <v>8409494051</v>
      </c>
      <c r="AC509" s="112" t="s">
        <v>152</v>
      </c>
      <c r="AD509" s="113" t="s">
        <v>46</v>
      </c>
      <c r="AE509" s="143" t="s">
        <v>25</v>
      </c>
      <c r="AF509" s="99" t="s">
        <v>125</v>
      </c>
      <c r="AG509" s="99" t="s">
        <v>153</v>
      </c>
      <c r="AH509" s="451" t="s">
        <v>97</v>
      </c>
      <c r="AI509" s="154">
        <v>44774</v>
      </c>
      <c r="AJ509" s="100" t="str">
        <f>IF(AI509&gt;0,
(IF(AI509&lt;Hónapok!$A$10,Admin!$A$28,
(IF(AI509&lt;Hónapok!$A$22,Admin!$B$28,
(IF(AI509&lt;Hónapok!$A$34,Admin!$C$28,
(IF(AI509&lt;Hónapok!$A$46,Admin!$D$28,"")))))))),"")</f>
        <v>2. mérföldkő</v>
      </c>
      <c r="AK509" s="500" t="s">
        <v>7</v>
      </c>
      <c r="AL509" s="115" t="s">
        <v>26</v>
      </c>
      <c r="AM509" s="900">
        <v>1250000</v>
      </c>
      <c r="AN509" s="860">
        <f t="shared" si="1218"/>
        <v>162500</v>
      </c>
      <c r="AO509" s="101">
        <v>174</v>
      </c>
      <c r="AP509" s="111">
        <v>97</v>
      </c>
      <c r="AQ509" s="454">
        <f t="shared" si="985"/>
        <v>0.55747126436781613</v>
      </c>
      <c r="AR509" s="561">
        <f t="shared" si="986"/>
        <v>696839</v>
      </c>
      <c r="AS509" s="561">
        <f t="shared" si="987"/>
        <v>90589</v>
      </c>
      <c r="AT509" s="102">
        <f t="shared" si="988"/>
        <v>6.4367816188237725E-8</v>
      </c>
      <c r="AU509" s="116">
        <v>0.13</v>
      </c>
      <c r="AV509" s="565" t="str">
        <f>VLOOKUP(LEFT(AB509,10),Törzsszám!$A$1:$B$908,2,0)</f>
        <v>10000901</v>
      </c>
      <c r="AW509" s="615">
        <f t="shared" si="989"/>
        <v>0</v>
      </c>
      <c r="AX509" s="150" t="s">
        <v>218</v>
      </c>
      <c r="AY509" s="505"/>
      <c r="AZ509" s="803"/>
      <c r="BA509" s="673">
        <v>696839</v>
      </c>
      <c r="BB509" s="650">
        <v>90589</v>
      </c>
      <c r="BC509" s="649">
        <f t="shared" si="1267"/>
        <v>0</v>
      </c>
      <c r="BD509" s="672">
        <f t="shared" si="1267"/>
        <v>0</v>
      </c>
      <c r="BE509" s="143" t="s">
        <v>154</v>
      </c>
    </row>
    <row r="510" spans="1:57" s="117" customFormat="1" ht="14.45" customHeight="1" x14ac:dyDescent="0.25">
      <c r="A510" s="694" t="str">
        <f ca="1">Bérköltség!$B510</f>
        <v>FEOR</v>
      </c>
      <c r="B510" s="694" t="str">
        <f ca="1">IFERROR(
IF(AND(Bérköltség!$F510="",H510="NA"),"HIÁNYOS ADATOK",
IF(Bérköltség!$F510&lt;Bérköltség!$U510,Admin!$B$18,Admin!$B$17)),
"")</f>
        <v>FEOR</v>
      </c>
      <c r="C510" s="437">
        <f>IFERROR(INDEX('Historikus berek_2021-2'!$A$1:$F$903,MATCH(AB510,'Historikus berek_2021-2'!$A$1:$A$903,0),4),"")</f>
        <v>815183.33333333337</v>
      </c>
      <c r="D510" s="438">
        <f t="shared" si="990"/>
        <v>454441.28352490428</v>
      </c>
      <c r="E510" s="437">
        <f t="shared" si="991"/>
        <v>696839</v>
      </c>
      <c r="F510" s="439">
        <f t="shared" si="992"/>
        <v>273909.41961685818</v>
      </c>
      <c r="G510" s="440">
        <f t="shared" si="993"/>
        <v>513518.65038314176</v>
      </c>
      <c r="H510" s="441">
        <f>IFERROR(INDEX('FEOR kodok'!$A$2:$J$1126,MATCH(Bérköltség!AB510,'FEOR kodok'!$B$2:$B$1126,0),8),"NA")</f>
        <v>2910</v>
      </c>
      <c r="I510" s="436">
        <f ca="1">IFERROR(INDEX('FEOR kodok'!$A$2:$J$1126,MATCH(Bérköltség!AB510,'FEOR kodok'!$B$2:$B$1126,0),10),"NA")</f>
        <v>44</v>
      </c>
      <c r="J510" s="442" t="str">
        <f t="shared" ca="1" si="994"/>
        <v>40–49 éves</v>
      </c>
      <c r="K510" s="436" t="str">
        <f>IFERROR(INDEX(admin_feor[#All],MATCH(Bérköltség!H510,admin_feor[[#All],[Foglalkozás]],0),2),"NA")</f>
        <v>Egyéb magasan képzett ügyintéző</v>
      </c>
      <c r="L510" s="438">
        <f ca="1">IFERROR(
INDEX('Admin - FEOR'!$A$4:$F$465,MATCH(Bérköltség!H510,'Admin - FEOR'!$A$4:$A$465,0),
IF(J510="30 év alatt",3,
IF(J510="30–39 éves",4,
IF(J510="40–49 éves",5,
IF(J510="50 év és afelett",6
)))))*1,"NA")</f>
        <v>657296</v>
      </c>
      <c r="M510" s="438">
        <f t="shared" si="995"/>
        <v>1250000</v>
      </c>
      <c r="N510" s="443">
        <f t="shared" ca="1" si="996"/>
        <v>1.9017307271001194</v>
      </c>
      <c r="O510" s="438">
        <f ca="1">IFERROR(
INDEX('Admin - FEOR'!$A$4:$F$465,MATCH(Bérköltség!H510,'Admin - FEOR'!$A$4:$A$465,0),
IF(J510="30 év alatt",3,
IF(J510="30–39 éves",4,
IF(J510="40–49 éves",5,
IF(J510="50 év és afelett",6
)))))*1.5,"NA")</f>
        <v>985944</v>
      </c>
      <c r="P510" s="438">
        <f t="shared" ca="1" si="997"/>
        <v>549635.44827586215</v>
      </c>
      <c r="Q510" s="438">
        <f t="shared" si="998"/>
        <v>696839</v>
      </c>
      <c r="R510" s="444">
        <f t="shared" si="999"/>
        <v>0.55747126436781613</v>
      </c>
      <c r="S510" s="438">
        <f t="shared" ca="1" si="1000"/>
        <v>147203.55172413785</v>
      </c>
      <c r="T510" s="438">
        <f t="shared" ca="1" si="1001"/>
        <v>19136.46172413792</v>
      </c>
      <c r="U510" s="445">
        <f t="shared" ca="1" si="1002"/>
        <v>166340.01344827577</v>
      </c>
      <c r="V510" s="446">
        <f t="shared" ca="1" si="1003"/>
        <v>621087.98655172426</v>
      </c>
      <c r="W510" s="447" t="str">
        <f t="shared" ca="1" si="1004"/>
        <v>Indoklás szükséges mivel a FEOR: 190,2%</v>
      </c>
      <c r="X510" s="571">
        <v>0</v>
      </c>
      <c r="Y510" s="560">
        <v>696839</v>
      </c>
      <c r="Z510" s="560">
        <v>90589</v>
      </c>
      <c r="AA510" s="573" t="s">
        <v>4551</v>
      </c>
      <c r="AB510" s="146">
        <v>8409494051</v>
      </c>
      <c r="AC510" s="112" t="s">
        <v>152</v>
      </c>
      <c r="AD510" s="113" t="s">
        <v>46</v>
      </c>
      <c r="AE510" s="143" t="s">
        <v>25</v>
      </c>
      <c r="AF510" s="99" t="s">
        <v>125</v>
      </c>
      <c r="AG510" s="99" t="s">
        <v>153</v>
      </c>
      <c r="AH510" s="451" t="s">
        <v>97</v>
      </c>
      <c r="AI510" s="154">
        <v>44805</v>
      </c>
      <c r="AJ510" s="100" t="str">
        <f>IF(AI510&gt;0,
(IF(AI510&lt;Hónapok!$A$10,Admin!$A$28,
(IF(AI510&lt;Hónapok!$A$22,Admin!$B$28,
(IF(AI510&lt;Hónapok!$A$34,Admin!$C$28,
(IF(AI510&lt;Hónapok!$A$46,Admin!$D$28,"")))))))),"")</f>
        <v>2. mérföldkő</v>
      </c>
      <c r="AK510" s="500" t="s">
        <v>7</v>
      </c>
      <c r="AL510" s="115" t="s">
        <v>26</v>
      </c>
      <c r="AM510" s="900">
        <v>1250000</v>
      </c>
      <c r="AN510" s="860">
        <f t="shared" si="1218"/>
        <v>162500</v>
      </c>
      <c r="AO510" s="101">
        <v>174</v>
      </c>
      <c r="AP510" s="111">
        <v>97</v>
      </c>
      <c r="AQ510" s="454">
        <f t="shared" si="985"/>
        <v>0.55747126436781613</v>
      </c>
      <c r="AR510" s="561">
        <f t="shared" si="986"/>
        <v>696839</v>
      </c>
      <c r="AS510" s="561">
        <f t="shared" si="987"/>
        <v>90589</v>
      </c>
      <c r="AT510" s="102">
        <f t="shared" si="988"/>
        <v>6.4367816188237725E-8</v>
      </c>
      <c r="AU510" s="116">
        <v>0.13</v>
      </c>
      <c r="AV510" s="565" t="str">
        <f>VLOOKUP(LEFT(AB510,10),Törzsszám!$A$1:$B$908,2,0)</f>
        <v>10000901</v>
      </c>
      <c r="AW510" s="615">
        <f t="shared" si="989"/>
        <v>0</v>
      </c>
      <c r="AX510" s="150" t="s">
        <v>228</v>
      </c>
      <c r="AY510" s="505"/>
      <c r="AZ510" s="803"/>
      <c r="BA510" s="673">
        <v>696839</v>
      </c>
      <c r="BB510" s="650">
        <v>90589</v>
      </c>
      <c r="BC510" s="649">
        <f t="shared" si="1267"/>
        <v>0</v>
      </c>
      <c r="BD510" s="672">
        <f t="shared" si="1267"/>
        <v>0</v>
      </c>
      <c r="BE510" s="143" t="s">
        <v>154</v>
      </c>
    </row>
    <row r="511" spans="1:57" s="117" customFormat="1" ht="47.25" x14ac:dyDescent="0.25">
      <c r="A511" s="694" t="str">
        <f ca="1">Bérköltség!$B511</f>
        <v>FEOR</v>
      </c>
      <c r="B511" s="694" t="str">
        <f ca="1">IFERROR(
IF(AND(Bérköltség!$F511="",H511="NA"),"HIÁNYOS ADATOK",
IF(Bérköltség!$F511&lt;Bérköltség!$U511,Admin!$B$18,Admin!$B$17)),
"")</f>
        <v>FEOR</v>
      </c>
      <c r="C511" s="437">
        <f>IFERROR(INDEX('Historikus berek_2021-2'!$A$1:$F$903,MATCH(AB511,'Historikus berek_2021-2'!$A$1:$A$903,0),4),"")</f>
        <v>815183.33333333337</v>
      </c>
      <c r="D511" s="438">
        <f t="shared" si="990"/>
        <v>454441.28352490428</v>
      </c>
      <c r="E511" s="437">
        <f t="shared" si="991"/>
        <v>696839</v>
      </c>
      <c r="F511" s="439">
        <f t="shared" si="992"/>
        <v>273909.41961685818</v>
      </c>
      <c r="G511" s="440">
        <f t="shared" si="993"/>
        <v>513518.65038314176</v>
      </c>
      <c r="H511" s="441">
        <f>IFERROR(INDEX('FEOR kodok'!$A$2:$J$1126,MATCH(Bérköltség!AB511,'FEOR kodok'!$B$2:$B$1126,0),8),"NA")</f>
        <v>2910</v>
      </c>
      <c r="I511" s="436">
        <f ca="1">IFERROR(INDEX('FEOR kodok'!$A$2:$J$1126,MATCH(Bérköltség!AB511,'FEOR kodok'!$B$2:$B$1126,0),10),"NA")</f>
        <v>44</v>
      </c>
      <c r="J511" s="442" t="str">
        <f t="shared" ca="1" si="994"/>
        <v>40–49 éves</v>
      </c>
      <c r="K511" s="436" t="str">
        <f>IFERROR(INDEX(admin_feor[#All],MATCH(Bérköltség!H511,admin_feor[[#All],[Foglalkozás]],0),2),"NA")</f>
        <v>Egyéb magasan képzett ügyintéző</v>
      </c>
      <c r="L511" s="438">
        <f ca="1">IFERROR(
INDEX('Admin - FEOR'!$A$4:$F$465,MATCH(Bérköltség!H511,'Admin - FEOR'!$A$4:$A$465,0),
IF(J511="30 év alatt",3,
IF(J511="30–39 éves",4,
IF(J511="40–49 éves",5,
IF(J511="50 év és afelett",6
)))))*1,"NA")</f>
        <v>657296</v>
      </c>
      <c r="M511" s="438">
        <f t="shared" si="995"/>
        <v>1250000</v>
      </c>
      <c r="N511" s="443">
        <f t="shared" ca="1" si="996"/>
        <v>1.9017307271001194</v>
      </c>
      <c r="O511" s="438">
        <f ca="1">IFERROR(
INDEX('Admin - FEOR'!$A$4:$F$465,MATCH(Bérköltség!H511,'Admin - FEOR'!$A$4:$A$465,0),
IF(J511="30 év alatt",3,
IF(J511="30–39 éves",4,
IF(J511="40–49 éves",5,
IF(J511="50 év és afelett",6
)))))*1.5,"NA")</f>
        <v>985944</v>
      </c>
      <c r="P511" s="438">
        <f t="shared" ca="1" si="997"/>
        <v>549635.44827586215</v>
      </c>
      <c r="Q511" s="438">
        <f t="shared" si="998"/>
        <v>696839</v>
      </c>
      <c r="R511" s="444">
        <f t="shared" si="999"/>
        <v>0.55747126436781613</v>
      </c>
      <c r="S511" s="438">
        <f t="shared" ca="1" si="1000"/>
        <v>147203.55172413785</v>
      </c>
      <c r="T511" s="438">
        <f t="shared" ca="1" si="1001"/>
        <v>19136.46172413792</v>
      </c>
      <c r="U511" s="445">
        <f t="shared" ca="1" si="1002"/>
        <v>166340.01344827577</v>
      </c>
      <c r="V511" s="446">
        <f t="shared" ca="1" si="1003"/>
        <v>621087.98655172426</v>
      </c>
      <c r="W511" s="447" t="str">
        <f t="shared" ca="1" si="1004"/>
        <v>Indoklás szükséges mivel a FEOR: 190,2%</v>
      </c>
      <c r="X511" s="571">
        <v>0</v>
      </c>
      <c r="Y511" s="560">
        <v>696839</v>
      </c>
      <c r="Z511" s="560">
        <v>90589</v>
      </c>
      <c r="AA511" s="573" t="s">
        <v>4551</v>
      </c>
      <c r="AB511" s="146">
        <v>8409494051</v>
      </c>
      <c r="AC511" s="112" t="s">
        <v>152</v>
      </c>
      <c r="AD511" s="113" t="s">
        <v>46</v>
      </c>
      <c r="AE511" s="143" t="s">
        <v>25</v>
      </c>
      <c r="AF511" s="99" t="s">
        <v>125</v>
      </c>
      <c r="AG511" s="99" t="s">
        <v>153</v>
      </c>
      <c r="AH511" s="451" t="s">
        <v>97</v>
      </c>
      <c r="AI511" s="154">
        <v>44835</v>
      </c>
      <c r="AJ511" s="100" t="str">
        <f>IF(AI511&gt;0,
(IF(AI511&lt;Hónapok!$A$10,Admin!$A$28,
(IF(AI511&lt;Hónapok!$A$22,Admin!$B$28,
(IF(AI511&lt;Hónapok!$A$34,Admin!$C$28,
(IF(AI511&lt;Hónapok!$A$46,Admin!$D$28,"")))))))),"")</f>
        <v>2. mérföldkő</v>
      </c>
      <c r="AK511" s="500" t="s">
        <v>7</v>
      </c>
      <c r="AL511" s="115" t="s">
        <v>26</v>
      </c>
      <c r="AM511" s="900">
        <v>1250000</v>
      </c>
      <c r="AN511" s="860">
        <f t="shared" si="1218"/>
        <v>162500</v>
      </c>
      <c r="AO511" s="101">
        <v>174</v>
      </c>
      <c r="AP511" s="111">
        <v>97</v>
      </c>
      <c r="AQ511" s="454">
        <f t="shared" si="985"/>
        <v>0.55747126436781613</v>
      </c>
      <c r="AR511" s="561">
        <f t="shared" si="986"/>
        <v>696839</v>
      </c>
      <c r="AS511" s="561">
        <f t="shared" si="987"/>
        <v>90589</v>
      </c>
      <c r="AT511" s="102">
        <f t="shared" si="988"/>
        <v>6.4367816188237725E-8</v>
      </c>
      <c r="AU511" s="116">
        <v>0.13</v>
      </c>
      <c r="AV511" s="565" t="str">
        <f>VLOOKUP(LEFT(AB511,10),Törzsszám!$A$1:$B$908,2,0)</f>
        <v>10000901</v>
      </c>
      <c r="AW511" s="615">
        <f t="shared" si="989"/>
        <v>0</v>
      </c>
      <c r="AX511" s="150" t="s">
        <v>251</v>
      </c>
      <c r="AY511" s="505"/>
      <c r="AZ511" s="803"/>
      <c r="BA511" s="673">
        <v>696839</v>
      </c>
      <c r="BB511" s="650">
        <v>90589</v>
      </c>
      <c r="BC511" s="649">
        <f t="shared" si="1267"/>
        <v>0</v>
      </c>
      <c r="BD511" s="672">
        <f t="shared" si="1267"/>
        <v>0</v>
      </c>
      <c r="BE511" s="143" t="s">
        <v>154</v>
      </c>
    </row>
    <row r="512" spans="1:57" s="117" customFormat="1" ht="47.25" x14ac:dyDescent="0.25">
      <c r="A512" s="694" t="str">
        <f ca="1">Bérköltség!$B512</f>
        <v>FEOR</v>
      </c>
      <c r="B512" s="694" t="str">
        <f ca="1">IFERROR(
IF(AND(Bérköltség!$F512="",H512="NA"),"HIÁNYOS ADATOK",
IF(Bérköltség!$F512&lt;Bérköltség!$U512,Admin!$B$18,Admin!$B$17)),
"")</f>
        <v>FEOR</v>
      </c>
      <c r="C512" s="437">
        <f>IFERROR(INDEX('Historikus berek_2021-2'!$A$1:$F$903,MATCH(AB512,'Historikus berek_2021-2'!$A$1:$A$903,0),4),"")</f>
        <v>815183.33333333337</v>
      </c>
      <c r="D512" s="438">
        <f t="shared" si="990"/>
        <v>454441.28352490428</v>
      </c>
      <c r="E512" s="437">
        <f t="shared" si="991"/>
        <v>696839</v>
      </c>
      <c r="F512" s="439">
        <f t="shared" si="992"/>
        <v>273909.41961685818</v>
      </c>
      <c r="G512" s="440">
        <f t="shared" si="993"/>
        <v>513518.65038314176</v>
      </c>
      <c r="H512" s="441">
        <f>IFERROR(INDEX('FEOR kodok'!$A$2:$J$1126,MATCH(Bérköltség!AB512,'FEOR kodok'!$B$2:$B$1126,0),8),"NA")</f>
        <v>2910</v>
      </c>
      <c r="I512" s="436">
        <f ca="1">IFERROR(INDEX('FEOR kodok'!$A$2:$J$1126,MATCH(Bérköltség!AB512,'FEOR kodok'!$B$2:$B$1126,0),10),"NA")</f>
        <v>44</v>
      </c>
      <c r="J512" s="442" t="str">
        <f t="shared" ca="1" si="994"/>
        <v>40–49 éves</v>
      </c>
      <c r="K512" s="436" t="str">
        <f>IFERROR(INDEX(admin_feor[#All],MATCH(Bérköltség!H512,admin_feor[[#All],[Foglalkozás]],0),2),"NA")</f>
        <v>Egyéb magasan képzett ügyintéző</v>
      </c>
      <c r="L512" s="438">
        <f ca="1">IFERROR(
INDEX('Admin - FEOR'!$A$4:$F$465,MATCH(Bérköltség!H512,'Admin - FEOR'!$A$4:$A$465,0),
IF(J512="30 év alatt",3,
IF(J512="30–39 éves",4,
IF(J512="40–49 éves",5,
IF(J512="50 év és afelett",6
)))))*1,"NA")</f>
        <v>657296</v>
      </c>
      <c r="M512" s="438">
        <f t="shared" si="995"/>
        <v>1250000</v>
      </c>
      <c r="N512" s="443">
        <f t="shared" ca="1" si="996"/>
        <v>1.9017307271001194</v>
      </c>
      <c r="O512" s="438">
        <f ca="1">IFERROR(
INDEX('Admin - FEOR'!$A$4:$F$465,MATCH(Bérköltség!H512,'Admin - FEOR'!$A$4:$A$465,0),
IF(J512="30 év alatt",3,
IF(J512="30–39 éves",4,
IF(J512="40–49 éves",5,
IF(J512="50 év és afelett",6
)))))*1.5,"NA")</f>
        <v>985944</v>
      </c>
      <c r="P512" s="438">
        <f t="shared" ca="1" si="997"/>
        <v>549635.44827586215</v>
      </c>
      <c r="Q512" s="438">
        <f t="shared" si="998"/>
        <v>696839</v>
      </c>
      <c r="R512" s="444">
        <f t="shared" si="999"/>
        <v>0.55747126436781613</v>
      </c>
      <c r="S512" s="438">
        <f t="shared" ca="1" si="1000"/>
        <v>147203.55172413785</v>
      </c>
      <c r="T512" s="438">
        <f t="shared" ca="1" si="1001"/>
        <v>19136.46172413792</v>
      </c>
      <c r="U512" s="445">
        <f t="shared" ca="1" si="1002"/>
        <v>166340.01344827577</v>
      </c>
      <c r="V512" s="446">
        <f t="shared" ca="1" si="1003"/>
        <v>621087.98655172426</v>
      </c>
      <c r="W512" s="447" t="str">
        <f t="shared" ca="1" si="1004"/>
        <v>Indoklás szükséges mivel a FEOR: 190,2%</v>
      </c>
      <c r="X512" s="571">
        <v>0</v>
      </c>
      <c r="Y512" s="560">
        <v>696839</v>
      </c>
      <c r="Z512" s="560">
        <v>90589</v>
      </c>
      <c r="AA512" s="573" t="s">
        <v>4551</v>
      </c>
      <c r="AB512" s="146">
        <v>8409494051</v>
      </c>
      <c r="AC512" s="112" t="s">
        <v>152</v>
      </c>
      <c r="AD512" s="113" t="s">
        <v>46</v>
      </c>
      <c r="AE512" s="143" t="s">
        <v>25</v>
      </c>
      <c r="AF512" s="99" t="s">
        <v>125</v>
      </c>
      <c r="AG512" s="99" t="s">
        <v>153</v>
      </c>
      <c r="AH512" s="451" t="s">
        <v>97</v>
      </c>
      <c r="AI512" s="154">
        <v>44866</v>
      </c>
      <c r="AJ512" s="100" t="str">
        <f>IF(AI512&gt;0,
(IF(AI512&lt;Hónapok!$A$10,Admin!$A$28,
(IF(AI512&lt;Hónapok!$A$22,Admin!$B$28,
(IF(AI512&lt;Hónapok!$A$34,Admin!$C$28,
(IF(AI512&lt;Hónapok!$A$46,Admin!$D$28,"")))))))),"")</f>
        <v>2. mérföldkő</v>
      </c>
      <c r="AK512" s="500" t="s">
        <v>7</v>
      </c>
      <c r="AL512" s="115" t="s">
        <v>26</v>
      </c>
      <c r="AM512" s="900">
        <v>1250000</v>
      </c>
      <c r="AN512" s="860">
        <f t="shared" si="1218"/>
        <v>162500</v>
      </c>
      <c r="AO512" s="101">
        <v>174</v>
      </c>
      <c r="AP512" s="111">
        <v>97</v>
      </c>
      <c r="AQ512" s="454">
        <f t="shared" si="985"/>
        <v>0.55747126436781613</v>
      </c>
      <c r="AR512" s="561">
        <f t="shared" si="986"/>
        <v>696839</v>
      </c>
      <c r="AS512" s="561">
        <f t="shared" si="987"/>
        <v>90589</v>
      </c>
      <c r="AT512" s="102">
        <f t="shared" si="988"/>
        <v>6.4367816188237725E-8</v>
      </c>
      <c r="AU512" s="116">
        <v>0.13</v>
      </c>
      <c r="AV512" s="565" t="str">
        <f>VLOOKUP(LEFT(AB512,10),Törzsszám!$A$1:$B$908,2,0)</f>
        <v>10000901</v>
      </c>
      <c r="AW512" s="615">
        <f t="shared" si="989"/>
        <v>0</v>
      </c>
      <c r="AX512" s="150" t="s">
        <v>260</v>
      </c>
      <c r="AY512" s="505"/>
      <c r="AZ512" s="803"/>
      <c r="BA512" s="673">
        <v>696839</v>
      </c>
      <c r="BB512" s="650">
        <v>90589</v>
      </c>
      <c r="BC512" s="649">
        <f t="shared" si="1267"/>
        <v>0</v>
      </c>
      <c r="BD512" s="672">
        <f t="shared" si="1267"/>
        <v>0</v>
      </c>
      <c r="BE512" s="143" t="s">
        <v>154</v>
      </c>
    </row>
    <row r="513" spans="1:57" s="117" customFormat="1" ht="14.45" customHeight="1" x14ac:dyDescent="0.25">
      <c r="A513" s="694" t="str">
        <f ca="1">Bérköltség!$B513</f>
        <v>FEOR</v>
      </c>
      <c r="B513" s="694" t="str">
        <f ca="1">IFERROR(
IF(AND(Bérköltség!$F513="",H513="NA"),"HIÁNYOS ADATOK",
IF(Bérköltség!$F513&lt;Bérköltség!$U513,Admin!$B$18,Admin!$B$17)),
"")</f>
        <v>FEOR</v>
      </c>
      <c r="C513" s="437">
        <f>IFERROR(INDEX('Historikus berek_2021-2'!$A$1:$F$903,MATCH(AB513,'Historikus berek_2021-2'!$A$1:$A$903,0),4),"")</f>
        <v>815183.33333333337</v>
      </c>
      <c r="D513" s="438">
        <f t="shared" si="990"/>
        <v>454441.28352490428</v>
      </c>
      <c r="E513" s="437">
        <f t="shared" si="991"/>
        <v>696839</v>
      </c>
      <c r="F513" s="439">
        <f t="shared" si="992"/>
        <v>273909.41961685818</v>
      </c>
      <c r="G513" s="440">
        <f t="shared" si="993"/>
        <v>513518.65038314176</v>
      </c>
      <c r="H513" s="441">
        <f>IFERROR(INDEX('FEOR kodok'!$A$2:$J$1126,MATCH(Bérköltség!AB513,'FEOR kodok'!$B$2:$B$1126,0),8),"NA")</f>
        <v>2910</v>
      </c>
      <c r="I513" s="436">
        <f ca="1">IFERROR(INDEX('FEOR kodok'!$A$2:$J$1126,MATCH(Bérköltség!AB513,'FEOR kodok'!$B$2:$B$1126,0),10),"NA")</f>
        <v>44</v>
      </c>
      <c r="J513" s="442" t="str">
        <f t="shared" ca="1" si="994"/>
        <v>40–49 éves</v>
      </c>
      <c r="K513" s="436" t="str">
        <f>IFERROR(INDEX(admin_feor[#All],MATCH(Bérköltség!H513,admin_feor[[#All],[Foglalkozás]],0),2),"NA")</f>
        <v>Egyéb magasan képzett ügyintéző</v>
      </c>
      <c r="L513" s="438">
        <f ca="1">IFERROR(
INDEX('Admin - FEOR'!$A$4:$F$465,MATCH(Bérköltség!H513,'Admin - FEOR'!$A$4:$A$465,0),
IF(J513="30 év alatt",3,
IF(J513="30–39 éves",4,
IF(J513="40–49 éves",5,
IF(J513="50 év és afelett",6
)))))*1,"NA")</f>
        <v>657296</v>
      </c>
      <c r="M513" s="438">
        <f t="shared" si="995"/>
        <v>1250000</v>
      </c>
      <c r="N513" s="443">
        <f t="shared" ca="1" si="996"/>
        <v>1.9017307271001194</v>
      </c>
      <c r="O513" s="438">
        <f ca="1">IFERROR(
INDEX('Admin - FEOR'!$A$4:$F$465,MATCH(Bérköltség!H513,'Admin - FEOR'!$A$4:$A$465,0),
IF(J513="30 év alatt",3,
IF(J513="30–39 éves",4,
IF(J513="40–49 éves",5,
IF(J513="50 év és afelett",6
)))))*1.5,"NA")</f>
        <v>985944</v>
      </c>
      <c r="P513" s="438">
        <f t="shared" ca="1" si="997"/>
        <v>549635.44827586215</v>
      </c>
      <c r="Q513" s="438">
        <f t="shared" si="998"/>
        <v>696839</v>
      </c>
      <c r="R513" s="444">
        <f t="shared" si="999"/>
        <v>0.55747126436781613</v>
      </c>
      <c r="S513" s="438">
        <f t="shared" ca="1" si="1000"/>
        <v>147203.55172413785</v>
      </c>
      <c r="T513" s="438">
        <f t="shared" ca="1" si="1001"/>
        <v>19136.46172413792</v>
      </c>
      <c r="U513" s="445">
        <f t="shared" ca="1" si="1002"/>
        <v>166340.01344827577</v>
      </c>
      <c r="V513" s="446">
        <f t="shared" ca="1" si="1003"/>
        <v>621087.98655172426</v>
      </c>
      <c r="W513" s="447" t="str">
        <f t="shared" ca="1" si="1004"/>
        <v>Indoklás szükséges mivel a FEOR: 190,2%</v>
      </c>
      <c r="X513" s="571">
        <v>0</v>
      </c>
      <c r="Y513" s="560">
        <v>696839</v>
      </c>
      <c r="Z513" s="560">
        <v>90589</v>
      </c>
      <c r="AA513" s="573" t="s">
        <v>4551</v>
      </c>
      <c r="AB513" s="146">
        <v>8409494051</v>
      </c>
      <c r="AC513" s="112" t="s">
        <v>152</v>
      </c>
      <c r="AD513" s="113" t="s">
        <v>46</v>
      </c>
      <c r="AE513" s="143" t="s">
        <v>25</v>
      </c>
      <c r="AF513" s="99" t="s">
        <v>125</v>
      </c>
      <c r="AG513" s="99" t="s">
        <v>153</v>
      </c>
      <c r="AH513" s="451" t="s">
        <v>97</v>
      </c>
      <c r="AI513" s="154">
        <v>44896</v>
      </c>
      <c r="AJ513" s="100" t="str">
        <f>IF(AI513&gt;0,
(IF(AI513&lt;Hónapok!$A$10,Admin!$A$28,
(IF(AI513&lt;Hónapok!$A$22,Admin!$B$28,
(IF(AI513&lt;Hónapok!$A$34,Admin!$C$28,
(IF(AI513&lt;Hónapok!$A$46,Admin!$D$28,"")))))))),"")</f>
        <v>2. mérföldkő</v>
      </c>
      <c r="AK513" s="500" t="s">
        <v>7</v>
      </c>
      <c r="AL513" s="115" t="s">
        <v>26</v>
      </c>
      <c r="AM513" s="900">
        <v>1250000</v>
      </c>
      <c r="AN513" s="860">
        <f t="shared" si="1218"/>
        <v>162500</v>
      </c>
      <c r="AO513" s="101">
        <v>174</v>
      </c>
      <c r="AP513" s="111">
        <v>97</v>
      </c>
      <c r="AQ513" s="454">
        <f t="shared" si="985"/>
        <v>0.55747126436781613</v>
      </c>
      <c r="AR513" s="561">
        <f t="shared" si="986"/>
        <v>696839</v>
      </c>
      <c r="AS513" s="561">
        <f t="shared" si="987"/>
        <v>90589</v>
      </c>
      <c r="AT513" s="102">
        <f t="shared" si="988"/>
        <v>6.4367816188237725E-8</v>
      </c>
      <c r="AU513" s="116">
        <v>0.13</v>
      </c>
      <c r="AV513" s="565" t="str">
        <f>VLOOKUP(LEFT(AB513,10),Törzsszám!$A$1:$B$908,2,0)</f>
        <v>10000901</v>
      </c>
      <c r="AW513" s="615">
        <f t="shared" si="989"/>
        <v>0</v>
      </c>
      <c r="AX513" s="150" t="s">
        <v>262</v>
      </c>
      <c r="AY513" s="505"/>
      <c r="AZ513" s="803"/>
      <c r="BA513" s="673">
        <v>696839</v>
      </c>
      <c r="BB513" s="650">
        <v>90589</v>
      </c>
      <c r="BC513" s="649">
        <f t="shared" si="1267"/>
        <v>0</v>
      </c>
      <c r="BD513" s="672">
        <f t="shared" si="1267"/>
        <v>0</v>
      </c>
      <c r="BE513" s="143" t="s">
        <v>154</v>
      </c>
    </row>
    <row r="514" spans="1:57" s="117" customFormat="1" ht="14.45" customHeight="1" x14ac:dyDescent="0.25">
      <c r="A514" s="694" t="str">
        <f ca="1">Bérköltség!$B514</f>
        <v>FEOR</v>
      </c>
      <c r="B514" s="694" t="str">
        <f ca="1">IFERROR(
IF(AND(Bérköltség!$F514="",H514="NA"),"HIÁNYOS ADATOK",
IF(Bérköltség!$F514&lt;Bérköltség!$U514,Admin!$B$18,Admin!$B$17)),
"")</f>
        <v>FEOR</v>
      </c>
      <c r="C514" s="437">
        <f>IFERROR(INDEX('Historikus berek_2021-2'!$A$1:$F$903,MATCH(AB514,'Historikus berek_2021-2'!$A$1:$A$903,0),4),"")</f>
        <v>815183.33333333337</v>
      </c>
      <c r="D514" s="438">
        <f t="shared" si="990"/>
        <v>445071.3601532568</v>
      </c>
      <c r="E514" s="437">
        <f t="shared" si="991"/>
        <v>709770</v>
      </c>
      <c r="F514" s="439">
        <f t="shared" si="992"/>
        <v>299109.46302681987</v>
      </c>
      <c r="G514" s="440">
        <f t="shared" si="993"/>
        <v>502930.63697318011</v>
      </c>
      <c r="H514" s="441">
        <f>IFERROR(INDEX('FEOR kodok'!$A$2:$J$1126,MATCH(Bérköltség!AB514,'FEOR kodok'!$B$2:$B$1126,0),8),"NA")</f>
        <v>2910</v>
      </c>
      <c r="I514" s="436">
        <f ca="1">IFERROR(INDEX('FEOR kodok'!$A$2:$J$1126,MATCH(Bérköltség!AB514,'FEOR kodok'!$B$2:$B$1126,0),10),"NA")</f>
        <v>44</v>
      </c>
      <c r="J514" s="442" t="str">
        <f t="shared" ca="1" si="994"/>
        <v>40–49 éves</v>
      </c>
      <c r="K514" s="436" t="str">
        <f>IFERROR(INDEX(admin_feor[#All],MATCH(Bérköltség!H514,admin_feor[[#All],[Foglalkozás]],0),2),"NA")</f>
        <v>Egyéb magasan képzett ügyintéző</v>
      </c>
      <c r="L514" s="438">
        <f ca="1">IFERROR(
INDEX('Admin - FEOR'!$A$4:$F$465,MATCH(Bérköltség!H514,'Admin - FEOR'!$A$4:$A$465,0),
IF(J514="30 év alatt",3,
IF(J514="30–39 éves",4,
IF(J514="40–49 éves",5,
IF(J514="50 év és afelett",6
)))))*1,"NA")</f>
        <v>657296</v>
      </c>
      <c r="M514" s="438">
        <f t="shared" si="995"/>
        <v>1299999</v>
      </c>
      <c r="N514" s="443">
        <f t="shared" ca="1" si="996"/>
        <v>1.9777984347995423</v>
      </c>
      <c r="O514" s="438">
        <f ca="1">IFERROR(
INDEX('Admin - FEOR'!$A$4:$F$465,MATCH(Bérköltség!H514,'Admin - FEOR'!$A$4:$A$465,0),
IF(J514="30 év alatt",3,
IF(J514="30–39 éves",4,
IF(J514="40–49 éves",5,
IF(J514="50 év és afelett",6
)))))*1.5,"NA")</f>
        <v>985944</v>
      </c>
      <c r="P514" s="438">
        <f t="shared" ca="1" si="997"/>
        <v>538302.75862068974</v>
      </c>
      <c r="Q514" s="438">
        <f t="shared" si="998"/>
        <v>709770</v>
      </c>
      <c r="R514" s="444">
        <f t="shared" si="999"/>
        <v>0.54597701149425293</v>
      </c>
      <c r="S514" s="438">
        <f t="shared" ca="1" si="1000"/>
        <v>171467.24137931026</v>
      </c>
      <c r="T514" s="438">
        <f t="shared" ca="1" si="1001"/>
        <v>22290.741379310333</v>
      </c>
      <c r="U514" s="445">
        <f t="shared" ca="1" si="1002"/>
        <v>193757.98275862058</v>
      </c>
      <c r="V514" s="446">
        <f t="shared" ca="1" si="1003"/>
        <v>608282.01724137948</v>
      </c>
      <c r="W514" s="447" t="str">
        <f t="shared" ca="1" si="1004"/>
        <v>Indoklás szükséges mivel a FEOR: 197,8%</v>
      </c>
      <c r="X514" s="571">
        <v>0</v>
      </c>
      <c r="Y514" s="560">
        <v>709770</v>
      </c>
      <c r="Z514" s="560">
        <v>92270</v>
      </c>
      <c r="AA514" s="573" t="s">
        <v>4551</v>
      </c>
      <c r="AB514" s="146">
        <v>8409494051</v>
      </c>
      <c r="AC514" s="112" t="s">
        <v>152</v>
      </c>
      <c r="AD514" s="113" t="s">
        <v>46</v>
      </c>
      <c r="AE514" s="143" t="s">
        <v>25</v>
      </c>
      <c r="AF514" s="99" t="s">
        <v>125</v>
      </c>
      <c r="AG514" s="99" t="s">
        <v>153</v>
      </c>
      <c r="AH514" s="451" t="s">
        <v>97</v>
      </c>
      <c r="AI514" s="154">
        <v>44927</v>
      </c>
      <c r="AJ514" s="100" t="str">
        <f>IF(AI514&gt;0,
(IF(AI514&lt;Hónapok!$A$10,Admin!$A$28,
(IF(AI514&lt;Hónapok!$A$22,Admin!$B$28,
(IF(AI514&lt;Hónapok!$A$34,Admin!$C$28,
(IF(AI514&lt;Hónapok!$A$46,Admin!$D$28,"")))))))),"")</f>
        <v>2. mérföldkő</v>
      </c>
      <c r="AK514" s="500" t="s">
        <v>7</v>
      </c>
      <c r="AL514" s="115" t="s">
        <v>26</v>
      </c>
      <c r="AM514" s="900">
        <v>1299999</v>
      </c>
      <c r="AN514" s="860">
        <f t="shared" si="1218"/>
        <v>169000</v>
      </c>
      <c r="AO514" s="101">
        <v>174</v>
      </c>
      <c r="AP514" s="111">
        <v>95</v>
      </c>
      <c r="AQ514" s="454">
        <f t="shared" si="985"/>
        <v>0.54597701149425293</v>
      </c>
      <c r="AR514" s="561">
        <f t="shared" si="986"/>
        <v>709770</v>
      </c>
      <c r="AS514" s="561">
        <f t="shared" si="987"/>
        <v>92270</v>
      </c>
      <c r="AT514" s="102">
        <f t="shared" si="988"/>
        <v>-3.3156524170685486E-7</v>
      </c>
      <c r="AU514" s="116">
        <v>0.13</v>
      </c>
      <c r="AV514" s="565" t="str">
        <f>VLOOKUP(LEFT(AB514,10),Törzsszám!$A$1:$B$908,2,0)</f>
        <v>10000901</v>
      </c>
      <c r="AW514" s="615">
        <f t="shared" si="989"/>
        <v>0</v>
      </c>
      <c r="AX514" s="150" t="s">
        <v>2518</v>
      </c>
      <c r="AY514" s="505"/>
      <c r="AZ514" s="803"/>
      <c r="BA514" s="673">
        <v>709770</v>
      </c>
      <c r="BB514" s="650">
        <v>92270</v>
      </c>
      <c r="BC514" s="649">
        <f t="shared" si="1267"/>
        <v>0</v>
      </c>
      <c r="BD514" s="672">
        <f t="shared" si="1267"/>
        <v>0</v>
      </c>
      <c r="BE514" s="143" t="s">
        <v>154</v>
      </c>
    </row>
    <row r="515" spans="1:57" s="117" customFormat="1" ht="14.45" customHeight="1" x14ac:dyDescent="0.25">
      <c r="A515" s="694" t="str">
        <f ca="1">Bérköltség!$B515</f>
        <v>FEOR</v>
      </c>
      <c r="B515" s="694" t="str">
        <f ca="1">IFERROR(
IF(AND(Bérköltség!$F515="",H515="NA"),"HIÁNYOS ADATOK",
IF(Bérköltség!$F515&lt;Bérköltség!$U515,Admin!$B$18,Admin!$B$17)),
"")</f>
        <v>FEOR</v>
      </c>
      <c r="C515" s="437">
        <f>IFERROR(INDEX('Historikus berek_2021-2'!$A$1:$F$903,MATCH(AB515,'Historikus berek_2021-2'!$A$1:$A$903,0),4),"")</f>
        <v>815183.33333333337</v>
      </c>
      <c r="D515" s="438">
        <f t="shared" si="990"/>
        <v>445071.3601532568</v>
      </c>
      <c r="E515" s="437">
        <f t="shared" si="991"/>
        <v>709770</v>
      </c>
      <c r="F515" s="439">
        <f t="shared" si="992"/>
        <v>299109.46302681987</v>
      </c>
      <c r="G515" s="440">
        <f t="shared" si="993"/>
        <v>502930.63697318011</v>
      </c>
      <c r="H515" s="441">
        <f>IFERROR(INDEX('FEOR kodok'!$A$2:$J$1126,MATCH(Bérköltség!AB515,'FEOR kodok'!$B$2:$B$1126,0),8),"NA")</f>
        <v>2910</v>
      </c>
      <c r="I515" s="436">
        <f ca="1">IFERROR(INDEX('FEOR kodok'!$A$2:$J$1126,MATCH(Bérköltség!AB515,'FEOR kodok'!$B$2:$B$1126,0),10),"NA")</f>
        <v>44</v>
      </c>
      <c r="J515" s="442" t="str">
        <f t="shared" ca="1" si="994"/>
        <v>40–49 éves</v>
      </c>
      <c r="K515" s="436" t="str">
        <f>IFERROR(INDEX(admin_feor[#All],MATCH(Bérköltség!H515,admin_feor[[#All],[Foglalkozás]],0),2),"NA")</f>
        <v>Egyéb magasan képzett ügyintéző</v>
      </c>
      <c r="L515" s="438">
        <f ca="1">IFERROR(
INDEX('Admin - FEOR'!$A$4:$F$465,MATCH(Bérköltség!H515,'Admin - FEOR'!$A$4:$A$465,0),
IF(J515="30 év alatt",3,
IF(J515="30–39 éves",4,
IF(J515="40–49 éves",5,
IF(J515="50 év és afelett",6
)))))*1,"NA")</f>
        <v>657296</v>
      </c>
      <c r="M515" s="438">
        <f t="shared" si="995"/>
        <v>1300000</v>
      </c>
      <c r="N515" s="443">
        <f t="shared" ca="1" si="996"/>
        <v>1.977799956184124</v>
      </c>
      <c r="O515" s="438">
        <f ca="1">IFERROR(
INDEX('Admin - FEOR'!$A$4:$F$465,MATCH(Bérköltség!H515,'Admin - FEOR'!$A$4:$A$465,0),
IF(J515="30 év alatt",3,
IF(J515="30–39 éves",4,
IF(J515="40–49 éves",5,
IF(J515="50 év és afelett",6
)))))*1.5,"NA")</f>
        <v>985944</v>
      </c>
      <c r="P515" s="438">
        <f t="shared" ca="1" si="997"/>
        <v>538302.75862068974</v>
      </c>
      <c r="Q515" s="438">
        <f t="shared" si="998"/>
        <v>709770</v>
      </c>
      <c r="R515" s="444">
        <f t="shared" si="999"/>
        <v>0.54597701149425293</v>
      </c>
      <c r="S515" s="438">
        <f t="shared" ca="1" si="1000"/>
        <v>171467.24137931026</v>
      </c>
      <c r="T515" s="438">
        <f t="shared" ca="1" si="1001"/>
        <v>22290.741379310333</v>
      </c>
      <c r="U515" s="445">
        <f t="shared" ca="1" si="1002"/>
        <v>193757.98275862058</v>
      </c>
      <c r="V515" s="446">
        <f t="shared" ca="1" si="1003"/>
        <v>608282.01724137948</v>
      </c>
      <c r="W515" s="447" t="str">
        <f t="shared" ca="1" si="1004"/>
        <v>Indoklás szükséges mivel a FEOR: 197,8%</v>
      </c>
      <c r="X515" s="571">
        <v>0</v>
      </c>
      <c r="Y515" s="560">
        <v>709770</v>
      </c>
      <c r="Z515" s="560">
        <v>92270</v>
      </c>
      <c r="AA515" s="115"/>
      <c r="AB515" s="146">
        <v>8409494051</v>
      </c>
      <c r="AC515" s="112" t="s">
        <v>152</v>
      </c>
      <c r="AD515" s="113" t="s">
        <v>46</v>
      </c>
      <c r="AE515" s="143" t="s">
        <v>25</v>
      </c>
      <c r="AF515" s="99" t="s">
        <v>125</v>
      </c>
      <c r="AG515" s="99" t="s">
        <v>153</v>
      </c>
      <c r="AH515" s="451" t="s">
        <v>97</v>
      </c>
      <c r="AI515" s="154">
        <v>44958</v>
      </c>
      <c r="AJ515" s="100" t="str">
        <f>IF(AI515&gt;0,
(IF(AI515&lt;Hónapok!$A$10,Admin!$A$28,
(IF(AI515&lt;Hónapok!$A$22,Admin!$B$28,
(IF(AI515&lt;Hónapok!$A$34,Admin!$C$28,
(IF(AI515&lt;Hónapok!$A$46,Admin!$D$28,"")))))))),"")</f>
        <v>2. mérföldkő</v>
      </c>
      <c r="AK515" s="500" t="s">
        <v>7</v>
      </c>
      <c r="AL515" s="115" t="s">
        <v>26</v>
      </c>
      <c r="AM515" s="900">
        <v>1300000</v>
      </c>
      <c r="AN515" s="860">
        <f t="shared" si="1218"/>
        <v>169000</v>
      </c>
      <c r="AO515" s="101">
        <v>174</v>
      </c>
      <c r="AP515" s="111">
        <v>95</v>
      </c>
      <c r="AQ515" s="454">
        <f t="shared" si="985"/>
        <v>0.54597701149425293</v>
      </c>
      <c r="AR515" s="561">
        <f t="shared" si="986"/>
        <v>709770</v>
      </c>
      <c r="AS515" s="561">
        <f t="shared" si="987"/>
        <v>92270</v>
      </c>
      <c r="AT515" s="102">
        <f t="shared" si="988"/>
        <v>8.8417329902057418E-8</v>
      </c>
      <c r="AU515" s="116">
        <v>0.13</v>
      </c>
      <c r="AV515" s="565" t="str">
        <f>VLOOKUP(LEFT(AB515,10),Törzsszám!$A$1:$B$908,2,0)</f>
        <v>10000901</v>
      </c>
      <c r="AW515" s="615">
        <f t="shared" si="989"/>
        <v>0</v>
      </c>
      <c r="AX515" s="537" t="s">
        <v>4557</v>
      </c>
      <c r="AY515" s="505"/>
      <c r="AZ515" s="803"/>
      <c r="BA515" s="673"/>
      <c r="BB515" s="650"/>
      <c r="BC515" s="649"/>
      <c r="BD515" s="672"/>
      <c r="BE515" s="143" t="s">
        <v>154</v>
      </c>
    </row>
    <row r="516" spans="1:57" s="117" customFormat="1" ht="14.45" customHeight="1" x14ac:dyDescent="0.25">
      <c r="A516" s="694" t="str">
        <f ca="1">Bérköltség!$B516</f>
        <v>FEOR</v>
      </c>
      <c r="B516" s="694" t="str">
        <f ca="1">IFERROR(
IF(AND(Bérköltség!$F516="",H516="NA"),"HIÁNYOS ADATOK",
IF(Bérköltség!$F516&lt;Bérköltség!$U516,Admin!$B$18,Admin!$B$17)),
"")</f>
        <v>FEOR</v>
      </c>
      <c r="C516" s="437">
        <f>IFERROR(INDEX('Historikus berek_2021-2'!$A$1:$F$903,MATCH(AB516,'Historikus berek_2021-2'!$A$1:$A$903,0),4),"")</f>
        <v>815183.33333333337</v>
      </c>
      <c r="D516" s="438">
        <f t="shared" si="990"/>
        <v>445071.3601532568</v>
      </c>
      <c r="E516" s="437">
        <f t="shared" si="991"/>
        <v>709770</v>
      </c>
      <c r="F516" s="439">
        <f t="shared" si="992"/>
        <v>299109.46302681987</v>
      </c>
      <c r="G516" s="440">
        <f t="shared" si="993"/>
        <v>502930.63697318011</v>
      </c>
      <c r="H516" s="441">
        <f>IFERROR(INDEX('FEOR kodok'!$A$2:$J$1126,MATCH(Bérköltség!AB516,'FEOR kodok'!$B$2:$B$1126,0),8),"NA")</f>
        <v>2910</v>
      </c>
      <c r="I516" s="436">
        <f ca="1">IFERROR(INDEX('FEOR kodok'!$A$2:$J$1126,MATCH(Bérköltség!AB516,'FEOR kodok'!$B$2:$B$1126,0),10),"NA")</f>
        <v>44</v>
      </c>
      <c r="J516" s="442" t="str">
        <f t="shared" ca="1" si="994"/>
        <v>40–49 éves</v>
      </c>
      <c r="K516" s="436" t="str">
        <f>IFERROR(INDEX(admin_feor[#All],MATCH(Bérköltség!H516,admin_feor[[#All],[Foglalkozás]],0),2),"NA")</f>
        <v>Egyéb magasan képzett ügyintéző</v>
      </c>
      <c r="L516" s="438">
        <f ca="1">IFERROR(
INDEX('Admin - FEOR'!$A$4:$F$465,MATCH(Bérköltség!H516,'Admin - FEOR'!$A$4:$A$465,0),
IF(J516="30 év alatt",3,
IF(J516="30–39 éves",4,
IF(J516="40–49 éves",5,
IF(J516="50 év és afelett",6
)))))*1,"NA")</f>
        <v>657296</v>
      </c>
      <c r="M516" s="438">
        <f t="shared" si="995"/>
        <v>1300000</v>
      </c>
      <c r="N516" s="443">
        <f t="shared" ca="1" si="996"/>
        <v>1.977799956184124</v>
      </c>
      <c r="O516" s="438">
        <f ca="1">IFERROR(
INDEX('Admin - FEOR'!$A$4:$F$465,MATCH(Bérköltség!H516,'Admin - FEOR'!$A$4:$A$465,0),
IF(J516="30 év alatt",3,
IF(J516="30–39 éves",4,
IF(J516="40–49 éves",5,
IF(J516="50 év és afelett",6
)))))*1.5,"NA")</f>
        <v>985944</v>
      </c>
      <c r="P516" s="438">
        <f t="shared" ca="1" si="997"/>
        <v>538302.75862068974</v>
      </c>
      <c r="Q516" s="438">
        <f t="shared" si="998"/>
        <v>709770</v>
      </c>
      <c r="R516" s="444">
        <f t="shared" si="999"/>
        <v>0.54597701149425293</v>
      </c>
      <c r="S516" s="438">
        <f t="shared" ca="1" si="1000"/>
        <v>171467.24137931026</v>
      </c>
      <c r="T516" s="438">
        <f t="shared" ca="1" si="1001"/>
        <v>22290.741379310333</v>
      </c>
      <c r="U516" s="445">
        <f t="shared" ca="1" si="1002"/>
        <v>193757.98275862058</v>
      </c>
      <c r="V516" s="446">
        <f t="shared" ca="1" si="1003"/>
        <v>608282.01724137948</v>
      </c>
      <c r="W516" s="447" t="str">
        <f t="shared" ca="1" si="1004"/>
        <v>Indoklás szükséges mivel a FEOR: 197,8%</v>
      </c>
      <c r="X516" s="571">
        <v>0</v>
      </c>
      <c r="Y516" s="560">
        <v>709770</v>
      </c>
      <c r="Z516" s="560">
        <v>92270</v>
      </c>
      <c r="AA516" s="115"/>
      <c r="AB516" s="146">
        <v>8409494051</v>
      </c>
      <c r="AC516" s="112" t="s">
        <v>152</v>
      </c>
      <c r="AD516" s="113" t="s">
        <v>46</v>
      </c>
      <c r="AE516" s="143" t="s">
        <v>25</v>
      </c>
      <c r="AF516" s="99" t="s">
        <v>125</v>
      </c>
      <c r="AG516" s="99" t="s">
        <v>153</v>
      </c>
      <c r="AH516" s="451" t="s">
        <v>97</v>
      </c>
      <c r="AI516" s="154">
        <v>44986</v>
      </c>
      <c r="AJ516" s="100" t="str">
        <f>IF(AI516&gt;0,
(IF(AI516&lt;Hónapok!$A$10,Admin!$A$28,
(IF(AI516&lt;Hónapok!$A$22,Admin!$B$28,
(IF(AI516&lt;Hónapok!$A$34,Admin!$C$28,
(IF(AI516&lt;Hónapok!$A$46,Admin!$D$28,"")))))))),"")</f>
        <v>3. mérföldkő</v>
      </c>
      <c r="AK516" s="470" t="s">
        <v>7</v>
      </c>
      <c r="AL516" s="115" t="s">
        <v>26</v>
      </c>
      <c r="AM516" s="900">
        <v>1300000</v>
      </c>
      <c r="AN516" s="860">
        <f t="shared" si="1218"/>
        <v>169000</v>
      </c>
      <c r="AO516" s="101">
        <v>174</v>
      </c>
      <c r="AP516" s="111">
        <v>95</v>
      </c>
      <c r="AQ516" s="454">
        <f t="shared" si="985"/>
        <v>0.54597701149425293</v>
      </c>
      <c r="AR516" s="455">
        <f t="shared" si="986"/>
        <v>709770</v>
      </c>
      <c r="AS516" s="455">
        <f t="shared" si="987"/>
        <v>92270</v>
      </c>
      <c r="AT516" s="102">
        <f t="shared" si="988"/>
        <v>8.8417329902057418E-8</v>
      </c>
      <c r="AU516" s="116">
        <v>0.13</v>
      </c>
      <c r="AV516" s="565" t="str">
        <f>VLOOKUP(LEFT(AB516,10),Törzsszám!$A$1:$B$908,2,0)</f>
        <v>10000901</v>
      </c>
      <c r="AW516" s="615">
        <f t="shared" si="989"/>
        <v>0</v>
      </c>
      <c r="AX516" s="471" t="s">
        <v>4561</v>
      </c>
      <c r="AY516" s="505"/>
      <c r="AZ516" s="803"/>
      <c r="BA516" s="673"/>
      <c r="BB516" s="650"/>
      <c r="BC516" s="649"/>
      <c r="BD516" s="672"/>
      <c r="BE516" s="143" t="s">
        <v>154</v>
      </c>
    </row>
    <row r="517" spans="1:57" s="117" customFormat="1" ht="14.45" customHeight="1" x14ac:dyDescent="0.25">
      <c r="A517" s="694" t="str">
        <f ca="1">Bérköltség!$B517</f>
        <v>FEOR</v>
      </c>
      <c r="B517" s="694" t="str">
        <f ca="1">IFERROR(
IF(AND(Bérköltség!$F517="",H517="NA"),"HIÁNYOS ADATOK",
IF(Bérköltség!$F517&lt;Bérköltség!$U517,Admin!$B$18,Admin!$B$17)),
"")</f>
        <v>FEOR</v>
      </c>
      <c r="C517" s="437">
        <f>IFERROR(INDEX('Historikus berek_2021-2'!$A$1:$F$903,MATCH(AB517,'Historikus berek_2021-2'!$A$1:$A$903,0),4),"")</f>
        <v>815183.33333333337</v>
      </c>
      <c r="D517" s="438">
        <f t="shared" si="990"/>
        <v>445071.3601532568</v>
      </c>
      <c r="E517" s="437">
        <f t="shared" si="991"/>
        <v>709770</v>
      </c>
      <c r="F517" s="439">
        <f t="shared" si="992"/>
        <v>299109.46302681987</v>
      </c>
      <c r="G517" s="440">
        <f t="shared" si="993"/>
        <v>502930.63697318011</v>
      </c>
      <c r="H517" s="441">
        <f>IFERROR(INDEX('FEOR kodok'!$A$2:$J$1126,MATCH(Bérköltség!AB517,'FEOR kodok'!$B$2:$B$1126,0),8),"NA")</f>
        <v>2910</v>
      </c>
      <c r="I517" s="436">
        <f ca="1">IFERROR(INDEX('FEOR kodok'!$A$2:$J$1126,MATCH(Bérköltség!AB517,'FEOR kodok'!$B$2:$B$1126,0),10),"NA")</f>
        <v>44</v>
      </c>
      <c r="J517" s="442" t="str">
        <f t="shared" ca="1" si="994"/>
        <v>40–49 éves</v>
      </c>
      <c r="K517" s="436" t="str">
        <f>IFERROR(INDEX(admin_feor[#All],MATCH(Bérköltség!H517,admin_feor[[#All],[Foglalkozás]],0),2),"NA")</f>
        <v>Egyéb magasan képzett ügyintéző</v>
      </c>
      <c r="L517" s="438">
        <f ca="1">IFERROR(
INDEX('Admin - FEOR'!$A$4:$F$465,MATCH(Bérköltség!H517,'Admin - FEOR'!$A$4:$A$465,0),
IF(J517="30 év alatt",3,
IF(J517="30–39 éves",4,
IF(J517="40–49 éves",5,
IF(J517="50 év és afelett",6
)))))*1,"NA")</f>
        <v>657296</v>
      </c>
      <c r="M517" s="438">
        <f t="shared" si="995"/>
        <v>1300000</v>
      </c>
      <c r="N517" s="443">
        <f t="shared" ca="1" si="996"/>
        <v>1.977799956184124</v>
      </c>
      <c r="O517" s="438">
        <f ca="1">IFERROR(
INDEX('Admin - FEOR'!$A$4:$F$465,MATCH(Bérköltség!H517,'Admin - FEOR'!$A$4:$A$465,0),
IF(J517="30 év alatt",3,
IF(J517="30–39 éves",4,
IF(J517="40–49 éves",5,
IF(J517="50 év és afelett",6
)))))*1.5,"NA")</f>
        <v>985944</v>
      </c>
      <c r="P517" s="438">
        <f t="shared" ca="1" si="997"/>
        <v>538302.75862068974</v>
      </c>
      <c r="Q517" s="438">
        <f t="shared" si="998"/>
        <v>709770</v>
      </c>
      <c r="R517" s="444">
        <f t="shared" si="999"/>
        <v>0.54597701149425293</v>
      </c>
      <c r="S517" s="438">
        <f t="shared" ca="1" si="1000"/>
        <v>171467.24137931026</v>
      </c>
      <c r="T517" s="438">
        <f t="shared" ca="1" si="1001"/>
        <v>22290.741379310333</v>
      </c>
      <c r="U517" s="445">
        <f t="shared" ca="1" si="1002"/>
        <v>193757.98275862058</v>
      </c>
      <c r="V517" s="446">
        <f t="shared" ca="1" si="1003"/>
        <v>608282.01724137948</v>
      </c>
      <c r="W517" s="447" t="str">
        <f t="shared" ca="1" si="1004"/>
        <v>Indoklás szükséges mivel a FEOR: 197,8%</v>
      </c>
      <c r="X517" s="571">
        <v>0</v>
      </c>
      <c r="Y517" s="560">
        <v>709770</v>
      </c>
      <c r="Z517" s="560">
        <v>92270</v>
      </c>
      <c r="AA517" s="115"/>
      <c r="AB517" s="146">
        <v>8409494051</v>
      </c>
      <c r="AC517" s="112" t="s">
        <v>152</v>
      </c>
      <c r="AD517" s="113" t="s">
        <v>46</v>
      </c>
      <c r="AE517" s="143" t="s">
        <v>25</v>
      </c>
      <c r="AF517" s="99" t="s">
        <v>125</v>
      </c>
      <c r="AG517" s="99" t="s">
        <v>153</v>
      </c>
      <c r="AH517" s="451" t="s">
        <v>97</v>
      </c>
      <c r="AI517" s="154">
        <v>45017</v>
      </c>
      <c r="AJ517" s="100" t="str">
        <f>IF(AI517&gt;0,
(IF(AI517&lt;Hónapok!$A$10,Admin!$A$28,
(IF(AI517&lt;Hónapok!$A$22,Admin!$B$28,
(IF(AI517&lt;Hónapok!$A$34,Admin!$C$28,
(IF(AI517&lt;Hónapok!$A$46,Admin!$D$28,"")))))))),"")</f>
        <v>3. mérföldkő</v>
      </c>
      <c r="AK517" s="500" t="s">
        <v>7</v>
      </c>
      <c r="AL517" s="115" t="s">
        <v>26</v>
      </c>
      <c r="AM517" s="900">
        <v>1300000</v>
      </c>
      <c r="AN517" s="860">
        <f t="shared" si="1218"/>
        <v>169000</v>
      </c>
      <c r="AO517" s="101">
        <v>174</v>
      </c>
      <c r="AP517" s="111">
        <v>95</v>
      </c>
      <c r="AQ517" s="454">
        <f t="shared" si="985"/>
        <v>0.54597701149425293</v>
      </c>
      <c r="AR517" s="455">
        <f t="shared" si="986"/>
        <v>709770</v>
      </c>
      <c r="AS517" s="455">
        <f t="shared" si="987"/>
        <v>92270</v>
      </c>
      <c r="AT517" s="102">
        <f t="shared" si="988"/>
        <v>8.8417329902057418E-8</v>
      </c>
      <c r="AU517" s="116">
        <v>0.13</v>
      </c>
      <c r="AV517" s="565" t="str">
        <f>VLOOKUP(LEFT(AB517,10),Törzsszám!$A$1:$B$908,2,0)</f>
        <v>10000901</v>
      </c>
      <c r="AW517" s="681">
        <f t="shared" si="989"/>
        <v>0</v>
      </c>
      <c r="AX517" s="471" t="s">
        <v>4581</v>
      </c>
      <c r="AY517" s="505"/>
      <c r="AZ517" s="803"/>
      <c r="BA517" s="673"/>
      <c r="BB517" s="650"/>
      <c r="BC517" s="649"/>
      <c r="BD517" s="672"/>
      <c r="BE517" s="143" t="s">
        <v>154</v>
      </c>
    </row>
    <row r="518" spans="1:57" s="117" customFormat="1" ht="14.45" customHeight="1" x14ac:dyDescent="0.25">
      <c r="A518" s="694" t="str">
        <f ca="1">Bérköltség!$B518</f>
        <v>FEOR</v>
      </c>
      <c r="B518" s="694" t="str">
        <f ca="1">IFERROR(
IF(AND(Bérköltség!$F518="",H518="NA"),"HIÁNYOS ADATOK",
IF(Bérköltség!$F518&lt;Bérköltség!$U518,Admin!$B$18,Admin!$B$17)),
"")</f>
        <v>FEOR</v>
      </c>
      <c r="C518" s="437">
        <f>IFERROR(INDEX('Historikus berek_2021-2'!$A$1:$F$903,MATCH(AB518,'Historikus berek_2021-2'!$A$1:$A$903,0),4),"")</f>
        <v>815183.33333333337</v>
      </c>
      <c r="D518" s="438">
        <f t="shared" si="990"/>
        <v>445071.3601532568</v>
      </c>
      <c r="E518" s="437">
        <f t="shared" si="991"/>
        <v>709770</v>
      </c>
      <c r="F518" s="439">
        <f t="shared" si="992"/>
        <v>299109.46302681987</v>
      </c>
      <c r="G518" s="440">
        <f t="shared" si="993"/>
        <v>502930.63697318011</v>
      </c>
      <c r="H518" s="441">
        <f>IFERROR(INDEX('FEOR kodok'!$A$2:$J$1126,MATCH(Bérköltség!AB518,'FEOR kodok'!$B$2:$B$1126,0),8),"NA")</f>
        <v>2910</v>
      </c>
      <c r="I518" s="436">
        <f ca="1">IFERROR(INDEX('FEOR kodok'!$A$2:$J$1126,MATCH(Bérköltség!AB518,'FEOR kodok'!$B$2:$B$1126,0),10),"NA")</f>
        <v>44</v>
      </c>
      <c r="J518" s="442" t="str">
        <f t="shared" ca="1" si="994"/>
        <v>40–49 éves</v>
      </c>
      <c r="K518" s="436" t="str">
        <f>IFERROR(INDEX(admin_feor[#All],MATCH(Bérköltség!H518,admin_feor[[#All],[Foglalkozás]],0),2),"NA")</f>
        <v>Egyéb magasan képzett ügyintéző</v>
      </c>
      <c r="L518" s="438">
        <f ca="1">IFERROR(
INDEX('Admin - FEOR'!$A$4:$F$465,MATCH(Bérköltség!H518,'Admin - FEOR'!$A$4:$A$465,0),
IF(J518="30 év alatt",3,
IF(J518="30–39 éves",4,
IF(J518="40–49 éves",5,
IF(J518="50 év és afelett",6
)))))*1,"NA")</f>
        <v>657296</v>
      </c>
      <c r="M518" s="438">
        <f t="shared" si="995"/>
        <v>1300000</v>
      </c>
      <c r="N518" s="443">
        <f t="shared" ca="1" si="996"/>
        <v>1.977799956184124</v>
      </c>
      <c r="O518" s="438">
        <f ca="1">IFERROR(
INDEX('Admin - FEOR'!$A$4:$F$465,MATCH(Bérköltség!H518,'Admin - FEOR'!$A$4:$A$465,0),
IF(J518="30 év alatt",3,
IF(J518="30–39 éves",4,
IF(J518="40–49 éves",5,
IF(J518="50 év és afelett",6
)))))*1.5,"NA")</f>
        <v>985944</v>
      </c>
      <c r="P518" s="438">
        <f t="shared" ca="1" si="997"/>
        <v>538302.75862068974</v>
      </c>
      <c r="Q518" s="438">
        <f t="shared" si="998"/>
        <v>709770</v>
      </c>
      <c r="R518" s="444">
        <f t="shared" si="999"/>
        <v>0.54597701149425293</v>
      </c>
      <c r="S518" s="438">
        <f t="shared" ca="1" si="1000"/>
        <v>171467.24137931026</v>
      </c>
      <c r="T518" s="438">
        <f t="shared" ca="1" si="1001"/>
        <v>22290.741379310333</v>
      </c>
      <c r="U518" s="445">
        <f t="shared" ca="1" si="1002"/>
        <v>193757.98275862058</v>
      </c>
      <c r="V518" s="446">
        <f t="shared" ca="1" si="1003"/>
        <v>608282.01724137948</v>
      </c>
      <c r="W518" s="447" t="str">
        <f t="shared" ca="1" si="1004"/>
        <v>Indoklás szükséges mivel a FEOR: 197,8%</v>
      </c>
      <c r="X518" s="571">
        <v>0</v>
      </c>
      <c r="Y518" s="560">
        <v>709770</v>
      </c>
      <c r="Z518" s="560">
        <v>92270</v>
      </c>
      <c r="AA518" s="115"/>
      <c r="AB518" s="146">
        <v>8409494051</v>
      </c>
      <c r="AC518" s="112" t="s">
        <v>152</v>
      </c>
      <c r="AD518" s="113" t="s">
        <v>46</v>
      </c>
      <c r="AE518" s="143" t="s">
        <v>25</v>
      </c>
      <c r="AF518" s="99" t="s">
        <v>125</v>
      </c>
      <c r="AG518" s="99" t="s">
        <v>153</v>
      </c>
      <c r="AH518" s="451" t="s">
        <v>97</v>
      </c>
      <c r="AI518" s="154">
        <v>45047</v>
      </c>
      <c r="AJ518" s="100" t="str">
        <f>IF(AI518&gt;0,
(IF(AI518&lt;Hónapok!$A$10,Admin!$A$28,
(IF(AI518&lt;Hónapok!$A$22,Admin!$B$28,
(IF(AI518&lt;Hónapok!$A$34,Admin!$C$28,
(IF(AI518&lt;Hónapok!$A$46,Admin!$D$28,"")))))))),"")</f>
        <v>3. mérföldkő</v>
      </c>
      <c r="AK518" s="500" t="s">
        <v>7</v>
      </c>
      <c r="AL518" s="115" t="s">
        <v>26</v>
      </c>
      <c r="AM518" s="900">
        <v>1300000</v>
      </c>
      <c r="AN518" s="860">
        <f t="shared" si="1218"/>
        <v>169000</v>
      </c>
      <c r="AO518" s="101">
        <v>174</v>
      </c>
      <c r="AP518" s="111">
        <v>95</v>
      </c>
      <c r="AQ518" s="454">
        <f t="shared" si="985"/>
        <v>0.54597701149425293</v>
      </c>
      <c r="AR518" s="455">
        <f t="shared" si="986"/>
        <v>709770</v>
      </c>
      <c r="AS518" s="455">
        <f t="shared" si="987"/>
        <v>92270</v>
      </c>
      <c r="AT518" s="102">
        <f t="shared" si="988"/>
        <v>8.8417329902057418E-8</v>
      </c>
      <c r="AU518" s="116">
        <v>0.13</v>
      </c>
      <c r="AV518" s="565" t="str">
        <f>VLOOKUP(LEFT(AB518,10),Törzsszám!$A$1:$B$908,2,0)</f>
        <v>10000901</v>
      </c>
      <c r="AW518" s="681">
        <f t="shared" si="989"/>
        <v>0</v>
      </c>
      <c r="AX518" s="471" t="s">
        <v>4596</v>
      </c>
      <c r="AY518" s="505"/>
      <c r="AZ518" s="803"/>
      <c r="BA518" s="673"/>
      <c r="BB518" s="650"/>
      <c r="BC518" s="649"/>
      <c r="BD518" s="672"/>
      <c r="BE518" s="143" t="s">
        <v>154</v>
      </c>
    </row>
    <row r="519" spans="1:57" s="117" customFormat="1" ht="14.45" customHeight="1" x14ac:dyDescent="0.25">
      <c r="A519" s="694" t="str">
        <f ca="1">Bérköltség!$B519</f>
        <v>FEOR</v>
      </c>
      <c r="B519" s="694" t="str">
        <f ca="1">IFERROR(
IF(AND(Bérköltség!$F519="",H519="NA"),"HIÁNYOS ADATOK",
IF(Bérköltség!$F519&lt;Bérköltség!$U519,Admin!$B$18,Admin!$B$17)),
"")</f>
        <v>FEOR</v>
      </c>
      <c r="C519" s="437">
        <f>IFERROR(INDEX('Historikus berek_2021-2'!$A$1:$F$903,MATCH(AB519,'Historikus berek_2021-2'!$A$1:$A$903,0),4),"")</f>
        <v>815183.33333333337</v>
      </c>
      <c r="D519" s="438">
        <f t="shared" si="990"/>
        <v>445071.3601532568</v>
      </c>
      <c r="E519" s="437">
        <f t="shared" si="991"/>
        <v>709770</v>
      </c>
      <c r="F519" s="439">
        <f t="shared" si="992"/>
        <v>299109.46302681987</v>
      </c>
      <c r="G519" s="440">
        <f t="shared" si="993"/>
        <v>502930.63697318011</v>
      </c>
      <c r="H519" s="441">
        <f>IFERROR(INDEX('FEOR kodok'!$A$2:$J$1126,MATCH(Bérköltség!AB519,'FEOR kodok'!$B$2:$B$1126,0),8),"NA")</f>
        <v>2910</v>
      </c>
      <c r="I519" s="436">
        <f ca="1">IFERROR(INDEX('FEOR kodok'!$A$2:$J$1126,MATCH(Bérköltség!AB519,'FEOR kodok'!$B$2:$B$1126,0),10),"NA")</f>
        <v>44</v>
      </c>
      <c r="J519" s="442" t="str">
        <f t="shared" ca="1" si="994"/>
        <v>40–49 éves</v>
      </c>
      <c r="K519" s="436" t="str">
        <f>IFERROR(INDEX(admin_feor[#All],MATCH(Bérköltség!H519,admin_feor[[#All],[Foglalkozás]],0),2),"NA")</f>
        <v>Egyéb magasan képzett ügyintéző</v>
      </c>
      <c r="L519" s="438">
        <f ca="1">IFERROR(
INDEX('Admin - FEOR'!$A$4:$F$465,MATCH(Bérköltség!H519,'Admin - FEOR'!$A$4:$A$465,0),
IF(J519="30 év alatt",3,
IF(J519="30–39 éves",4,
IF(J519="40–49 éves",5,
IF(J519="50 év és afelett",6
)))))*1,"NA")</f>
        <v>657296</v>
      </c>
      <c r="M519" s="438">
        <f t="shared" si="995"/>
        <v>1300000</v>
      </c>
      <c r="N519" s="443">
        <f t="shared" ca="1" si="996"/>
        <v>1.977799956184124</v>
      </c>
      <c r="O519" s="438">
        <f ca="1">IFERROR(
INDEX('Admin - FEOR'!$A$4:$F$465,MATCH(Bérköltség!H519,'Admin - FEOR'!$A$4:$A$465,0),
IF(J519="30 év alatt",3,
IF(J519="30–39 éves",4,
IF(J519="40–49 éves",5,
IF(J519="50 év és afelett",6
)))))*1.5,"NA")</f>
        <v>985944</v>
      </c>
      <c r="P519" s="438">
        <f t="shared" ca="1" si="997"/>
        <v>538302.75862068974</v>
      </c>
      <c r="Q519" s="438">
        <f t="shared" si="998"/>
        <v>709770</v>
      </c>
      <c r="R519" s="444">
        <f t="shared" si="999"/>
        <v>0.54597701149425293</v>
      </c>
      <c r="S519" s="438">
        <f t="shared" ca="1" si="1000"/>
        <v>171467.24137931026</v>
      </c>
      <c r="T519" s="438">
        <f t="shared" ca="1" si="1001"/>
        <v>22290.741379310333</v>
      </c>
      <c r="U519" s="445">
        <f t="shared" ca="1" si="1002"/>
        <v>193757.98275862058</v>
      </c>
      <c r="V519" s="446">
        <f t="shared" ca="1" si="1003"/>
        <v>608282.01724137948</v>
      </c>
      <c r="W519" s="447" t="str">
        <f t="shared" ca="1" si="1004"/>
        <v>Indoklás szükséges mivel a FEOR: 197,8%</v>
      </c>
      <c r="X519" s="571">
        <v>0</v>
      </c>
      <c r="Y519" s="560">
        <v>709770</v>
      </c>
      <c r="Z519" s="560">
        <v>92270</v>
      </c>
      <c r="AA519" s="115"/>
      <c r="AB519" s="787">
        <v>8409494051</v>
      </c>
      <c r="AC519" s="788" t="s">
        <v>152</v>
      </c>
      <c r="AD519" s="888" t="s">
        <v>46</v>
      </c>
      <c r="AE519" s="789" t="s">
        <v>25</v>
      </c>
      <c r="AF519" s="525" t="s">
        <v>125</v>
      </c>
      <c r="AG519" s="525" t="s">
        <v>153</v>
      </c>
      <c r="AH519" s="836" t="s">
        <v>97</v>
      </c>
      <c r="AI519" s="519">
        <v>45078</v>
      </c>
      <c r="AJ519" s="520" t="str">
        <f>IF(AI519&gt;0,
(IF(AI519&lt;Hónapok!$A$10,Admin!$A$28,
(IF(AI519&lt;Hónapok!$A$22,Admin!$B$28,
(IF(AI519&lt;Hónapok!$A$34,Admin!$C$28,
(IF(AI519&lt;Hónapok!$A$46,Admin!$D$28,"")))))))),"")</f>
        <v>3. mérföldkő</v>
      </c>
      <c r="AK519" s="790" t="s">
        <v>7</v>
      </c>
      <c r="AL519" s="791" t="s">
        <v>26</v>
      </c>
      <c r="AM519" s="909">
        <v>1300000</v>
      </c>
      <c r="AN519" s="864">
        <f t="shared" si="1218"/>
        <v>169000</v>
      </c>
      <c r="AO519" s="521">
        <v>174</v>
      </c>
      <c r="AP519" s="526">
        <v>95</v>
      </c>
      <c r="AQ519" s="523">
        <f t="shared" si="985"/>
        <v>0.54597701149425293</v>
      </c>
      <c r="AR519" s="522">
        <f t="shared" si="986"/>
        <v>709770</v>
      </c>
      <c r="AS519" s="522">
        <f t="shared" si="987"/>
        <v>92270</v>
      </c>
      <c r="AT519" s="523">
        <f t="shared" si="988"/>
        <v>8.8417329902057418E-8</v>
      </c>
      <c r="AU519" s="524">
        <v>0.13</v>
      </c>
      <c r="AV519" s="759" t="str">
        <f>VLOOKUP(LEFT(AB519,10),Törzsszám!$A$1:$B$908,2,0)</f>
        <v>10000901</v>
      </c>
      <c r="AW519" s="792">
        <f t="shared" si="989"/>
        <v>0</v>
      </c>
      <c r="AX519" s="471" t="s">
        <v>4606</v>
      </c>
      <c r="AY519" s="793"/>
      <c r="AZ519" s="803"/>
      <c r="BA519" s="794"/>
      <c r="BB519" s="795"/>
      <c r="BC519" s="796"/>
      <c r="BD519" s="797"/>
      <c r="BE519" s="789" t="s">
        <v>154</v>
      </c>
    </row>
    <row r="520" spans="1:57" s="117" customFormat="1" ht="14.45" customHeight="1" x14ac:dyDescent="0.25">
      <c r="A520" s="694" t="str">
        <f ca="1">Bérköltség!$B520</f>
        <v>FEOR</v>
      </c>
      <c r="B520" s="694" t="str">
        <f ca="1">IFERROR(
IF(AND(Bérköltség!$F520="",H520="NA"),"HIÁNYOS ADATOK",
IF(Bérköltség!$F520&lt;Bérköltség!$U520,Admin!$B$18,Admin!$B$17)),
"")</f>
        <v>FEOR</v>
      </c>
      <c r="C520" s="437">
        <f>IFERROR(INDEX('Historikus berek_2021-2'!$A$1:$F$903,MATCH(AB520,'Historikus berek_2021-2'!$A$1:$A$903,0),4),"")</f>
        <v>815183.33333333337</v>
      </c>
      <c r="D520" s="438">
        <f t="shared" ref="D520:D521" si="1268">IFERROR(C520*AQ520,"NA")</f>
        <v>445071.3601532568</v>
      </c>
      <c r="E520" s="437">
        <f t="shared" ref="E520:E521" si="1269">AR520</f>
        <v>709770</v>
      </c>
      <c r="F520" s="439">
        <f t="shared" ref="F520:F521" si="1270">IFERROR(IF((E520*(1+AU520)-D520*(1+AU520))&lt;0,0,(E520*(1+AU520)-D520*(1+AU520))),"")</f>
        <v>299109.46302681987</v>
      </c>
      <c r="G520" s="440">
        <f t="shared" ref="G520:G521" si="1271">IFERROR((E520*(1+AU520)-F520),"")</f>
        <v>502930.63697318011</v>
      </c>
      <c r="H520" s="441">
        <f>IFERROR(INDEX('FEOR kodok'!$A$2:$J$1126,MATCH(Bérköltség!AB520,'FEOR kodok'!$B$2:$B$1126,0),8),"NA")</f>
        <v>2910</v>
      </c>
      <c r="I520" s="436">
        <f ca="1">IFERROR(INDEX('FEOR kodok'!$A$2:$J$1126,MATCH(Bérköltség!AB520,'FEOR kodok'!$B$2:$B$1126,0),10),"NA")</f>
        <v>44</v>
      </c>
      <c r="J520" s="442" t="str">
        <f t="shared" ref="J520:J521" ca="1" si="1272">IF(I520="NA","NA",
IF(I520&lt;30,"30 év alatt",
IF(AND(I520&gt;=30,I520&lt;=39),"30–39 éves",
IF(AND(I520&gt;=40,I520&lt;=49),"40–49 éves",
IF(I520&gt;=50,"50 év és afelett",
"")))))</f>
        <v>40–49 éves</v>
      </c>
      <c r="K520" s="436" t="str">
        <f>IFERROR(INDEX(admin_feor[#All],MATCH(Bérköltség!H520,admin_feor[[#All],[Foglalkozás]],0),2),"NA")</f>
        <v>Egyéb magasan képzett ügyintéző</v>
      </c>
      <c r="L520" s="438">
        <f ca="1">IFERROR(
INDEX('Admin - FEOR'!$A$4:$F$465,MATCH(Bérköltség!H520,'Admin - FEOR'!$A$4:$A$465,0),
IF(J520="30 év alatt",3,
IF(J520="30–39 éves",4,
IF(J520="40–49 éves",5,
IF(J520="50 év és afelett",6
)))))*1,"NA")</f>
        <v>657296</v>
      </c>
      <c r="M520" s="438">
        <f t="shared" ref="M520:M521" si="1273">AM520</f>
        <v>1300000</v>
      </c>
      <c r="N520" s="443">
        <f t="shared" ref="N520:N521" ca="1" si="1274">IFERROR(
M520/L520,"NA")</f>
        <v>1.977799956184124</v>
      </c>
      <c r="O520" s="438">
        <f ca="1">IFERROR(
INDEX('Admin - FEOR'!$A$4:$F$465,MATCH(Bérköltség!H520,'Admin - FEOR'!$A$4:$A$465,0),
IF(J520="30 év alatt",3,
IF(J520="30–39 éves",4,
IF(J520="40–49 éves",5,
IF(J520="50 év és afelett",6
)))))*1.5,"NA")</f>
        <v>985944</v>
      </c>
      <c r="P520" s="438">
        <f t="shared" ref="P520:P521" ca="1" si="1275">IFERROR(
AQ520*O520,"NA")</f>
        <v>538302.75862068974</v>
      </c>
      <c r="Q520" s="438">
        <f t="shared" ref="Q520:Q521" si="1276">IFERROR(AR520,"")</f>
        <v>709770</v>
      </c>
      <c r="R520" s="444">
        <f t="shared" ref="R520:R521" si="1277">IFERROR(AQ520,"")</f>
        <v>0.54597701149425293</v>
      </c>
      <c r="S520" s="438">
        <f t="shared" ref="S520:S521" ca="1" si="1278">IFERROR(
IF(AR520-P520&lt;0,0,AR520-P520),"NA")</f>
        <v>171467.24137931026</v>
      </c>
      <c r="T520" s="438">
        <f t="shared" ref="T520:T521" ca="1" si="1279">IFERROR(
S520*AU520,"NA")</f>
        <v>22290.741379310333</v>
      </c>
      <c r="U520" s="445">
        <f t="shared" ref="U520:U521" ca="1" si="1280">IFERROR(
S520+T520,"NA")</f>
        <v>193757.98275862058</v>
      </c>
      <c r="V520" s="446">
        <f t="shared" ref="V520:V521" ca="1" si="1281">IFERROR(
IF(U520&gt;0,AR520+AS520-U520,AR520+AS520),"NA")</f>
        <v>608282.01724137948</v>
      </c>
      <c r="W520" s="447" t="str">
        <f t="shared" ref="W520:W521" ca="1" si="1282">IF(P520="NA","FEOR hiányzik",
IF(AND(N520&gt;1,A520="FEOR"),CONCATENATE("Indoklás szükséges mivel a FEOR: ",ROUND(N520*100,1),"%"),"Nem szükséges indoklás.")
)</f>
        <v>Indoklás szükséges mivel a FEOR: 197,8%</v>
      </c>
      <c r="X520" s="571">
        <v>0</v>
      </c>
      <c r="Y520" s="554">
        <v>709770</v>
      </c>
      <c r="Z520" s="554">
        <v>92270</v>
      </c>
      <c r="AA520" s="115"/>
      <c r="AB520" s="146">
        <v>8409494051</v>
      </c>
      <c r="AC520" s="112" t="s">
        <v>152</v>
      </c>
      <c r="AD520" s="482" t="s">
        <v>46</v>
      </c>
      <c r="AE520" s="143" t="s">
        <v>25</v>
      </c>
      <c r="AF520" s="99" t="s">
        <v>125</v>
      </c>
      <c r="AG520" s="99" t="s">
        <v>153</v>
      </c>
      <c r="AH520" s="451" t="s">
        <v>97</v>
      </c>
      <c r="AI520" s="154">
        <v>45108</v>
      </c>
      <c r="AJ520" s="100" t="str">
        <f>IF(AI520&gt;0,
(IF(AI520&lt;Hónapok!$A$10,Admin!$A$28,
(IF(AI520&lt;Hónapok!$A$22,Admin!$B$28,
(IF(AI520&lt;Hónapok!$A$34,Admin!$C$28,
(IF(AI520&lt;Hónapok!$A$46,Admin!$D$28,"")))))))),"")</f>
        <v>3. mérföldkő</v>
      </c>
      <c r="AK520" s="500" t="s">
        <v>7</v>
      </c>
      <c r="AL520" s="115" t="s">
        <v>26</v>
      </c>
      <c r="AM520" s="900">
        <v>1300000</v>
      </c>
      <c r="AN520" s="860">
        <f t="shared" ref="AN520:AN521" si="1283">IFERROR(ROUND(AM520*AU520,0),"")</f>
        <v>169000</v>
      </c>
      <c r="AO520" s="101">
        <v>174</v>
      </c>
      <c r="AP520" s="111">
        <v>95</v>
      </c>
      <c r="AQ520" s="682">
        <f t="shared" ref="AQ520:AQ521" si="1284">IFERROR(AP520/AO520,"")</f>
        <v>0.54597701149425293</v>
      </c>
      <c r="AR520" s="455">
        <f t="shared" ref="AR520:AR521" si="1285">IFERROR(ROUND(AM520*AP520/AO520,0),"")</f>
        <v>709770</v>
      </c>
      <c r="AS520" s="455">
        <f t="shared" ref="AS520:AS521" si="1286">IFERROR(ROUND(AR520*AU520,0),"")</f>
        <v>92270</v>
      </c>
      <c r="AT520" s="102">
        <f t="shared" ref="AT520:AT521" si="1287">IFERROR(AP520/AO520-AR520/AM520,"")</f>
        <v>8.8417329902057418E-8</v>
      </c>
      <c r="AU520" s="116">
        <v>0.13</v>
      </c>
      <c r="AV520" s="565" t="str">
        <f>VLOOKUP(LEFT(AB520,10),Törzsszám!$A$1:$B$908,2,0)</f>
        <v>10000901</v>
      </c>
      <c r="AW520" s="681">
        <f t="shared" ref="AW520:AW521" si="1288">(Y520+Z520)-(AR520+AS520)</f>
        <v>0</v>
      </c>
      <c r="AX520" s="471" t="s">
        <v>4610</v>
      </c>
      <c r="AY520" s="505"/>
      <c r="AZ520" s="803"/>
      <c r="BA520" s="673"/>
      <c r="BB520" s="650"/>
      <c r="BC520" s="649"/>
      <c r="BD520" s="672"/>
      <c r="BE520" s="143" t="s">
        <v>154</v>
      </c>
    </row>
    <row r="521" spans="1:57" s="117" customFormat="1" ht="14.45" customHeight="1" x14ac:dyDescent="0.25">
      <c r="A521" s="694" t="str">
        <f ca="1">Bérköltség!$B521</f>
        <v>FEOR</v>
      </c>
      <c r="B521" s="694" t="str">
        <f ca="1">IFERROR(
IF(AND(Bérköltség!$F521="",H521="NA"),"HIÁNYOS ADATOK",
IF(Bérköltség!$F521&lt;Bérköltség!$U521,Admin!$B$18,Admin!$B$17)),
"")</f>
        <v>FEOR</v>
      </c>
      <c r="C521" s="437">
        <f>IFERROR(INDEX('Historikus berek_2021-2'!$A$1:$F$903,MATCH(AB521,'Historikus berek_2021-2'!$A$1:$A$903,0),4),"")</f>
        <v>815183.33333333337</v>
      </c>
      <c r="D521" s="438">
        <f t="shared" si="1268"/>
        <v>445071.3601532568</v>
      </c>
      <c r="E521" s="437">
        <f t="shared" si="1269"/>
        <v>709770</v>
      </c>
      <c r="F521" s="439">
        <f t="shared" si="1270"/>
        <v>299109.46302681987</v>
      </c>
      <c r="G521" s="440">
        <f t="shared" si="1271"/>
        <v>502930.63697318011</v>
      </c>
      <c r="H521" s="441">
        <f>IFERROR(INDEX('FEOR kodok'!$A$2:$J$1126,MATCH(Bérköltség!AB521,'FEOR kodok'!$B$2:$B$1126,0),8),"NA")</f>
        <v>2910</v>
      </c>
      <c r="I521" s="436">
        <f ca="1">IFERROR(INDEX('FEOR kodok'!$A$2:$J$1126,MATCH(Bérköltség!AB521,'FEOR kodok'!$B$2:$B$1126,0),10),"NA")</f>
        <v>44</v>
      </c>
      <c r="J521" s="442" t="str">
        <f t="shared" ca="1" si="1272"/>
        <v>40–49 éves</v>
      </c>
      <c r="K521" s="436" t="str">
        <f>IFERROR(INDEX(admin_feor[#All],MATCH(Bérköltség!H521,admin_feor[[#All],[Foglalkozás]],0),2),"NA")</f>
        <v>Egyéb magasan képzett ügyintéző</v>
      </c>
      <c r="L521" s="438">
        <f ca="1">IFERROR(
INDEX('Admin - FEOR'!$A$4:$F$465,MATCH(Bérköltség!H521,'Admin - FEOR'!$A$4:$A$465,0),
IF(J521="30 év alatt",3,
IF(J521="30–39 éves",4,
IF(J521="40–49 éves",5,
IF(J521="50 év és afelett",6
)))))*1,"NA")</f>
        <v>657296</v>
      </c>
      <c r="M521" s="438">
        <f t="shared" si="1273"/>
        <v>1300000</v>
      </c>
      <c r="N521" s="443">
        <f t="shared" ca="1" si="1274"/>
        <v>1.977799956184124</v>
      </c>
      <c r="O521" s="438">
        <f ca="1">IFERROR(
INDEX('Admin - FEOR'!$A$4:$F$465,MATCH(Bérköltség!H521,'Admin - FEOR'!$A$4:$A$465,0),
IF(J521="30 év alatt",3,
IF(J521="30–39 éves",4,
IF(J521="40–49 éves",5,
IF(J521="50 év és afelett",6
)))))*1.5,"NA")</f>
        <v>985944</v>
      </c>
      <c r="P521" s="438">
        <f t="shared" ca="1" si="1275"/>
        <v>538302.75862068974</v>
      </c>
      <c r="Q521" s="438">
        <f t="shared" si="1276"/>
        <v>709770</v>
      </c>
      <c r="R521" s="444">
        <f t="shared" si="1277"/>
        <v>0.54597701149425293</v>
      </c>
      <c r="S521" s="438">
        <f t="shared" ca="1" si="1278"/>
        <v>171467.24137931026</v>
      </c>
      <c r="T521" s="438">
        <f t="shared" ca="1" si="1279"/>
        <v>22290.741379310333</v>
      </c>
      <c r="U521" s="445">
        <f t="shared" ca="1" si="1280"/>
        <v>193757.98275862058</v>
      </c>
      <c r="V521" s="446">
        <f t="shared" ca="1" si="1281"/>
        <v>608282.01724137948</v>
      </c>
      <c r="W521" s="447" t="str">
        <f t="shared" ca="1" si="1282"/>
        <v>Indoklás szükséges mivel a FEOR: 197,8%</v>
      </c>
      <c r="X521" s="571">
        <v>0</v>
      </c>
      <c r="Y521" s="554">
        <v>709770</v>
      </c>
      <c r="Z521" s="554">
        <v>92270</v>
      </c>
      <c r="AA521" s="115"/>
      <c r="AB521" s="146">
        <v>8409494051</v>
      </c>
      <c r="AC521" s="112" t="s">
        <v>152</v>
      </c>
      <c r="AD521" s="482" t="s">
        <v>46</v>
      </c>
      <c r="AE521" s="143" t="s">
        <v>25</v>
      </c>
      <c r="AF521" s="99" t="s">
        <v>125</v>
      </c>
      <c r="AG521" s="99" t="s">
        <v>153</v>
      </c>
      <c r="AH521" s="451" t="s">
        <v>97</v>
      </c>
      <c r="AI521" s="154">
        <v>45139</v>
      </c>
      <c r="AJ521" s="100" t="str">
        <f>IF(AI521&gt;0,
(IF(AI521&lt;Hónapok!$A$10,Admin!$A$28,
(IF(AI521&lt;Hónapok!$A$22,Admin!$B$28,
(IF(AI521&lt;Hónapok!$A$34,Admin!$C$28,
(IF(AI521&lt;Hónapok!$A$46,Admin!$D$28,"")))))))),"")</f>
        <v>3. mérföldkő</v>
      </c>
      <c r="AK521" s="500" t="s">
        <v>7</v>
      </c>
      <c r="AL521" s="115" t="s">
        <v>26</v>
      </c>
      <c r="AM521" s="900">
        <v>1300000</v>
      </c>
      <c r="AN521" s="860">
        <f t="shared" si="1283"/>
        <v>169000</v>
      </c>
      <c r="AO521" s="101">
        <v>174</v>
      </c>
      <c r="AP521" s="111">
        <v>95</v>
      </c>
      <c r="AQ521" s="454">
        <f t="shared" si="1284"/>
        <v>0.54597701149425293</v>
      </c>
      <c r="AR521" s="455">
        <f t="shared" si="1285"/>
        <v>709770</v>
      </c>
      <c r="AS521" s="455">
        <f t="shared" si="1286"/>
        <v>92270</v>
      </c>
      <c r="AT521" s="102">
        <f t="shared" si="1287"/>
        <v>8.8417329902057418E-8</v>
      </c>
      <c r="AU521" s="116">
        <v>0.13</v>
      </c>
      <c r="AV521" s="565" t="str">
        <f>VLOOKUP(LEFT(AB521,10),Törzsszám!$A$1:$B$908,2,0)</f>
        <v>10000901</v>
      </c>
      <c r="AW521" s="681">
        <f t="shared" si="1288"/>
        <v>0</v>
      </c>
      <c r="AX521" s="471" t="s">
        <v>4613</v>
      </c>
      <c r="AY521" s="505"/>
      <c r="AZ521" s="803"/>
      <c r="BA521" s="673"/>
      <c r="BB521" s="650"/>
      <c r="BC521" s="649"/>
      <c r="BD521" s="672"/>
      <c r="BE521" s="143" t="s">
        <v>154</v>
      </c>
    </row>
    <row r="522" spans="1:57" s="117" customFormat="1" ht="14.45" customHeight="1" x14ac:dyDescent="0.25">
      <c r="A522" s="694" t="str">
        <f ca="1">Bérköltség!$B522</f>
        <v>FEOR</v>
      </c>
      <c r="B522" s="694" t="str">
        <f ca="1">IFERROR(
IF(AND(Bérköltség!$F522="",H522="NA"),"HIÁNYOS ADATOK",
IF(Bérköltség!$F522&lt;Bérköltség!$U522,Admin!$B$18,Admin!$B$17)),
"")</f>
        <v>FEOR</v>
      </c>
      <c r="C522" s="437">
        <f>IFERROR(INDEX('Historikus berek_2021-2'!$A$1:$F$903,MATCH(AB522,'Historikus berek_2021-2'!$A$1:$A$903,0),4),"")</f>
        <v>815183.33333333337</v>
      </c>
      <c r="D522" s="438">
        <f t="shared" ref="D522:D525" si="1289">IFERROR(C522*AQ522,"NA")</f>
        <v>445071.3601532568</v>
      </c>
      <c r="E522" s="437">
        <f t="shared" ref="E522:E525" si="1290">AR522</f>
        <v>709770</v>
      </c>
      <c r="F522" s="439">
        <f t="shared" ref="F522:F525" si="1291">IFERROR(IF((E522*(1+AU522)-D522*(1+AU522))&lt;0,0,(E522*(1+AU522)-D522*(1+AU522))),"")</f>
        <v>299109.46302681987</v>
      </c>
      <c r="G522" s="440">
        <f t="shared" ref="G522:G525" si="1292">IFERROR((E522*(1+AU522)-F522),"")</f>
        <v>502930.63697318011</v>
      </c>
      <c r="H522" s="441">
        <f>IFERROR(INDEX('FEOR kodok'!$A$2:$J$1126,MATCH(Bérköltség!AB522,'FEOR kodok'!$B$2:$B$1126,0),8),"NA")</f>
        <v>2910</v>
      </c>
      <c r="I522" s="436">
        <f ca="1">IFERROR(INDEX('FEOR kodok'!$A$2:$J$1126,MATCH(Bérköltség!AB522,'FEOR kodok'!$B$2:$B$1126,0),10),"NA")</f>
        <v>44</v>
      </c>
      <c r="J522" s="442" t="str">
        <f t="shared" ref="J522:J525" ca="1" si="1293">IF(I522="NA","NA",
IF(I522&lt;30,"30 év alatt",
IF(AND(I522&gt;=30,I522&lt;=39),"30–39 éves",
IF(AND(I522&gt;=40,I522&lt;=49),"40–49 éves",
IF(I522&gt;=50,"50 év és afelett",
"")))))</f>
        <v>40–49 éves</v>
      </c>
      <c r="K522" s="436" t="str">
        <f>IFERROR(INDEX(admin_feor[#All],MATCH(Bérköltség!H522,admin_feor[[#All],[Foglalkozás]],0),2),"NA")</f>
        <v>Egyéb magasan képzett ügyintéző</v>
      </c>
      <c r="L522" s="438">
        <f ca="1">IFERROR(
INDEX('Admin - FEOR'!$A$4:$F$465,MATCH(Bérköltség!H522,'Admin - FEOR'!$A$4:$A$465,0),
IF(J522="30 év alatt",3,
IF(J522="30–39 éves",4,
IF(J522="40–49 éves",5,
IF(J522="50 év és afelett",6
)))))*1,"NA")</f>
        <v>657296</v>
      </c>
      <c r="M522" s="438">
        <f t="shared" ref="M522:M525" si="1294">AM522</f>
        <v>1300000</v>
      </c>
      <c r="N522" s="443">
        <f t="shared" ref="N522:N525" ca="1" si="1295">IFERROR(
M522/L522,"NA")</f>
        <v>1.977799956184124</v>
      </c>
      <c r="O522" s="438">
        <f ca="1">IFERROR(
INDEX('Admin - FEOR'!$A$4:$F$465,MATCH(Bérköltség!H522,'Admin - FEOR'!$A$4:$A$465,0),
IF(J522="30 év alatt",3,
IF(J522="30–39 éves",4,
IF(J522="40–49 éves",5,
IF(J522="50 év és afelett",6
)))))*1.5,"NA")</f>
        <v>985944</v>
      </c>
      <c r="P522" s="438">
        <f t="shared" ref="P522:P525" ca="1" si="1296">IFERROR(
AQ522*O522,"NA")</f>
        <v>538302.75862068974</v>
      </c>
      <c r="Q522" s="438">
        <f t="shared" ref="Q522:Q525" si="1297">IFERROR(AR522,"")</f>
        <v>709770</v>
      </c>
      <c r="R522" s="444">
        <f t="shared" ref="R522:R525" si="1298">IFERROR(AQ522,"")</f>
        <v>0.54597701149425293</v>
      </c>
      <c r="S522" s="438">
        <f t="shared" ref="S522:S525" ca="1" si="1299">IFERROR(
IF(AR522-P522&lt;0,0,AR522-P522),"NA")</f>
        <v>171467.24137931026</v>
      </c>
      <c r="T522" s="438">
        <f t="shared" ref="T522:T525" ca="1" si="1300">IFERROR(
S522*AU522,"NA")</f>
        <v>22290.741379310333</v>
      </c>
      <c r="U522" s="445">
        <f t="shared" ref="U522:U525" ca="1" si="1301">IFERROR(
S522+T522,"NA")</f>
        <v>193757.98275862058</v>
      </c>
      <c r="V522" s="446">
        <f t="shared" ref="V522:V525" ca="1" si="1302">IFERROR(
IF(U522&gt;0,AR522+AS522-U522,AR522+AS522),"NA")</f>
        <v>608282.01724137948</v>
      </c>
      <c r="W522" s="447" t="str">
        <f t="shared" ref="W522:W525" ca="1" si="1303">IF(P522="NA","FEOR hiányzik",
IF(AND(N522&gt;1,A522="FEOR"),CONCATENATE("Indoklás szükséges mivel a FEOR: ",ROUND(N522*100,1),"%"),"Nem szükséges indoklás.")
)</f>
        <v>Indoklás szükséges mivel a FEOR: 197,8%</v>
      </c>
      <c r="X522" s="571">
        <v>0</v>
      </c>
      <c r="Y522" s="554">
        <v>709770</v>
      </c>
      <c r="Z522" s="554">
        <v>92270</v>
      </c>
      <c r="AA522" s="115"/>
      <c r="AB522" s="146">
        <v>8409494051</v>
      </c>
      <c r="AC522" s="112" t="s">
        <v>152</v>
      </c>
      <c r="AD522" s="119" t="s">
        <v>46</v>
      </c>
      <c r="AE522" s="143" t="s">
        <v>25</v>
      </c>
      <c r="AF522" s="99" t="s">
        <v>125</v>
      </c>
      <c r="AG522" s="99" t="s">
        <v>153</v>
      </c>
      <c r="AH522" s="451" t="s">
        <v>97</v>
      </c>
      <c r="AI522" s="154">
        <v>45170</v>
      </c>
      <c r="AJ522" s="100" t="str">
        <f>IF(AI522&gt;0,
(IF(AI522&lt;Hónapok!$A$10,Admin!$A$28,
(IF(AI522&lt;Hónapok!$A$22,Admin!$B$28,
(IF(AI522&lt;Hónapok!$A$34,Admin!$C$28,
(IF(AI522&lt;Hónapok!$A$46,Admin!$D$28,"")))))))),"")</f>
        <v>3. mérföldkő</v>
      </c>
      <c r="AK522" s="500" t="s">
        <v>7</v>
      </c>
      <c r="AL522" s="115" t="s">
        <v>26</v>
      </c>
      <c r="AM522" s="900">
        <v>1300000</v>
      </c>
      <c r="AN522" s="860">
        <f t="shared" ref="AN522:AN525" si="1304">IFERROR(ROUND(AM522*AU522,0),"")</f>
        <v>169000</v>
      </c>
      <c r="AO522" s="101">
        <v>174</v>
      </c>
      <c r="AP522" s="111">
        <v>95</v>
      </c>
      <c r="AQ522" s="454">
        <f t="shared" ref="AQ522:AQ525" si="1305">IFERROR(AP522/AO522,"")</f>
        <v>0.54597701149425293</v>
      </c>
      <c r="AR522" s="455">
        <f t="shared" ref="AR522:AR525" si="1306">IFERROR(ROUND(AM522*AP522/AO522,0),"")</f>
        <v>709770</v>
      </c>
      <c r="AS522" s="455">
        <f t="shared" ref="AS522:AS525" si="1307">IFERROR(ROUND(AR522*AU522,0),"")</f>
        <v>92270</v>
      </c>
      <c r="AT522" s="102">
        <f t="shared" ref="AT522:AT525" si="1308">IFERROR(AP522/AO522-AR522/AM522,"")</f>
        <v>8.8417329902057418E-8</v>
      </c>
      <c r="AU522" s="116">
        <v>0.13</v>
      </c>
      <c r="AV522" s="565" t="str">
        <f>VLOOKUP(LEFT(AB522,10),Törzsszám!$A$1:$B$908,2,0)</f>
        <v>10000901</v>
      </c>
      <c r="AW522" s="681">
        <f t="shared" ref="AW522:AW525" si="1309">(Y522+Z522)-(AR522+AS522)</f>
        <v>0</v>
      </c>
      <c r="AX522" s="471" t="s">
        <v>4618</v>
      </c>
      <c r="AY522" s="505"/>
      <c r="AZ522" s="803"/>
      <c r="BA522" s="673"/>
      <c r="BB522" s="650"/>
      <c r="BC522" s="649"/>
      <c r="BD522" s="672"/>
      <c r="BE522" s="143" t="s">
        <v>154</v>
      </c>
    </row>
    <row r="523" spans="1:57" s="117" customFormat="1" ht="14.45" customHeight="1" x14ac:dyDescent="0.25">
      <c r="A523" s="694" t="str">
        <f ca="1">Bérköltség!$B523</f>
        <v>FEOR</v>
      </c>
      <c r="B523" s="694" t="str">
        <f ca="1">IFERROR(
IF(AND(Bérköltség!$F523="",H523="NA"),"HIÁNYOS ADATOK",
IF(Bérköltség!$F523&lt;Bérköltség!$U523,Admin!$B$18,Admin!$B$17)),
"")</f>
        <v>FEOR</v>
      </c>
      <c r="C523" s="437">
        <f>IFERROR(INDEX('Historikus berek_2021-2'!$A$1:$F$903,MATCH(AB523,'Historikus berek_2021-2'!$A$1:$A$903,0),4),"")</f>
        <v>815183.33333333337</v>
      </c>
      <c r="D523" s="438">
        <f t="shared" si="1289"/>
        <v>445071.3601532568</v>
      </c>
      <c r="E523" s="437">
        <f t="shared" si="1290"/>
        <v>709770</v>
      </c>
      <c r="F523" s="439">
        <f t="shared" si="1291"/>
        <v>299109.46302681987</v>
      </c>
      <c r="G523" s="440">
        <f t="shared" si="1292"/>
        <v>502930.63697318011</v>
      </c>
      <c r="H523" s="441">
        <f>IFERROR(INDEX('FEOR kodok'!$A$2:$J$1126,MATCH(Bérköltség!AB523,'FEOR kodok'!$B$2:$B$1126,0),8),"NA")</f>
        <v>2910</v>
      </c>
      <c r="I523" s="436">
        <f ca="1">IFERROR(INDEX('FEOR kodok'!$A$2:$J$1126,MATCH(Bérköltség!AB523,'FEOR kodok'!$B$2:$B$1126,0),10),"NA")</f>
        <v>44</v>
      </c>
      <c r="J523" s="442" t="str">
        <f t="shared" ca="1" si="1293"/>
        <v>40–49 éves</v>
      </c>
      <c r="K523" s="436" t="str">
        <f>IFERROR(INDEX(admin_feor[#All],MATCH(Bérköltség!H523,admin_feor[[#All],[Foglalkozás]],0),2),"NA")</f>
        <v>Egyéb magasan képzett ügyintéző</v>
      </c>
      <c r="L523" s="438">
        <f ca="1">IFERROR(
INDEX('Admin - FEOR'!$A$4:$F$465,MATCH(Bérköltség!H523,'Admin - FEOR'!$A$4:$A$465,0),
IF(J523="30 év alatt",3,
IF(J523="30–39 éves",4,
IF(J523="40–49 éves",5,
IF(J523="50 év és afelett",6
)))))*1,"NA")</f>
        <v>657296</v>
      </c>
      <c r="M523" s="438">
        <f t="shared" si="1294"/>
        <v>1300000</v>
      </c>
      <c r="N523" s="443">
        <f t="shared" ca="1" si="1295"/>
        <v>1.977799956184124</v>
      </c>
      <c r="O523" s="438">
        <f ca="1">IFERROR(
INDEX('Admin - FEOR'!$A$4:$F$465,MATCH(Bérköltség!H523,'Admin - FEOR'!$A$4:$A$465,0),
IF(J523="30 év alatt",3,
IF(J523="30–39 éves",4,
IF(J523="40–49 éves",5,
IF(J523="50 év és afelett",6
)))))*1.5,"NA")</f>
        <v>985944</v>
      </c>
      <c r="P523" s="438">
        <f t="shared" ca="1" si="1296"/>
        <v>538302.75862068974</v>
      </c>
      <c r="Q523" s="438">
        <f t="shared" si="1297"/>
        <v>709770</v>
      </c>
      <c r="R523" s="444">
        <f t="shared" si="1298"/>
        <v>0.54597701149425293</v>
      </c>
      <c r="S523" s="438">
        <f t="shared" ca="1" si="1299"/>
        <v>171467.24137931026</v>
      </c>
      <c r="T523" s="438">
        <f t="shared" ca="1" si="1300"/>
        <v>22290.741379310333</v>
      </c>
      <c r="U523" s="445">
        <f t="shared" ca="1" si="1301"/>
        <v>193757.98275862058</v>
      </c>
      <c r="V523" s="446">
        <f t="shared" ca="1" si="1302"/>
        <v>608282.01724137948</v>
      </c>
      <c r="W523" s="447" t="str">
        <f t="shared" ca="1" si="1303"/>
        <v>Indoklás szükséges mivel a FEOR: 197,8%</v>
      </c>
      <c r="X523" s="571">
        <v>0</v>
      </c>
      <c r="Y523" s="554">
        <v>709770</v>
      </c>
      <c r="Z523" s="554">
        <v>92270</v>
      </c>
      <c r="AA523" s="115"/>
      <c r="AB523" s="146">
        <v>8409494051</v>
      </c>
      <c r="AC523" s="112" t="s">
        <v>152</v>
      </c>
      <c r="AD523" s="483" t="s">
        <v>46</v>
      </c>
      <c r="AE523" s="143" t="s">
        <v>25</v>
      </c>
      <c r="AF523" s="99" t="s">
        <v>125</v>
      </c>
      <c r="AG523" s="99" t="s">
        <v>153</v>
      </c>
      <c r="AH523" s="451" t="s">
        <v>97</v>
      </c>
      <c r="AI523" s="154">
        <v>45200</v>
      </c>
      <c r="AJ523" s="100" t="str">
        <f>IF(AI523&gt;0,
(IF(AI523&lt;Hónapok!$A$10,Admin!$A$28,
(IF(AI523&lt;Hónapok!$A$22,Admin!$B$28,
(IF(AI523&lt;Hónapok!$A$34,Admin!$C$28,
(IF(AI523&lt;Hónapok!$A$46,Admin!$D$28,"")))))))),"")</f>
        <v>3. mérföldkő</v>
      </c>
      <c r="AK523" s="500" t="s">
        <v>8</v>
      </c>
      <c r="AL523" s="115" t="s">
        <v>26</v>
      </c>
      <c r="AM523" s="900">
        <v>1300000</v>
      </c>
      <c r="AN523" s="860">
        <f t="shared" si="1304"/>
        <v>169000</v>
      </c>
      <c r="AO523" s="101">
        <v>174</v>
      </c>
      <c r="AP523" s="111">
        <v>95</v>
      </c>
      <c r="AQ523" s="454">
        <f t="shared" si="1305"/>
        <v>0.54597701149425293</v>
      </c>
      <c r="AR523" s="455">
        <f t="shared" si="1306"/>
        <v>709770</v>
      </c>
      <c r="AS523" s="455">
        <f t="shared" si="1307"/>
        <v>92270</v>
      </c>
      <c r="AT523" s="102">
        <f t="shared" si="1308"/>
        <v>8.8417329902057418E-8</v>
      </c>
      <c r="AU523" s="116">
        <v>0.13</v>
      </c>
      <c r="AV523" s="565" t="str">
        <f>VLOOKUP(LEFT(AB523,10),Törzsszám!$A$1:$B$908,2,0)</f>
        <v>10000901</v>
      </c>
      <c r="AW523" s="681">
        <f t="shared" si="1309"/>
        <v>0</v>
      </c>
      <c r="AX523" s="150"/>
      <c r="AY523" s="505"/>
      <c r="AZ523" s="803"/>
      <c r="BA523" s="673"/>
      <c r="BB523" s="650"/>
      <c r="BC523" s="649"/>
      <c r="BD523" s="672"/>
      <c r="BE523" s="143" t="s">
        <v>154</v>
      </c>
    </row>
    <row r="524" spans="1:57" s="117" customFormat="1" ht="14.45" customHeight="1" x14ac:dyDescent="0.25">
      <c r="A524" s="694" t="str">
        <f ca="1">Bérköltség!$B524</f>
        <v>FEOR</v>
      </c>
      <c r="B524" s="694" t="str">
        <f ca="1">IFERROR(
IF(AND(Bérköltség!$F524="",H524="NA"),"HIÁNYOS ADATOK",
IF(Bérköltség!$F524&lt;Bérköltség!$U524,Admin!$B$18,Admin!$B$17)),
"")</f>
        <v>FEOR</v>
      </c>
      <c r="C524" s="437">
        <f>IFERROR(INDEX('Historikus berek_2021-2'!$A$1:$F$903,MATCH(AB524,'Historikus berek_2021-2'!$A$1:$A$903,0),4),"")</f>
        <v>815183.33333333337</v>
      </c>
      <c r="D524" s="438">
        <f t="shared" si="1289"/>
        <v>445071.3601532568</v>
      </c>
      <c r="E524" s="437">
        <f t="shared" si="1290"/>
        <v>709770</v>
      </c>
      <c r="F524" s="439">
        <f t="shared" si="1291"/>
        <v>299109.46302681987</v>
      </c>
      <c r="G524" s="440">
        <f t="shared" si="1292"/>
        <v>502930.63697318011</v>
      </c>
      <c r="H524" s="441">
        <f>IFERROR(INDEX('FEOR kodok'!$A$2:$J$1126,MATCH(Bérköltség!AB524,'FEOR kodok'!$B$2:$B$1126,0),8),"NA")</f>
        <v>2910</v>
      </c>
      <c r="I524" s="436">
        <f ca="1">IFERROR(INDEX('FEOR kodok'!$A$2:$J$1126,MATCH(Bérköltség!AB524,'FEOR kodok'!$B$2:$B$1126,0),10),"NA")</f>
        <v>44</v>
      </c>
      <c r="J524" s="442" t="str">
        <f t="shared" ca="1" si="1293"/>
        <v>40–49 éves</v>
      </c>
      <c r="K524" s="436" t="str">
        <f>IFERROR(INDEX(admin_feor[#All],MATCH(Bérköltség!H524,admin_feor[[#All],[Foglalkozás]],0),2),"NA")</f>
        <v>Egyéb magasan képzett ügyintéző</v>
      </c>
      <c r="L524" s="438">
        <f ca="1">IFERROR(
INDEX('Admin - FEOR'!$A$4:$F$465,MATCH(Bérköltség!H524,'Admin - FEOR'!$A$4:$A$465,0),
IF(J524="30 év alatt",3,
IF(J524="30–39 éves",4,
IF(J524="40–49 éves",5,
IF(J524="50 év és afelett",6
)))))*1,"NA")</f>
        <v>657296</v>
      </c>
      <c r="M524" s="438">
        <f t="shared" si="1294"/>
        <v>1300000</v>
      </c>
      <c r="N524" s="443">
        <f t="shared" ca="1" si="1295"/>
        <v>1.977799956184124</v>
      </c>
      <c r="O524" s="438">
        <f ca="1">IFERROR(
INDEX('Admin - FEOR'!$A$4:$F$465,MATCH(Bérköltség!H524,'Admin - FEOR'!$A$4:$A$465,0),
IF(J524="30 év alatt",3,
IF(J524="30–39 éves",4,
IF(J524="40–49 éves",5,
IF(J524="50 év és afelett",6
)))))*1.5,"NA")</f>
        <v>985944</v>
      </c>
      <c r="P524" s="438">
        <f t="shared" ca="1" si="1296"/>
        <v>538302.75862068974</v>
      </c>
      <c r="Q524" s="438">
        <f t="shared" si="1297"/>
        <v>709770</v>
      </c>
      <c r="R524" s="444">
        <f t="shared" si="1298"/>
        <v>0.54597701149425293</v>
      </c>
      <c r="S524" s="438">
        <f t="shared" ca="1" si="1299"/>
        <v>171467.24137931026</v>
      </c>
      <c r="T524" s="438">
        <f t="shared" ca="1" si="1300"/>
        <v>22290.741379310333</v>
      </c>
      <c r="U524" s="445">
        <f t="shared" ca="1" si="1301"/>
        <v>193757.98275862058</v>
      </c>
      <c r="V524" s="446">
        <f t="shared" ca="1" si="1302"/>
        <v>608282.01724137948</v>
      </c>
      <c r="W524" s="447" t="str">
        <f t="shared" ca="1" si="1303"/>
        <v>Indoklás szükséges mivel a FEOR: 197,8%</v>
      </c>
      <c r="X524" s="571">
        <v>0</v>
      </c>
      <c r="Y524" s="554">
        <v>709770</v>
      </c>
      <c r="Z524" s="554">
        <v>92270</v>
      </c>
      <c r="AA524" s="115"/>
      <c r="AB524" s="146">
        <v>8409494051</v>
      </c>
      <c r="AC524" s="112" t="s">
        <v>152</v>
      </c>
      <c r="AD524" s="483" t="s">
        <v>46</v>
      </c>
      <c r="AE524" s="143" t="s">
        <v>25</v>
      </c>
      <c r="AF524" s="99" t="s">
        <v>125</v>
      </c>
      <c r="AG524" s="99" t="s">
        <v>153</v>
      </c>
      <c r="AH524" s="451" t="s">
        <v>97</v>
      </c>
      <c r="AI524" s="154">
        <v>45231</v>
      </c>
      <c r="AJ524" s="100" t="str">
        <f>IF(AI524&gt;0,
(IF(AI524&lt;Hónapok!$A$10,Admin!$A$28,
(IF(AI524&lt;Hónapok!$A$22,Admin!$B$28,
(IF(AI524&lt;Hónapok!$A$34,Admin!$C$28,
(IF(AI524&lt;Hónapok!$A$46,Admin!$D$28,"")))))))),"")</f>
        <v>3. mérföldkő</v>
      </c>
      <c r="AK524" s="500" t="s">
        <v>8</v>
      </c>
      <c r="AL524" s="115" t="s">
        <v>26</v>
      </c>
      <c r="AM524" s="900">
        <v>1300000</v>
      </c>
      <c r="AN524" s="860">
        <f t="shared" si="1304"/>
        <v>169000</v>
      </c>
      <c r="AO524" s="101">
        <v>174</v>
      </c>
      <c r="AP524" s="111">
        <v>95</v>
      </c>
      <c r="AQ524" s="454">
        <f t="shared" si="1305"/>
        <v>0.54597701149425293</v>
      </c>
      <c r="AR524" s="455">
        <f t="shared" si="1306"/>
        <v>709770</v>
      </c>
      <c r="AS524" s="455">
        <f t="shared" si="1307"/>
        <v>92270</v>
      </c>
      <c r="AT524" s="102">
        <f t="shared" si="1308"/>
        <v>8.8417329902057418E-8</v>
      </c>
      <c r="AU524" s="116">
        <v>0.13</v>
      </c>
      <c r="AV524" s="565" t="str">
        <f>VLOOKUP(LEFT(AB524,10),Törzsszám!$A$1:$B$908,2,0)</f>
        <v>10000901</v>
      </c>
      <c r="AW524" s="681">
        <f t="shared" si="1309"/>
        <v>0</v>
      </c>
      <c r="AX524" s="150"/>
      <c r="AY524" s="505"/>
      <c r="AZ524" s="803"/>
      <c r="BA524" s="673"/>
      <c r="BB524" s="650"/>
      <c r="BC524" s="649"/>
      <c r="BD524" s="672"/>
      <c r="BE524" s="143" t="s">
        <v>154</v>
      </c>
    </row>
    <row r="525" spans="1:57" s="117" customFormat="1" ht="14.45" customHeight="1" x14ac:dyDescent="0.25">
      <c r="A525" s="694" t="str">
        <f ca="1">Bérköltség!$B525</f>
        <v>FEOR</v>
      </c>
      <c r="B525" s="694" t="str">
        <f ca="1">IFERROR(
IF(AND(Bérköltség!$F525="",H525="NA"),"HIÁNYOS ADATOK",
IF(Bérköltség!$F525&lt;Bérköltség!$U525,Admin!$B$18,Admin!$B$17)),
"")</f>
        <v>FEOR</v>
      </c>
      <c r="C525" s="437">
        <f>IFERROR(INDEX('Historikus berek_2021-2'!$A$1:$F$903,MATCH(AB525,'Historikus berek_2021-2'!$A$1:$A$903,0),4),"")</f>
        <v>815183.33333333337</v>
      </c>
      <c r="D525" s="438">
        <f t="shared" si="1289"/>
        <v>445071.3601532568</v>
      </c>
      <c r="E525" s="437">
        <f t="shared" si="1290"/>
        <v>709770</v>
      </c>
      <c r="F525" s="439">
        <f t="shared" si="1291"/>
        <v>299109.46302681987</v>
      </c>
      <c r="G525" s="440">
        <f t="shared" si="1292"/>
        <v>502930.63697318011</v>
      </c>
      <c r="H525" s="441">
        <f>IFERROR(INDEX('FEOR kodok'!$A$2:$J$1126,MATCH(Bérköltség!AB525,'FEOR kodok'!$B$2:$B$1126,0),8),"NA")</f>
        <v>2910</v>
      </c>
      <c r="I525" s="436">
        <f ca="1">IFERROR(INDEX('FEOR kodok'!$A$2:$J$1126,MATCH(Bérköltség!AB525,'FEOR kodok'!$B$2:$B$1126,0),10),"NA")</f>
        <v>44</v>
      </c>
      <c r="J525" s="442" t="str">
        <f t="shared" ca="1" si="1293"/>
        <v>40–49 éves</v>
      </c>
      <c r="K525" s="436" t="str">
        <f>IFERROR(INDEX(admin_feor[#All],MATCH(Bérköltség!H525,admin_feor[[#All],[Foglalkozás]],0),2),"NA")</f>
        <v>Egyéb magasan képzett ügyintéző</v>
      </c>
      <c r="L525" s="438">
        <f ca="1">IFERROR(
INDEX('Admin - FEOR'!$A$4:$F$465,MATCH(Bérköltség!H525,'Admin - FEOR'!$A$4:$A$465,0),
IF(J525="30 év alatt",3,
IF(J525="30–39 éves",4,
IF(J525="40–49 éves",5,
IF(J525="50 év és afelett",6
)))))*1,"NA")</f>
        <v>657296</v>
      </c>
      <c r="M525" s="438">
        <f t="shared" si="1294"/>
        <v>1300000</v>
      </c>
      <c r="N525" s="443">
        <f t="shared" ca="1" si="1295"/>
        <v>1.977799956184124</v>
      </c>
      <c r="O525" s="438">
        <f ca="1">IFERROR(
INDEX('Admin - FEOR'!$A$4:$F$465,MATCH(Bérköltség!H525,'Admin - FEOR'!$A$4:$A$465,0),
IF(J525="30 év alatt",3,
IF(J525="30–39 éves",4,
IF(J525="40–49 éves",5,
IF(J525="50 év és afelett",6
)))))*1.5,"NA")</f>
        <v>985944</v>
      </c>
      <c r="P525" s="438">
        <f t="shared" ca="1" si="1296"/>
        <v>538302.75862068974</v>
      </c>
      <c r="Q525" s="438">
        <f t="shared" si="1297"/>
        <v>709770</v>
      </c>
      <c r="R525" s="444">
        <f t="shared" si="1298"/>
        <v>0.54597701149425293</v>
      </c>
      <c r="S525" s="438">
        <f t="shared" ca="1" si="1299"/>
        <v>171467.24137931026</v>
      </c>
      <c r="T525" s="438">
        <f t="shared" ca="1" si="1300"/>
        <v>22290.741379310333</v>
      </c>
      <c r="U525" s="445">
        <f t="shared" ca="1" si="1301"/>
        <v>193757.98275862058</v>
      </c>
      <c r="V525" s="446">
        <f t="shared" ca="1" si="1302"/>
        <v>608282.01724137948</v>
      </c>
      <c r="W525" s="447" t="str">
        <f t="shared" ca="1" si="1303"/>
        <v>Indoklás szükséges mivel a FEOR: 197,8%</v>
      </c>
      <c r="X525" s="571">
        <v>0</v>
      </c>
      <c r="Y525" s="554">
        <v>709770</v>
      </c>
      <c r="Z525" s="554">
        <v>92270</v>
      </c>
      <c r="AA525" s="115"/>
      <c r="AB525" s="146">
        <v>8409494051</v>
      </c>
      <c r="AC525" s="112" t="s">
        <v>152</v>
      </c>
      <c r="AD525" s="483" t="s">
        <v>46</v>
      </c>
      <c r="AE525" s="143" t="s">
        <v>25</v>
      </c>
      <c r="AF525" s="99" t="s">
        <v>125</v>
      </c>
      <c r="AG525" s="99" t="s">
        <v>153</v>
      </c>
      <c r="AH525" s="451" t="s">
        <v>97</v>
      </c>
      <c r="AI525" s="154">
        <v>45261</v>
      </c>
      <c r="AJ525" s="100" t="str">
        <f>IF(AI525&gt;0,
(IF(AI525&lt;Hónapok!$A$10,Admin!$A$28,
(IF(AI525&lt;Hónapok!$A$22,Admin!$B$28,
(IF(AI525&lt;Hónapok!$A$34,Admin!$C$28,
(IF(AI525&lt;Hónapok!$A$46,Admin!$D$28,"")))))))),"")</f>
        <v>3. mérföldkő</v>
      </c>
      <c r="AK525" s="500" t="s">
        <v>8</v>
      </c>
      <c r="AL525" s="115" t="s">
        <v>26</v>
      </c>
      <c r="AM525" s="900">
        <v>1300000</v>
      </c>
      <c r="AN525" s="860">
        <f t="shared" si="1304"/>
        <v>169000</v>
      </c>
      <c r="AO525" s="101">
        <v>174</v>
      </c>
      <c r="AP525" s="111">
        <v>95</v>
      </c>
      <c r="AQ525" s="454">
        <f t="shared" si="1305"/>
        <v>0.54597701149425293</v>
      </c>
      <c r="AR525" s="455">
        <f t="shared" si="1306"/>
        <v>709770</v>
      </c>
      <c r="AS525" s="455">
        <f t="shared" si="1307"/>
        <v>92270</v>
      </c>
      <c r="AT525" s="102">
        <f t="shared" si="1308"/>
        <v>8.8417329902057418E-8</v>
      </c>
      <c r="AU525" s="116">
        <v>0.13</v>
      </c>
      <c r="AV525" s="565" t="str">
        <f>VLOOKUP(LEFT(AB525,10),Törzsszám!$A$1:$B$908,2,0)</f>
        <v>10000901</v>
      </c>
      <c r="AW525" s="681">
        <f t="shared" si="1309"/>
        <v>0</v>
      </c>
      <c r="AX525" s="150"/>
      <c r="AY525" s="505"/>
      <c r="AZ525" s="803"/>
      <c r="BA525" s="673"/>
      <c r="BB525" s="650"/>
      <c r="BC525" s="649"/>
      <c r="BD525" s="672"/>
      <c r="BE525" s="143" t="s">
        <v>154</v>
      </c>
    </row>
    <row r="526" spans="1:57" s="117" customFormat="1" ht="14.45" customHeight="1" x14ac:dyDescent="0.25">
      <c r="A526" s="694" t="str">
        <f ca="1">Bérköltség!$B526</f>
        <v>FEOR</v>
      </c>
      <c r="B526" s="694" t="str">
        <f ca="1">IFERROR(
IF(AND(Bérköltség!$F526="",H526="NA"),"HIÁNYOS ADATOK",
IF(Bérköltség!$F526&lt;Bérköltség!$U526,Admin!$B$18,Admin!$B$17)),
"")</f>
        <v>FEOR</v>
      </c>
      <c r="C526" s="437" t="str">
        <f>IFERROR(INDEX('Historikus berek_2021-2'!$A$1:$F$903,MATCH(AB526,'Historikus berek_2021-2'!$A$1:$A$903,0),4),"")</f>
        <v/>
      </c>
      <c r="D526" s="438" t="str">
        <f>IFERROR(C526*AQ526,"NA")</f>
        <v>NA</v>
      </c>
      <c r="E526" s="437">
        <f>AR526</f>
        <v>252000</v>
      </c>
      <c r="F526" s="439" t="str">
        <f t="shared" ref="F526:F532" si="1310">IFERROR(IF((E526*(1+AU526)-D526*(1+AU526))&lt;0,0,(E526*(1+AU526)-D526*(1+AU526))),"")</f>
        <v/>
      </c>
      <c r="G526" s="440" t="str">
        <f t="shared" ref="G526:G532" si="1311">IFERROR((E526*(1+AU526)-F526),"")</f>
        <v/>
      </c>
      <c r="H526" s="441">
        <f>IFERROR(INDEX('FEOR kodok'!$A$2:$J$1126,MATCH(Bérköltség!AB526,'FEOR kodok'!$B$2:$B$1126,0),8),"NA")</f>
        <v>2169</v>
      </c>
      <c r="I526" s="436">
        <f ca="1">IFERROR(INDEX('FEOR kodok'!$A$2:$J$1126,MATCH(Bérköltség!AB526,'FEOR kodok'!$B$2:$B$1126,0),10),"NA")</f>
        <v>36</v>
      </c>
      <c r="J526" s="442" t="str">
        <f ca="1">IF(I526="NA","NA",
IF(I526&lt;30,"30 év alatt",
IF(AND(I526&gt;=30,I526&lt;=39),"30–39 éves",
IF(AND(I526&gt;=40,I526&lt;=49),"40–49 éves",
IF(I526&gt;=50,"50 év és afelett",
"")))))</f>
        <v>30–39 éves</v>
      </c>
      <c r="K526" s="436" t="str">
        <f>IFERROR(INDEX(admin_feor[#All],MATCH(Bérköltség!H526,admin_feor[[#All],[Foglalkozás]],0),2),"NA")</f>
        <v>Egyéb természettudományi foglalkozású</v>
      </c>
      <c r="L526" s="438">
        <f ca="1">IFERROR(
INDEX('Admin - FEOR'!$A$4:$F$465,MATCH(Bérköltség!H526,'Admin - FEOR'!$A$4:$A$465,0),
IF(J526="30 év alatt",3,
IF(J526="30–39 éves",4,
IF(J526="40–49 éves",5,
IF(J526="50 év és afelett",6
)))))*1,"NA")</f>
        <v>641245</v>
      </c>
      <c r="M526" s="438">
        <f>AM526</f>
        <v>252000</v>
      </c>
      <c r="N526" s="443">
        <f ca="1">IFERROR(
M526/L526,"NA")</f>
        <v>0.39298552035493456</v>
      </c>
      <c r="O526" s="438">
        <f ca="1">IFERROR(
INDEX('Admin - FEOR'!$A$4:$F$465,MATCH(Bérköltség!H526,'Admin - FEOR'!$A$4:$A$465,0),
IF(J526="30 év alatt",3,
IF(J526="30–39 éves",4,
IF(J526="40–49 éves",5,
IF(J526="50 év és afelett",6
)))))*1.5,"NA")</f>
        <v>961867.5</v>
      </c>
      <c r="P526" s="438">
        <f ca="1">IFERROR(
AQ526*O526,"NA")</f>
        <v>961867.5</v>
      </c>
      <c r="Q526" s="438">
        <f>IFERROR(AR526,"")</f>
        <v>252000</v>
      </c>
      <c r="R526" s="444">
        <f>IFERROR(AQ526,"")</f>
        <v>1</v>
      </c>
      <c r="S526" s="438">
        <f ca="1">IFERROR(
IF(AR526-P526&lt;0,0,AR526-P526),"NA")</f>
        <v>0</v>
      </c>
      <c r="T526" s="438">
        <f ca="1">IFERROR(
S526*AU526,"NA")</f>
        <v>0</v>
      </c>
      <c r="U526" s="445">
        <f ca="1">IFERROR(
S526+T526,"NA")</f>
        <v>0</v>
      </c>
      <c r="V526" s="446">
        <f ca="1">IFERROR(
IF(U526&gt;0,AR526+AS526-U526,AR526+AS526),"NA")</f>
        <v>284760</v>
      </c>
      <c r="W526" s="447" t="str">
        <f ca="1">IF(P526="NA","FEOR hiányzik",
IF(AND(N526&gt;1,A526="FEOR"),CONCATENATE("Indoklás szükséges mivel a FEOR: ",ROUND(N526*100,1),"%"),"Nem szükséges indoklás.")
)</f>
        <v>Nem szükséges indoklás.</v>
      </c>
      <c r="X526" s="571">
        <f ca="1">IF(A526="FEOR",U526,IF(A526="HIÁNYOS ADATOK","HIÁNYOS ADATOK",F526))</f>
        <v>0</v>
      </c>
      <c r="Y526" s="554">
        <f t="shared" ca="1" si="1006"/>
        <v>252000</v>
      </c>
      <c r="Z526" s="554">
        <f t="shared" ca="1" si="1007"/>
        <v>32760</v>
      </c>
      <c r="AA526" s="573">
        <v>2</v>
      </c>
      <c r="AB526" s="146">
        <v>8439390491</v>
      </c>
      <c r="AC526" s="112" t="s">
        <v>147</v>
      </c>
      <c r="AD526" s="483" t="s">
        <v>45</v>
      </c>
      <c r="AE526" s="143" t="s">
        <v>22</v>
      </c>
      <c r="AF526" s="99" t="s">
        <v>121</v>
      </c>
      <c r="AG526" s="99" t="s">
        <v>148</v>
      </c>
      <c r="AH526" s="451" t="s">
        <v>131</v>
      </c>
      <c r="AI526" s="154">
        <v>44743</v>
      </c>
      <c r="AJ526" s="100" t="str">
        <f>IF(AI526&gt;0,
(IF(AI526&lt;Hónapok!$A$10,Admin!$A$28,
(IF(AI526&lt;Hónapok!$A$22,Admin!$B$28,
(IF(AI526&lt;Hónapok!$A$34,Admin!$C$28,
(IF(AI526&lt;Hónapok!$A$46,Admin!$D$28,"")))))))),"")</f>
        <v>2. mérföldkő</v>
      </c>
      <c r="AK526" s="500" t="s">
        <v>7</v>
      </c>
      <c r="AL526" s="115" t="s">
        <v>26</v>
      </c>
      <c r="AM526" s="900">
        <v>252000</v>
      </c>
      <c r="AN526" s="860">
        <f t="shared" si="1218"/>
        <v>32760</v>
      </c>
      <c r="AO526" s="101">
        <v>87</v>
      </c>
      <c r="AP526" s="111">
        <v>87</v>
      </c>
      <c r="AQ526" s="454">
        <f t="shared" si="985"/>
        <v>1</v>
      </c>
      <c r="AR526" s="455">
        <f t="shared" si="986"/>
        <v>252000</v>
      </c>
      <c r="AS526" s="455">
        <f t="shared" si="987"/>
        <v>32760</v>
      </c>
      <c r="AT526" s="102">
        <f t="shared" si="988"/>
        <v>0</v>
      </c>
      <c r="AU526" s="116">
        <v>0.13</v>
      </c>
      <c r="AV526" s="565" t="str">
        <f>VLOOKUP(LEFT(AB526,10),Törzsszám!$A$1:$B$908,2,0)</f>
        <v>10002165</v>
      </c>
      <c r="AW526" s="615">
        <f t="shared" ca="1" si="989"/>
        <v>0</v>
      </c>
      <c r="AX526" s="150" t="s">
        <v>209</v>
      </c>
      <c r="AY526" s="505"/>
      <c r="AZ526" s="502" t="s">
        <v>4607</v>
      </c>
      <c r="BA526" s="673">
        <v>252000</v>
      </c>
      <c r="BB526" s="650">
        <v>32760</v>
      </c>
      <c r="BC526" s="649">
        <f t="shared" ref="BC526:BD532" ca="1" si="1312">Y526-BA526</f>
        <v>0</v>
      </c>
      <c r="BD526" s="672">
        <f t="shared" ca="1" si="1312"/>
        <v>0</v>
      </c>
      <c r="BE526" s="143" t="s">
        <v>144</v>
      </c>
    </row>
    <row r="527" spans="1:57" s="117" customFormat="1" ht="14.45" customHeight="1" x14ac:dyDescent="0.25">
      <c r="A527" s="694" t="str">
        <f ca="1">Bérköltség!$B527</f>
        <v>FEOR</v>
      </c>
      <c r="B527" s="694" t="str">
        <f ca="1">IFERROR(
IF(AND(Bérköltség!$F527="",H527="NA"),"HIÁNYOS ADATOK",
IF(Bérköltség!$F527&lt;Bérköltség!$U527,Admin!$B$18,Admin!$B$17)),
"")</f>
        <v>FEOR</v>
      </c>
      <c r="C527" s="437" t="str">
        <f>IFERROR(INDEX('Historikus berek_2021-2'!$A$1:$F$903,MATCH(AB527,'Historikus berek_2021-2'!$A$1:$A$903,0),4),"")</f>
        <v/>
      </c>
      <c r="D527" s="438" t="str">
        <f t="shared" si="990"/>
        <v>NA</v>
      </c>
      <c r="E527" s="437">
        <f t="shared" si="991"/>
        <v>252000</v>
      </c>
      <c r="F527" s="439" t="str">
        <f t="shared" si="1310"/>
        <v/>
      </c>
      <c r="G527" s="440" t="str">
        <f t="shared" si="1311"/>
        <v/>
      </c>
      <c r="H527" s="441">
        <f>IFERROR(INDEX('FEOR kodok'!$A$2:$J$1126,MATCH(Bérköltség!AB527,'FEOR kodok'!$B$2:$B$1126,0),8),"NA")</f>
        <v>2169</v>
      </c>
      <c r="I527" s="436">
        <f ca="1">IFERROR(INDEX('FEOR kodok'!$A$2:$J$1126,MATCH(Bérköltség!AB527,'FEOR kodok'!$B$2:$B$1126,0),10),"NA")</f>
        <v>36</v>
      </c>
      <c r="J527" s="442" t="str">
        <f t="shared" ca="1" si="994"/>
        <v>30–39 éves</v>
      </c>
      <c r="K527" s="436" t="str">
        <f>IFERROR(INDEX(admin_feor[#All],MATCH(Bérköltség!H527,admin_feor[[#All],[Foglalkozás]],0),2),"NA")</f>
        <v>Egyéb természettudományi foglalkozású</v>
      </c>
      <c r="L527" s="438">
        <f ca="1">IFERROR(
INDEX('Admin - FEOR'!$A$4:$F$465,MATCH(Bérköltség!H527,'Admin - FEOR'!$A$4:$A$465,0),
IF(J527="30 év alatt",3,
IF(J527="30–39 éves",4,
IF(J527="40–49 éves",5,
IF(J527="50 év és afelett",6
)))))*1,"NA")</f>
        <v>641245</v>
      </c>
      <c r="M527" s="438">
        <f t="shared" si="995"/>
        <v>252000</v>
      </c>
      <c r="N527" s="443">
        <f t="shared" ca="1" si="996"/>
        <v>0.39298552035493456</v>
      </c>
      <c r="O527" s="438">
        <f ca="1">IFERROR(
INDEX('Admin - FEOR'!$A$4:$F$465,MATCH(Bérköltség!H527,'Admin - FEOR'!$A$4:$A$465,0),
IF(J527="30 év alatt",3,
IF(J527="30–39 éves",4,
IF(J527="40–49 éves",5,
IF(J527="50 év és afelett",6
)))))*1.5,"NA")</f>
        <v>961867.5</v>
      </c>
      <c r="P527" s="438">
        <f t="shared" ca="1" si="997"/>
        <v>961867.5</v>
      </c>
      <c r="Q527" s="438">
        <f t="shared" si="998"/>
        <v>252000</v>
      </c>
      <c r="R527" s="444">
        <f t="shared" si="999"/>
        <v>1</v>
      </c>
      <c r="S527" s="438">
        <f t="shared" ca="1" si="1000"/>
        <v>0</v>
      </c>
      <c r="T527" s="438">
        <f t="shared" ca="1" si="1001"/>
        <v>0</v>
      </c>
      <c r="U527" s="445">
        <f t="shared" ca="1" si="1002"/>
        <v>0</v>
      </c>
      <c r="V527" s="446">
        <f t="shared" ca="1" si="1003"/>
        <v>258760</v>
      </c>
      <c r="W527" s="447" t="str">
        <f t="shared" ca="1" si="1004"/>
        <v>Nem szükséges indoklás.</v>
      </c>
      <c r="X527" s="571">
        <f t="shared" ca="1" si="1005"/>
        <v>0</v>
      </c>
      <c r="Y527" s="554">
        <f t="shared" ca="1" si="1006"/>
        <v>252000</v>
      </c>
      <c r="Z527" s="556">
        <f t="shared" ca="1" si="1007"/>
        <v>6760</v>
      </c>
      <c r="AA527" s="573">
        <v>2</v>
      </c>
      <c r="AB527" s="146">
        <v>8439390491</v>
      </c>
      <c r="AC527" s="112" t="s">
        <v>147</v>
      </c>
      <c r="AD527" s="483" t="s">
        <v>45</v>
      </c>
      <c r="AE527" s="143" t="s">
        <v>22</v>
      </c>
      <c r="AF527" s="99" t="s">
        <v>121</v>
      </c>
      <c r="AG527" s="99" t="s">
        <v>148</v>
      </c>
      <c r="AH527" s="451" t="s">
        <v>131</v>
      </c>
      <c r="AI527" s="154">
        <v>44774</v>
      </c>
      <c r="AJ527" s="100" t="str">
        <f>IF(AI527&gt;0,
(IF(AI527&lt;Hónapok!$A$10,Admin!$A$28,
(IF(AI527&lt;Hónapok!$A$22,Admin!$B$28,
(IF(AI527&lt;Hónapok!$A$34,Admin!$C$28,
(IF(AI527&lt;Hónapok!$A$46,Admin!$D$28,"")))))))),"")</f>
        <v>2. mérföldkő</v>
      </c>
      <c r="AK527" s="500" t="s">
        <v>7</v>
      </c>
      <c r="AL527" s="115" t="s">
        <v>26</v>
      </c>
      <c r="AM527" s="900">
        <v>252000</v>
      </c>
      <c r="AN527" s="863">
        <v>6760</v>
      </c>
      <c r="AO527" s="101">
        <v>87</v>
      </c>
      <c r="AP527" s="111">
        <v>87</v>
      </c>
      <c r="AQ527" s="454">
        <f t="shared" si="985"/>
        <v>1</v>
      </c>
      <c r="AR527" s="455">
        <f t="shared" si="986"/>
        <v>252000</v>
      </c>
      <c r="AS527" s="528">
        <f t="shared" si="987"/>
        <v>6760</v>
      </c>
      <c r="AT527" s="102">
        <f t="shared" si="988"/>
        <v>0</v>
      </c>
      <c r="AU527" s="529">
        <f t="shared" ref="AU527:AU532" si="1313">AN527/AM527</f>
        <v>2.6825396825396825E-2</v>
      </c>
      <c r="AV527" s="565" t="str">
        <f>VLOOKUP(LEFT(AB527,10),Törzsszám!$A$1:$B$908,2,0)</f>
        <v>10002165</v>
      </c>
      <c r="AW527" s="615">
        <f t="shared" ca="1" si="989"/>
        <v>0</v>
      </c>
      <c r="AX527" s="150" t="s">
        <v>218</v>
      </c>
      <c r="AY527" s="505"/>
      <c r="AZ527" s="502" t="s">
        <v>4607</v>
      </c>
      <c r="BA527" s="673">
        <v>252000</v>
      </c>
      <c r="BB527" s="650">
        <v>6760</v>
      </c>
      <c r="BC527" s="649">
        <f t="shared" ca="1" si="1312"/>
        <v>0</v>
      </c>
      <c r="BD527" s="672">
        <f t="shared" ca="1" si="1312"/>
        <v>0</v>
      </c>
      <c r="BE527" s="143" t="s">
        <v>144</v>
      </c>
    </row>
    <row r="528" spans="1:57" s="117" customFormat="1" ht="14.45" customHeight="1" x14ac:dyDescent="0.25">
      <c r="A528" s="694" t="str">
        <f ca="1">Bérköltség!$B528</f>
        <v>FEOR</v>
      </c>
      <c r="B528" s="694" t="str">
        <f ca="1">IFERROR(
IF(AND(Bérköltség!$F528="",H528="NA"),"HIÁNYOS ADATOK",
IF(Bérköltség!$F528&lt;Bérköltség!$U528,Admin!$B$18,Admin!$B$17)),
"")</f>
        <v>FEOR</v>
      </c>
      <c r="C528" s="437" t="str">
        <f>IFERROR(INDEX('Historikus berek_2021-2'!$A$1:$F$903,MATCH(AB528,'Historikus berek_2021-2'!$A$1:$A$903,0),4),"")</f>
        <v/>
      </c>
      <c r="D528" s="438" t="str">
        <f t="shared" si="990"/>
        <v>NA</v>
      </c>
      <c r="E528" s="437">
        <f t="shared" si="991"/>
        <v>252000</v>
      </c>
      <c r="F528" s="439" t="str">
        <f t="shared" si="1310"/>
        <v/>
      </c>
      <c r="G528" s="440" t="str">
        <f t="shared" si="1311"/>
        <v/>
      </c>
      <c r="H528" s="441">
        <f>IFERROR(INDEX('FEOR kodok'!$A$2:$J$1126,MATCH(Bérköltség!AB528,'FEOR kodok'!$B$2:$B$1126,0),8),"NA")</f>
        <v>2169</v>
      </c>
      <c r="I528" s="436">
        <f ca="1">IFERROR(INDEX('FEOR kodok'!$A$2:$J$1126,MATCH(Bérköltség!AB528,'FEOR kodok'!$B$2:$B$1126,0),10),"NA")</f>
        <v>36</v>
      </c>
      <c r="J528" s="442" t="str">
        <f t="shared" ca="1" si="994"/>
        <v>30–39 éves</v>
      </c>
      <c r="K528" s="436" t="str">
        <f>IFERROR(INDEX(admin_feor[#All],MATCH(Bérköltség!H528,admin_feor[[#All],[Foglalkozás]],0),2),"NA")</f>
        <v>Egyéb természettudományi foglalkozású</v>
      </c>
      <c r="L528" s="438">
        <f ca="1">IFERROR(
INDEX('Admin - FEOR'!$A$4:$F$465,MATCH(Bérköltség!H528,'Admin - FEOR'!$A$4:$A$465,0),
IF(J528="30 év alatt",3,
IF(J528="30–39 éves",4,
IF(J528="40–49 éves",5,
IF(J528="50 év és afelett",6
)))))*1,"NA")</f>
        <v>641245</v>
      </c>
      <c r="M528" s="438">
        <f t="shared" si="995"/>
        <v>252000</v>
      </c>
      <c r="N528" s="443">
        <f t="shared" ca="1" si="996"/>
        <v>0.39298552035493456</v>
      </c>
      <c r="O528" s="438">
        <f ca="1">IFERROR(
INDEX('Admin - FEOR'!$A$4:$F$465,MATCH(Bérköltség!H528,'Admin - FEOR'!$A$4:$A$465,0),
IF(J528="30 év alatt",3,
IF(J528="30–39 éves",4,
IF(J528="40–49 éves",5,
IF(J528="50 év és afelett",6
)))))*1.5,"NA")</f>
        <v>961867.5</v>
      </c>
      <c r="P528" s="438">
        <f t="shared" ca="1" si="997"/>
        <v>961867.5</v>
      </c>
      <c r="Q528" s="438">
        <f t="shared" si="998"/>
        <v>252000</v>
      </c>
      <c r="R528" s="444">
        <f t="shared" si="999"/>
        <v>1</v>
      </c>
      <c r="S528" s="438">
        <f t="shared" ca="1" si="1000"/>
        <v>0</v>
      </c>
      <c r="T528" s="438">
        <f t="shared" ca="1" si="1001"/>
        <v>0</v>
      </c>
      <c r="U528" s="445">
        <f t="shared" ca="1" si="1002"/>
        <v>0</v>
      </c>
      <c r="V528" s="446">
        <f t="shared" ca="1" si="1003"/>
        <v>258760</v>
      </c>
      <c r="W528" s="447" t="str">
        <f t="shared" ca="1" si="1004"/>
        <v>Nem szükséges indoklás.</v>
      </c>
      <c r="X528" s="571">
        <f t="shared" ca="1" si="1005"/>
        <v>0</v>
      </c>
      <c r="Y528" s="554">
        <f t="shared" ca="1" si="1006"/>
        <v>252000</v>
      </c>
      <c r="Z528" s="556">
        <f t="shared" ca="1" si="1007"/>
        <v>6760</v>
      </c>
      <c r="AA528" s="573">
        <v>2</v>
      </c>
      <c r="AB528" s="146">
        <v>8439390491</v>
      </c>
      <c r="AC528" s="112" t="s">
        <v>147</v>
      </c>
      <c r="AD528" s="483" t="s">
        <v>45</v>
      </c>
      <c r="AE528" s="143" t="s">
        <v>22</v>
      </c>
      <c r="AF528" s="99" t="s">
        <v>121</v>
      </c>
      <c r="AG528" s="99" t="s">
        <v>148</v>
      </c>
      <c r="AH528" s="451" t="s">
        <v>131</v>
      </c>
      <c r="AI528" s="154">
        <v>44805</v>
      </c>
      <c r="AJ528" s="100" t="str">
        <f>IF(AI528&gt;0,
(IF(AI528&lt;Hónapok!$A$10,Admin!$A$28,
(IF(AI528&lt;Hónapok!$A$22,Admin!$B$28,
(IF(AI528&lt;Hónapok!$A$34,Admin!$C$28,
(IF(AI528&lt;Hónapok!$A$46,Admin!$D$28,"")))))))),"")</f>
        <v>2. mérföldkő</v>
      </c>
      <c r="AK528" s="500" t="s">
        <v>7</v>
      </c>
      <c r="AL528" s="115" t="s">
        <v>26</v>
      </c>
      <c r="AM528" s="900">
        <v>252000</v>
      </c>
      <c r="AN528" s="863">
        <v>6760</v>
      </c>
      <c r="AO528" s="101">
        <v>87</v>
      </c>
      <c r="AP528" s="111">
        <v>87</v>
      </c>
      <c r="AQ528" s="454">
        <f t="shared" si="985"/>
        <v>1</v>
      </c>
      <c r="AR528" s="455">
        <f t="shared" si="986"/>
        <v>252000</v>
      </c>
      <c r="AS528" s="528">
        <f t="shared" si="987"/>
        <v>6760</v>
      </c>
      <c r="AT528" s="102">
        <f t="shared" si="988"/>
        <v>0</v>
      </c>
      <c r="AU528" s="529">
        <f t="shared" si="1313"/>
        <v>2.6825396825396825E-2</v>
      </c>
      <c r="AV528" s="565" t="str">
        <f>VLOOKUP(LEFT(AB528,10),Törzsszám!$A$1:$B$908,2,0)</f>
        <v>10002165</v>
      </c>
      <c r="AW528" s="615">
        <f t="shared" ca="1" si="989"/>
        <v>0</v>
      </c>
      <c r="AX528" s="150" t="s">
        <v>228</v>
      </c>
      <c r="AY528" s="505"/>
      <c r="AZ528" s="502" t="s">
        <v>4607</v>
      </c>
      <c r="BA528" s="673">
        <v>252000</v>
      </c>
      <c r="BB528" s="650">
        <v>6760</v>
      </c>
      <c r="BC528" s="649">
        <f t="shared" ca="1" si="1312"/>
        <v>0</v>
      </c>
      <c r="BD528" s="672">
        <f t="shared" ca="1" si="1312"/>
        <v>0</v>
      </c>
      <c r="BE528" s="143" t="s">
        <v>144</v>
      </c>
    </row>
    <row r="529" spans="1:57" s="117" customFormat="1" ht="14.45" customHeight="1" x14ac:dyDescent="0.25">
      <c r="A529" s="694" t="str">
        <f ca="1">Bérköltség!$B529</f>
        <v>FEOR</v>
      </c>
      <c r="B529" s="694" t="str">
        <f ca="1">IFERROR(
IF(AND(Bérköltség!$F529="",H529="NA"),"HIÁNYOS ADATOK",
IF(Bérköltség!$F529&lt;Bérköltség!$U529,Admin!$B$18,Admin!$B$17)),
"")</f>
        <v>FEOR</v>
      </c>
      <c r="C529" s="437" t="str">
        <f>IFERROR(INDEX('Historikus berek_2021-2'!$A$1:$F$903,MATCH(AB529,'Historikus berek_2021-2'!$A$1:$A$903,0),4),"")</f>
        <v/>
      </c>
      <c r="D529" s="438" t="str">
        <f t="shared" si="990"/>
        <v>NA</v>
      </c>
      <c r="E529" s="437">
        <f t="shared" si="991"/>
        <v>252000</v>
      </c>
      <c r="F529" s="439" t="str">
        <f t="shared" si="1310"/>
        <v/>
      </c>
      <c r="G529" s="440" t="str">
        <f t="shared" si="1311"/>
        <v/>
      </c>
      <c r="H529" s="441">
        <f>IFERROR(INDEX('FEOR kodok'!$A$2:$J$1126,MATCH(Bérköltség!AB529,'FEOR kodok'!$B$2:$B$1126,0),8),"NA")</f>
        <v>2169</v>
      </c>
      <c r="I529" s="436">
        <f ca="1">IFERROR(INDEX('FEOR kodok'!$A$2:$J$1126,MATCH(Bérköltség!AB529,'FEOR kodok'!$B$2:$B$1126,0),10),"NA")</f>
        <v>36</v>
      </c>
      <c r="J529" s="442" t="str">
        <f t="shared" ca="1" si="994"/>
        <v>30–39 éves</v>
      </c>
      <c r="K529" s="436" t="str">
        <f>IFERROR(INDEX(admin_feor[#All],MATCH(Bérköltség!H529,admin_feor[[#All],[Foglalkozás]],0),2),"NA")</f>
        <v>Egyéb természettudományi foglalkozású</v>
      </c>
      <c r="L529" s="438">
        <f ca="1">IFERROR(
INDEX('Admin - FEOR'!$A$4:$F$465,MATCH(Bérköltség!H529,'Admin - FEOR'!$A$4:$A$465,0),
IF(J529="30 év alatt",3,
IF(J529="30–39 éves",4,
IF(J529="40–49 éves",5,
IF(J529="50 év és afelett",6
)))))*1,"NA")</f>
        <v>641245</v>
      </c>
      <c r="M529" s="438">
        <f t="shared" si="995"/>
        <v>252000</v>
      </c>
      <c r="N529" s="443">
        <f t="shared" ca="1" si="996"/>
        <v>0.39298552035493456</v>
      </c>
      <c r="O529" s="438">
        <f ca="1">IFERROR(
INDEX('Admin - FEOR'!$A$4:$F$465,MATCH(Bérköltség!H529,'Admin - FEOR'!$A$4:$A$465,0),
IF(J529="30 év alatt",3,
IF(J529="30–39 éves",4,
IF(J529="40–49 éves",5,
IF(J529="50 év és afelett",6
)))))*1.5,"NA")</f>
        <v>961867.5</v>
      </c>
      <c r="P529" s="438">
        <f t="shared" ca="1" si="997"/>
        <v>961867.5</v>
      </c>
      <c r="Q529" s="438">
        <f t="shared" si="998"/>
        <v>252000</v>
      </c>
      <c r="R529" s="444">
        <f t="shared" si="999"/>
        <v>1</v>
      </c>
      <c r="S529" s="438">
        <f t="shared" ca="1" si="1000"/>
        <v>0</v>
      </c>
      <c r="T529" s="438">
        <f t="shared" ca="1" si="1001"/>
        <v>0</v>
      </c>
      <c r="U529" s="445">
        <f t="shared" ca="1" si="1002"/>
        <v>0</v>
      </c>
      <c r="V529" s="446">
        <f t="shared" ca="1" si="1003"/>
        <v>258760</v>
      </c>
      <c r="W529" s="447" t="str">
        <f t="shared" ca="1" si="1004"/>
        <v>Nem szükséges indoklás.</v>
      </c>
      <c r="X529" s="571">
        <f t="shared" ca="1" si="1005"/>
        <v>0</v>
      </c>
      <c r="Y529" s="554">
        <f t="shared" ca="1" si="1006"/>
        <v>252000</v>
      </c>
      <c r="Z529" s="556">
        <f t="shared" ca="1" si="1007"/>
        <v>6760</v>
      </c>
      <c r="AA529" s="573">
        <v>2</v>
      </c>
      <c r="AB529" s="146">
        <v>8439390491</v>
      </c>
      <c r="AC529" s="112" t="s">
        <v>147</v>
      </c>
      <c r="AD529" s="483" t="s">
        <v>45</v>
      </c>
      <c r="AE529" s="143" t="s">
        <v>22</v>
      </c>
      <c r="AF529" s="99" t="s">
        <v>121</v>
      </c>
      <c r="AG529" s="99" t="s">
        <v>148</v>
      </c>
      <c r="AH529" s="451" t="s">
        <v>131</v>
      </c>
      <c r="AI529" s="154">
        <v>44835</v>
      </c>
      <c r="AJ529" s="100" t="str">
        <f>IF(AI529&gt;0,
(IF(AI529&lt;Hónapok!$A$10,Admin!$A$28,
(IF(AI529&lt;Hónapok!$A$22,Admin!$B$28,
(IF(AI529&lt;Hónapok!$A$34,Admin!$C$28,
(IF(AI529&lt;Hónapok!$A$46,Admin!$D$28,"")))))))),"")</f>
        <v>2. mérföldkő</v>
      </c>
      <c r="AK529" s="500" t="s">
        <v>7</v>
      </c>
      <c r="AL529" s="115" t="s">
        <v>26</v>
      </c>
      <c r="AM529" s="900">
        <v>252000</v>
      </c>
      <c r="AN529" s="863">
        <v>6760</v>
      </c>
      <c r="AO529" s="101">
        <v>87</v>
      </c>
      <c r="AP529" s="111">
        <v>87</v>
      </c>
      <c r="AQ529" s="454">
        <f t="shared" si="985"/>
        <v>1</v>
      </c>
      <c r="AR529" s="455">
        <f t="shared" si="986"/>
        <v>252000</v>
      </c>
      <c r="AS529" s="528">
        <f t="shared" si="987"/>
        <v>6760</v>
      </c>
      <c r="AT529" s="102">
        <f t="shared" si="988"/>
        <v>0</v>
      </c>
      <c r="AU529" s="529">
        <f t="shared" si="1313"/>
        <v>2.6825396825396825E-2</v>
      </c>
      <c r="AV529" s="565" t="str">
        <f>VLOOKUP(LEFT(AB529,10),Törzsszám!$A$1:$B$908,2,0)</f>
        <v>10002165</v>
      </c>
      <c r="AW529" s="615">
        <f t="shared" ca="1" si="989"/>
        <v>0</v>
      </c>
      <c r="AX529" s="150" t="s">
        <v>251</v>
      </c>
      <c r="AY529" s="505"/>
      <c r="AZ529" s="502" t="s">
        <v>4607</v>
      </c>
      <c r="BA529" s="673">
        <v>252000</v>
      </c>
      <c r="BB529" s="650">
        <v>6760</v>
      </c>
      <c r="BC529" s="649">
        <f t="shared" ca="1" si="1312"/>
        <v>0</v>
      </c>
      <c r="BD529" s="672">
        <f t="shared" ca="1" si="1312"/>
        <v>0</v>
      </c>
      <c r="BE529" s="143" t="s">
        <v>144</v>
      </c>
    </row>
    <row r="530" spans="1:57" s="117" customFormat="1" ht="14.45" customHeight="1" x14ac:dyDescent="0.25">
      <c r="A530" s="694" t="str">
        <f ca="1">Bérköltség!$B530</f>
        <v>FEOR</v>
      </c>
      <c r="B530" s="694" t="str">
        <f ca="1">IFERROR(
IF(AND(Bérköltség!$F530="",H530="NA"),"HIÁNYOS ADATOK",
IF(Bérköltség!$F530&lt;Bérköltség!$U530,Admin!$B$18,Admin!$B$17)),
"")</f>
        <v>FEOR</v>
      </c>
      <c r="C530" s="437" t="str">
        <f>IFERROR(INDEX('Historikus berek_2021-2'!$A$1:$F$903,MATCH(AB530,'Historikus berek_2021-2'!$A$1:$A$903,0),4),"")</f>
        <v/>
      </c>
      <c r="D530" s="438" t="str">
        <f t="shared" si="990"/>
        <v>NA</v>
      </c>
      <c r="E530" s="437">
        <f t="shared" si="991"/>
        <v>252000</v>
      </c>
      <c r="F530" s="439" t="str">
        <f t="shared" si="1310"/>
        <v/>
      </c>
      <c r="G530" s="440" t="str">
        <f t="shared" si="1311"/>
        <v/>
      </c>
      <c r="H530" s="441">
        <f>IFERROR(INDEX('FEOR kodok'!$A$2:$J$1126,MATCH(Bérköltség!AB530,'FEOR kodok'!$B$2:$B$1126,0),8),"NA")</f>
        <v>2169</v>
      </c>
      <c r="I530" s="436">
        <f ca="1">IFERROR(INDEX('FEOR kodok'!$A$2:$J$1126,MATCH(Bérköltség!AB530,'FEOR kodok'!$B$2:$B$1126,0),10),"NA")</f>
        <v>36</v>
      </c>
      <c r="J530" s="442" t="str">
        <f t="shared" ca="1" si="994"/>
        <v>30–39 éves</v>
      </c>
      <c r="K530" s="436" t="str">
        <f>IFERROR(INDEX(admin_feor[#All],MATCH(Bérköltség!H530,admin_feor[[#All],[Foglalkozás]],0),2),"NA")</f>
        <v>Egyéb természettudományi foglalkozású</v>
      </c>
      <c r="L530" s="438">
        <f ca="1">IFERROR(
INDEX('Admin - FEOR'!$A$4:$F$465,MATCH(Bérköltség!H530,'Admin - FEOR'!$A$4:$A$465,0),
IF(J530="30 év alatt",3,
IF(J530="30–39 éves",4,
IF(J530="40–49 éves",5,
IF(J530="50 év és afelett",6
)))))*1,"NA")</f>
        <v>641245</v>
      </c>
      <c r="M530" s="438">
        <f t="shared" si="995"/>
        <v>252000</v>
      </c>
      <c r="N530" s="443">
        <f t="shared" ca="1" si="996"/>
        <v>0.39298552035493456</v>
      </c>
      <c r="O530" s="438">
        <f ca="1">IFERROR(
INDEX('Admin - FEOR'!$A$4:$F$465,MATCH(Bérköltség!H530,'Admin - FEOR'!$A$4:$A$465,0),
IF(J530="30 év alatt",3,
IF(J530="30–39 éves",4,
IF(J530="40–49 éves",5,
IF(J530="50 év és afelett",6
)))))*1.5,"NA")</f>
        <v>961867.5</v>
      </c>
      <c r="P530" s="438">
        <f t="shared" ca="1" si="997"/>
        <v>961867.5</v>
      </c>
      <c r="Q530" s="438">
        <f t="shared" si="998"/>
        <v>252000</v>
      </c>
      <c r="R530" s="444">
        <f t="shared" si="999"/>
        <v>1</v>
      </c>
      <c r="S530" s="438">
        <f t="shared" ca="1" si="1000"/>
        <v>0</v>
      </c>
      <c r="T530" s="438">
        <f t="shared" ca="1" si="1001"/>
        <v>0</v>
      </c>
      <c r="U530" s="445">
        <f t="shared" ca="1" si="1002"/>
        <v>0</v>
      </c>
      <c r="V530" s="446">
        <f t="shared" ca="1" si="1003"/>
        <v>258760</v>
      </c>
      <c r="W530" s="447" t="str">
        <f t="shared" ca="1" si="1004"/>
        <v>Nem szükséges indoklás.</v>
      </c>
      <c r="X530" s="571">
        <f t="shared" ca="1" si="1005"/>
        <v>0</v>
      </c>
      <c r="Y530" s="554">
        <f t="shared" ca="1" si="1006"/>
        <v>252000</v>
      </c>
      <c r="Z530" s="556">
        <f t="shared" ca="1" si="1007"/>
        <v>6760</v>
      </c>
      <c r="AA530" s="573">
        <v>2</v>
      </c>
      <c r="AB530" s="146">
        <v>8439390491</v>
      </c>
      <c r="AC530" s="112" t="s">
        <v>147</v>
      </c>
      <c r="AD530" s="483" t="s">
        <v>45</v>
      </c>
      <c r="AE530" s="143" t="s">
        <v>22</v>
      </c>
      <c r="AF530" s="99" t="s">
        <v>121</v>
      </c>
      <c r="AG530" s="99" t="s">
        <v>148</v>
      </c>
      <c r="AH530" s="451" t="s">
        <v>131</v>
      </c>
      <c r="AI530" s="154">
        <v>44866</v>
      </c>
      <c r="AJ530" s="100" t="str">
        <f>IF(AI530&gt;0,
(IF(AI530&lt;Hónapok!$A$10,Admin!$A$28,
(IF(AI530&lt;Hónapok!$A$22,Admin!$B$28,
(IF(AI530&lt;Hónapok!$A$34,Admin!$C$28,
(IF(AI530&lt;Hónapok!$A$46,Admin!$D$28,"")))))))),"")</f>
        <v>2. mérföldkő</v>
      </c>
      <c r="AK530" s="500" t="s">
        <v>7</v>
      </c>
      <c r="AL530" s="115" t="s">
        <v>26</v>
      </c>
      <c r="AM530" s="900">
        <v>252000</v>
      </c>
      <c r="AN530" s="863">
        <v>6760</v>
      </c>
      <c r="AO530" s="101">
        <v>87</v>
      </c>
      <c r="AP530" s="111">
        <v>87</v>
      </c>
      <c r="AQ530" s="454">
        <f t="shared" si="985"/>
        <v>1</v>
      </c>
      <c r="AR530" s="455">
        <f t="shared" si="986"/>
        <v>252000</v>
      </c>
      <c r="AS530" s="528">
        <f t="shared" si="987"/>
        <v>6760</v>
      </c>
      <c r="AT530" s="102">
        <f t="shared" si="988"/>
        <v>0</v>
      </c>
      <c r="AU530" s="529">
        <f t="shared" si="1313"/>
        <v>2.6825396825396825E-2</v>
      </c>
      <c r="AV530" s="565" t="str">
        <f>VLOOKUP(LEFT(AB530,10),Törzsszám!$A$1:$B$908,2,0)</f>
        <v>10002165</v>
      </c>
      <c r="AW530" s="615">
        <f t="shared" ca="1" si="989"/>
        <v>0</v>
      </c>
      <c r="AX530" s="150" t="s">
        <v>260</v>
      </c>
      <c r="AY530" s="505"/>
      <c r="AZ530" s="502" t="s">
        <v>4607</v>
      </c>
      <c r="BA530" s="673">
        <v>252000</v>
      </c>
      <c r="BB530" s="650">
        <v>6760</v>
      </c>
      <c r="BC530" s="649">
        <f t="shared" ca="1" si="1312"/>
        <v>0</v>
      </c>
      <c r="BD530" s="672">
        <f t="shared" ca="1" si="1312"/>
        <v>0</v>
      </c>
      <c r="BE530" s="143" t="s">
        <v>144</v>
      </c>
    </row>
    <row r="531" spans="1:57" s="117" customFormat="1" ht="14.45" customHeight="1" x14ac:dyDescent="0.25">
      <c r="A531" s="694" t="str">
        <f ca="1">Bérköltség!$B531</f>
        <v>FEOR</v>
      </c>
      <c r="B531" s="694" t="str">
        <f ca="1">IFERROR(
IF(AND(Bérköltség!$F531="",H531="NA"),"HIÁNYOS ADATOK",
IF(Bérköltség!$F531&lt;Bérköltség!$U531,Admin!$B$18,Admin!$B$17)),
"")</f>
        <v>FEOR</v>
      </c>
      <c r="C531" s="437" t="str">
        <f>IFERROR(INDEX('Historikus berek_2021-2'!$A$1:$F$903,MATCH(AB531,'Historikus berek_2021-2'!$A$1:$A$903,0),4),"")</f>
        <v/>
      </c>
      <c r="D531" s="438" t="str">
        <f t="shared" si="990"/>
        <v>NA</v>
      </c>
      <c r="E531" s="437">
        <f t="shared" si="991"/>
        <v>252000</v>
      </c>
      <c r="F531" s="439" t="str">
        <f t="shared" si="1310"/>
        <v/>
      </c>
      <c r="G531" s="440" t="str">
        <f t="shared" si="1311"/>
        <v/>
      </c>
      <c r="H531" s="441">
        <f>IFERROR(INDEX('FEOR kodok'!$A$2:$J$1126,MATCH(Bérköltség!AB531,'FEOR kodok'!$B$2:$B$1126,0),8),"NA")</f>
        <v>2169</v>
      </c>
      <c r="I531" s="436">
        <f ca="1">IFERROR(INDEX('FEOR kodok'!$A$2:$J$1126,MATCH(Bérköltség!AB531,'FEOR kodok'!$B$2:$B$1126,0),10),"NA")</f>
        <v>36</v>
      </c>
      <c r="J531" s="442" t="str">
        <f t="shared" ca="1" si="994"/>
        <v>30–39 éves</v>
      </c>
      <c r="K531" s="436" t="str">
        <f>IFERROR(INDEX(admin_feor[#All],MATCH(Bérköltség!H531,admin_feor[[#All],[Foglalkozás]],0),2),"NA")</f>
        <v>Egyéb természettudományi foglalkozású</v>
      </c>
      <c r="L531" s="438">
        <f ca="1">IFERROR(
INDEX('Admin - FEOR'!$A$4:$F$465,MATCH(Bérköltség!H531,'Admin - FEOR'!$A$4:$A$465,0),
IF(J531="30 év alatt",3,
IF(J531="30–39 éves",4,
IF(J531="40–49 éves",5,
IF(J531="50 év és afelett",6
)))))*1,"NA")</f>
        <v>641245</v>
      </c>
      <c r="M531" s="438">
        <f t="shared" si="995"/>
        <v>252000</v>
      </c>
      <c r="N531" s="443">
        <f t="shared" ca="1" si="996"/>
        <v>0.39298552035493456</v>
      </c>
      <c r="O531" s="438">
        <f ca="1">IFERROR(
INDEX('Admin - FEOR'!$A$4:$F$465,MATCH(Bérköltség!H531,'Admin - FEOR'!$A$4:$A$465,0),
IF(J531="30 év alatt",3,
IF(J531="30–39 éves",4,
IF(J531="40–49 éves",5,
IF(J531="50 év és afelett",6
)))))*1.5,"NA")</f>
        <v>961867.5</v>
      </c>
      <c r="P531" s="438">
        <f t="shared" ca="1" si="997"/>
        <v>961867.5</v>
      </c>
      <c r="Q531" s="438">
        <f t="shared" si="998"/>
        <v>252000</v>
      </c>
      <c r="R531" s="444">
        <f t="shared" si="999"/>
        <v>1</v>
      </c>
      <c r="S531" s="438">
        <f t="shared" ca="1" si="1000"/>
        <v>0</v>
      </c>
      <c r="T531" s="438">
        <f t="shared" ca="1" si="1001"/>
        <v>0</v>
      </c>
      <c r="U531" s="445">
        <f t="shared" ca="1" si="1002"/>
        <v>0</v>
      </c>
      <c r="V531" s="446">
        <f t="shared" ca="1" si="1003"/>
        <v>259066</v>
      </c>
      <c r="W531" s="447" t="str">
        <f t="shared" ca="1" si="1004"/>
        <v>Nem szükséges indoklás.</v>
      </c>
      <c r="X531" s="571">
        <f t="shared" ca="1" si="1005"/>
        <v>0</v>
      </c>
      <c r="Y531" s="554">
        <f t="shared" ca="1" si="1006"/>
        <v>252000</v>
      </c>
      <c r="Z531" s="556">
        <f t="shared" ca="1" si="1007"/>
        <v>7066</v>
      </c>
      <c r="AA531" s="573">
        <v>2</v>
      </c>
      <c r="AB531" s="146">
        <v>8439390491</v>
      </c>
      <c r="AC531" s="112" t="s">
        <v>147</v>
      </c>
      <c r="AD531" s="483" t="s">
        <v>45</v>
      </c>
      <c r="AE531" s="143" t="s">
        <v>22</v>
      </c>
      <c r="AF531" s="99" t="s">
        <v>121</v>
      </c>
      <c r="AG531" s="99" t="s">
        <v>148</v>
      </c>
      <c r="AH531" s="451" t="s">
        <v>131</v>
      </c>
      <c r="AI531" s="154">
        <v>44896</v>
      </c>
      <c r="AJ531" s="100" t="str">
        <f>IF(AI531&gt;0,
(IF(AI531&lt;Hónapok!$A$10,Admin!$A$28,
(IF(AI531&lt;Hónapok!$A$22,Admin!$B$28,
(IF(AI531&lt;Hónapok!$A$34,Admin!$C$28,
(IF(AI531&lt;Hónapok!$A$46,Admin!$D$28,"")))))))),"")</f>
        <v>2. mérföldkő</v>
      </c>
      <c r="AK531" s="500" t="s">
        <v>7</v>
      </c>
      <c r="AL531" s="115" t="s">
        <v>26</v>
      </c>
      <c r="AM531" s="900">
        <v>252000</v>
      </c>
      <c r="AN531" s="863">
        <v>7066</v>
      </c>
      <c r="AO531" s="101">
        <v>87</v>
      </c>
      <c r="AP531" s="111">
        <v>87</v>
      </c>
      <c r="AQ531" s="454">
        <f t="shared" si="985"/>
        <v>1</v>
      </c>
      <c r="AR531" s="455">
        <f t="shared" si="986"/>
        <v>252000</v>
      </c>
      <c r="AS531" s="528">
        <f t="shared" si="987"/>
        <v>7066</v>
      </c>
      <c r="AT531" s="102">
        <f t="shared" si="988"/>
        <v>0</v>
      </c>
      <c r="AU531" s="529">
        <f t="shared" si="1313"/>
        <v>2.8039682539682538E-2</v>
      </c>
      <c r="AV531" s="565" t="str">
        <f>VLOOKUP(LEFT(AB531,10),Törzsszám!$A$1:$B$908,2,0)</f>
        <v>10002165</v>
      </c>
      <c r="AW531" s="615">
        <f t="shared" ca="1" si="989"/>
        <v>0</v>
      </c>
      <c r="AX531" s="150" t="s">
        <v>262</v>
      </c>
      <c r="AY531" s="505"/>
      <c r="AZ531" s="502" t="s">
        <v>4607</v>
      </c>
      <c r="BA531" s="673">
        <v>252000</v>
      </c>
      <c r="BB531" s="650">
        <v>7066</v>
      </c>
      <c r="BC531" s="649">
        <f t="shared" ca="1" si="1312"/>
        <v>0</v>
      </c>
      <c r="BD531" s="672">
        <f t="shared" ca="1" si="1312"/>
        <v>0</v>
      </c>
      <c r="BE531" s="143" t="s">
        <v>144</v>
      </c>
    </row>
    <row r="532" spans="1:57" s="117" customFormat="1" ht="14.45" customHeight="1" x14ac:dyDescent="0.25">
      <c r="A532" s="694" t="str">
        <f ca="1">Bérköltség!$B532</f>
        <v>FEOR</v>
      </c>
      <c r="B532" s="694" t="str">
        <f ca="1">IFERROR(
IF(AND(Bérköltség!$F532="",H532="NA"),"HIÁNYOS ADATOK",
IF(Bérköltség!$F532&lt;Bérköltség!$U532,Admin!$B$18,Admin!$B$17)),
"")</f>
        <v>FEOR</v>
      </c>
      <c r="C532" s="437" t="str">
        <f>IFERROR(INDEX('Historikus berek_2021-2'!$A$1:$F$903,MATCH(AB532,'Historikus berek_2021-2'!$A$1:$A$903,0),4),"")</f>
        <v/>
      </c>
      <c r="D532" s="438" t="str">
        <f t="shared" si="990"/>
        <v>NA</v>
      </c>
      <c r="E532" s="437">
        <f t="shared" si="991"/>
        <v>252000</v>
      </c>
      <c r="F532" s="439" t="str">
        <f t="shared" si="1310"/>
        <v/>
      </c>
      <c r="G532" s="440" t="str">
        <f t="shared" si="1311"/>
        <v/>
      </c>
      <c r="H532" s="441">
        <f>IFERROR(INDEX('FEOR kodok'!$A$2:$J$1126,MATCH(Bérköltség!AB532,'FEOR kodok'!$B$2:$B$1126,0),8),"NA")</f>
        <v>2169</v>
      </c>
      <c r="I532" s="436">
        <f ca="1">IFERROR(INDEX('FEOR kodok'!$A$2:$J$1126,MATCH(Bérköltség!AB532,'FEOR kodok'!$B$2:$B$1126,0),10),"NA")</f>
        <v>36</v>
      </c>
      <c r="J532" s="442" t="str">
        <f t="shared" ca="1" si="994"/>
        <v>30–39 éves</v>
      </c>
      <c r="K532" s="436" t="str">
        <f>IFERROR(INDEX(admin_feor[#All],MATCH(Bérköltség!H532,admin_feor[[#All],[Foglalkozás]],0),2),"NA")</f>
        <v>Egyéb természettudományi foglalkozású</v>
      </c>
      <c r="L532" s="438">
        <f ca="1">IFERROR(
INDEX('Admin - FEOR'!$A$4:$F$465,MATCH(Bérköltség!H532,'Admin - FEOR'!$A$4:$A$465,0),
IF(J532="30 év alatt",3,
IF(J532="30–39 éves",4,
IF(J532="40–49 éves",5,
IF(J532="50 év és afelett",6
)))))*1,"NA")</f>
        <v>641245</v>
      </c>
      <c r="M532" s="438">
        <f t="shared" si="995"/>
        <v>252000</v>
      </c>
      <c r="N532" s="443">
        <f t="shared" ca="1" si="996"/>
        <v>0.39298552035493456</v>
      </c>
      <c r="O532" s="438">
        <f ca="1">IFERROR(
INDEX('Admin - FEOR'!$A$4:$F$465,MATCH(Bérköltség!H532,'Admin - FEOR'!$A$4:$A$465,0),
IF(J532="30 év alatt",3,
IF(J532="30–39 éves",4,
IF(J532="40–49 éves",5,
IF(J532="50 év és afelett",6
)))))*1.5,"NA")</f>
        <v>961867.5</v>
      </c>
      <c r="P532" s="438">
        <f t="shared" ca="1" si="997"/>
        <v>961867.5</v>
      </c>
      <c r="Q532" s="438">
        <f t="shared" si="998"/>
        <v>252000</v>
      </c>
      <c r="R532" s="444">
        <f t="shared" si="999"/>
        <v>1</v>
      </c>
      <c r="S532" s="438">
        <f t="shared" ca="1" si="1000"/>
        <v>0</v>
      </c>
      <c r="T532" s="438">
        <f t="shared" ca="1" si="1001"/>
        <v>0</v>
      </c>
      <c r="U532" s="445">
        <f t="shared" ca="1" si="1002"/>
        <v>0</v>
      </c>
      <c r="V532" s="446">
        <f t="shared" ca="1" si="1003"/>
        <v>254600</v>
      </c>
      <c r="W532" s="447" t="str">
        <f t="shared" ca="1" si="1004"/>
        <v>Nem szükséges indoklás.</v>
      </c>
      <c r="X532" s="571">
        <f t="shared" ca="1" si="1005"/>
        <v>0</v>
      </c>
      <c r="Y532" s="554">
        <f t="shared" ca="1" si="1006"/>
        <v>252000</v>
      </c>
      <c r="Z532" s="556">
        <f t="shared" ca="1" si="1007"/>
        <v>2600</v>
      </c>
      <c r="AA532" s="573">
        <v>2</v>
      </c>
      <c r="AB532" s="146">
        <v>8439390491</v>
      </c>
      <c r="AC532" s="112" t="s">
        <v>147</v>
      </c>
      <c r="AD532" s="483" t="s">
        <v>45</v>
      </c>
      <c r="AE532" s="143" t="s">
        <v>22</v>
      </c>
      <c r="AF532" s="99" t="s">
        <v>121</v>
      </c>
      <c r="AG532" s="99" t="s">
        <v>148</v>
      </c>
      <c r="AH532" s="451" t="s">
        <v>131</v>
      </c>
      <c r="AI532" s="154">
        <v>44927</v>
      </c>
      <c r="AJ532" s="100" t="str">
        <f>IF(AI532&gt;0,
(IF(AI532&lt;Hónapok!$A$10,Admin!$A$28,
(IF(AI532&lt;Hónapok!$A$22,Admin!$B$28,
(IF(AI532&lt;Hónapok!$A$34,Admin!$C$28,
(IF(AI532&lt;Hónapok!$A$46,Admin!$D$28,"")))))))),"")</f>
        <v>2. mérföldkő</v>
      </c>
      <c r="AK532" s="500" t="s">
        <v>7</v>
      </c>
      <c r="AL532" s="115" t="s">
        <v>26</v>
      </c>
      <c r="AM532" s="900">
        <v>252000</v>
      </c>
      <c r="AN532" s="863">
        <v>2600</v>
      </c>
      <c r="AO532" s="101">
        <v>87</v>
      </c>
      <c r="AP532" s="111">
        <v>87</v>
      </c>
      <c r="AQ532" s="454">
        <f t="shared" ref="AQ532:AQ551" si="1314">IFERROR(AP532/AO532,"")</f>
        <v>1</v>
      </c>
      <c r="AR532" s="455">
        <f t="shared" ref="AR532:AR551" si="1315">IFERROR(ROUND(AM532*AP532/AO532,0),"")</f>
        <v>252000</v>
      </c>
      <c r="AS532" s="528">
        <f t="shared" ref="AS532:AS551" si="1316">IFERROR(ROUND(AR532*AU532,0),"")</f>
        <v>2600</v>
      </c>
      <c r="AT532" s="102">
        <f t="shared" ref="AT532:AT551" si="1317">IFERROR(AP532/AO532-AR532/AM532,"")</f>
        <v>0</v>
      </c>
      <c r="AU532" s="529">
        <f t="shared" si="1313"/>
        <v>1.0317460317460317E-2</v>
      </c>
      <c r="AV532" s="565" t="str">
        <f>VLOOKUP(LEFT(AB532,10),Törzsszám!$A$1:$B$908,2,0)</f>
        <v>10002165</v>
      </c>
      <c r="AW532" s="615">
        <f t="shared" ref="AW532:AW551" ca="1" si="1318">(Y532+Z532)-(AR532+AS532)</f>
        <v>0</v>
      </c>
      <c r="AX532" s="150" t="s">
        <v>2518</v>
      </c>
      <c r="AY532" s="505"/>
      <c r="AZ532" s="502" t="s">
        <v>4607</v>
      </c>
      <c r="BA532" s="673">
        <v>252000</v>
      </c>
      <c r="BB532" s="650">
        <v>2600</v>
      </c>
      <c r="BC532" s="649">
        <f t="shared" ca="1" si="1312"/>
        <v>0</v>
      </c>
      <c r="BD532" s="672">
        <f t="shared" ca="1" si="1312"/>
        <v>0</v>
      </c>
      <c r="BE532" s="143" t="s">
        <v>144</v>
      </c>
    </row>
    <row r="533" spans="1:57" s="117" customFormat="1" ht="14.45" customHeight="1" x14ac:dyDescent="0.25">
      <c r="A533" s="694" t="str">
        <f ca="1">Bérköltség!$B533</f>
        <v>FEOR</v>
      </c>
      <c r="B533" s="694" t="str">
        <f ca="1">IFERROR(
IF(AND(Bérköltség!$F533="",H533="NA"),"HIÁNYOS ADATOK",
IF(Bérköltség!$F533&lt;Bérköltség!$U533,Admin!$B$18,Admin!$B$17)),
"")</f>
        <v>FEOR</v>
      </c>
      <c r="C533" s="437" t="str">
        <f>IFERROR(INDEX('Historikus berek_2021-2'!$A$1:$F$903,MATCH(AB533,'Historikus berek_2021-2'!$A$1:$A$903,0),4),"")</f>
        <v/>
      </c>
      <c r="D533" s="438" t="str">
        <f t="shared" si="990"/>
        <v>NA</v>
      </c>
      <c r="E533" s="437">
        <f t="shared" si="991"/>
        <v>252000</v>
      </c>
      <c r="F533" s="439" t="str">
        <f t="shared" si="992"/>
        <v/>
      </c>
      <c r="G533" s="440" t="str">
        <f t="shared" si="993"/>
        <v/>
      </c>
      <c r="H533" s="441">
        <f>IFERROR(INDEX('FEOR kodok'!$A$2:$J$1126,MATCH(Bérköltség!AB533,'FEOR kodok'!$B$2:$B$1126,0),8),"NA")</f>
        <v>2169</v>
      </c>
      <c r="I533" s="436">
        <f ca="1">IFERROR(INDEX('FEOR kodok'!$A$2:$J$1126,MATCH(Bérköltség!AB533,'FEOR kodok'!$B$2:$B$1126,0),10),"NA")</f>
        <v>36</v>
      </c>
      <c r="J533" s="442" t="str">
        <f t="shared" ca="1" si="994"/>
        <v>30–39 éves</v>
      </c>
      <c r="K533" s="436" t="str">
        <f>IFERROR(INDEX(admin_feor[#All],MATCH(Bérköltség!H533,admin_feor[[#All],[Foglalkozás]],0),2),"NA")</f>
        <v>Egyéb természettudományi foglalkozású</v>
      </c>
      <c r="L533" s="438">
        <f ca="1">IFERROR(
INDEX('Admin - FEOR'!$A$4:$F$465,MATCH(Bérköltség!H533,'Admin - FEOR'!$A$4:$A$465,0),
IF(J533="30 év alatt",3,
IF(J533="30–39 éves",4,
IF(J533="40–49 éves",5,
IF(J533="50 év és afelett",6
)))))*1,"NA")</f>
        <v>641245</v>
      </c>
      <c r="M533" s="438">
        <f t="shared" si="995"/>
        <v>252000</v>
      </c>
      <c r="N533" s="443">
        <f t="shared" ca="1" si="996"/>
        <v>0.39298552035493456</v>
      </c>
      <c r="O533" s="438">
        <f ca="1">IFERROR(
INDEX('Admin - FEOR'!$A$4:$F$465,MATCH(Bérköltség!H533,'Admin - FEOR'!$A$4:$A$465,0),
IF(J533="30 év alatt",3,
IF(J533="30–39 éves",4,
IF(J533="40–49 éves",5,
IF(J533="50 év és afelett",6
)))))*1.5,"NA")</f>
        <v>961867.5</v>
      </c>
      <c r="P533" s="438">
        <f t="shared" ca="1" si="997"/>
        <v>961867.5</v>
      </c>
      <c r="Q533" s="438">
        <f t="shared" si="998"/>
        <v>252000</v>
      </c>
      <c r="R533" s="444">
        <f t="shared" si="999"/>
        <v>1</v>
      </c>
      <c r="S533" s="438">
        <f t="shared" ca="1" si="1000"/>
        <v>0</v>
      </c>
      <c r="T533" s="438">
        <f t="shared" ca="1" si="1001"/>
        <v>0</v>
      </c>
      <c r="U533" s="445">
        <f t="shared" ca="1" si="1002"/>
        <v>0</v>
      </c>
      <c r="V533" s="446">
        <f t="shared" ca="1" si="1003"/>
        <v>254600</v>
      </c>
      <c r="W533" s="447" t="str">
        <f t="shared" ca="1" si="1004"/>
        <v>Nem szükséges indoklás.</v>
      </c>
      <c r="X533" s="571">
        <f t="shared" ca="1" si="1005"/>
        <v>0</v>
      </c>
      <c r="Y533" s="554">
        <f t="shared" ca="1" si="1006"/>
        <v>252000</v>
      </c>
      <c r="Z533" s="556">
        <f t="shared" ca="1" si="1007"/>
        <v>2600</v>
      </c>
      <c r="AA533" s="115"/>
      <c r="AB533" s="146">
        <v>8439390491</v>
      </c>
      <c r="AC533" s="112" t="s">
        <v>147</v>
      </c>
      <c r="AD533" s="483" t="s">
        <v>45</v>
      </c>
      <c r="AE533" s="143" t="s">
        <v>22</v>
      </c>
      <c r="AF533" s="99" t="s">
        <v>121</v>
      </c>
      <c r="AG533" s="99" t="s">
        <v>148</v>
      </c>
      <c r="AH533" s="451" t="s">
        <v>131</v>
      </c>
      <c r="AI533" s="154">
        <v>44958</v>
      </c>
      <c r="AJ533" s="100" t="str">
        <f>IF(AI533&gt;0,
(IF(AI533&lt;Hónapok!$A$10,Admin!$A$28,
(IF(AI533&lt;Hónapok!$A$22,Admin!$B$28,
(IF(AI533&lt;Hónapok!$A$34,Admin!$C$28,
(IF(AI533&lt;Hónapok!$A$46,Admin!$D$28,"")))))))),"")</f>
        <v>2. mérföldkő</v>
      </c>
      <c r="AK533" s="500" t="s">
        <v>7</v>
      </c>
      <c r="AL533" s="115" t="s">
        <v>26</v>
      </c>
      <c r="AM533" s="900">
        <v>252000</v>
      </c>
      <c r="AN533" s="863">
        <v>2600</v>
      </c>
      <c r="AO533" s="101">
        <v>87</v>
      </c>
      <c r="AP533" s="111">
        <v>87</v>
      </c>
      <c r="AQ533" s="454">
        <f t="shared" si="1314"/>
        <v>1</v>
      </c>
      <c r="AR533" s="455">
        <f t="shared" si="1315"/>
        <v>252000</v>
      </c>
      <c r="AS533" s="528">
        <f t="shared" si="1316"/>
        <v>2600</v>
      </c>
      <c r="AT533" s="102">
        <f t="shared" si="1317"/>
        <v>0</v>
      </c>
      <c r="AU533" s="683">
        <f>AN533/AM533</f>
        <v>1.0317460317460317E-2</v>
      </c>
      <c r="AV533" s="565" t="str">
        <f>VLOOKUP(LEFT(AB533,10),Törzsszám!$A$1:$B$908,2,0)</f>
        <v>10002165</v>
      </c>
      <c r="AW533" s="615">
        <f t="shared" ca="1" si="1318"/>
        <v>0</v>
      </c>
      <c r="AX533" s="537" t="s">
        <v>4557</v>
      </c>
      <c r="AY533" s="505"/>
      <c r="AZ533" s="803"/>
      <c r="BA533" s="673"/>
      <c r="BB533" s="650"/>
      <c r="BC533" s="649"/>
      <c r="BD533" s="672"/>
      <c r="BE533" s="143" t="s">
        <v>144</v>
      </c>
    </row>
    <row r="534" spans="1:57" s="117" customFormat="1" ht="14.45" customHeight="1" x14ac:dyDescent="0.25">
      <c r="A534" s="694" t="str">
        <f ca="1">Bérköltség!$B534</f>
        <v>FEOR</v>
      </c>
      <c r="B534" s="694" t="str">
        <f ca="1">IFERROR(
IF(AND(Bérköltség!$F534="",H534="NA"),"HIÁNYOS ADATOK",
IF(Bérköltség!$F534&lt;Bérköltség!$U534,Admin!$B$18,Admin!$B$17)),
"")</f>
        <v>FEOR</v>
      </c>
      <c r="C534" s="437" t="str">
        <f>IFERROR(INDEX('Historikus berek_2021-2'!$A$1:$F$903,MATCH(AB534,'Historikus berek_2021-2'!$A$1:$A$903,0),4),"")</f>
        <v/>
      </c>
      <c r="D534" s="438" t="str">
        <f t="shared" si="990"/>
        <v>NA</v>
      </c>
      <c r="E534" s="437">
        <f t="shared" si="991"/>
        <v>252000</v>
      </c>
      <c r="F534" s="439" t="str">
        <f t="shared" si="992"/>
        <v/>
      </c>
      <c r="G534" s="440" t="str">
        <f t="shared" si="993"/>
        <v/>
      </c>
      <c r="H534" s="441">
        <f>IFERROR(INDEX('FEOR kodok'!$A$2:$J$1126,MATCH(Bérköltség!AB534,'FEOR kodok'!$B$2:$B$1126,0),8),"NA")</f>
        <v>2169</v>
      </c>
      <c r="I534" s="436">
        <f ca="1">IFERROR(INDEX('FEOR kodok'!$A$2:$J$1126,MATCH(Bérköltség!AB534,'FEOR kodok'!$B$2:$B$1126,0),10),"NA")</f>
        <v>36</v>
      </c>
      <c r="J534" s="442" t="str">
        <f t="shared" ca="1" si="994"/>
        <v>30–39 éves</v>
      </c>
      <c r="K534" s="436" t="str">
        <f>IFERROR(INDEX(admin_feor[#All],MATCH(Bérköltség!H534,admin_feor[[#All],[Foglalkozás]],0),2),"NA")</f>
        <v>Egyéb természettudományi foglalkozású</v>
      </c>
      <c r="L534" s="438">
        <f ca="1">IFERROR(
INDEX('Admin - FEOR'!$A$4:$F$465,MATCH(Bérköltség!H534,'Admin - FEOR'!$A$4:$A$465,0),
IF(J534="30 év alatt",3,
IF(J534="30–39 éves",4,
IF(J534="40–49 éves",5,
IF(J534="50 év és afelett",6
)))))*1,"NA")</f>
        <v>641245</v>
      </c>
      <c r="M534" s="438">
        <f t="shared" si="995"/>
        <v>252000</v>
      </c>
      <c r="N534" s="443">
        <f t="shared" ca="1" si="996"/>
        <v>0.39298552035493456</v>
      </c>
      <c r="O534" s="438">
        <f ca="1">IFERROR(
INDEX('Admin - FEOR'!$A$4:$F$465,MATCH(Bérköltség!H534,'Admin - FEOR'!$A$4:$A$465,0),
IF(J534="30 év alatt",3,
IF(J534="30–39 éves",4,
IF(J534="40–49 éves",5,
IF(J534="50 év és afelett",6
)))))*1.5,"NA")</f>
        <v>961867.5</v>
      </c>
      <c r="P534" s="438">
        <f t="shared" ca="1" si="997"/>
        <v>961867.5</v>
      </c>
      <c r="Q534" s="438">
        <f t="shared" si="998"/>
        <v>252000</v>
      </c>
      <c r="R534" s="444">
        <f t="shared" si="999"/>
        <v>1</v>
      </c>
      <c r="S534" s="438">
        <f t="shared" ca="1" si="1000"/>
        <v>0</v>
      </c>
      <c r="T534" s="438">
        <f t="shared" ca="1" si="1001"/>
        <v>0</v>
      </c>
      <c r="U534" s="445">
        <f t="shared" ca="1" si="1002"/>
        <v>0</v>
      </c>
      <c r="V534" s="446">
        <f t="shared" ca="1" si="1003"/>
        <v>254600</v>
      </c>
      <c r="W534" s="447" t="str">
        <f t="shared" ca="1" si="1004"/>
        <v>Nem szükséges indoklás.</v>
      </c>
      <c r="X534" s="571">
        <f t="shared" ca="1" si="1005"/>
        <v>0</v>
      </c>
      <c r="Y534" s="554">
        <f t="shared" ca="1" si="1006"/>
        <v>252000</v>
      </c>
      <c r="Z534" s="556">
        <f t="shared" ca="1" si="1007"/>
        <v>2600</v>
      </c>
      <c r="AA534" s="115"/>
      <c r="AB534" s="146">
        <v>8439390491</v>
      </c>
      <c r="AC534" s="112" t="s">
        <v>147</v>
      </c>
      <c r="AD534" s="483" t="s">
        <v>45</v>
      </c>
      <c r="AE534" s="143" t="s">
        <v>22</v>
      </c>
      <c r="AF534" s="99" t="s">
        <v>121</v>
      </c>
      <c r="AG534" s="99" t="s">
        <v>148</v>
      </c>
      <c r="AH534" s="451" t="s">
        <v>131</v>
      </c>
      <c r="AI534" s="154">
        <v>44986</v>
      </c>
      <c r="AJ534" s="100" t="str">
        <f>IF(AI534&gt;0,
(IF(AI534&lt;Hónapok!$A$10,Admin!$A$28,
(IF(AI534&lt;Hónapok!$A$22,Admin!$B$28,
(IF(AI534&lt;Hónapok!$A$34,Admin!$C$28,
(IF(AI534&lt;Hónapok!$A$46,Admin!$D$28,"")))))))),"")</f>
        <v>3. mérföldkő</v>
      </c>
      <c r="AK534" s="470" t="s">
        <v>7</v>
      </c>
      <c r="AL534" s="115" t="s">
        <v>26</v>
      </c>
      <c r="AM534" s="900">
        <v>252000</v>
      </c>
      <c r="AN534" s="863">
        <v>2600</v>
      </c>
      <c r="AO534" s="101">
        <v>87</v>
      </c>
      <c r="AP534" s="111">
        <v>87</v>
      </c>
      <c r="AQ534" s="454">
        <f t="shared" si="1314"/>
        <v>1</v>
      </c>
      <c r="AR534" s="455">
        <f t="shared" si="1315"/>
        <v>252000</v>
      </c>
      <c r="AS534" s="528">
        <f t="shared" si="1316"/>
        <v>2600</v>
      </c>
      <c r="AT534" s="102">
        <f t="shared" si="1317"/>
        <v>0</v>
      </c>
      <c r="AU534" s="683">
        <f>AN534/AM534</f>
        <v>1.0317460317460317E-2</v>
      </c>
      <c r="AV534" s="565" t="str">
        <f>VLOOKUP(LEFT(AB534,10),Törzsszám!$A$1:$B$908,2,0)</f>
        <v>10002165</v>
      </c>
      <c r="AW534" s="615">
        <f t="shared" ca="1" si="1318"/>
        <v>0</v>
      </c>
      <c r="AX534" s="471" t="s">
        <v>4561</v>
      </c>
      <c r="AY534" s="505"/>
      <c r="AZ534" s="803"/>
      <c r="BA534" s="673"/>
      <c r="BB534" s="650"/>
      <c r="BC534" s="649"/>
      <c r="BD534" s="672"/>
      <c r="BE534" s="143" t="s">
        <v>144</v>
      </c>
    </row>
    <row r="535" spans="1:57" s="117" customFormat="1" ht="28.15" customHeight="1" x14ac:dyDescent="0.25">
      <c r="A535" s="694" t="str">
        <f ca="1">Bérköltség!$B535</f>
        <v>FEOR</v>
      </c>
      <c r="B535" s="694" t="str">
        <f ca="1">IFERROR(
IF(AND(Bérköltség!$F535="",H535="NA"),"HIÁNYOS ADATOK",
IF(Bérköltség!$F535&lt;Bérköltség!$U535,Admin!$B$18,Admin!$B$17)),
"")</f>
        <v>FEOR</v>
      </c>
      <c r="C535" s="437" t="str">
        <f>IFERROR(INDEX('Historikus berek_2021-2'!$A$1:$F$903,MATCH(AB535,'Historikus berek_2021-2'!$A$1:$A$903,0),4),"")</f>
        <v/>
      </c>
      <c r="D535" s="438" t="str">
        <f t="shared" ref="D535:D551" si="1319">IFERROR(C535*AQ535,"NA")</f>
        <v>NA</v>
      </c>
      <c r="E535" s="437">
        <f t="shared" ref="E535:E551" si="1320">AR535</f>
        <v>252000</v>
      </c>
      <c r="F535" s="439" t="str">
        <f t="shared" ref="F535:F551" si="1321">IFERROR(IF((E535*(1+AU535)-D535*(1+AU535))&lt;0,0,(E535*(1+AU535)-D535*(1+AU535))),"")</f>
        <v/>
      </c>
      <c r="G535" s="440" t="str">
        <f t="shared" ref="G535:G551" si="1322">IFERROR((E535*(1+AU535)-F535),"")</f>
        <v/>
      </c>
      <c r="H535" s="441">
        <f>IFERROR(INDEX('FEOR kodok'!$A$2:$J$1126,MATCH(Bérköltség!AB535,'FEOR kodok'!$B$2:$B$1126,0),8),"NA")</f>
        <v>2169</v>
      </c>
      <c r="I535" s="436">
        <f ca="1">IFERROR(INDEX('FEOR kodok'!$A$2:$J$1126,MATCH(Bérköltség!AB535,'FEOR kodok'!$B$2:$B$1126,0),10),"NA")</f>
        <v>36</v>
      </c>
      <c r="J535" s="442" t="str">
        <f t="shared" ref="J535:J551" ca="1" si="1323">IF(I535="NA","NA",
IF(I535&lt;30,"30 év alatt",
IF(AND(I535&gt;=30,I535&lt;=39),"30–39 éves",
IF(AND(I535&gt;=40,I535&lt;=49),"40–49 éves",
IF(I535&gt;=50,"50 év és afelett",
"")))))</f>
        <v>30–39 éves</v>
      </c>
      <c r="K535" s="436" t="str">
        <f>IFERROR(INDEX(admin_feor[#All],MATCH(Bérköltség!H535,admin_feor[[#All],[Foglalkozás]],0),2),"NA")</f>
        <v>Egyéb természettudományi foglalkozású</v>
      </c>
      <c r="L535" s="438">
        <f ca="1">IFERROR(
INDEX('Admin - FEOR'!$A$4:$F$465,MATCH(Bérköltség!H535,'Admin - FEOR'!$A$4:$A$465,0),
IF(J535="30 év alatt",3,
IF(J535="30–39 éves",4,
IF(J535="40–49 éves",5,
IF(J535="50 év és afelett",6
)))))*1,"NA")</f>
        <v>641245</v>
      </c>
      <c r="M535" s="438">
        <f t="shared" ref="M535:M551" si="1324">AM535</f>
        <v>252000</v>
      </c>
      <c r="N535" s="443">
        <f t="shared" ref="N535:N551" ca="1" si="1325">IFERROR(
M535/L535,"NA")</f>
        <v>0.39298552035493456</v>
      </c>
      <c r="O535" s="438">
        <f ca="1">IFERROR(
INDEX('Admin - FEOR'!$A$4:$F$465,MATCH(Bérköltség!H535,'Admin - FEOR'!$A$4:$A$465,0),
IF(J535="30 év alatt",3,
IF(J535="30–39 éves",4,
IF(J535="40–49 éves",5,
IF(J535="50 év és afelett",6
)))))*1.5,"NA")</f>
        <v>961867.5</v>
      </c>
      <c r="P535" s="438">
        <f t="shared" ref="P535:P551" ca="1" si="1326">IFERROR(
AQ535*O535,"NA")</f>
        <v>961867.5</v>
      </c>
      <c r="Q535" s="438">
        <f t="shared" ref="Q535:Q551" si="1327">IFERROR(AR535,"")</f>
        <v>252000</v>
      </c>
      <c r="R535" s="444">
        <f t="shared" ref="R535:R551" si="1328">IFERROR(AQ535,"")</f>
        <v>1</v>
      </c>
      <c r="S535" s="438">
        <f t="shared" ref="S535:S551" ca="1" si="1329">IFERROR(
IF(AR535-P535&lt;0,0,AR535-P535),"NA")</f>
        <v>0</v>
      </c>
      <c r="T535" s="438">
        <f t="shared" ref="T535:T551" ca="1" si="1330">IFERROR(
S535*AU535,"NA")</f>
        <v>0</v>
      </c>
      <c r="U535" s="445">
        <f t="shared" ref="U535:U551" ca="1" si="1331">IFERROR(
S535+T535,"NA")</f>
        <v>0</v>
      </c>
      <c r="V535" s="446">
        <f t="shared" ref="V535:V551" ca="1" si="1332">IFERROR(
IF(U535&gt;0,AR535+AS535-U535,AR535+AS535),"NA")</f>
        <v>254600</v>
      </c>
      <c r="W535" s="447" t="str">
        <f t="shared" ref="W535:W551" ca="1" si="1333">IF(P535="NA","FEOR hiányzik",
IF(AND(N535&gt;1,A535="FEOR"),CONCATENATE("Indoklás szükséges mivel a FEOR: ",ROUND(N535*100,1),"%"),"Nem szükséges indoklás.")
)</f>
        <v>Nem szükséges indoklás.</v>
      </c>
      <c r="X535" s="571">
        <f t="shared" ref="X535:X551" ca="1" si="1334">IF(A535="FEOR",U535,IF(A535="HIÁNYOS ADATOK","HIÁNYOS ADATOK",F535))</f>
        <v>0</v>
      </c>
      <c r="Y535" s="554">
        <f t="shared" ref="Y535:Y536" ca="1" si="1335">IF(A535="FEOR",ROUND(V535/(1+AU535),0),IF(A535="HIÁNYOS ADATOK","HIÁNYOS ADATOK",ROUND(G535/(1+AU535),0)))</f>
        <v>252000</v>
      </c>
      <c r="Z535" s="887">
        <f t="shared" ref="Z535:Z551" ca="1" si="1336">IF(A535="FEOR",ROUND(V535-Y535,0),IF(A535="HIÁNYOS ADATOK","HIÁNYOS ADATOK",ROUND(G535-Y535,0)))</f>
        <v>2600</v>
      </c>
      <c r="AA535" s="115"/>
      <c r="AB535" s="146">
        <v>8439390491</v>
      </c>
      <c r="AC535" s="112" t="s">
        <v>147</v>
      </c>
      <c r="AD535" s="483" t="s">
        <v>45</v>
      </c>
      <c r="AE535" s="143" t="s">
        <v>22</v>
      </c>
      <c r="AF535" s="99" t="s">
        <v>121</v>
      </c>
      <c r="AG535" s="99" t="s">
        <v>148</v>
      </c>
      <c r="AH535" s="451" t="s">
        <v>131</v>
      </c>
      <c r="AI535" s="154">
        <v>45017</v>
      </c>
      <c r="AJ535" s="100" t="str">
        <f>IF(AI535&gt;0,
(IF(AI535&lt;Hónapok!$A$10,Admin!$A$28,
(IF(AI535&lt;Hónapok!$A$22,Admin!$B$28,
(IF(AI535&lt;Hónapok!$A$34,Admin!$C$28,
(IF(AI535&lt;Hónapok!$A$46,Admin!$D$28,"")))))))),"")</f>
        <v>3. mérföldkő</v>
      </c>
      <c r="AK535" s="500" t="s">
        <v>7</v>
      </c>
      <c r="AL535" s="115" t="s">
        <v>26</v>
      </c>
      <c r="AM535" s="900">
        <v>252000</v>
      </c>
      <c r="AN535" s="863">
        <v>2600</v>
      </c>
      <c r="AO535" s="101">
        <v>87</v>
      </c>
      <c r="AP535" s="111">
        <v>87</v>
      </c>
      <c r="AQ535" s="454">
        <f t="shared" si="1314"/>
        <v>1</v>
      </c>
      <c r="AR535" s="455">
        <f t="shared" si="1315"/>
        <v>252000</v>
      </c>
      <c r="AS535" s="528">
        <f t="shared" si="1316"/>
        <v>2600</v>
      </c>
      <c r="AT535" s="102">
        <f t="shared" si="1317"/>
        <v>0</v>
      </c>
      <c r="AU535" s="683">
        <f>AN535/AM535</f>
        <v>1.0317460317460317E-2</v>
      </c>
      <c r="AV535" s="565" t="str">
        <f>VLOOKUP(LEFT(AB535,10),Törzsszám!$A$1:$B$908,2,0)</f>
        <v>10002165</v>
      </c>
      <c r="AW535" s="615">
        <f t="shared" ca="1" si="1318"/>
        <v>0</v>
      </c>
      <c r="AX535" s="471" t="s">
        <v>4581</v>
      </c>
      <c r="AY535" s="831" t="s">
        <v>4595</v>
      </c>
      <c r="AZ535" s="803"/>
      <c r="BA535" s="673"/>
      <c r="BB535" s="650"/>
      <c r="BC535" s="649"/>
      <c r="BD535" s="672"/>
      <c r="BE535" s="143" t="s">
        <v>144</v>
      </c>
    </row>
    <row r="536" spans="1:57" s="117" customFormat="1" ht="14.45" customHeight="1" x14ac:dyDescent="0.25">
      <c r="A536" s="694" t="str">
        <f ca="1">Bérköltség!$B536</f>
        <v>FEOR</v>
      </c>
      <c r="B536" s="694" t="str">
        <f ca="1">IFERROR(
IF(AND(Bérköltség!$F536="",H536="NA"),"HIÁNYOS ADATOK",
IF(Bérköltség!$F536&lt;Bérköltség!$U536,Admin!$B$18,Admin!$B$17)),
"")</f>
        <v>FEOR</v>
      </c>
      <c r="C536" s="437" t="str">
        <f>IFERROR(INDEX('Historikus berek_2021-2'!$A$1:$F$903,MATCH(AB536,'Historikus berek_2021-2'!$A$1:$A$903,0),4),"")</f>
        <v/>
      </c>
      <c r="D536" s="438" t="str">
        <f t="shared" si="1319"/>
        <v>NA</v>
      </c>
      <c r="E536" s="437">
        <f t="shared" si="1320"/>
        <v>252000</v>
      </c>
      <c r="F536" s="439" t="str">
        <f t="shared" si="1321"/>
        <v/>
      </c>
      <c r="G536" s="440" t="str">
        <f t="shared" si="1322"/>
        <v/>
      </c>
      <c r="H536" s="441">
        <f>IFERROR(INDEX('FEOR kodok'!$A$2:$J$1126,MATCH(Bérköltség!AB536,'FEOR kodok'!$B$2:$B$1126,0),8),"NA")</f>
        <v>2169</v>
      </c>
      <c r="I536" s="436">
        <f ca="1">IFERROR(INDEX('FEOR kodok'!$A$2:$J$1126,MATCH(Bérköltség!AB536,'FEOR kodok'!$B$2:$B$1126,0),10),"NA")</f>
        <v>36</v>
      </c>
      <c r="J536" s="442" t="str">
        <f t="shared" ca="1" si="1323"/>
        <v>30–39 éves</v>
      </c>
      <c r="K536" s="436" t="str">
        <f>IFERROR(INDEX(admin_feor[#All],MATCH(Bérköltség!H536,admin_feor[[#All],[Foglalkozás]],0),2),"NA")</f>
        <v>Egyéb természettudományi foglalkozású</v>
      </c>
      <c r="L536" s="438">
        <f ca="1">IFERROR(
INDEX('Admin - FEOR'!$A$4:$F$465,MATCH(Bérköltség!H536,'Admin - FEOR'!$A$4:$A$465,0),
IF(J536="30 év alatt",3,
IF(J536="30–39 éves",4,
IF(J536="40–49 éves",5,
IF(J536="50 év és afelett",6
)))))*1,"NA")</f>
        <v>641245</v>
      </c>
      <c r="M536" s="438">
        <f t="shared" si="1324"/>
        <v>252000</v>
      </c>
      <c r="N536" s="443">
        <f t="shared" ca="1" si="1325"/>
        <v>0.39298552035493456</v>
      </c>
      <c r="O536" s="438">
        <f ca="1">IFERROR(
INDEX('Admin - FEOR'!$A$4:$F$465,MATCH(Bérköltség!H536,'Admin - FEOR'!$A$4:$A$465,0),
IF(J536="30 év alatt",3,
IF(J536="30–39 éves",4,
IF(J536="40–49 éves",5,
IF(J536="50 év és afelett",6
)))))*1.5,"NA")</f>
        <v>961867.5</v>
      </c>
      <c r="P536" s="438">
        <f t="shared" ca="1" si="1326"/>
        <v>961867.5</v>
      </c>
      <c r="Q536" s="438">
        <f t="shared" si="1327"/>
        <v>252000</v>
      </c>
      <c r="R536" s="444">
        <f t="shared" si="1328"/>
        <v>1</v>
      </c>
      <c r="S536" s="438">
        <f t="shared" ca="1" si="1329"/>
        <v>0</v>
      </c>
      <c r="T536" s="438">
        <f t="shared" ca="1" si="1330"/>
        <v>0</v>
      </c>
      <c r="U536" s="445">
        <f t="shared" ca="1" si="1331"/>
        <v>0</v>
      </c>
      <c r="V536" s="446">
        <f t="shared" ca="1" si="1332"/>
        <v>254600</v>
      </c>
      <c r="W536" s="447" t="str">
        <f t="shared" ca="1" si="1333"/>
        <v>Nem szükséges indoklás.</v>
      </c>
      <c r="X536" s="571">
        <f t="shared" ca="1" si="1334"/>
        <v>0</v>
      </c>
      <c r="Y536" s="554">
        <f t="shared" ca="1" si="1335"/>
        <v>252000</v>
      </c>
      <c r="Z536" s="887">
        <f t="shared" ca="1" si="1336"/>
        <v>2600</v>
      </c>
      <c r="AA536" s="115"/>
      <c r="AB536" s="146">
        <v>8439390491</v>
      </c>
      <c r="AC536" s="112" t="s">
        <v>147</v>
      </c>
      <c r="AD536" s="483" t="s">
        <v>45</v>
      </c>
      <c r="AE536" s="143" t="s">
        <v>22</v>
      </c>
      <c r="AF536" s="99" t="s">
        <v>121</v>
      </c>
      <c r="AG536" s="99" t="s">
        <v>148</v>
      </c>
      <c r="AH536" s="451" t="s">
        <v>131</v>
      </c>
      <c r="AI536" s="154">
        <v>45047</v>
      </c>
      <c r="AJ536" s="100" t="str">
        <f>IF(AI536&gt;0,
(IF(AI536&lt;Hónapok!$A$10,Admin!$A$28,
(IF(AI536&lt;Hónapok!$A$22,Admin!$B$28,
(IF(AI536&lt;Hónapok!$A$34,Admin!$C$28,
(IF(AI536&lt;Hónapok!$A$46,Admin!$D$28,"")))))))),"")</f>
        <v>3. mérföldkő</v>
      </c>
      <c r="AK536" s="500" t="s">
        <v>7</v>
      </c>
      <c r="AL536" s="115" t="s">
        <v>26</v>
      </c>
      <c r="AM536" s="900">
        <v>252000</v>
      </c>
      <c r="AN536" s="863">
        <v>2600</v>
      </c>
      <c r="AO536" s="101">
        <v>87</v>
      </c>
      <c r="AP536" s="111">
        <v>87</v>
      </c>
      <c r="AQ536" s="454">
        <f t="shared" si="1314"/>
        <v>1</v>
      </c>
      <c r="AR536" s="455">
        <f t="shared" si="1315"/>
        <v>252000</v>
      </c>
      <c r="AS536" s="528">
        <f t="shared" si="1316"/>
        <v>2600</v>
      </c>
      <c r="AT536" s="102">
        <f t="shared" si="1317"/>
        <v>0</v>
      </c>
      <c r="AU536" s="683">
        <f>AN536/AM536</f>
        <v>1.0317460317460317E-2</v>
      </c>
      <c r="AV536" s="565" t="str">
        <f>VLOOKUP(LEFT(AB536,10),Törzsszám!$A$1:$B$908,2,0)</f>
        <v>10002165</v>
      </c>
      <c r="AW536" s="615">
        <f t="shared" ca="1" si="1318"/>
        <v>0</v>
      </c>
      <c r="AX536" s="471" t="s">
        <v>4596</v>
      </c>
      <c r="AY536" s="505"/>
      <c r="AZ536" s="803"/>
      <c r="BA536" s="673"/>
      <c r="BB536" s="650"/>
      <c r="BC536" s="649"/>
      <c r="BD536" s="672"/>
      <c r="BE536" s="143" t="s">
        <v>144</v>
      </c>
    </row>
    <row r="537" spans="1:57" s="117" customFormat="1" ht="14.45" customHeight="1" x14ac:dyDescent="0.25">
      <c r="A537" s="694" t="str">
        <f ca="1">Bérköltség!$B537</f>
        <v>FEOR</v>
      </c>
      <c r="B537" s="694" t="str">
        <f ca="1">IFERROR(
IF(AND(Bérköltség!$F537="",H537="NA"),"HIÁNYOS ADATOK",
IF(Bérköltség!$F537&lt;Bérköltség!$U537,Admin!$B$18,Admin!$B$17)),
"")</f>
        <v>FEOR</v>
      </c>
      <c r="C537" s="437" t="str">
        <f>IFERROR(INDEX('Historikus berek_2021-2'!$A$1:$F$903,MATCH(AB537,'Historikus berek_2021-2'!$A$1:$A$903,0),4),"")</f>
        <v/>
      </c>
      <c r="D537" s="438" t="str">
        <f t="shared" ref="D537:D542" si="1337">IFERROR(C537*AQ537,"NA")</f>
        <v>NA</v>
      </c>
      <c r="E537" s="437">
        <f t="shared" ref="E537:E542" si="1338">AR537</f>
        <v>252000</v>
      </c>
      <c r="F537" s="439" t="str">
        <f t="shared" ref="F537:F542" si="1339">IFERROR(IF((E537*(1+AU537)-D537*(1+AU537))&lt;0,0,(E537*(1+AU537)-D537*(1+AU537))),"")</f>
        <v/>
      </c>
      <c r="G537" s="440" t="str">
        <f t="shared" ref="G537:G542" si="1340">IFERROR((E537*(1+AU537)-F537),"")</f>
        <v/>
      </c>
      <c r="H537" s="441">
        <f>IFERROR(INDEX('FEOR kodok'!$A$2:$J$1126,MATCH(Bérköltség!AB537,'FEOR kodok'!$B$2:$B$1126,0),8),"NA")</f>
        <v>2169</v>
      </c>
      <c r="I537" s="436">
        <f ca="1">IFERROR(INDEX('FEOR kodok'!$A$2:$J$1126,MATCH(Bérköltség!AB537,'FEOR kodok'!$B$2:$B$1126,0),10),"NA")</f>
        <v>36</v>
      </c>
      <c r="J537" s="442" t="str">
        <f t="shared" ref="J537:J542" ca="1" si="1341">IF(I537="NA","NA",
IF(I537&lt;30,"30 év alatt",
IF(AND(I537&gt;=30,I537&lt;=39),"30–39 éves",
IF(AND(I537&gt;=40,I537&lt;=49),"40–49 éves",
IF(I537&gt;=50,"50 év és afelett",
"")))))</f>
        <v>30–39 éves</v>
      </c>
      <c r="K537" s="436" t="str">
        <f>IFERROR(INDEX(admin_feor[#All],MATCH(Bérköltség!H537,admin_feor[[#All],[Foglalkozás]],0),2),"NA")</f>
        <v>Egyéb természettudományi foglalkozású</v>
      </c>
      <c r="L537" s="438">
        <f ca="1">IFERROR(
INDEX('Admin - FEOR'!$A$4:$F$465,MATCH(Bérköltség!H537,'Admin - FEOR'!$A$4:$A$465,0),
IF(J537="30 év alatt",3,
IF(J537="30–39 éves",4,
IF(J537="40–49 éves",5,
IF(J537="50 év és afelett",6
)))))*1,"NA")</f>
        <v>641245</v>
      </c>
      <c r="M537" s="438">
        <f t="shared" ref="M537:M542" si="1342">AM537</f>
        <v>252000</v>
      </c>
      <c r="N537" s="443">
        <f t="shared" ref="N537:N542" ca="1" si="1343">IFERROR(
M537/L537,"NA")</f>
        <v>0.39298552035493456</v>
      </c>
      <c r="O537" s="438">
        <f ca="1">IFERROR(
INDEX('Admin - FEOR'!$A$4:$F$465,MATCH(Bérköltség!H537,'Admin - FEOR'!$A$4:$A$465,0),
IF(J537="30 év alatt",3,
IF(J537="30–39 éves",4,
IF(J537="40–49 éves",5,
IF(J537="50 év és afelett",6
)))))*1.5,"NA")</f>
        <v>961867.5</v>
      </c>
      <c r="P537" s="438">
        <f t="shared" ref="P537:P542" ca="1" si="1344">IFERROR(
AQ537*O537,"NA")</f>
        <v>961867.5</v>
      </c>
      <c r="Q537" s="438">
        <f t="shared" ref="Q537:Q542" si="1345">IFERROR(AR537,"")</f>
        <v>252000</v>
      </c>
      <c r="R537" s="444">
        <f t="shared" ref="R537:R542" si="1346">IFERROR(AQ537,"")</f>
        <v>1</v>
      </c>
      <c r="S537" s="438">
        <f t="shared" ref="S537:S542" ca="1" si="1347">IFERROR(
IF(AR537-P537&lt;0,0,AR537-P537),"NA")</f>
        <v>0</v>
      </c>
      <c r="T537" s="438">
        <f t="shared" ref="T537:T542" ca="1" si="1348">IFERROR(
S537*AU537,"NA")</f>
        <v>0</v>
      </c>
      <c r="U537" s="445">
        <f t="shared" ref="U537:U542" ca="1" si="1349">IFERROR(
S537+T537,"NA")</f>
        <v>0</v>
      </c>
      <c r="V537" s="446">
        <f t="shared" ref="V537:V542" ca="1" si="1350">IFERROR(
IF(U537&gt;0,AR537+AS537-U537,AR537+AS537),"NA")</f>
        <v>269680</v>
      </c>
      <c r="W537" s="447" t="str">
        <f t="shared" ref="W537:W542" ca="1" si="1351">IF(P537="NA","FEOR hiányzik",
IF(AND(N537&gt;1,A537="FEOR"),CONCATENATE("Indoklás szükséges mivel a FEOR: ",ROUND(N537*100,1),"%"),"Nem szükséges indoklás.")
)</f>
        <v>Nem szükséges indoklás.</v>
      </c>
      <c r="X537" s="571">
        <f t="shared" ref="X537:X542" ca="1" si="1352">IF(A537="FEOR",U537,IF(A537="HIÁNYOS ADATOK","HIÁNYOS ADATOK",F537))</f>
        <v>0</v>
      </c>
      <c r="Y537" s="554">
        <f t="shared" ref="Y537:Y542" ca="1" si="1353">IF(A537="FEOR",ROUND(V537/(1+AU537),0),IF(A537="HIÁNYOS ADATOK","HIÁNYOS ADATOK",ROUND(G537/(1+AU537),0)))</f>
        <v>252000</v>
      </c>
      <c r="Z537" s="832">
        <f t="shared" ref="Z537:Z542" ca="1" si="1354">IF(A537="FEOR",ROUND(V537-Y537,0),IF(A537="HIÁNYOS ADATOK","HIÁNYOS ADATOK",ROUND(G537-Y537,0)))</f>
        <v>17680</v>
      </c>
      <c r="AA537" s="115"/>
      <c r="AB537" s="146">
        <v>8439390491</v>
      </c>
      <c r="AC537" s="112" t="s">
        <v>147</v>
      </c>
      <c r="AD537" s="483" t="s">
        <v>45</v>
      </c>
      <c r="AE537" s="143" t="s">
        <v>22</v>
      </c>
      <c r="AF537" s="99" t="s">
        <v>121</v>
      </c>
      <c r="AG537" s="99" t="s">
        <v>148</v>
      </c>
      <c r="AH537" s="451" t="s">
        <v>131</v>
      </c>
      <c r="AI537" s="154">
        <v>45078</v>
      </c>
      <c r="AJ537" s="100" t="str">
        <f>IF(AI537&gt;0,
(IF(AI537&lt;Hónapok!$A$10,Admin!$A$28,
(IF(AI537&lt;Hónapok!$A$22,Admin!$B$28,
(IF(AI537&lt;Hónapok!$A$34,Admin!$C$28,
(IF(AI537&lt;Hónapok!$A$46,Admin!$D$28,"")))))))),"")</f>
        <v>3. mérföldkő</v>
      </c>
      <c r="AK537" s="500" t="s">
        <v>7</v>
      </c>
      <c r="AL537" s="115" t="s">
        <v>26</v>
      </c>
      <c r="AM537" s="900">
        <v>252000</v>
      </c>
      <c r="AN537" s="863">
        <v>17680</v>
      </c>
      <c r="AO537" s="101">
        <v>87</v>
      </c>
      <c r="AP537" s="111">
        <v>87</v>
      </c>
      <c r="AQ537" s="102">
        <f t="shared" ref="AQ537:AQ542" si="1355">IFERROR(AP537/AO537,"")</f>
        <v>1</v>
      </c>
      <c r="AR537" s="455">
        <f t="shared" ref="AR537:AR542" si="1356">IFERROR(ROUND(AM537*AP537/AO537,0),"")</f>
        <v>252000</v>
      </c>
      <c r="AS537" s="528">
        <f t="shared" ref="AS537:AS542" si="1357">IFERROR(ROUND(AR537*AU537,0),"")</f>
        <v>17680</v>
      </c>
      <c r="AT537" s="102">
        <f t="shared" si="1317"/>
        <v>0</v>
      </c>
      <c r="AU537" s="683">
        <f t="shared" ref="AU537:AU542" si="1358">AN537/AM537</f>
        <v>7.0158730158730157E-2</v>
      </c>
      <c r="AV537" s="565" t="str">
        <f>VLOOKUP(LEFT(AB537,10),Törzsszám!$A$1:$B$908,2,0)</f>
        <v>10002165</v>
      </c>
      <c r="AW537" s="681"/>
      <c r="AX537" s="471" t="s">
        <v>4606</v>
      </c>
      <c r="AY537" s="505"/>
      <c r="AZ537" s="803"/>
      <c r="BA537" s="673"/>
      <c r="BB537" s="650"/>
      <c r="BC537" s="649"/>
      <c r="BD537" s="672"/>
      <c r="BE537" s="143" t="s">
        <v>144</v>
      </c>
    </row>
    <row r="538" spans="1:57" s="117" customFormat="1" ht="14.45" customHeight="1" x14ac:dyDescent="0.25">
      <c r="A538" s="694" t="str">
        <f ca="1">Bérköltség!$B538</f>
        <v>FEOR</v>
      </c>
      <c r="B538" s="694" t="str">
        <f ca="1">IFERROR(
IF(AND(Bérköltség!$F538="",H538="NA"),"HIÁNYOS ADATOK",
IF(Bérköltség!$F538&lt;Bérköltség!$U538,Admin!$B$18,Admin!$B$17)),
"")</f>
        <v>FEOR</v>
      </c>
      <c r="C538" s="437" t="str">
        <f>IFERROR(INDEX('Historikus berek_2021-2'!$A$1:$F$903,MATCH(AB538,'Historikus berek_2021-2'!$A$1:$A$903,0),4),"")</f>
        <v/>
      </c>
      <c r="D538" s="438" t="str">
        <f t="shared" si="1337"/>
        <v>NA</v>
      </c>
      <c r="E538" s="437">
        <f t="shared" si="1338"/>
        <v>252000</v>
      </c>
      <c r="F538" s="439" t="str">
        <f t="shared" si="1339"/>
        <v/>
      </c>
      <c r="G538" s="440" t="str">
        <f t="shared" si="1340"/>
        <v/>
      </c>
      <c r="H538" s="441">
        <f>IFERROR(INDEX('FEOR kodok'!$A$2:$J$1126,MATCH(Bérköltség!AB538,'FEOR kodok'!$B$2:$B$1126,0),8),"NA")</f>
        <v>2169</v>
      </c>
      <c r="I538" s="436">
        <f ca="1">IFERROR(INDEX('FEOR kodok'!$A$2:$J$1126,MATCH(Bérköltség!AB538,'FEOR kodok'!$B$2:$B$1126,0),10),"NA")</f>
        <v>36</v>
      </c>
      <c r="J538" s="442" t="str">
        <f t="shared" ca="1" si="1341"/>
        <v>30–39 éves</v>
      </c>
      <c r="K538" s="436" t="str">
        <f>IFERROR(INDEX(admin_feor[#All],MATCH(Bérköltség!H538,admin_feor[[#All],[Foglalkozás]],0),2),"NA")</f>
        <v>Egyéb természettudományi foglalkozású</v>
      </c>
      <c r="L538" s="438">
        <f ca="1">IFERROR(
INDEX('Admin - FEOR'!$A$4:$F$465,MATCH(Bérköltség!H538,'Admin - FEOR'!$A$4:$A$465,0),
IF(J538="30 év alatt",3,
IF(J538="30–39 éves",4,
IF(J538="40–49 éves",5,
IF(J538="50 év és afelett",6
)))))*1,"NA")</f>
        <v>641245</v>
      </c>
      <c r="M538" s="438">
        <f t="shared" si="1342"/>
        <v>252000</v>
      </c>
      <c r="N538" s="443">
        <f t="shared" ca="1" si="1343"/>
        <v>0.39298552035493456</v>
      </c>
      <c r="O538" s="438">
        <f ca="1">IFERROR(
INDEX('Admin - FEOR'!$A$4:$F$465,MATCH(Bérköltség!H538,'Admin - FEOR'!$A$4:$A$465,0),
IF(J538="30 év alatt",3,
IF(J538="30–39 éves",4,
IF(J538="40–49 éves",5,
IF(J538="50 év és afelett",6
)))))*1.5,"NA")</f>
        <v>961867.5</v>
      </c>
      <c r="P538" s="438">
        <f t="shared" ca="1" si="1344"/>
        <v>961867.5</v>
      </c>
      <c r="Q538" s="438">
        <f t="shared" si="1345"/>
        <v>252000</v>
      </c>
      <c r="R538" s="444">
        <f t="shared" si="1346"/>
        <v>1</v>
      </c>
      <c r="S538" s="438">
        <f t="shared" ca="1" si="1347"/>
        <v>0</v>
      </c>
      <c r="T538" s="438">
        <f t="shared" ca="1" si="1348"/>
        <v>0</v>
      </c>
      <c r="U538" s="445">
        <f t="shared" ca="1" si="1349"/>
        <v>0</v>
      </c>
      <c r="V538" s="446">
        <f t="shared" ca="1" si="1350"/>
        <v>269680</v>
      </c>
      <c r="W538" s="447" t="str">
        <f t="shared" ca="1" si="1351"/>
        <v>Nem szükséges indoklás.</v>
      </c>
      <c r="X538" s="571">
        <f t="shared" ca="1" si="1352"/>
        <v>0</v>
      </c>
      <c r="Y538" s="554">
        <f t="shared" ca="1" si="1353"/>
        <v>252000</v>
      </c>
      <c r="Z538" s="832">
        <f t="shared" ca="1" si="1354"/>
        <v>17680</v>
      </c>
      <c r="AA538" s="115"/>
      <c r="AB538" s="146">
        <v>8439390491</v>
      </c>
      <c r="AC538" s="112" t="s">
        <v>147</v>
      </c>
      <c r="AD538" s="483" t="s">
        <v>45</v>
      </c>
      <c r="AE538" s="143" t="s">
        <v>22</v>
      </c>
      <c r="AF538" s="99" t="s">
        <v>121</v>
      </c>
      <c r="AG538" s="99" t="s">
        <v>148</v>
      </c>
      <c r="AH538" s="451" t="s">
        <v>131</v>
      </c>
      <c r="AI538" s="154">
        <v>45108</v>
      </c>
      <c r="AJ538" s="100" t="str">
        <f>IF(AI538&gt;0,
(IF(AI538&lt;Hónapok!$A$10,Admin!$A$28,
(IF(AI538&lt;Hónapok!$A$22,Admin!$B$28,
(IF(AI538&lt;Hónapok!$A$34,Admin!$C$28,
(IF(AI538&lt;Hónapok!$A$46,Admin!$D$28,"")))))))),"")</f>
        <v>3. mérföldkő</v>
      </c>
      <c r="AK538" s="500" t="s">
        <v>7</v>
      </c>
      <c r="AL538" s="115" t="s">
        <v>26</v>
      </c>
      <c r="AM538" s="900">
        <v>252000</v>
      </c>
      <c r="AN538" s="863">
        <v>17680</v>
      </c>
      <c r="AO538" s="101">
        <v>87</v>
      </c>
      <c r="AP538" s="111">
        <v>87</v>
      </c>
      <c r="AQ538" s="682">
        <f t="shared" si="1355"/>
        <v>1</v>
      </c>
      <c r="AR538" s="455">
        <f t="shared" si="1356"/>
        <v>252000</v>
      </c>
      <c r="AS538" s="528">
        <f t="shared" si="1357"/>
        <v>17680</v>
      </c>
      <c r="AT538" s="102">
        <f t="shared" si="1317"/>
        <v>0</v>
      </c>
      <c r="AU538" s="683">
        <f t="shared" si="1358"/>
        <v>7.0158730158730157E-2</v>
      </c>
      <c r="AV538" s="565" t="str">
        <f>VLOOKUP(LEFT(AB538,10),Törzsszám!$A$1:$B$908,2,0)</f>
        <v>10002165</v>
      </c>
      <c r="AW538" s="681"/>
      <c r="AX538" s="471" t="s">
        <v>4610</v>
      </c>
      <c r="AY538" s="505"/>
      <c r="AZ538" s="803"/>
      <c r="BA538" s="673"/>
      <c r="BB538" s="650"/>
      <c r="BC538" s="649"/>
      <c r="BD538" s="672"/>
      <c r="BE538" s="143" t="s">
        <v>144</v>
      </c>
    </row>
    <row r="539" spans="1:57" s="117" customFormat="1" ht="14.45" customHeight="1" x14ac:dyDescent="0.25">
      <c r="A539" s="694" t="str">
        <f ca="1">Bérköltség!$B539</f>
        <v>FEOR</v>
      </c>
      <c r="B539" s="694" t="str">
        <f ca="1">IFERROR(
IF(AND(Bérköltség!$F539="",H539="NA"),"HIÁNYOS ADATOK",
IF(Bérköltség!$F539&lt;Bérköltség!$U539,Admin!$B$18,Admin!$B$17)),
"")</f>
        <v>FEOR</v>
      </c>
      <c r="C539" s="437" t="str">
        <f>IFERROR(INDEX('Historikus berek_2021-2'!$A$1:$F$903,MATCH(AB539,'Historikus berek_2021-2'!$A$1:$A$903,0),4),"")</f>
        <v/>
      </c>
      <c r="D539" s="438" t="str">
        <f t="shared" si="1337"/>
        <v>NA</v>
      </c>
      <c r="E539" s="437">
        <f t="shared" si="1338"/>
        <v>252000</v>
      </c>
      <c r="F539" s="439" t="str">
        <f t="shared" si="1339"/>
        <v/>
      </c>
      <c r="G539" s="440" t="str">
        <f t="shared" si="1340"/>
        <v/>
      </c>
      <c r="H539" s="441">
        <f>IFERROR(INDEX('FEOR kodok'!$A$2:$J$1126,MATCH(Bérköltség!AB539,'FEOR kodok'!$B$2:$B$1126,0),8),"NA")</f>
        <v>2169</v>
      </c>
      <c r="I539" s="436">
        <f ca="1">IFERROR(INDEX('FEOR kodok'!$A$2:$J$1126,MATCH(Bérköltség!AB539,'FEOR kodok'!$B$2:$B$1126,0),10),"NA")</f>
        <v>36</v>
      </c>
      <c r="J539" s="442" t="str">
        <f t="shared" ca="1" si="1341"/>
        <v>30–39 éves</v>
      </c>
      <c r="K539" s="436" t="str">
        <f>IFERROR(INDEX(admin_feor[#All],MATCH(Bérköltség!H539,admin_feor[[#All],[Foglalkozás]],0),2),"NA")</f>
        <v>Egyéb természettudományi foglalkozású</v>
      </c>
      <c r="L539" s="438">
        <f ca="1">IFERROR(
INDEX('Admin - FEOR'!$A$4:$F$465,MATCH(Bérköltség!H539,'Admin - FEOR'!$A$4:$A$465,0),
IF(J539="30 év alatt",3,
IF(J539="30–39 éves",4,
IF(J539="40–49 éves",5,
IF(J539="50 év és afelett",6
)))))*1,"NA")</f>
        <v>641245</v>
      </c>
      <c r="M539" s="438">
        <f t="shared" si="1342"/>
        <v>252000</v>
      </c>
      <c r="N539" s="443">
        <f t="shared" ca="1" si="1343"/>
        <v>0.39298552035493456</v>
      </c>
      <c r="O539" s="438">
        <f ca="1">IFERROR(
INDEX('Admin - FEOR'!$A$4:$F$465,MATCH(Bérköltség!H539,'Admin - FEOR'!$A$4:$A$465,0),
IF(J539="30 év alatt",3,
IF(J539="30–39 éves",4,
IF(J539="40–49 éves",5,
IF(J539="50 év és afelett",6
)))))*1.5,"NA")</f>
        <v>961867.5</v>
      </c>
      <c r="P539" s="438">
        <f t="shared" ca="1" si="1344"/>
        <v>961867.5</v>
      </c>
      <c r="Q539" s="438">
        <f t="shared" si="1345"/>
        <v>252000</v>
      </c>
      <c r="R539" s="444">
        <f t="shared" si="1346"/>
        <v>1</v>
      </c>
      <c r="S539" s="438">
        <f t="shared" ca="1" si="1347"/>
        <v>0</v>
      </c>
      <c r="T539" s="438">
        <f t="shared" ca="1" si="1348"/>
        <v>0</v>
      </c>
      <c r="U539" s="445">
        <f t="shared" ca="1" si="1349"/>
        <v>0</v>
      </c>
      <c r="V539" s="446">
        <f t="shared" ca="1" si="1350"/>
        <v>269680</v>
      </c>
      <c r="W539" s="447" t="str">
        <f t="shared" ca="1" si="1351"/>
        <v>Nem szükséges indoklás.</v>
      </c>
      <c r="X539" s="571">
        <f t="shared" ca="1" si="1352"/>
        <v>0</v>
      </c>
      <c r="Y539" s="554">
        <f t="shared" ca="1" si="1353"/>
        <v>252000</v>
      </c>
      <c r="Z539" s="832">
        <f t="shared" ca="1" si="1354"/>
        <v>17680</v>
      </c>
      <c r="AA539" s="115"/>
      <c r="AB539" s="146">
        <v>8439390491</v>
      </c>
      <c r="AC539" s="112" t="s">
        <v>147</v>
      </c>
      <c r="AD539" s="483" t="s">
        <v>45</v>
      </c>
      <c r="AE539" s="143" t="s">
        <v>22</v>
      </c>
      <c r="AF539" s="99" t="s">
        <v>121</v>
      </c>
      <c r="AG539" s="99" t="s">
        <v>148</v>
      </c>
      <c r="AH539" s="451" t="s">
        <v>131</v>
      </c>
      <c r="AI539" s="154">
        <v>45139</v>
      </c>
      <c r="AJ539" s="100" t="str">
        <f>IF(AI539&gt;0,
(IF(AI539&lt;Hónapok!$A$10,Admin!$A$28,
(IF(AI539&lt;Hónapok!$A$22,Admin!$B$28,
(IF(AI539&lt;Hónapok!$A$34,Admin!$C$28,
(IF(AI539&lt;Hónapok!$A$46,Admin!$D$28,"")))))))),"")</f>
        <v>3. mérföldkő</v>
      </c>
      <c r="AK539" s="500" t="s">
        <v>7</v>
      </c>
      <c r="AL539" s="115" t="s">
        <v>26</v>
      </c>
      <c r="AM539" s="900">
        <v>252000</v>
      </c>
      <c r="AN539" s="863">
        <v>17680</v>
      </c>
      <c r="AO539" s="101">
        <v>87</v>
      </c>
      <c r="AP539" s="111">
        <v>87</v>
      </c>
      <c r="AQ539" s="454">
        <f t="shared" si="1355"/>
        <v>1</v>
      </c>
      <c r="AR539" s="455">
        <f t="shared" si="1356"/>
        <v>252000</v>
      </c>
      <c r="AS539" s="528">
        <f t="shared" si="1357"/>
        <v>17680</v>
      </c>
      <c r="AT539" s="102">
        <f t="shared" si="1317"/>
        <v>0</v>
      </c>
      <c r="AU539" s="683">
        <f t="shared" si="1358"/>
        <v>7.0158730158730157E-2</v>
      </c>
      <c r="AV539" s="565" t="str">
        <f>VLOOKUP(LEFT(AB539,10),Törzsszám!$A$1:$B$908,2,0)</f>
        <v>10002165</v>
      </c>
      <c r="AW539" s="681"/>
      <c r="AX539" s="471" t="s">
        <v>4613</v>
      </c>
      <c r="AY539" s="505"/>
      <c r="AZ539" s="803"/>
      <c r="BA539" s="673"/>
      <c r="BB539" s="650"/>
      <c r="BC539" s="649"/>
      <c r="BD539" s="672"/>
      <c r="BE539" s="143" t="s">
        <v>144</v>
      </c>
    </row>
    <row r="540" spans="1:57" s="117" customFormat="1" ht="14.45" customHeight="1" x14ac:dyDescent="0.25">
      <c r="A540" s="694" t="str">
        <f ca="1">Bérköltség!$B540</f>
        <v>FEOR</v>
      </c>
      <c r="B540" s="694" t="str">
        <f ca="1">IFERROR(
IF(AND(Bérköltség!$F540="",H540="NA"),"HIÁNYOS ADATOK",
IF(Bérköltség!$F540&lt;Bérköltség!$U540,Admin!$B$18,Admin!$B$17)),
"")</f>
        <v>FEOR</v>
      </c>
      <c r="C540" s="437" t="str">
        <f>IFERROR(INDEX('Historikus berek_2021-2'!$A$1:$F$903,MATCH(AB540,'Historikus berek_2021-2'!$A$1:$A$903,0),4),"")</f>
        <v/>
      </c>
      <c r="D540" s="438" t="str">
        <f t="shared" si="1337"/>
        <v>NA</v>
      </c>
      <c r="E540" s="437">
        <f t="shared" si="1338"/>
        <v>252000</v>
      </c>
      <c r="F540" s="439" t="str">
        <f t="shared" si="1339"/>
        <v/>
      </c>
      <c r="G540" s="440" t="str">
        <f t="shared" si="1340"/>
        <v/>
      </c>
      <c r="H540" s="441">
        <f>IFERROR(INDEX('FEOR kodok'!$A$2:$J$1126,MATCH(Bérköltség!AB540,'FEOR kodok'!$B$2:$B$1126,0),8),"NA")</f>
        <v>2169</v>
      </c>
      <c r="I540" s="436">
        <f ca="1">IFERROR(INDEX('FEOR kodok'!$A$2:$J$1126,MATCH(Bérköltség!AB540,'FEOR kodok'!$B$2:$B$1126,0),10),"NA")</f>
        <v>36</v>
      </c>
      <c r="J540" s="442" t="str">
        <f t="shared" ca="1" si="1341"/>
        <v>30–39 éves</v>
      </c>
      <c r="K540" s="436" t="str">
        <f>IFERROR(INDEX(admin_feor[#All],MATCH(Bérköltség!H540,admin_feor[[#All],[Foglalkozás]],0),2),"NA")</f>
        <v>Egyéb természettudományi foglalkozású</v>
      </c>
      <c r="L540" s="438">
        <f ca="1">IFERROR(
INDEX('Admin - FEOR'!$A$4:$F$465,MATCH(Bérköltség!H540,'Admin - FEOR'!$A$4:$A$465,0),
IF(J540="30 év alatt",3,
IF(J540="30–39 éves",4,
IF(J540="40–49 éves",5,
IF(J540="50 év és afelett",6
)))))*1,"NA")</f>
        <v>641245</v>
      </c>
      <c r="M540" s="438">
        <f t="shared" si="1342"/>
        <v>252000</v>
      </c>
      <c r="N540" s="443">
        <f t="shared" ca="1" si="1343"/>
        <v>0.39298552035493456</v>
      </c>
      <c r="O540" s="438">
        <f ca="1">IFERROR(
INDEX('Admin - FEOR'!$A$4:$F$465,MATCH(Bérköltség!H540,'Admin - FEOR'!$A$4:$A$465,0),
IF(J540="30 év alatt",3,
IF(J540="30–39 éves",4,
IF(J540="40–49 éves",5,
IF(J540="50 év és afelett",6
)))))*1.5,"NA")</f>
        <v>961867.5</v>
      </c>
      <c r="P540" s="438">
        <f t="shared" ca="1" si="1344"/>
        <v>961867.5</v>
      </c>
      <c r="Q540" s="438">
        <f t="shared" si="1345"/>
        <v>252000</v>
      </c>
      <c r="R540" s="444">
        <f t="shared" si="1346"/>
        <v>1</v>
      </c>
      <c r="S540" s="438">
        <f t="shared" ca="1" si="1347"/>
        <v>0</v>
      </c>
      <c r="T540" s="438">
        <f t="shared" ca="1" si="1348"/>
        <v>0</v>
      </c>
      <c r="U540" s="445">
        <f t="shared" ca="1" si="1349"/>
        <v>0</v>
      </c>
      <c r="V540" s="446">
        <f t="shared" ca="1" si="1350"/>
        <v>269680</v>
      </c>
      <c r="W540" s="447" t="str">
        <f t="shared" ca="1" si="1351"/>
        <v>Nem szükséges indoklás.</v>
      </c>
      <c r="X540" s="571">
        <f t="shared" ca="1" si="1352"/>
        <v>0</v>
      </c>
      <c r="Y540" s="554">
        <f t="shared" ca="1" si="1353"/>
        <v>252000</v>
      </c>
      <c r="Z540" s="832">
        <f t="shared" ca="1" si="1354"/>
        <v>17680</v>
      </c>
      <c r="AA540" s="115"/>
      <c r="AB540" s="146">
        <v>8439390491</v>
      </c>
      <c r="AC540" s="112" t="s">
        <v>147</v>
      </c>
      <c r="AD540" s="483" t="s">
        <v>45</v>
      </c>
      <c r="AE540" s="143" t="s">
        <v>22</v>
      </c>
      <c r="AF540" s="99" t="s">
        <v>121</v>
      </c>
      <c r="AG540" s="99" t="s">
        <v>148</v>
      </c>
      <c r="AH540" s="451" t="s">
        <v>131</v>
      </c>
      <c r="AI540" s="154">
        <v>45170</v>
      </c>
      <c r="AJ540" s="100" t="str">
        <f>IF(AI540&gt;0,
(IF(AI540&lt;Hónapok!$A$10,Admin!$A$28,
(IF(AI540&lt;Hónapok!$A$22,Admin!$B$28,
(IF(AI540&lt;Hónapok!$A$34,Admin!$C$28,
(IF(AI540&lt;Hónapok!$A$46,Admin!$D$28,"")))))))),"")</f>
        <v>3. mérföldkő</v>
      </c>
      <c r="AK540" s="500" t="s">
        <v>7</v>
      </c>
      <c r="AL540" s="115" t="s">
        <v>26</v>
      </c>
      <c r="AM540" s="900">
        <v>252000</v>
      </c>
      <c r="AN540" s="863">
        <v>17680</v>
      </c>
      <c r="AO540" s="101">
        <v>87</v>
      </c>
      <c r="AP540" s="111">
        <v>87</v>
      </c>
      <c r="AQ540" s="454">
        <f t="shared" si="1355"/>
        <v>1</v>
      </c>
      <c r="AR540" s="455">
        <f t="shared" si="1356"/>
        <v>252000</v>
      </c>
      <c r="AS540" s="528">
        <f t="shared" si="1357"/>
        <v>17680</v>
      </c>
      <c r="AT540" s="102">
        <f t="shared" si="1317"/>
        <v>0</v>
      </c>
      <c r="AU540" s="683">
        <f t="shared" si="1358"/>
        <v>7.0158730158730157E-2</v>
      </c>
      <c r="AV540" s="565" t="str">
        <f>VLOOKUP(LEFT(AB540,10),Törzsszám!$A$1:$B$908,2,0)</f>
        <v>10002165</v>
      </c>
      <c r="AW540" s="681"/>
      <c r="AX540" s="471" t="s">
        <v>4618</v>
      </c>
      <c r="AY540" s="505"/>
      <c r="AZ540" s="803"/>
      <c r="BA540" s="673"/>
      <c r="BB540" s="650"/>
      <c r="BC540" s="649"/>
      <c r="BD540" s="672"/>
      <c r="BE540" s="143" t="s">
        <v>144</v>
      </c>
    </row>
    <row r="541" spans="1:57" s="117" customFormat="1" ht="14.45" customHeight="1" x14ac:dyDescent="0.25">
      <c r="A541" s="694" t="str">
        <f ca="1">Bérköltség!$B541</f>
        <v>FEOR</v>
      </c>
      <c r="B541" s="694" t="str">
        <f ca="1">IFERROR(
IF(AND(Bérköltség!$F541="",H541="NA"),"HIÁNYOS ADATOK",
IF(Bérköltség!$F541&lt;Bérköltség!$U541,Admin!$B$18,Admin!$B$17)),
"")</f>
        <v>FEOR</v>
      </c>
      <c r="C541" s="437" t="str">
        <f>IFERROR(INDEX('Historikus berek_2021-2'!$A$1:$F$903,MATCH(AB541,'Historikus berek_2021-2'!$A$1:$A$903,0),4),"")</f>
        <v/>
      </c>
      <c r="D541" s="438" t="str">
        <f t="shared" si="1337"/>
        <v>NA</v>
      </c>
      <c r="E541" s="437">
        <f t="shared" si="1338"/>
        <v>252000</v>
      </c>
      <c r="F541" s="439" t="str">
        <f t="shared" si="1339"/>
        <v/>
      </c>
      <c r="G541" s="440" t="str">
        <f t="shared" si="1340"/>
        <v/>
      </c>
      <c r="H541" s="441">
        <f>IFERROR(INDEX('FEOR kodok'!$A$2:$J$1126,MATCH(Bérköltség!AB541,'FEOR kodok'!$B$2:$B$1126,0),8),"NA")</f>
        <v>2169</v>
      </c>
      <c r="I541" s="436">
        <f ca="1">IFERROR(INDEX('FEOR kodok'!$A$2:$J$1126,MATCH(Bérköltség!AB541,'FEOR kodok'!$B$2:$B$1126,0),10),"NA")</f>
        <v>36</v>
      </c>
      <c r="J541" s="442" t="str">
        <f t="shared" ca="1" si="1341"/>
        <v>30–39 éves</v>
      </c>
      <c r="K541" s="436" t="str">
        <f>IFERROR(INDEX(admin_feor[#All],MATCH(Bérköltség!H541,admin_feor[[#All],[Foglalkozás]],0),2),"NA")</f>
        <v>Egyéb természettudományi foglalkozású</v>
      </c>
      <c r="L541" s="438">
        <f ca="1">IFERROR(
INDEX('Admin - FEOR'!$A$4:$F$465,MATCH(Bérköltség!H541,'Admin - FEOR'!$A$4:$A$465,0),
IF(J541="30 év alatt",3,
IF(J541="30–39 éves",4,
IF(J541="40–49 éves",5,
IF(J541="50 év és afelett",6
)))))*1,"NA")</f>
        <v>641245</v>
      </c>
      <c r="M541" s="438">
        <f t="shared" si="1342"/>
        <v>252000</v>
      </c>
      <c r="N541" s="443">
        <f t="shared" ca="1" si="1343"/>
        <v>0.39298552035493456</v>
      </c>
      <c r="O541" s="438">
        <f ca="1">IFERROR(
INDEX('Admin - FEOR'!$A$4:$F$465,MATCH(Bérköltség!H541,'Admin - FEOR'!$A$4:$A$465,0),
IF(J541="30 év alatt",3,
IF(J541="30–39 éves",4,
IF(J541="40–49 éves",5,
IF(J541="50 év és afelett",6
)))))*1.5,"NA")</f>
        <v>961867.5</v>
      </c>
      <c r="P541" s="438">
        <f t="shared" ca="1" si="1344"/>
        <v>961867.5</v>
      </c>
      <c r="Q541" s="438">
        <f t="shared" si="1345"/>
        <v>252000</v>
      </c>
      <c r="R541" s="444">
        <f t="shared" si="1346"/>
        <v>1</v>
      </c>
      <c r="S541" s="438">
        <f t="shared" ca="1" si="1347"/>
        <v>0</v>
      </c>
      <c r="T541" s="438">
        <f t="shared" ca="1" si="1348"/>
        <v>0</v>
      </c>
      <c r="U541" s="445">
        <f t="shared" ca="1" si="1349"/>
        <v>0</v>
      </c>
      <c r="V541" s="446">
        <f t="shared" ca="1" si="1350"/>
        <v>269680</v>
      </c>
      <c r="W541" s="447" t="str">
        <f t="shared" ca="1" si="1351"/>
        <v>Nem szükséges indoklás.</v>
      </c>
      <c r="X541" s="571">
        <f t="shared" ca="1" si="1352"/>
        <v>0</v>
      </c>
      <c r="Y541" s="554">
        <f t="shared" ca="1" si="1353"/>
        <v>252000</v>
      </c>
      <c r="Z541" s="832">
        <f t="shared" ca="1" si="1354"/>
        <v>17680</v>
      </c>
      <c r="AA541" s="115"/>
      <c r="AB541" s="146">
        <v>8439390491</v>
      </c>
      <c r="AC541" s="112" t="s">
        <v>147</v>
      </c>
      <c r="AD541" s="483" t="s">
        <v>45</v>
      </c>
      <c r="AE541" s="143" t="s">
        <v>22</v>
      </c>
      <c r="AF541" s="99" t="s">
        <v>121</v>
      </c>
      <c r="AG541" s="99" t="s">
        <v>148</v>
      </c>
      <c r="AH541" s="451" t="s">
        <v>131</v>
      </c>
      <c r="AI541" s="154">
        <v>45200</v>
      </c>
      <c r="AJ541" s="100" t="str">
        <f>IF(AI541&gt;0,
(IF(AI541&lt;Hónapok!$A$10,Admin!$A$28,
(IF(AI541&lt;Hónapok!$A$22,Admin!$B$28,
(IF(AI541&lt;Hónapok!$A$34,Admin!$C$28,
(IF(AI541&lt;Hónapok!$A$46,Admin!$D$28,"")))))))),"")</f>
        <v>3. mérföldkő</v>
      </c>
      <c r="AK541" s="500" t="s">
        <v>8</v>
      </c>
      <c r="AL541" s="115" t="s">
        <v>26</v>
      </c>
      <c r="AM541" s="900">
        <v>252000</v>
      </c>
      <c r="AN541" s="863">
        <v>17680</v>
      </c>
      <c r="AO541" s="101">
        <v>87</v>
      </c>
      <c r="AP541" s="111">
        <v>87</v>
      </c>
      <c r="AQ541" s="454">
        <f t="shared" si="1355"/>
        <v>1</v>
      </c>
      <c r="AR541" s="455">
        <f t="shared" si="1356"/>
        <v>252000</v>
      </c>
      <c r="AS541" s="528">
        <f t="shared" si="1357"/>
        <v>17680</v>
      </c>
      <c r="AT541" s="102">
        <f t="shared" si="1317"/>
        <v>0</v>
      </c>
      <c r="AU541" s="683">
        <f t="shared" si="1358"/>
        <v>7.0158730158730157E-2</v>
      </c>
      <c r="AV541" s="565" t="str">
        <f>VLOOKUP(LEFT(AB541,10),Törzsszám!$A$1:$B$908,2,0)</f>
        <v>10002165</v>
      </c>
      <c r="AW541" s="681"/>
      <c r="AX541" s="150"/>
      <c r="AY541" s="505"/>
      <c r="AZ541" s="803"/>
      <c r="BA541" s="673"/>
      <c r="BB541" s="650"/>
      <c r="BC541" s="649"/>
      <c r="BD541" s="672"/>
      <c r="BE541" s="143" t="s">
        <v>144</v>
      </c>
    </row>
    <row r="542" spans="1:57" s="117" customFormat="1" ht="14.45" customHeight="1" x14ac:dyDescent="0.25">
      <c r="A542" s="694" t="str">
        <f ca="1">Bérköltség!$B542</f>
        <v>FEOR</v>
      </c>
      <c r="B542" s="694" t="str">
        <f ca="1">IFERROR(
IF(AND(Bérköltség!$F542="",H542="NA"),"HIÁNYOS ADATOK",
IF(Bérköltség!$F542&lt;Bérköltség!$U542,Admin!$B$18,Admin!$B$17)),
"")</f>
        <v>FEOR</v>
      </c>
      <c r="C542" s="437" t="str">
        <f>IFERROR(INDEX('Historikus berek_2021-2'!$A$1:$F$903,MATCH(AB542,'Historikus berek_2021-2'!$A$1:$A$903,0),4),"")</f>
        <v/>
      </c>
      <c r="D542" s="438" t="str">
        <f t="shared" si="1337"/>
        <v>NA</v>
      </c>
      <c r="E542" s="437">
        <f t="shared" si="1338"/>
        <v>252000</v>
      </c>
      <c r="F542" s="439" t="str">
        <f t="shared" si="1339"/>
        <v/>
      </c>
      <c r="G542" s="440" t="str">
        <f t="shared" si="1340"/>
        <v/>
      </c>
      <c r="H542" s="441">
        <f>IFERROR(INDEX('FEOR kodok'!$A$2:$J$1126,MATCH(Bérköltség!AB542,'FEOR kodok'!$B$2:$B$1126,0),8),"NA")</f>
        <v>2169</v>
      </c>
      <c r="I542" s="436">
        <f ca="1">IFERROR(INDEX('FEOR kodok'!$A$2:$J$1126,MATCH(Bérköltség!AB542,'FEOR kodok'!$B$2:$B$1126,0),10),"NA")</f>
        <v>36</v>
      </c>
      <c r="J542" s="442" t="str">
        <f t="shared" ca="1" si="1341"/>
        <v>30–39 éves</v>
      </c>
      <c r="K542" s="436" t="str">
        <f>IFERROR(INDEX(admin_feor[#All],MATCH(Bérköltség!H542,admin_feor[[#All],[Foglalkozás]],0),2),"NA")</f>
        <v>Egyéb természettudományi foglalkozású</v>
      </c>
      <c r="L542" s="438">
        <f ca="1">IFERROR(
INDEX('Admin - FEOR'!$A$4:$F$465,MATCH(Bérköltség!H542,'Admin - FEOR'!$A$4:$A$465,0),
IF(J542="30 év alatt",3,
IF(J542="30–39 éves",4,
IF(J542="40–49 éves",5,
IF(J542="50 év és afelett",6
)))))*1,"NA")</f>
        <v>641245</v>
      </c>
      <c r="M542" s="438">
        <f t="shared" si="1342"/>
        <v>252000</v>
      </c>
      <c r="N542" s="443">
        <f t="shared" ca="1" si="1343"/>
        <v>0.39298552035493456</v>
      </c>
      <c r="O542" s="438">
        <f ca="1">IFERROR(
INDEX('Admin - FEOR'!$A$4:$F$465,MATCH(Bérköltség!H542,'Admin - FEOR'!$A$4:$A$465,0),
IF(J542="30 év alatt",3,
IF(J542="30–39 éves",4,
IF(J542="40–49 éves",5,
IF(J542="50 év és afelett",6
)))))*1.5,"NA")</f>
        <v>961867.5</v>
      </c>
      <c r="P542" s="438">
        <f t="shared" ca="1" si="1344"/>
        <v>961867.5</v>
      </c>
      <c r="Q542" s="438">
        <f t="shared" si="1345"/>
        <v>252000</v>
      </c>
      <c r="R542" s="444">
        <f t="shared" si="1346"/>
        <v>1</v>
      </c>
      <c r="S542" s="438">
        <f t="shared" ca="1" si="1347"/>
        <v>0</v>
      </c>
      <c r="T542" s="438">
        <f t="shared" ca="1" si="1348"/>
        <v>0</v>
      </c>
      <c r="U542" s="445">
        <f t="shared" ca="1" si="1349"/>
        <v>0</v>
      </c>
      <c r="V542" s="446">
        <f t="shared" ca="1" si="1350"/>
        <v>269680</v>
      </c>
      <c r="W542" s="447" t="str">
        <f t="shared" ca="1" si="1351"/>
        <v>Nem szükséges indoklás.</v>
      </c>
      <c r="X542" s="571">
        <f t="shared" ca="1" si="1352"/>
        <v>0</v>
      </c>
      <c r="Y542" s="554">
        <f t="shared" ca="1" si="1353"/>
        <v>252000</v>
      </c>
      <c r="Z542" s="832">
        <f t="shared" ca="1" si="1354"/>
        <v>17680</v>
      </c>
      <c r="AA542" s="115"/>
      <c r="AB542" s="146">
        <v>8439390491</v>
      </c>
      <c r="AC542" s="112" t="s">
        <v>147</v>
      </c>
      <c r="AD542" s="483" t="s">
        <v>45</v>
      </c>
      <c r="AE542" s="143" t="s">
        <v>22</v>
      </c>
      <c r="AF542" s="99" t="s">
        <v>121</v>
      </c>
      <c r="AG542" s="99" t="s">
        <v>148</v>
      </c>
      <c r="AH542" s="451" t="s">
        <v>131</v>
      </c>
      <c r="AI542" s="154">
        <v>45231</v>
      </c>
      <c r="AJ542" s="100" t="str">
        <f>IF(AI542&gt;0,
(IF(AI542&lt;Hónapok!$A$10,Admin!$A$28,
(IF(AI542&lt;Hónapok!$A$22,Admin!$B$28,
(IF(AI542&lt;Hónapok!$A$34,Admin!$C$28,
(IF(AI542&lt;Hónapok!$A$46,Admin!$D$28,"")))))))),"")</f>
        <v>3. mérföldkő</v>
      </c>
      <c r="AK542" s="500" t="s">
        <v>8</v>
      </c>
      <c r="AL542" s="115" t="s">
        <v>26</v>
      </c>
      <c r="AM542" s="900">
        <v>252000</v>
      </c>
      <c r="AN542" s="863">
        <v>17680</v>
      </c>
      <c r="AO542" s="101">
        <v>87</v>
      </c>
      <c r="AP542" s="111">
        <v>87</v>
      </c>
      <c r="AQ542" s="454">
        <f t="shared" si="1355"/>
        <v>1</v>
      </c>
      <c r="AR542" s="455">
        <f t="shared" si="1356"/>
        <v>252000</v>
      </c>
      <c r="AS542" s="528">
        <f t="shared" si="1357"/>
        <v>17680</v>
      </c>
      <c r="AT542" s="102">
        <f t="shared" si="1317"/>
        <v>0</v>
      </c>
      <c r="AU542" s="683">
        <f t="shared" si="1358"/>
        <v>7.0158730158730157E-2</v>
      </c>
      <c r="AV542" s="565" t="str">
        <f>VLOOKUP(LEFT(AB542,10),Törzsszám!$A$1:$B$908,2,0)</f>
        <v>10002165</v>
      </c>
      <c r="AW542" s="681"/>
      <c r="AX542" s="150"/>
      <c r="AY542" s="505"/>
      <c r="AZ542" s="803"/>
      <c r="BA542" s="673"/>
      <c r="BB542" s="650"/>
      <c r="BC542" s="649"/>
      <c r="BD542" s="672"/>
      <c r="BE542" s="143" t="s">
        <v>144</v>
      </c>
    </row>
    <row r="543" spans="1:57" s="117" customFormat="1" ht="14.45" customHeight="1" x14ac:dyDescent="0.25">
      <c r="A543" s="694" t="str">
        <f>Bérköltség!$B543</f>
        <v>HIÁNYOS ADATOK</v>
      </c>
      <c r="B543" s="694" t="str">
        <f>IFERROR(
IF(AND(Bérköltség!$F543="",H543="NA"),"HIÁNYOS ADATOK",
IF(Bérköltség!$F543&lt;Bérköltség!$U543,Admin!$B$18,Admin!$B$17)),
"")</f>
        <v>HIÁNYOS ADATOK</v>
      </c>
      <c r="C543" s="437" t="str">
        <f>IFERROR(INDEX('Historikus berek_2021-2'!$A$1:$F$903,MATCH(AB543,'Historikus berek_2021-2'!$A$1:$A$903,0),4),"")</f>
        <v/>
      </c>
      <c r="D543" s="438" t="str">
        <f t="shared" si="1319"/>
        <v>NA</v>
      </c>
      <c r="E543" s="437" t="str">
        <f t="shared" si="1320"/>
        <v/>
      </c>
      <c r="F543" s="439" t="str">
        <f t="shared" si="1321"/>
        <v/>
      </c>
      <c r="G543" s="440" t="str">
        <f t="shared" si="1322"/>
        <v/>
      </c>
      <c r="H543" s="441" t="str">
        <f>IFERROR(INDEX('FEOR kodok'!$A$2:$J$1126,MATCH(Bérköltség!AB543,'FEOR kodok'!$B$2:$B$1126,0),8),"NA")</f>
        <v>NA</v>
      </c>
      <c r="I543" s="436" t="str">
        <f>IFERROR(INDEX('FEOR kodok'!$A$2:$J$1126,MATCH(Bérköltség!AB543,'FEOR kodok'!$B$2:$B$1126,0),10),"NA")</f>
        <v>NA</v>
      </c>
      <c r="J543" s="442" t="str">
        <f t="shared" si="1323"/>
        <v>NA</v>
      </c>
      <c r="K543" s="436" t="str">
        <f>IFERROR(INDEX(admin_feor[#All],MATCH(Bérköltség!H543,admin_feor[[#All],[Foglalkozás]],0),2),"NA")</f>
        <v>NA</v>
      </c>
      <c r="L543" s="438" t="str">
        <f>IFERROR(
INDEX('Admin - FEOR'!$A$4:$F$465,MATCH(Bérköltség!H543,'Admin - FEOR'!$A$4:$A$465,0),
IF(J543="30 év alatt",3,
IF(J543="30–39 éves",4,
IF(J543="40–49 éves",5,
IF(J543="50 év és afelett",6
)))))*1,"NA")</f>
        <v>NA</v>
      </c>
      <c r="M543" s="438">
        <f t="shared" si="1324"/>
        <v>0</v>
      </c>
      <c r="N543" s="443" t="str">
        <f t="shared" si="1325"/>
        <v>NA</v>
      </c>
      <c r="O543" s="438" t="str">
        <f>IFERROR(
INDEX('Admin - FEOR'!$A$4:$F$465,MATCH(Bérköltség!H543,'Admin - FEOR'!$A$4:$A$465,0),
IF(J543="30 év alatt",3,
IF(J543="30–39 éves",4,
IF(J543="40–49 éves",5,
IF(J543="50 év és afelett",6
)))))*1.5,"NA")</f>
        <v>NA</v>
      </c>
      <c r="P543" s="438" t="str">
        <f t="shared" si="1326"/>
        <v>NA</v>
      </c>
      <c r="Q543" s="438" t="str">
        <f t="shared" si="1327"/>
        <v/>
      </c>
      <c r="R543" s="444" t="str">
        <f t="shared" si="1328"/>
        <v/>
      </c>
      <c r="S543" s="438" t="str">
        <f t="shared" si="1329"/>
        <v>NA</v>
      </c>
      <c r="T543" s="438" t="str">
        <f t="shared" si="1330"/>
        <v>NA</v>
      </c>
      <c r="U543" s="445" t="str">
        <f t="shared" si="1331"/>
        <v>NA</v>
      </c>
      <c r="V543" s="446" t="str">
        <f t="shared" si="1332"/>
        <v>NA</v>
      </c>
      <c r="W543" s="447" t="str">
        <f t="shared" si="1333"/>
        <v>FEOR hiányzik</v>
      </c>
      <c r="X543" s="571" t="str">
        <f t="shared" si="1334"/>
        <v>HIÁNYOS ADATOK</v>
      </c>
      <c r="Y543" s="554" t="str">
        <f t="shared" ref="Y543:Y546" si="1359">IF(A543="FEOR",ROUND(V543/(1+AU543),0),IF(A543="HIÁNYOS ADATOK","HIÁNYOS ADATOK",ROUND(G543/(1+AU543),0)))</f>
        <v>HIÁNYOS ADATOK</v>
      </c>
      <c r="Z543" s="554" t="str">
        <f t="shared" si="1336"/>
        <v>HIÁNYOS ADATOK</v>
      </c>
      <c r="AA543" s="115"/>
      <c r="AB543" s="146"/>
      <c r="AC543" s="112"/>
      <c r="AD543" s="113"/>
      <c r="AE543" s="143"/>
      <c r="AF543" s="99"/>
      <c r="AG543" s="99"/>
      <c r="AH543" s="451"/>
      <c r="AI543" s="154"/>
      <c r="AJ543" s="100" t="str">
        <f>IF(AI543&gt;0,
(IF(AI543&lt;Hónapok!$A$10,Admin!$A$28,
(IF(AI543&lt;Hónapok!$A$22,Admin!$B$28,
(IF(AI543&lt;Hónapok!$A$34,Admin!$C$28,
(IF(AI543&lt;Hónapok!$A$46,Admin!$D$28,"")))))))),"")</f>
        <v/>
      </c>
      <c r="AK543" s="114"/>
      <c r="AL543" s="115"/>
      <c r="AM543" s="900"/>
      <c r="AN543" s="860">
        <f t="shared" ref="AN543:AN551" si="1360">IFERROR(ROUND(AM543*AU543,0),"")</f>
        <v>0</v>
      </c>
      <c r="AO543" s="101"/>
      <c r="AP543" s="111"/>
      <c r="AQ543" s="454" t="str">
        <f t="shared" si="1314"/>
        <v/>
      </c>
      <c r="AR543" s="455" t="str">
        <f t="shared" si="1315"/>
        <v/>
      </c>
      <c r="AS543" s="455" t="str">
        <f t="shared" si="1316"/>
        <v/>
      </c>
      <c r="AT543" s="102" t="str">
        <f t="shared" si="1317"/>
        <v/>
      </c>
      <c r="AU543" s="116">
        <v>0.13</v>
      </c>
      <c r="AV543" s="565" t="e">
        <f>VLOOKUP(LEFT(AB543,10),Törzsszám!$A$1:$B$908,2,0)</f>
        <v>#N/A</v>
      </c>
      <c r="AW543" s="615" t="e">
        <f t="shared" si="1318"/>
        <v>#VALUE!</v>
      </c>
      <c r="AX543" s="150"/>
      <c r="AY543" s="506"/>
      <c r="AZ543" s="803"/>
      <c r="BA543" s="673"/>
      <c r="BB543" s="650"/>
      <c r="BC543" s="649"/>
      <c r="BD543" s="672"/>
      <c r="BE543" s="143"/>
    </row>
    <row r="544" spans="1:57" s="124" customFormat="1" ht="14.45" customHeight="1" x14ac:dyDescent="0.25">
      <c r="A544" s="694" t="str">
        <f>Bérköltség!$B544</f>
        <v>HIÁNYOS ADATOK</v>
      </c>
      <c r="B544" s="694" t="str">
        <f>IFERROR(
IF(AND(Bérköltség!$F544="",H544="NA"),"HIÁNYOS ADATOK",
IF(Bérköltség!$F544&lt;Bérköltség!$U544,Admin!$B$18,Admin!$B$17)),
"")</f>
        <v>HIÁNYOS ADATOK</v>
      </c>
      <c r="C544" s="437" t="str">
        <f>IFERROR(INDEX('Historikus berek_2021-2'!$A$1:$F$903,MATCH(AB544,'Historikus berek_2021-2'!$A$1:$A$903,0),4),"")</f>
        <v/>
      </c>
      <c r="D544" s="438" t="str">
        <f t="shared" si="1319"/>
        <v>NA</v>
      </c>
      <c r="E544" s="437" t="str">
        <f t="shared" si="1320"/>
        <v/>
      </c>
      <c r="F544" s="439" t="str">
        <f t="shared" si="1321"/>
        <v/>
      </c>
      <c r="G544" s="440" t="str">
        <f t="shared" si="1322"/>
        <v/>
      </c>
      <c r="H544" s="441" t="str">
        <f>IFERROR(INDEX('FEOR kodok'!$A$2:$J$1126,MATCH(Bérköltség!AB544,'FEOR kodok'!$B$2:$B$1126,0),8),"NA")</f>
        <v>NA</v>
      </c>
      <c r="I544" s="436" t="str">
        <f>IFERROR(INDEX('FEOR kodok'!$A$2:$J$1126,MATCH(Bérköltség!AB544,'FEOR kodok'!$B$2:$B$1126,0),10),"NA")</f>
        <v>NA</v>
      </c>
      <c r="J544" s="442" t="str">
        <f t="shared" si="1323"/>
        <v>NA</v>
      </c>
      <c r="K544" s="436" t="str">
        <f>IFERROR(INDEX(admin_feor[#All],MATCH(Bérköltség!H544,admin_feor[[#All],[Foglalkozás]],0),2),"NA")</f>
        <v>NA</v>
      </c>
      <c r="L544" s="438" t="str">
        <f>IFERROR(
INDEX('Admin - FEOR'!$A$4:$F$465,MATCH(Bérköltség!H544,'Admin - FEOR'!$A$4:$A$465,0),
IF(J544="30 év alatt",3,
IF(J544="30–39 éves",4,
IF(J544="40–49 éves",5,
IF(J544="50 év és afelett",6
)))))*1,"NA")</f>
        <v>NA</v>
      </c>
      <c r="M544" s="438">
        <f t="shared" si="1324"/>
        <v>0</v>
      </c>
      <c r="N544" s="443" t="str">
        <f t="shared" si="1325"/>
        <v>NA</v>
      </c>
      <c r="O544" s="438" t="str">
        <f>IFERROR(
INDEX('Admin - FEOR'!$A$4:$F$465,MATCH(Bérköltség!H544,'Admin - FEOR'!$A$4:$A$465,0),
IF(J544="30 év alatt",3,
IF(J544="30–39 éves",4,
IF(J544="40–49 éves",5,
IF(J544="50 év és afelett",6
)))))*1.5,"NA")</f>
        <v>NA</v>
      </c>
      <c r="P544" s="438" t="str">
        <f t="shared" si="1326"/>
        <v>NA</v>
      </c>
      <c r="Q544" s="438" t="str">
        <f t="shared" si="1327"/>
        <v/>
      </c>
      <c r="R544" s="444" t="str">
        <f t="shared" si="1328"/>
        <v/>
      </c>
      <c r="S544" s="438" t="str">
        <f t="shared" si="1329"/>
        <v>NA</v>
      </c>
      <c r="T544" s="438" t="str">
        <f t="shared" si="1330"/>
        <v>NA</v>
      </c>
      <c r="U544" s="445" t="str">
        <f t="shared" si="1331"/>
        <v>NA</v>
      </c>
      <c r="V544" s="446" t="str">
        <f t="shared" si="1332"/>
        <v>NA</v>
      </c>
      <c r="W544" s="447" t="str">
        <f t="shared" si="1333"/>
        <v>FEOR hiányzik</v>
      </c>
      <c r="X544" s="571" t="str">
        <f t="shared" si="1334"/>
        <v>HIÁNYOS ADATOK</v>
      </c>
      <c r="Y544" s="554" t="str">
        <f t="shared" si="1359"/>
        <v>HIÁNYOS ADATOK</v>
      </c>
      <c r="Z544" s="554" t="str">
        <f t="shared" si="1336"/>
        <v>HIÁNYOS ADATOK</v>
      </c>
      <c r="AA544" s="115"/>
      <c r="AB544" s="147"/>
      <c r="AC544" s="118"/>
      <c r="AD544" s="119"/>
      <c r="AE544" s="144"/>
      <c r="AF544" s="120"/>
      <c r="AG544" s="120"/>
      <c r="AH544" s="837"/>
      <c r="AI544" s="155"/>
      <c r="AJ544" s="121" t="str">
        <f>IF(AI544&gt;0,
(IF(AI544&lt;Hónapok!$A$10,Admin!$A$28,
(IF(AI544&lt;Hónapok!$A$22,Admin!$B$28,
(IF(AI544&lt;Hónapok!$A$34,Admin!$C$28,
(IF(AI544&lt;Hónapok!$A$46,Admin!$D$28,"")))))))),"")</f>
        <v/>
      </c>
      <c r="AK544" s="122"/>
      <c r="AL544" s="123"/>
      <c r="AM544" s="900"/>
      <c r="AN544" s="860">
        <f t="shared" si="1360"/>
        <v>0</v>
      </c>
      <c r="AO544" s="101"/>
      <c r="AP544" s="111"/>
      <c r="AQ544" s="454" t="str">
        <f t="shared" si="1314"/>
        <v/>
      </c>
      <c r="AR544" s="455" t="str">
        <f t="shared" si="1315"/>
        <v/>
      </c>
      <c r="AS544" s="455" t="str">
        <f t="shared" si="1316"/>
        <v/>
      </c>
      <c r="AT544" s="102" t="str">
        <f t="shared" si="1317"/>
        <v/>
      </c>
      <c r="AU544" s="116">
        <v>0.13</v>
      </c>
      <c r="AV544" s="565" t="e">
        <f>VLOOKUP(LEFT(AB544,10),Törzsszám!$A$1:$B$908,2,0)</f>
        <v>#N/A</v>
      </c>
      <c r="AW544" s="615" t="e">
        <f t="shared" si="1318"/>
        <v>#VALUE!</v>
      </c>
      <c r="AX544" s="151"/>
      <c r="AY544" s="507"/>
      <c r="AZ544" s="808"/>
      <c r="BA544" s="676"/>
      <c r="BB544" s="653"/>
      <c r="BC544" s="649"/>
      <c r="BD544" s="672"/>
      <c r="BE544" s="144"/>
    </row>
    <row r="545" spans="1:57" s="124" customFormat="1" ht="14.45" customHeight="1" x14ac:dyDescent="0.25">
      <c r="A545" s="694" t="str">
        <f>Bérköltség!$B545</f>
        <v>HIÁNYOS ADATOK</v>
      </c>
      <c r="B545" s="694" t="str">
        <f>IFERROR(
IF(AND(Bérköltség!$F545="",H545="NA"),"HIÁNYOS ADATOK",
IF(Bérköltség!$F545&lt;Bérköltség!$U545,Admin!$B$18,Admin!$B$17)),
"")</f>
        <v>HIÁNYOS ADATOK</v>
      </c>
      <c r="C545" s="437" t="str">
        <f>IFERROR(INDEX('Historikus berek_2021-2'!$A$1:$F$903,MATCH(AB545,'Historikus berek_2021-2'!$A$1:$A$903,0),4),"")</f>
        <v/>
      </c>
      <c r="D545" s="438" t="str">
        <f t="shared" si="1319"/>
        <v>NA</v>
      </c>
      <c r="E545" s="437" t="str">
        <f t="shared" si="1320"/>
        <v/>
      </c>
      <c r="F545" s="439" t="str">
        <f t="shared" si="1321"/>
        <v/>
      </c>
      <c r="G545" s="440" t="str">
        <f t="shared" si="1322"/>
        <v/>
      </c>
      <c r="H545" s="441" t="str">
        <f>IFERROR(INDEX('FEOR kodok'!$A$2:$J$1126,MATCH(Bérköltség!AB545,'FEOR kodok'!$B$2:$B$1126,0),8),"NA")</f>
        <v>NA</v>
      </c>
      <c r="I545" s="436" t="str">
        <f>IFERROR(INDEX('FEOR kodok'!$A$2:$J$1126,MATCH(Bérköltség!AB545,'FEOR kodok'!$B$2:$B$1126,0),10),"NA")</f>
        <v>NA</v>
      </c>
      <c r="J545" s="442" t="str">
        <f t="shared" si="1323"/>
        <v>NA</v>
      </c>
      <c r="K545" s="436" t="str">
        <f>IFERROR(INDEX(admin_feor[#All],MATCH(Bérköltség!H545,admin_feor[[#All],[Foglalkozás]],0),2),"NA")</f>
        <v>NA</v>
      </c>
      <c r="L545" s="438" t="str">
        <f>IFERROR(
INDEX('Admin - FEOR'!$A$4:$F$465,MATCH(Bérköltség!H545,'Admin - FEOR'!$A$4:$A$465,0),
IF(J545="30 év alatt",3,
IF(J545="30–39 éves",4,
IF(J545="40–49 éves",5,
IF(J545="50 év és afelett",6
)))))*1,"NA")</f>
        <v>NA</v>
      </c>
      <c r="M545" s="438">
        <f t="shared" si="1324"/>
        <v>0</v>
      </c>
      <c r="N545" s="443" t="str">
        <f t="shared" si="1325"/>
        <v>NA</v>
      </c>
      <c r="O545" s="438" t="str">
        <f>IFERROR(
INDEX('Admin - FEOR'!$A$4:$F$465,MATCH(Bérköltség!H545,'Admin - FEOR'!$A$4:$A$465,0),
IF(J545="30 év alatt",3,
IF(J545="30–39 éves",4,
IF(J545="40–49 éves",5,
IF(J545="50 év és afelett",6
)))))*1.5,"NA")</f>
        <v>NA</v>
      </c>
      <c r="P545" s="438" t="str">
        <f t="shared" si="1326"/>
        <v>NA</v>
      </c>
      <c r="Q545" s="438" t="str">
        <f t="shared" si="1327"/>
        <v/>
      </c>
      <c r="R545" s="444" t="str">
        <f t="shared" si="1328"/>
        <v/>
      </c>
      <c r="S545" s="438" t="str">
        <f t="shared" si="1329"/>
        <v>NA</v>
      </c>
      <c r="T545" s="438" t="str">
        <f t="shared" si="1330"/>
        <v>NA</v>
      </c>
      <c r="U545" s="445" t="str">
        <f t="shared" si="1331"/>
        <v>NA</v>
      </c>
      <c r="V545" s="446" t="str">
        <f t="shared" si="1332"/>
        <v>NA</v>
      </c>
      <c r="W545" s="447" t="str">
        <f t="shared" si="1333"/>
        <v>FEOR hiányzik</v>
      </c>
      <c r="X545" s="571" t="str">
        <f t="shared" si="1334"/>
        <v>HIÁNYOS ADATOK</v>
      </c>
      <c r="Y545" s="554" t="str">
        <f t="shared" si="1359"/>
        <v>HIÁNYOS ADATOK</v>
      </c>
      <c r="Z545" s="554" t="str">
        <f t="shared" si="1336"/>
        <v>HIÁNYOS ADATOK</v>
      </c>
      <c r="AA545" s="115"/>
      <c r="AB545" s="147"/>
      <c r="AC545" s="118"/>
      <c r="AD545" s="119"/>
      <c r="AE545" s="144"/>
      <c r="AF545" s="120"/>
      <c r="AG545" s="120"/>
      <c r="AH545" s="837"/>
      <c r="AI545" s="155"/>
      <c r="AJ545" s="121" t="str">
        <f>IF(AI545&gt;0,
(IF(AI545&lt;Hónapok!$A$10,Admin!$A$28,
(IF(AI545&lt;Hónapok!$A$22,Admin!$B$28,
(IF(AI545&lt;Hónapok!$A$34,Admin!$C$28,
(IF(AI545&lt;Hónapok!$A$46,Admin!$D$28,"")))))))),"")</f>
        <v/>
      </c>
      <c r="AK545" s="122"/>
      <c r="AL545" s="123"/>
      <c r="AM545" s="900"/>
      <c r="AN545" s="860">
        <f t="shared" si="1360"/>
        <v>0</v>
      </c>
      <c r="AO545" s="101"/>
      <c r="AP545" s="111"/>
      <c r="AQ545" s="454" t="str">
        <f t="shared" si="1314"/>
        <v/>
      </c>
      <c r="AR545" s="455" t="str">
        <f t="shared" si="1315"/>
        <v/>
      </c>
      <c r="AS545" s="455" t="str">
        <f t="shared" si="1316"/>
        <v/>
      </c>
      <c r="AT545" s="102" t="str">
        <f t="shared" si="1317"/>
        <v/>
      </c>
      <c r="AU545" s="116">
        <v>0.13</v>
      </c>
      <c r="AV545" s="565" t="e">
        <f>VLOOKUP(LEFT(AB545,10),Törzsszám!$A$1:$B$908,2,0)</f>
        <v>#N/A</v>
      </c>
      <c r="AW545" s="615" t="e">
        <f t="shared" si="1318"/>
        <v>#VALUE!</v>
      </c>
      <c r="AX545" s="151"/>
      <c r="AY545" s="507"/>
      <c r="AZ545" s="808"/>
      <c r="BA545" s="676"/>
      <c r="BB545" s="653"/>
      <c r="BC545" s="649"/>
      <c r="BD545" s="672"/>
      <c r="BE545" s="144"/>
    </row>
    <row r="546" spans="1:57" s="124" customFormat="1" ht="14.45" customHeight="1" x14ac:dyDescent="0.25">
      <c r="A546" s="694" t="str">
        <f>Bérköltség!$B546</f>
        <v>HIÁNYOS ADATOK</v>
      </c>
      <c r="B546" s="694" t="str">
        <f>IFERROR(
IF(AND(Bérköltség!$F546="",H546="NA"),"HIÁNYOS ADATOK",
IF(Bérköltség!$F546&lt;Bérköltség!$U546,Admin!$B$18,Admin!$B$17)),
"")</f>
        <v>HIÁNYOS ADATOK</v>
      </c>
      <c r="C546" s="437" t="str">
        <f>IFERROR(INDEX('Historikus berek_2021-2'!$A$1:$F$903,MATCH(AB546,'Historikus berek_2021-2'!$A$1:$A$903,0),4),"")</f>
        <v/>
      </c>
      <c r="D546" s="438" t="str">
        <f t="shared" si="1319"/>
        <v>NA</v>
      </c>
      <c r="E546" s="437" t="str">
        <f t="shared" si="1320"/>
        <v/>
      </c>
      <c r="F546" s="439" t="str">
        <f t="shared" si="1321"/>
        <v/>
      </c>
      <c r="G546" s="440" t="str">
        <f t="shared" si="1322"/>
        <v/>
      </c>
      <c r="H546" s="441" t="str">
        <f>IFERROR(INDEX('FEOR kodok'!$A$2:$J$1126,MATCH(Bérköltség!AB546,'FEOR kodok'!$B$2:$B$1126,0),8),"NA")</f>
        <v>NA</v>
      </c>
      <c r="I546" s="436" t="str">
        <f>IFERROR(INDEX('FEOR kodok'!$A$2:$J$1126,MATCH(Bérköltség!AB546,'FEOR kodok'!$B$2:$B$1126,0),10),"NA")</f>
        <v>NA</v>
      </c>
      <c r="J546" s="442" t="str">
        <f t="shared" si="1323"/>
        <v>NA</v>
      </c>
      <c r="K546" s="436" t="str">
        <f>IFERROR(INDEX(admin_feor[#All],MATCH(Bérköltség!H546,admin_feor[[#All],[Foglalkozás]],0),2),"NA")</f>
        <v>NA</v>
      </c>
      <c r="L546" s="438" t="str">
        <f>IFERROR(
INDEX('Admin - FEOR'!$A$4:$F$465,MATCH(Bérköltség!H546,'Admin - FEOR'!$A$4:$A$465,0),
IF(J546="30 év alatt",3,
IF(J546="30–39 éves",4,
IF(J546="40–49 éves",5,
IF(J546="50 év és afelett",6
)))))*1,"NA")</f>
        <v>NA</v>
      </c>
      <c r="M546" s="438">
        <f t="shared" si="1324"/>
        <v>0</v>
      </c>
      <c r="N546" s="443" t="str">
        <f t="shared" si="1325"/>
        <v>NA</v>
      </c>
      <c r="O546" s="438" t="str">
        <f>IFERROR(
INDEX('Admin - FEOR'!$A$4:$F$465,MATCH(Bérköltség!H546,'Admin - FEOR'!$A$4:$A$465,0),
IF(J546="30 év alatt",3,
IF(J546="30–39 éves",4,
IF(J546="40–49 éves",5,
IF(J546="50 év és afelett",6
)))))*1.5,"NA")</f>
        <v>NA</v>
      </c>
      <c r="P546" s="438" t="str">
        <f t="shared" si="1326"/>
        <v>NA</v>
      </c>
      <c r="Q546" s="438" t="str">
        <f t="shared" si="1327"/>
        <v/>
      </c>
      <c r="R546" s="444" t="str">
        <f t="shared" si="1328"/>
        <v/>
      </c>
      <c r="S546" s="438" t="str">
        <f t="shared" si="1329"/>
        <v>NA</v>
      </c>
      <c r="T546" s="438" t="str">
        <f t="shared" si="1330"/>
        <v>NA</v>
      </c>
      <c r="U546" s="445" t="str">
        <f t="shared" si="1331"/>
        <v>NA</v>
      </c>
      <c r="V546" s="446" t="str">
        <f t="shared" si="1332"/>
        <v>NA</v>
      </c>
      <c r="W546" s="447" t="str">
        <f t="shared" si="1333"/>
        <v>FEOR hiányzik</v>
      </c>
      <c r="X546" s="571" t="str">
        <f t="shared" si="1334"/>
        <v>HIÁNYOS ADATOK</v>
      </c>
      <c r="Y546" s="554" t="str">
        <f t="shared" si="1359"/>
        <v>HIÁNYOS ADATOK</v>
      </c>
      <c r="Z546" s="554" t="str">
        <f t="shared" si="1336"/>
        <v>HIÁNYOS ADATOK</v>
      </c>
      <c r="AA546" s="115"/>
      <c r="AB546" s="147"/>
      <c r="AC546" s="118"/>
      <c r="AD546" s="119"/>
      <c r="AE546" s="144"/>
      <c r="AF546" s="120"/>
      <c r="AG546" s="120"/>
      <c r="AH546" s="837"/>
      <c r="AI546" s="155"/>
      <c r="AJ546" s="121" t="str">
        <f>IF(AI546&gt;0,
(IF(AI546&lt;Hónapok!$A$10,Admin!$A$28,
(IF(AI546&lt;Hónapok!$A$22,Admin!$B$28,
(IF(AI546&lt;Hónapok!$A$34,Admin!$C$28,
(IF(AI546&lt;Hónapok!$A$46,Admin!$D$28,"")))))))),"")</f>
        <v/>
      </c>
      <c r="AK546" s="122"/>
      <c r="AL546" s="123"/>
      <c r="AM546" s="900"/>
      <c r="AN546" s="860">
        <f t="shared" si="1360"/>
        <v>0</v>
      </c>
      <c r="AO546" s="101"/>
      <c r="AP546" s="111"/>
      <c r="AQ546" s="454" t="str">
        <f t="shared" si="1314"/>
        <v/>
      </c>
      <c r="AR546" s="455" t="str">
        <f t="shared" si="1315"/>
        <v/>
      </c>
      <c r="AS546" s="455" t="str">
        <f t="shared" si="1316"/>
        <v/>
      </c>
      <c r="AT546" s="102" t="str">
        <f t="shared" si="1317"/>
        <v/>
      </c>
      <c r="AU546" s="116">
        <v>0.13</v>
      </c>
      <c r="AV546" s="565" t="e">
        <f>VLOOKUP(LEFT(AB546,10),Törzsszám!$A$1:$B$908,2,0)</f>
        <v>#N/A</v>
      </c>
      <c r="AW546" s="615" t="e">
        <f t="shared" si="1318"/>
        <v>#VALUE!</v>
      </c>
      <c r="AX546" s="151"/>
      <c r="AY546" s="507"/>
      <c r="AZ546" s="808"/>
      <c r="BA546" s="676"/>
      <c r="BB546" s="653"/>
      <c r="BC546" s="649"/>
      <c r="BD546" s="672"/>
      <c r="BE546" s="144"/>
    </row>
    <row r="547" spans="1:57" s="124" customFormat="1" ht="14.45" customHeight="1" x14ac:dyDescent="0.25">
      <c r="A547" s="694" t="str">
        <f>Bérköltség!$B547</f>
        <v>HIÁNYOS ADATOK</v>
      </c>
      <c r="B547" s="694" t="str">
        <f>IFERROR(
IF(AND(Bérköltség!$F547="",H547="NA"),"HIÁNYOS ADATOK",
IF(Bérköltség!$F547&lt;Bérköltség!$U547,Admin!$B$18,Admin!$B$17)),
"")</f>
        <v>HIÁNYOS ADATOK</v>
      </c>
      <c r="C547" s="437" t="str">
        <f>IFERROR(INDEX('Historikus berek_2021-2'!$A$1:$F$903,MATCH(AB547,'Historikus berek_2021-2'!$A$1:$A$903,0),4),"")</f>
        <v/>
      </c>
      <c r="D547" s="438" t="str">
        <f t="shared" si="1319"/>
        <v>NA</v>
      </c>
      <c r="E547" s="437" t="str">
        <f t="shared" si="1320"/>
        <v/>
      </c>
      <c r="F547" s="439" t="str">
        <f t="shared" si="1321"/>
        <v/>
      </c>
      <c r="G547" s="440" t="str">
        <f t="shared" si="1322"/>
        <v/>
      </c>
      <c r="H547" s="441" t="str">
        <f>IFERROR(INDEX('FEOR kodok'!$A$2:$J$1126,MATCH(Bérköltség!AB547,'FEOR kodok'!$B$2:$B$1126,0),8),"NA")</f>
        <v>NA</v>
      </c>
      <c r="I547" s="436" t="str">
        <f>IFERROR(INDEX('FEOR kodok'!$A$2:$J$1126,MATCH(Bérköltség!AB547,'FEOR kodok'!$B$2:$B$1126,0),10),"NA")</f>
        <v>NA</v>
      </c>
      <c r="J547" s="442" t="str">
        <f t="shared" si="1323"/>
        <v>NA</v>
      </c>
      <c r="K547" s="436" t="str">
        <f>IFERROR(INDEX(admin_feor[#All],MATCH(Bérköltség!H547,admin_feor[[#All],[Foglalkozás]],0),2),"NA")</f>
        <v>NA</v>
      </c>
      <c r="L547" s="438" t="str">
        <f>IFERROR(
INDEX('Admin - FEOR'!$A$4:$F$465,MATCH(Bérköltség!H547,'Admin - FEOR'!$A$4:$A$465,0),
IF(J547="30 év alatt",3,
IF(J547="30–39 éves",4,
IF(J547="40–49 éves",5,
IF(J547="50 év és afelett",6
)))))*1,"NA")</f>
        <v>NA</v>
      </c>
      <c r="M547" s="438">
        <f t="shared" si="1324"/>
        <v>0</v>
      </c>
      <c r="N547" s="443" t="str">
        <f t="shared" si="1325"/>
        <v>NA</v>
      </c>
      <c r="O547" s="438" t="str">
        <f>IFERROR(
INDEX('Admin - FEOR'!$A$4:$F$465,MATCH(Bérköltség!H547,'Admin - FEOR'!$A$4:$A$465,0),
IF(J547="30 év alatt",3,
IF(J547="30–39 éves",4,
IF(J547="40–49 éves",5,
IF(J547="50 év és afelett",6
)))))*1.5,"NA")</f>
        <v>NA</v>
      </c>
      <c r="P547" s="438" t="str">
        <f t="shared" si="1326"/>
        <v>NA</v>
      </c>
      <c r="Q547" s="438" t="str">
        <f t="shared" si="1327"/>
        <v/>
      </c>
      <c r="R547" s="444" t="str">
        <f t="shared" si="1328"/>
        <v/>
      </c>
      <c r="S547" s="438" t="str">
        <f t="shared" si="1329"/>
        <v>NA</v>
      </c>
      <c r="T547" s="438" t="str">
        <f t="shared" si="1330"/>
        <v>NA</v>
      </c>
      <c r="U547" s="445" t="str">
        <f t="shared" si="1331"/>
        <v>NA</v>
      </c>
      <c r="V547" s="446" t="str">
        <f t="shared" si="1332"/>
        <v>NA</v>
      </c>
      <c r="W547" s="447" t="str">
        <f t="shared" si="1333"/>
        <v>FEOR hiányzik</v>
      </c>
      <c r="X547" s="571" t="str">
        <f t="shared" si="1334"/>
        <v>HIÁNYOS ADATOK</v>
      </c>
      <c r="Y547" s="554" t="str">
        <f>IF(A547="FEOR",ROUND(V547/(1+AU547),0),IF(A547="HIÁNYOS ADATOK","HIÁNYOS ADATOK",ROUND(G547/(1+AU547),0)))</f>
        <v>HIÁNYOS ADATOK</v>
      </c>
      <c r="Z547" s="554" t="str">
        <f t="shared" si="1336"/>
        <v>HIÁNYOS ADATOK</v>
      </c>
      <c r="AA547" s="115"/>
      <c r="AB547" s="147"/>
      <c r="AC547" s="118"/>
      <c r="AD547" s="119"/>
      <c r="AE547" s="144"/>
      <c r="AF547" s="120"/>
      <c r="AG547" s="120"/>
      <c r="AH547" s="837"/>
      <c r="AI547" s="155"/>
      <c r="AJ547" s="121" t="str">
        <f>IF(AI547&gt;0,
(IF(AI547&lt;Hónapok!$A$10,Admin!$A$28,
(IF(AI547&lt;Hónapok!$A$22,Admin!$B$28,
(IF(AI547&lt;Hónapok!$A$34,Admin!$C$28,
(IF(AI547&lt;Hónapok!$A$46,Admin!$D$28,"")))))))),"")</f>
        <v/>
      </c>
      <c r="AK547" s="122"/>
      <c r="AL547" s="123"/>
      <c r="AM547" s="900"/>
      <c r="AN547" s="860">
        <f t="shared" si="1360"/>
        <v>0</v>
      </c>
      <c r="AO547" s="101"/>
      <c r="AP547" s="111"/>
      <c r="AQ547" s="454" t="str">
        <f t="shared" si="1314"/>
        <v/>
      </c>
      <c r="AR547" s="455" t="str">
        <f t="shared" si="1315"/>
        <v/>
      </c>
      <c r="AS547" s="455" t="str">
        <f t="shared" si="1316"/>
        <v/>
      </c>
      <c r="AT547" s="102" t="str">
        <f t="shared" si="1317"/>
        <v/>
      </c>
      <c r="AU547" s="116">
        <v>0.13</v>
      </c>
      <c r="AV547" s="565" t="e">
        <f>VLOOKUP(LEFT(AB547,10),Törzsszám!$A$1:$B$908,2,0)</f>
        <v>#N/A</v>
      </c>
      <c r="AW547" s="615" t="e">
        <f t="shared" si="1318"/>
        <v>#VALUE!</v>
      </c>
      <c r="AX547" s="151"/>
      <c r="AY547" s="507"/>
      <c r="AZ547" s="808"/>
      <c r="BA547" s="676"/>
      <c r="BB547" s="653"/>
      <c r="BC547" s="649"/>
      <c r="BD547" s="672"/>
      <c r="BE547" s="144"/>
    </row>
    <row r="548" spans="1:57" s="124" customFormat="1" ht="14.45" customHeight="1" x14ac:dyDescent="0.25">
      <c r="A548" s="694" t="str">
        <f>Bérköltség!$B548</f>
        <v>HIÁNYOS ADATOK</v>
      </c>
      <c r="B548" s="694" t="str">
        <f>IFERROR(
IF(AND(Bérköltség!$F548="",H548="NA"),"HIÁNYOS ADATOK",
IF(Bérköltség!$F548&lt;Bérköltség!$U548,Admin!$B$18,Admin!$B$17)),
"")</f>
        <v>HIÁNYOS ADATOK</v>
      </c>
      <c r="C548" s="437" t="str">
        <f>IFERROR(INDEX('Historikus berek_2021-2'!$A$1:$F$903,MATCH(AB548,'Historikus berek_2021-2'!$A$1:$A$903,0),4),"")</f>
        <v/>
      </c>
      <c r="D548" s="438" t="str">
        <f t="shared" si="1319"/>
        <v>NA</v>
      </c>
      <c r="E548" s="437" t="str">
        <f t="shared" si="1320"/>
        <v/>
      </c>
      <c r="F548" s="439" t="str">
        <f t="shared" si="1321"/>
        <v/>
      </c>
      <c r="G548" s="440" t="str">
        <f t="shared" si="1322"/>
        <v/>
      </c>
      <c r="H548" s="441" t="str">
        <f>IFERROR(INDEX('FEOR kodok'!$A$2:$J$1126,MATCH(Bérköltség!AB548,'FEOR kodok'!$B$2:$B$1126,0),8),"NA")</f>
        <v>NA</v>
      </c>
      <c r="I548" s="436" t="str">
        <f>IFERROR(INDEX('FEOR kodok'!$A$2:$J$1126,MATCH(Bérköltség!AB548,'FEOR kodok'!$B$2:$B$1126,0),10),"NA")</f>
        <v>NA</v>
      </c>
      <c r="J548" s="442" t="str">
        <f t="shared" si="1323"/>
        <v>NA</v>
      </c>
      <c r="K548" s="436" t="str">
        <f>IFERROR(INDEX(admin_feor[#All],MATCH(Bérköltség!H548,admin_feor[[#All],[Foglalkozás]],0),2),"NA")</f>
        <v>NA</v>
      </c>
      <c r="L548" s="438" t="str">
        <f>IFERROR(
INDEX('Admin - FEOR'!$A$4:$F$465,MATCH(Bérköltség!H548,'Admin - FEOR'!$A$4:$A$465,0),
IF(J548="30 év alatt",3,
IF(J548="30–39 éves",4,
IF(J548="40–49 éves",5,
IF(J548="50 év és afelett",6
)))))*1,"NA")</f>
        <v>NA</v>
      </c>
      <c r="M548" s="438">
        <f t="shared" si="1324"/>
        <v>0</v>
      </c>
      <c r="N548" s="443" t="str">
        <f t="shared" si="1325"/>
        <v>NA</v>
      </c>
      <c r="O548" s="438" t="str">
        <f>IFERROR(
INDEX('Admin - FEOR'!$A$4:$F$465,MATCH(Bérköltség!H548,'Admin - FEOR'!$A$4:$A$465,0),
IF(J548="30 év alatt",3,
IF(J548="30–39 éves",4,
IF(J548="40–49 éves",5,
IF(J548="50 év és afelett",6
)))))*1.5,"NA")</f>
        <v>NA</v>
      </c>
      <c r="P548" s="438" t="str">
        <f t="shared" si="1326"/>
        <v>NA</v>
      </c>
      <c r="Q548" s="438" t="str">
        <f t="shared" si="1327"/>
        <v/>
      </c>
      <c r="R548" s="444" t="str">
        <f t="shared" si="1328"/>
        <v/>
      </c>
      <c r="S548" s="438" t="str">
        <f t="shared" si="1329"/>
        <v>NA</v>
      </c>
      <c r="T548" s="438" t="str">
        <f t="shared" si="1330"/>
        <v>NA</v>
      </c>
      <c r="U548" s="445" t="str">
        <f t="shared" si="1331"/>
        <v>NA</v>
      </c>
      <c r="V548" s="446" t="str">
        <f t="shared" si="1332"/>
        <v>NA</v>
      </c>
      <c r="W548" s="447" t="str">
        <f t="shared" si="1333"/>
        <v>FEOR hiányzik</v>
      </c>
      <c r="X548" s="571" t="str">
        <f t="shared" si="1334"/>
        <v>HIÁNYOS ADATOK</v>
      </c>
      <c r="Y548" s="554" t="str">
        <f t="shared" ref="Y548:Y551" si="1361">IF(A548="FEOR",ROUND(V548/(1+AU548),0),IF(A548="HIÁNYOS ADATOK","HIÁNYOS ADATOK",ROUND(G548/(1+AU548),0)))</f>
        <v>HIÁNYOS ADATOK</v>
      </c>
      <c r="Z548" s="554" t="str">
        <f t="shared" si="1336"/>
        <v>HIÁNYOS ADATOK</v>
      </c>
      <c r="AA548" s="115"/>
      <c r="AB548" s="147"/>
      <c r="AC548" s="118"/>
      <c r="AD548" s="119"/>
      <c r="AE548" s="144"/>
      <c r="AF548" s="120"/>
      <c r="AG548" s="120"/>
      <c r="AH548" s="837"/>
      <c r="AI548" s="155"/>
      <c r="AJ548" s="121" t="str">
        <f>IF(AI548&gt;0,
(IF(AI548&lt;Hónapok!$A$10,Admin!$A$28,
(IF(AI548&lt;Hónapok!$A$22,Admin!$B$28,
(IF(AI548&lt;Hónapok!$A$34,Admin!$C$28,
(IF(AI548&lt;Hónapok!$A$46,Admin!$D$28,"")))))))),"")</f>
        <v/>
      </c>
      <c r="AK548" s="122"/>
      <c r="AL548" s="123"/>
      <c r="AM548" s="900"/>
      <c r="AN548" s="860">
        <f t="shared" si="1360"/>
        <v>0</v>
      </c>
      <c r="AO548" s="101"/>
      <c r="AP548" s="111"/>
      <c r="AQ548" s="454" t="str">
        <f t="shared" si="1314"/>
        <v/>
      </c>
      <c r="AR548" s="455" t="str">
        <f t="shared" si="1315"/>
        <v/>
      </c>
      <c r="AS548" s="455" t="str">
        <f t="shared" si="1316"/>
        <v/>
      </c>
      <c r="AT548" s="102" t="str">
        <f t="shared" si="1317"/>
        <v/>
      </c>
      <c r="AU548" s="116">
        <v>0.13</v>
      </c>
      <c r="AV548" s="565" t="e">
        <f>VLOOKUP(LEFT(AB548,10),Törzsszám!$A$1:$B$908,2,0)</f>
        <v>#N/A</v>
      </c>
      <c r="AW548" s="615" t="e">
        <f t="shared" si="1318"/>
        <v>#VALUE!</v>
      </c>
      <c r="AX548" s="151"/>
      <c r="AY548" s="507"/>
      <c r="AZ548" s="808"/>
      <c r="BA548" s="676"/>
      <c r="BB548" s="653"/>
      <c r="BC548" s="649"/>
      <c r="BD548" s="672"/>
      <c r="BE548" s="144"/>
    </row>
    <row r="549" spans="1:57" s="124" customFormat="1" ht="14.45" customHeight="1" x14ac:dyDescent="0.25">
      <c r="A549" s="694" t="str">
        <f>Bérköltség!$B549</f>
        <v>HIÁNYOS ADATOK</v>
      </c>
      <c r="B549" s="694" t="str">
        <f>IFERROR(
IF(AND(Bérköltség!$F549="",H549="NA"),"HIÁNYOS ADATOK",
IF(Bérköltség!$F549&lt;Bérköltség!$U549,Admin!$B$18,Admin!$B$17)),
"")</f>
        <v>HIÁNYOS ADATOK</v>
      </c>
      <c r="C549" s="437" t="str">
        <f>IFERROR(INDEX('Historikus berek_2021-2'!$A$1:$F$903,MATCH(AB549,'Historikus berek_2021-2'!$A$1:$A$903,0),4),"")</f>
        <v/>
      </c>
      <c r="D549" s="438" t="str">
        <f t="shared" si="1319"/>
        <v>NA</v>
      </c>
      <c r="E549" s="437" t="str">
        <f t="shared" si="1320"/>
        <v/>
      </c>
      <c r="F549" s="439" t="str">
        <f t="shared" si="1321"/>
        <v/>
      </c>
      <c r="G549" s="440" t="str">
        <f t="shared" si="1322"/>
        <v/>
      </c>
      <c r="H549" s="441" t="str">
        <f>IFERROR(INDEX('FEOR kodok'!$A$2:$J$1126,MATCH(Bérköltség!AB549,'FEOR kodok'!$B$2:$B$1126,0),8),"NA")</f>
        <v>NA</v>
      </c>
      <c r="I549" s="436" t="str">
        <f>IFERROR(INDEX('FEOR kodok'!$A$2:$J$1126,MATCH(Bérköltség!AB549,'FEOR kodok'!$B$2:$B$1126,0),10),"NA")</f>
        <v>NA</v>
      </c>
      <c r="J549" s="442" t="str">
        <f t="shared" si="1323"/>
        <v>NA</v>
      </c>
      <c r="K549" s="436" t="str">
        <f>IFERROR(INDEX(admin_feor[#All],MATCH(Bérköltség!H549,admin_feor[[#All],[Foglalkozás]],0),2),"NA")</f>
        <v>NA</v>
      </c>
      <c r="L549" s="438" t="str">
        <f>IFERROR(
INDEX('Admin - FEOR'!$A$4:$F$465,MATCH(Bérköltség!H549,'Admin - FEOR'!$A$4:$A$465,0),
IF(J549="30 év alatt",3,
IF(J549="30–39 éves",4,
IF(J549="40–49 éves",5,
IF(J549="50 év és afelett",6
)))))*1,"NA")</f>
        <v>NA</v>
      </c>
      <c r="M549" s="438">
        <f t="shared" si="1324"/>
        <v>0</v>
      </c>
      <c r="N549" s="443" t="str">
        <f t="shared" si="1325"/>
        <v>NA</v>
      </c>
      <c r="O549" s="438" t="str">
        <f>IFERROR(
INDEX('Admin - FEOR'!$A$4:$F$465,MATCH(Bérköltség!H549,'Admin - FEOR'!$A$4:$A$465,0),
IF(J549="30 év alatt",3,
IF(J549="30–39 éves",4,
IF(J549="40–49 éves",5,
IF(J549="50 év és afelett",6
)))))*1.5,"NA")</f>
        <v>NA</v>
      </c>
      <c r="P549" s="438" t="str">
        <f t="shared" si="1326"/>
        <v>NA</v>
      </c>
      <c r="Q549" s="438" t="str">
        <f t="shared" si="1327"/>
        <v/>
      </c>
      <c r="R549" s="444" t="str">
        <f t="shared" si="1328"/>
        <v/>
      </c>
      <c r="S549" s="438" t="str">
        <f t="shared" si="1329"/>
        <v>NA</v>
      </c>
      <c r="T549" s="438" t="str">
        <f t="shared" si="1330"/>
        <v>NA</v>
      </c>
      <c r="U549" s="445" t="str">
        <f t="shared" si="1331"/>
        <v>NA</v>
      </c>
      <c r="V549" s="446" t="str">
        <f t="shared" si="1332"/>
        <v>NA</v>
      </c>
      <c r="W549" s="447" t="str">
        <f t="shared" si="1333"/>
        <v>FEOR hiányzik</v>
      </c>
      <c r="X549" s="571" t="str">
        <f t="shared" si="1334"/>
        <v>HIÁNYOS ADATOK</v>
      </c>
      <c r="Y549" s="554" t="str">
        <f t="shared" si="1361"/>
        <v>HIÁNYOS ADATOK</v>
      </c>
      <c r="Z549" s="554" t="str">
        <f t="shared" si="1336"/>
        <v>HIÁNYOS ADATOK</v>
      </c>
      <c r="AA549" s="115"/>
      <c r="AB549" s="147"/>
      <c r="AC549" s="118"/>
      <c r="AD549" s="119"/>
      <c r="AE549" s="144"/>
      <c r="AF549" s="120"/>
      <c r="AG549" s="120"/>
      <c r="AH549" s="837"/>
      <c r="AI549" s="155"/>
      <c r="AJ549" s="121" t="str">
        <f>IF(AI549&gt;0,
(IF(AI549&lt;Hónapok!$A$10,Admin!$A$28,
(IF(AI549&lt;Hónapok!$A$22,Admin!$B$28,
(IF(AI549&lt;Hónapok!$A$34,Admin!$C$28,
(IF(AI549&lt;Hónapok!$A$46,Admin!$D$28,"")))))))),"")</f>
        <v/>
      </c>
      <c r="AK549" s="122"/>
      <c r="AL549" s="123"/>
      <c r="AM549" s="900"/>
      <c r="AN549" s="860">
        <f t="shared" si="1360"/>
        <v>0</v>
      </c>
      <c r="AO549" s="101"/>
      <c r="AP549" s="111"/>
      <c r="AQ549" s="454" t="str">
        <f t="shared" si="1314"/>
        <v/>
      </c>
      <c r="AR549" s="455" t="str">
        <f t="shared" si="1315"/>
        <v/>
      </c>
      <c r="AS549" s="455" t="str">
        <f t="shared" si="1316"/>
        <v/>
      </c>
      <c r="AT549" s="102" t="str">
        <f t="shared" si="1317"/>
        <v/>
      </c>
      <c r="AU549" s="116">
        <v>0.13</v>
      </c>
      <c r="AV549" s="565" t="e">
        <f>VLOOKUP(LEFT(AB549,10),Törzsszám!$A$1:$B$908,2,0)</f>
        <v>#N/A</v>
      </c>
      <c r="AW549" s="615" t="e">
        <f t="shared" si="1318"/>
        <v>#VALUE!</v>
      </c>
      <c r="AX549" s="151"/>
      <c r="AY549" s="507"/>
      <c r="AZ549" s="808"/>
      <c r="BA549" s="676"/>
      <c r="BB549" s="653"/>
      <c r="BC549" s="649"/>
      <c r="BD549" s="672"/>
      <c r="BE549" s="144"/>
    </row>
    <row r="550" spans="1:57" s="124" customFormat="1" ht="14.45" customHeight="1" x14ac:dyDescent="0.25">
      <c r="A550" s="694" t="str">
        <f>Bérköltség!$B550</f>
        <v>HIÁNYOS ADATOK</v>
      </c>
      <c r="B550" s="694" t="str">
        <f>IFERROR(
IF(AND(Bérköltség!$F550="",H550="NA"),"HIÁNYOS ADATOK",
IF(Bérköltség!$F550&lt;Bérköltség!$U550,Admin!$B$18,Admin!$B$17)),
"")</f>
        <v>HIÁNYOS ADATOK</v>
      </c>
      <c r="C550" s="437" t="str">
        <f>IFERROR(INDEX('Historikus berek_2021-2'!$A$1:$F$903,MATCH(AB550,'Historikus berek_2021-2'!$A$1:$A$903,0),4),"")</f>
        <v/>
      </c>
      <c r="D550" s="438" t="str">
        <f t="shared" si="1319"/>
        <v>NA</v>
      </c>
      <c r="E550" s="437" t="str">
        <f t="shared" si="1320"/>
        <v/>
      </c>
      <c r="F550" s="439" t="str">
        <f t="shared" si="1321"/>
        <v/>
      </c>
      <c r="G550" s="440" t="str">
        <f t="shared" si="1322"/>
        <v/>
      </c>
      <c r="H550" s="441" t="str">
        <f>IFERROR(INDEX('FEOR kodok'!$A$2:$J$1126,MATCH(Bérköltség!AB550,'FEOR kodok'!$B$2:$B$1126,0),8),"NA")</f>
        <v>NA</v>
      </c>
      <c r="I550" s="436" t="str">
        <f>IFERROR(INDEX('FEOR kodok'!$A$2:$J$1126,MATCH(Bérköltség!AB550,'FEOR kodok'!$B$2:$B$1126,0),10),"NA")</f>
        <v>NA</v>
      </c>
      <c r="J550" s="442" t="str">
        <f t="shared" si="1323"/>
        <v>NA</v>
      </c>
      <c r="K550" s="436" t="str">
        <f>IFERROR(INDEX(admin_feor[#All],MATCH(Bérköltség!H550,admin_feor[[#All],[Foglalkozás]],0),2),"NA")</f>
        <v>NA</v>
      </c>
      <c r="L550" s="438" t="str">
        <f>IFERROR(
INDEX('Admin - FEOR'!$A$4:$F$465,MATCH(Bérköltség!H550,'Admin - FEOR'!$A$4:$A$465,0),
IF(J550="30 év alatt",3,
IF(J550="30–39 éves",4,
IF(J550="40–49 éves",5,
IF(J550="50 év és afelett",6
)))))*1,"NA")</f>
        <v>NA</v>
      </c>
      <c r="M550" s="438">
        <f t="shared" si="1324"/>
        <v>0</v>
      </c>
      <c r="N550" s="443" t="str">
        <f t="shared" si="1325"/>
        <v>NA</v>
      </c>
      <c r="O550" s="438" t="str">
        <f>IFERROR(
INDEX('Admin - FEOR'!$A$4:$F$465,MATCH(Bérköltség!H550,'Admin - FEOR'!$A$4:$A$465,0),
IF(J550="30 év alatt",3,
IF(J550="30–39 éves",4,
IF(J550="40–49 éves",5,
IF(J550="50 év és afelett",6
)))))*1.5,"NA")</f>
        <v>NA</v>
      </c>
      <c r="P550" s="438" t="str">
        <f t="shared" si="1326"/>
        <v>NA</v>
      </c>
      <c r="Q550" s="438" t="str">
        <f t="shared" si="1327"/>
        <v/>
      </c>
      <c r="R550" s="444" t="str">
        <f t="shared" si="1328"/>
        <v/>
      </c>
      <c r="S550" s="438" t="str">
        <f t="shared" si="1329"/>
        <v>NA</v>
      </c>
      <c r="T550" s="438" t="str">
        <f t="shared" si="1330"/>
        <v>NA</v>
      </c>
      <c r="U550" s="445" t="str">
        <f t="shared" si="1331"/>
        <v>NA</v>
      </c>
      <c r="V550" s="446" t="str">
        <f t="shared" si="1332"/>
        <v>NA</v>
      </c>
      <c r="W550" s="447" t="str">
        <f t="shared" si="1333"/>
        <v>FEOR hiányzik</v>
      </c>
      <c r="X550" s="571" t="str">
        <f t="shared" si="1334"/>
        <v>HIÁNYOS ADATOK</v>
      </c>
      <c r="Y550" s="554" t="str">
        <f t="shared" si="1361"/>
        <v>HIÁNYOS ADATOK</v>
      </c>
      <c r="Z550" s="554" t="str">
        <f t="shared" si="1336"/>
        <v>HIÁNYOS ADATOK</v>
      </c>
      <c r="AA550" s="115"/>
      <c r="AB550" s="147"/>
      <c r="AC550" s="118"/>
      <c r="AD550" s="119"/>
      <c r="AE550" s="144"/>
      <c r="AF550" s="120"/>
      <c r="AG550" s="120"/>
      <c r="AH550" s="837"/>
      <c r="AI550" s="155"/>
      <c r="AJ550" s="121" t="str">
        <f>IF(AI550&gt;0,
(IF(AI550&lt;Hónapok!$A$10,Admin!$A$28,
(IF(AI550&lt;Hónapok!$A$22,Admin!$B$28,
(IF(AI550&lt;Hónapok!$A$34,Admin!$C$28,
(IF(AI550&lt;Hónapok!$A$46,Admin!$D$28,"")))))))),"")</f>
        <v/>
      </c>
      <c r="AK550" s="122"/>
      <c r="AL550" s="123"/>
      <c r="AM550" s="900"/>
      <c r="AN550" s="860">
        <f t="shared" si="1360"/>
        <v>0</v>
      </c>
      <c r="AO550" s="101"/>
      <c r="AP550" s="111"/>
      <c r="AQ550" s="454" t="str">
        <f t="shared" si="1314"/>
        <v/>
      </c>
      <c r="AR550" s="455" t="str">
        <f t="shared" si="1315"/>
        <v/>
      </c>
      <c r="AS550" s="455" t="str">
        <f t="shared" si="1316"/>
        <v/>
      </c>
      <c r="AT550" s="102" t="str">
        <f t="shared" si="1317"/>
        <v/>
      </c>
      <c r="AU550" s="116">
        <v>0.13</v>
      </c>
      <c r="AV550" s="565" t="e">
        <f>VLOOKUP(LEFT(AB550,10),Törzsszám!$A$1:$B$908,2,0)</f>
        <v>#N/A</v>
      </c>
      <c r="AW550" s="615" t="e">
        <f t="shared" si="1318"/>
        <v>#VALUE!</v>
      </c>
      <c r="AX550" s="151"/>
      <c r="AY550" s="507"/>
      <c r="AZ550" s="808"/>
      <c r="BA550" s="676"/>
      <c r="BB550" s="653"/>
      <c r="BC550" s="649"/>
      <c r="BD550" s="672"/>
      <c r="BE550" s="144"/>
    </row>
    <row r="551" spans="1:57" s="134" customFormat="1" ht="14.45" customHeight="1" thickBot="1" x14ac:dyDescent="0.3">
      <c r="A551" s="694" t="str">
        <f>Bérköltség!$B551</f>
        <v>HIÁNYOS ADATOK</v>
      </c>
      <c r="B551" s="694" t="str">
        <f>IFERROR(
IF(AND(Bérköltség!$F551="",H551="NA"),"HIÁNYOS ADATOK",
IF(Bérköltség!$F551&lt;Bérköltség!$U551,Admin!$B$18,Admin!$B$17)),
"")</f>
        <v>HIÁNYOS ADATOK</v>
      </c>
      <c r="C551" s="437" t="str">
        <f>IFERROR(INDEX('Historikus berek_2021-2'!$A$1:$F$903,MATCH(AB551,'Historikus berek_2021-2'!$A$1:$A$903,0),4),"")</f>
        <v/>
      </c>
      <c r="D551" s="438" t="str">
        <f t="shared" si="1319"/>
        <v>NA</v>
      </c>
      <c r="E551" s="437" t="str">
        <f t="shared" si="1320"/>
        <v/>
      </c>
      <c r="F551" s="439" t="str">
        <f t="shared" si="1321"/>
        <v/>
      </c>
      <c r="G551" s="440" t="str">
        <f t="shared" si="1322"/>
        <v/>
      </c>
      <c r="H551" s="441" t="str">
        <f>IFERROR(INDEX('FEOR kodok'!$A$2:$J$1126,MATCH(Bérköltség!AB551,'FEOR kodok'!$B$2:$B$1126,0),8),"NA")</f>
        <v>NA</v>
      </c>
      <c r="I551" s="436" t="str">
        <f>IFERROR(INDEX('FEOR kodok'!$A$2:$J$1126,MATCH(Bérköltség!AB551,'FEOR kodok'!$B$2:$B$1126,0),10),"NA")</f>
        <v>NA</v>
      </c>
      <c r="J551" s="442" t="str">
        <f t="shared" si="1323"/>
        <v>NA</v>
      </c>
      <c r="K551" s="436" t="str">
        <f>IFERROR(INDEX(admin_feor[#All],MATCH(Bérköltség!H551,admin_feor[[#All],[Foglalkozás]],0),2),"NA")</f>
        <v>NA</v>
      </c>
      <c r="L551" s="438" t="str">
        <f>IFERROR(
INDEX('Admin - FEOR'!$A$4:$F$465,MATCH(Bérköltség!H551,'Admin - FEOR'!$A$4:$A$465,0),
IF(J551="30 év alatt",3,
IF(J551="30–39 éves",4,
IF(J551="40–49 éves",5,
IF(J551="50 év és afelett",6
)))))*1,"NA")</f>
        <v>NA</v>
      </c>
      <c r="M551" s="438">
        <f t="shared" si="1324"/>
        <v>0</v>
      </c>
      <c r="N551" s="443" t="str">
        <f t="shared" si="1325"/>
        <v>NA</v>
      </c>
      <c r="O551" s="438" t="str">
        <f>IFERROR(
INDEX('Admin - FEOR'!$A$4:$F$465,MATCH(Bérköltség!H551,'Admin - FEOR'!$A$4:$A$465,0),
IF(J551="30 év alatt",3,
IF(J551="30–39 éves",4,
IF(J551="40–49 éves",5,
IF(J551="50 év és afelett",6
)))))*1.5,"NA")</f>
        <v>NA</v>
      </c>
      <c r="P551" s="438" t="str">
        <f t="shared" si="1326"/>
        <v>NA</v>
      </c>
      <c r="Q551" s="438" t="str">
        <f t="shared" si="1327"/>
        <v/>
      </c>
      <c r="R551" s="444" t="str">
        <f t="shared" si="1328"/>
        <v/>
      </c>
      <c r="S551" s="438" t="str">
        <f t="shared" si="1329"/>
        <v>NA</v>
      </c>
      <c r="T551" s="438" t="str">
        <f t="shared" si="1330"/>
        <v>NA</v>
      </c>
      <c r="U551" s="445" t="str">
        <f t="shared" si="1331"/>
        <v>NA</v>
      </c>
      <c r="V551" s="446" t="str">
        <f t="shared" si="1332"/>
        <v>NA</v>
      </c>
      <c r="W551" s="447" t="str">
        <f t="shared" si="1333"/>
        <v>FEOR hiányzik</v>
      </c>
      <c r="X551" s="571" t="str">
        <f t="shared" si="1334"/>
        <v>HIÁNYOS ADATOK</v>
      </c>
      <c r="Y551" s="554" t="str">
        <f t="shared" si="1361"/>
        <v>HIÁNYOS ADATOK</v>
      </c>
      <c r="Z551" s="554" t="str">
        <f t="shared" si="1336"/>
        <v>HIÁNYOS ADATOK</v>
      </c>
      <c r="AA551" s="619"/>
      <c r="AB551" s="148"/>
      <c r="AC551" s="125"/>
      <c r="AD551" s="119"/>
      <c r="AE551" s="145"/>
      <c r="AF551" s="126"/>
      <c r="AG551" s="127"/>
      <c r="AH551" s="838"/>
      <c r="AI551" s="156"/>
      <c r="AJ551" s="128" t="str">
        <f>IF(AI551&gt;0,
(IF(AI551&lt;Hónapok!$A$10,Admin!$A$28,
(IF(AI551&lt;Hónapok!$A$22,Admin!$B$28,
(IF(AI551&lt;Hónapok!$A$34,Admin!$C$28,
(IF(AI551&lt;Hónapok!$A$46,Admin!$D$28,"")))))))),"")</f>
        <v/>
      </c>
      <c r="AK551" s="129"/>
      <c r="AL551" s="130"/>
      <c r="AM551" s="910"/>
      <c r="AN551" s="860">
        <f t="shared" si="1360"/>
        <v>0</v>
      </c>
      <c r="AO551" s="131"/>
      <c r="AP551" s="132"/>
      <c r="AQ551" s="454" t="str">
        <f t="shared" si="1314"/>
        <v/>
      </c>
      <c r="AR551" s="455" t="str">
        <f t="shared" si="1315"/>
        <v/>
      </c>
      <c r="AS551" s="455" t="str">
        <f t="shared" si="1316"/>
        <v/>
      </c>
      <c r="AT551" s="102" t="str">
        <f t="shared" si="1317"/>
        <v/>
      </c>
      <c r="AU551" s="133">
        <v>0.13</v>
      </c>
      <c r="AV551" s="565" t="e">
        <f>VLOOKUP(LEFT(AB551,10),Törzsszám!$A$1:$B$908,2,0)</f>
        <v>#N/A</v>
      </c>
      <c r="AW551" s="615" t="e">
        <f t="shared" si="1318"/>
        <v>#VALUE!</v>
      </c>
      <c r="AX551" s="152"/>
      <c r="AY551" s="508"/>
      <c r="AZ551" s="809"/>
      <c r="BA551" s="677"/>
      <c r="BB551" s="657"/>
      <c r="BC551" s="649"/>
      <c r="BD551" s="672"/>
      <c r="BE551" s="704"/>
    </row>
    <row r="552" spans="1:57" s="89" customFormat="1" ht="15" customHeight="1" thickBot="1" x14ac:dyDescent="0.3">
      <c r="A552" s="698"/>
      <c r="B552" s="698"/>
      <c r="X552" s="572"/>
      <c r="AA552" s="760"/>
      <c r="AB552" s="761"/>
      <c r="AC552" s="762"/>
      <c r="AD552" s="889"/>
      <c r="AE552" s="763"/>
      <c r="AF552" s="764"/>
      <c r="AG552" s="765"/>
      <c r="AH552" s="766"/>
      <c r="AI552" s="767"/>
      <c r="AJ552" s="768"/>
      <c r="AK552" s="769"/>
      <c r="AL552" s="770"/>
      <c r="AM552" s="911"/>
      <c r="AN552" s="869"/>
      <c r="AO552" s="771"/>
      <c r="AP552" s="772"/>
      <c r="AQ552" s="844"/>
      <c r="AR552" s="773"/>
      <c r="AS552" s="773"/>
      <c r="AT552" s="774"/>
      <c r="AU552" s="775"/>
      <c r="AV552" s="775"/>
      <c r="AW552" s="776"/>
      <c r="AX552" s="777"/>
      <c r="AY552" s="778"/>
      <c r="AZ552" s="778"/>
      <c r="BA552" s="779"/>
      <c r="BB552" s="780"/>
      <c r="BC552" s="780"/>
      <c r="BD552" s="781"/>
      <c r="BE552" s="782"/>
    </row>
    <row r="553" spans="1:57" s="89" customFormat="1" ht="15.75" thickBot="1" x14ac:dyDescent="0.3">
      <c r="A553" s="698"/>
      <c r="B553" s="698"/>
      <c r="X553" s="572"/>
      <c r="AA553" s="707"/>
      <c r="AB553" s="149"/>
      <c r="AC553" s="47" t="s">
        <v>1</v>
      </c>
      <c r="AD553" s="890"/>
      <c r="AE553" s="685"/>
      <c r="AF553" s="94"/>
      <c r="AG553" s="94"/>
      <c r="AH553" s="95"/>
      <c r="AI553" s="96"/>
      <c r="AJ553" s="97"/>
      <c r="AK553" s="107"/>
      <c r="AL553" s="110"/>
      <c r="AM553" s="912"/>
      <c r="AN553" s="870"/>
      <c r="AO553" s="98"/>
      <c r="AP553" s="108"/>
      <c r="AQ553" s="845"/>
      <c r="AR553" s="288">
        <f>SUBTOTAL(109,AR9:AR552)</f>
        <v>210901627</v>
      </c>
      <c r="AS553" s="289">
        <f>SUBTOTAL(109,AS9:AS552)</f>
        <v>25447034</v>
      </c>
      <c r="AT553" s="289"/>
      <c r="AU553" s="289"/>
      <c r="AV553" s="289"/>
      <c r="AW553" s="289"/>
      <c r="AX553" s="289"/>
      <c r="AY553" s="666"/>
      <c r="AZ553" s="810"/>
      <c r="BA553" s="678">
        <f>SUBTOTAL(109,BA9:BA552)</f>
        <v>55879254</v>
      </c>
      <c r="BB553" s="663">
        <f t="shared" ref="BB553:BD553" si="1362">SUBTOTAL(109,BB9:BB552)</f>
        <v>6807805</v>
      </c>
      <c r="BC553" s="663">
        <f t="shared" ca="1" si="1362"/>
        <v>14136955</v>
      </c>
      <c r="BD553" s="663">
        <f t="shared" ca="1" si="1362"/>
        <v>1749295</v>
      </c>
      <c r="BE553" s="667"/>
    </row>
    <row r="555" spans="1:57" x14ac:dyDescent="0.25">
      <c r="BA555" s="658">
        <f>BA553+BB553</f>
        <v>62687059</v>
      </c>
      <c r="BC555" s="658">
        <f ca="1">BC553+BD553</f>
        <v>15886250</v>
      </c>
    </row>
  </sheetData>
  <autoFilter ref="A8:BE551" xr:uid="{34F9B5BB-14ED-4813-91D4-8D58E60585A9}"/>
  <sortState xmlns:xlrd2="http://schemas.microsoft.com/office/spreadsheetml/2017/richdata2" ref="W124:BX536">
    <sortCondition ref="AA124:AA536"/>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29846026-96B4-40BA-AD4C-2ED195E5AA2E}">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mergeCells count="4">
    <mergeCell ref="A2:B2"/>
    <mergeCell ref="C7:G7"/>
    <mergeCell ref="H7:W7"/>
    <mergeCell ref="AA7:AQ7"/>
  </mergeCells>
  <phoneticPr fontId="50" type="noConversion"/>
  <dataValidations count="2">
    <dataValidation type="list" allowBlank="1" showInputMessage="1" showErrorMessage="1" sqref="AC65638:AG65645 AC65647:AG65647 AC65629:AG65636" xr:uid="{00000000-0002-0000-0100-000001000000}">
      <formula1>#REF!</formula1>
    </dataValidation>
    <dataValidation type="list" allowBlank="1" showInputMessage="1" showErrorMessage="1" sqref="AX552:BD552 AF552 AH552:AL552" xr:uid="{00000000-0002-0000-0100-000000000000}">
      <formula1>#REF!</formula1>
    </dataValidation>
  </dataValidations>
  <pageMargins left="0.70866141732283472" right="0.70866141732283472" top="0.35433070866141736" bottom="0.74803149606299213" header="0.31496062992125984" footer="0.31496062992125984"/>
  <pageSetup paperSize="9" scale="53" orientation="portrait"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DD285F88-0455-489E-A80A-8B9F098F6687}">
          <x14:formula1>
            <xm:f>IF(AD393=Admin!$A$9,Admin!$C$2:$C$3,IF(AD393=Admin!$A$10,Admin!$D$8,""))</xm:f>
          </x14:formula1>
          <xm:sqref>AH393:AH410 AH419:AH551</xm:sqref>
        </x14:dataValidation>
        <x14:dataValidation type="list" allowBlank="1" showInputMessage="1" showErrorMessage="1" xr:uid="{AD1E8EA2-FB65-4DCA-AE55-CAFACCDC81A1}">
          <x14:formula1>
            <xm:f>Admin!$A$9:$A$10</xm:f>
          </x14:formula1>
          <xm:sqref>AD50 AD121 AD124:AD551</xm:sqref>
        </x14:dataValidation>
        <x14:dataValidation type="list" allowBlank="1" showInputMessage="1" showErrorMessage="1" xr:uid="{E6B3ECC9-4BC9-41C3-8FD2-1CF93F36C02B}">
          <x14:formula1>
            <xm:f>IF(AD9=Admin!$A$9,Admin!$B$3:$B$11,IF(AD9=Admin!$A$10,Admin!$B$12:$B$16,""))</xm:f>
          </x14:formula1>
          <xm:sqref>AE9:AE28 AE225:AE551 AE104:AE158</xm:sqref>
        </x14:dataValidation>
        <x14:dataValidation type="list" allowBlank="1" showInputMessage="1" showErrorMessage="1" xr:uid="{9B1F6DF5-DC3C-4074-896C-74EFF2B5982F}">
          <x14:formula1>
            <xm:f>Hónapok!$A$1:$A$45</xm:f>
          </x14:formula1>
          <xm:sqref>AI79:AI88 AI370:AI551 AI90:AI368</xm:sqref>
        </x14:dataValidation>
        <x14:dataValidation type="list" allowBlank="1" showDropDown="1" showInputMessage="1" showErrorMessage="1" xr:uid="{97B76FF1-CBF9-4393-8B39-AA71418FF224}">
          <x14:formula1>
            <xm:f>'D:\NextCloud\Projektek\Laci\RRF\Elszámolások, kalkulációk\[EMNL_RRF_berszamitas.xlsx]Admin - FEOR'!#REF!</xm:f>
          </x14:formula1>
          <xm:sqref>H8</xm:sqref>
        </x14:dataValidation>
        <x14:dataValidation type="list" allowBlank="1" showInputMessage="1" showErrorMessage="1" xr:uid="{713160AC-17D5-4FBB-837E-91AA842C6421}">
          <x14:formula1>
            <xm:f>Admin!$A$13:$A$15</xm:f>
          </x14:formula1>
          <xm:sqref>AL121 AL123:AL551</xm:sqref>
        </x14:dataValidation>
        <x14:dataValidation type="list" allowBlank="1" showInputMessage="1" showErrorMessage="1" xr:uid="{9D7EDEE3-8E00-4402-A315-596E8C259580}">
          <x14:formula1>
            <xm:f>IF(AD121=Admin!$A$9,Admin!$A$2:$A$6,IF(AD121=Admin!$A$10,Admin!$A$6:$A$7,"Nincs tevékenység kiválasztva!"))</xm:f>
          </x14:formula1>
          <xm:sqref>AF121 AF123:AF551</xm:sqref>
        </x14:dataValidation>
        <x14:dataValidation type="list" allowBlank="1" showInputMessage="1" showErrorMessage="1" xr:uid="{79DCBCE7-FB72-4E13-B09B-5A33EAAEDDBA}">
          <x14:formula1>
            <xm:f>Admin!$A$18:$A$19</xm:f>
          </x14:formula1>
          <xm:sqref>AK9:AK551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Q55"/>
  <sheetViews>
    <sheetView topLeftCell="E1" zoomScale="70" zoomScaleNormal="70" workbookViewId="0">
      <selection activeCell="K5" sqref="K5:K8"/>
    </sheetView>
  </sheetViews>
  <sheetFormatPr defaultColWidth="9.140625" defaultRowHeight="15" x14ac:dyDescent="0.25"/>
  <cols>
    <col min="1" max="1" width="11.85546875" customWidth="1"/>
    <col min="2" max="2" width="23.85546875" bestFit="1" customWidth="1"/>
    <col min="3" max="3" width="51.28515625" customWidth="1"/>
    <col min="4" max="5" width="22" customWidth="1"/>
    <col min="6" max="6" width="20.85546875" customWidth="1"/>
    <col min="7" max="7" width="48.28515625" customWidth="1"/>
    <col min="8" max="8" width="40.28515625" style="2" customWidth="1"/>
    <col min="9" max="10" width="31.28515625" style="2" customWidth="1"/>
    <col min="11" max="11" width="17.140625" style="250" customWidth="1"/>
    <col min="12" max="12" width="17.140625" style="1" customWidth="1"/>
    <col min="13" max="13" width="21.42578125" customWidth="1"/>
    <col min="14" max="14" width="15.7109375" style="2" customWidth="1"/>
    <col min="15" max="15" width="21" style="2" bestFit="1" customWidth="1"/>
    <col min="16" max="16" width="36" customWidth="1"/>
    <col min="17" max="17" width="50.28515625" customWidth="1"/>
  </cols>
  <sheetData>
    <row r="1" spans="1:17" ht="15.75" thickBot="1" x14ac:dyDescent="0.3">
      <c r="L1" s="254"/>
      <c r="M1" s="6"/>
    </row>
    <row r="2" spans="1:17" s="1" customFormat="1" ht="48.75" customHeight="1" thickBot="1" x14ac:dyDescent="0.3">
      <c r="A2" s="68" t="s">
        <v>13</v>
      </c>
      <c r="B2" s="23" t="s">
        <v>47</v>
      </c>
      <c r="C2" s="69" t="s">
        <v>103</v>
      </c>
      <c r="D2" s="70" t="s">
        <v>28</v>
      </c>
      <c r="E2" s="70" t="s">
        <v>29</v>
      </c>
      <c r="F2" s="71" t="s">
        <v>3</v>
      </c>
      <c r="G2" s="71" t="s">
        <v>4</v>
      </c>
      <c r="H2" s="72" t="s">
        <v>16</v>
      </c>
      <c r="I2" s="72" t="s">
        <v>112</v>
      </c>
      <c r="J2" s="72" t="s">
        <v>114</v>
      </c>
      <c r="K2" s="73" t="s">
        <v>2</v>
      </c>
      <c r="L2" s="71" t="s">
        <v>12</v>
      </c>
      <c r="M2" s="72" t="s">
        <v>113</v>
      </c>
      <c r="N2" s="71" t="s">
        <v>5</v>
      </c>
      <c r="O2" s="75" t="s">
        <v>104</v>
      </c>
      <c r="P2" s="74" t="s">
        <v>11</v>
      </c>
    </row>
    <row r="3" spans="1:17" s="3" customFormat="1" ht="61.5" customHeight="1" x14ac:dyDescent="0.25">
      <c r="A3" s="61"/>
      <c r="B3" s="22"/>
      <c r="C3" s="62"/>
      <c r="D3" s="63"/>
      <c r="E3" s="63"/>
      <c r="F3" s="64" t="s">
        <v>32</v>
      </c>
      <c r="G3" s="64" t="s">
        <v>31</v>
      </c>
      <c r="H3" s="65" t="s">
        <v>30</v>
      </c>
      <c r="I3" s="83"/>
      <c r="J3" s="83"/>
      <c r="K3" s="251">
        <f>SUM(I3:J3)</f>
        <v>0</v>
      </c>
      <c r="L3" s="255"/>
      <c r="M3" s="82"/>
      <c r="N3" s="66"/>
      <c r="O3" s="66" t="str">
        <f>IF(M3&gt;0,
(IF(M3&lt;Hónapok!$A$10,Admin!$A$28,
(IF(M3&lt;Hónapok!$A$22,Admin!$B$28,
(IF(M3&lt;Hónapok!$A$34,Admin!$C$28,
(IF(M3&lt;Hónapok!$A$46,Admin!$D$28,"")))))))),"")</f>
        <v/>
      </c>
      <c r="P3" s="67"/>
    </row>
    <row r="4" spans="1:17" s="3" customFormat="1" ht="75" x14ac:dyDescent="0.25">
      <c r="A4" s="20"/>
      <c r="B4" s="19"/>
      <c r="C4" s="21"/>
      <c r="D4" s="10"/>
      <c r="E4" s="10"/>
      <c r="F4" s="11"/>
      <c r="G4" s="7" t="s">
        <v>106</v>
      </c>
      <c r="H4" s="8"/>
      <c r="I4" s="84"/>
      <c r="J4" s="84"/>
      <c r="K4" s="252"/>
      <c r="L4" s="256"/>
      <c r="M4" s="85"/>
      <c r="N4" s="8"/>
      <c r="O4" s="8" t="str">
        <f>IF(M4&gt;0,
(IF(M4&lt;Hónapok!$A$10,Admin!$A$28,
(IF(M4&lt;Hónapok!$A$22,Admin!$B$28,
(IF(M4&lt;Hónapok!$A$34,Admin!$C$28,
(IF(M4&lt;Hónapok!$A$46,Admin!$D$28,"")))))))),"")</f>
        <v/>
      </c>
      <c r="P4" s="9"/>
    </row>
    <row r="5" spans="1:17" s="3" customFormat="1" x14ac:dyDescent="0.25">
      <c r="A5" s="20" t="s">
        <v>4551</v>
      </c>
      <c r="B5" s="19" t="s">
        <v>46</v>
      </c>
      <c r="C5" s="21" t="s">
        <v>78</v>
      </c>
      <c r="D5" s="10" t="s">
        <v>215</v>
      </c>
      <c r="E5" s="10" t="s">
        <v>227</v>
      </c>
      <c r="F5" s="11" t="s">
        <v>199</v>
      </c>
      <c r="G5" s="11" t="s">
        <v>198</v>
      </c>
      <c r="H5" s="8">
        <v>20220729259</v>
      </c>
      <c r="I5" s="84">
        <v>180000</v>
      </c>
      <c r="J5" s="84">
        <v>48600</v>
      </c>
      <c r="K5" s="252">
        <v>228600</v>
      </c>
      <c r="L5" s="256" t="s">
        <v>7</v>
      </c>
      <c r="M5" s="85">
        <v>44805</v>
      </c>
      <c r="N5" s="8" t="s">
        <v>126</v>
      </c>
      <c r="O5" s="8" t="str">
        <f>IF(M5&gt;0,
(IF(M5&lt;Hónapok!$A$10,Admin!$A$28,
(IF(M5&lt;Hónapok!$A$22,Admin!$B$28,
(IF(M5&lt;Hónapok!$A$34,Admin!$C$28,
(IF(M5&lt;Hónapok!$A$46,Admin!$D$28,"")))))))),"")</f>
        <v>2. mérföldkő</v>
      </c>
      <c r="P5" s="9" t="s">
        <v>4584</v>
      </c>
    </row>
    <row r="6" spans="1:17" s="3" customFormat="1" ht="15" customHeight="1" x14ac:dyDescent="0.25">
      <c r="A6" s="20" t="s">
        <v>4551</v>
      </c>
      <c r="B6" s="19" t="s">
        <v>46</v>
      </c>
      <c r="C6" s="21" t="s">
        <v>78</v>
      </c>
      <c r="D6" s="10" t="s">
        <v>230</v>
      </c>
      <c r="E6" s="10" t="s">
        <v>231</v>
      </c>
      <c r="F6" s="11" t="s">
        <v>199</v>
      </c>
      <c r="G6" s="11" t="s">
        <v>198</v>
      </c>
      <c r="H6" s="8">
        <v>20220729259</v>
      </c>
      <c r="I6" s="84">
        <v>180000</v>
      </c>
      <c r="J6" s="84">
        <v>48600</v>
      </c>
      <c r="K6" s="252">
        <v>228600</v>
      </c>
      <c r="L6" s="256" t="s">
        <v>7</v>
      </c>
      <c r="M6" s="85">
        <v>44866</v>
      </c>
      <c r="N6" s="8" t="s">
        <v>126</v>
      </c>
      <c r="O6" s="8" t="str">
        <f>IF(M6&gt;0,
(IF(M6&lt;Hónapok!$A$10,Admin!$A$28,
(IF(M6&lt;Hónapok!$A$22,Admin!$B$28,
(IF(M6&lt;Hónapok!$A$34,Admin!$C$28,
(IF(M6&lt;Hónapok!$A$46,Admin!$D$28,"")))))))),"")</f>
        <v>2. mérföldkő</v>
      </c>
      <c r="P6" s="9" t="s">
        <v>4584</v>
      </c>
      <c r="Q6" s="3" t="s">
        <v>229</v>
      </c>
    </row>
    <row r="7" spans="1:17" s="3" customFormat="1" ht="15.75" thickBot="1" x14ac:dyDescent="0.3">
      <c r="A7" s="713" t="s">
        <v>4551</v>
      </c>
      <c r="B7" s="714" t="s">
        <v>46</v>
      </c>
      <c r="C7" s="715" t="s">
        <v>78</v>
      </c>
      <c r="D7" s="716" t="s">
        <v>247</v>
      </c>
      <c r="E7" s="716" t="s">
        <v>248</v>
      </c>
      <c r="F7" s="717" t="s">
        <v>199</v>
      </c>
      <c r="G7" s="717" t="s">
        <v>198</v>
      </c>
      <c r="H7" s="718">
        <v>20220729259</v>
      </c>
      <c r="I7" s="719">
        <v>288000</v>
      </c>
      <c r="J7" s="719">
        <v>77760</v>
      </c>
      <c r="K7" s="720">
        <f>I7+J7</f>
        <v>365760</v>
      </c>
      <c r="L7" s="721" t="s">
        <v>7</v>
      </c>
      <c r="M7" s="722">
        <v>44866</v>
      </c>
      <c r="N7" s="718" t="s">
        <v>126</v>
      </c>
      <c r="O7" s="718" t="str">
        <f>IF(M7&gt;0,
(IF(M7&lt;Hónapok!$A$10,Admin!$A$28,
(IF(M7&lt;Hónapok!$A$22,Admin!$B$28,
(IF(M7&lt;Hónapok!$A$34,Admin!$C$28,
(IF(M7&lt;Hónapok!$A$46,Admin!$D$28,"")))))))),"")</f>
        <v>2. mérföldkő</v>
      </c>
      <c r="P7" s="9" t="s">
        <v>4584</v>
      </c>
      <c r="Q7" s="3" t="s">
        <v>229</v>
      </c>
    </row>
    <row r="8" spans="1:17" s="735" customFormat="1" ht="15.75" thickBot="1" x14ac:dyDescent="0.3">
      <c r="A8" s="726" t="s">
        <v>4566</v>
      </c>
      <c r="B8" s="727" t="s">
        <v>46</v>
      </c>
      <c r="C8" s="728" t="s">
        <v>4565</v>
      </c>
      <c r="D8" s="729"/>
      <c r="E8" s="729"/>
      <c r="F8" s="730"/>
      <c r="G8" s="730"/>
      <c r="H8" s="727"/>
      <c r="I8" s="731"/>
      <c r="J8" s="731"/>
      <c r="K8" s="732">
        <f>(10117336+60000)-(K5+K6+K7)-9166467</f>
        <v>187909</v>
      </c>
      <c r="L8" s="733" t="s">
        <v>7</v>
      </c>
      <c r="M8" s="734"/>
      <c r="N8" s="727" t="s">
        <v>126</v>
      </c>
      <c r="O8" s="727" t="str">
        <f>IF(M8&gt;0,
(IF(M8&lt;Hónapok!$A$10,Admin!$A$28,
(IF(M8&lt;Hónapok!$A$22,Admin!$B$28,
(IF(M8&lt;Hónapok!$A$34,Admin!$C$28,
(IF(M8&lt;Hónapok!$A$46,Admin!$D$28,"")))))))),"")</f>
        <v/>
      </c>
      <c r="P8" s="730"/>
    </row>
    <row r="9" spans="1:17" s="3" customFormat="1" x14ac:dyDescent="0.25">
      <c r="A9" s="61"/>
      <c r="B9" s="723" t="s">
        <v>46</v>
      </c>
      <c r="C9" s="62" t="s">
        <v>78</v>
      </c>
      <c r="D9" s="63" t="s">
        <v>4570</v>
      </c>
      <c r="E9" s="63" t="s">
        <v>4571</v>
      </c>
      <c r="F9" s="724" t="s">
        <v>199</v>
      </c>
      <c r="G9" s="724" t="s">
        <v>198</v>
      </c>
      <c r="H9" s="66">
        <v>20220729259</v>
      </c>
      <c r="I9" s="725">
        <v>126000</v>
      </c>
      <c r="J9" s="725">
        <v>34020</v>
      </c>
      <c r="K9" s="251">
        <v>160020</v>
      </c>
      <c r="L9" s="255" t="s">
        <v>7</v>
      </c>
      <c r="M9" s="82">
        <v>45047</v>
      </c>
      <c r="N9" s="66" t="s">
        <v>126</v>
      </c>
      <c r="O9" s="66" t="str">
        <f>IF(M9&gt;0,
(IF(M9&lt;Hónapok!$A$10,Admin!$A$28,
(IF(M9&lt;Hónapok!$A$22,Admin!$B$28,
(IF(M9&lt;Hónapok!$A$34,Admin!$C$28,
(IF(M9&lt;Hónapok!$A$46,Admin!$D$28,"")))))))),"")</f>
        <v>3. mérföldkő</v>
      </c>
      <c r="P9" s="724" t="s">
        <v>216</v>
      </c>
      <c r="Q9" s="3" t="s">
        <v>4585</v>
      </c>
    </row>
    <row r="10" spans="1:17" s="3" customFormat="1" x14ac:dyDescent="0.25">
      <c r="A10" s="20"/>
      <c r="B10" s="19" t="s">
        <v>46</v>
      </c>
      <c r="C10" s="21" t="s">
        <v>78</v>
      </c>
      <c r="D10" s="10" t="s">
        <v>4582</v>
      </c>
      <c r="E10" s="10" t="s">
        <v>4583</v>
      </c>
      <c r="F10" s="11" t="s">
        <v>199</v>
      </c>
      <c r="G10" s="724" t="s">
        <v>198</v>
      </c>
      <c r="H10" s="8">
        <v>20220729259</v>
      </c>
      <c r="I10" s="84">
        <v>396000</v>
      </c>
      <c r="J10" s="84">
        <v>106920</v>
      </c>
      <c r="K10" s="252">
        <f>I10+J10</f>
        <v>502920</v>
      </c>
      <c r="L10" s="256" t="s">
        <v>7</v>
      </c>
      <c r="M10" s="85">
        <v>45078</v>
      </c>
      <c r="N10" s="8" t="s">
        <v>126</v>
      </c>
      <c r="O10" s="8" t="str">
        <f>IF(M10&gt;0,
(IF(M10&lt;Hónapok!$A$10,Admin!$A$28,
(IF(M10&lt;Hónapok!$A$22,Admin!$B$28,
(IF(M10&lt;Hónapok!$A$34,Admin!$C$28,
(IF(M10&lt;Hónapok!$A$46,Admin!$D$28,"")))))))),"")</f>
        <v>3. mérföldkő</v>
      </c>
      <c r="P10" s="11"/>
      <c r="Q10" s="3" t="s">
        <v>4586</v>
      </c>
    </row>
    <row r="11" spans="1:17" s="3" customFormat="1" x14ac:dyDescent="0.25">
      <c r="A11" s="20"/>
      <c r="B11" s="19" t="s">
        <v>46</v>
      </c>
      <c r="C11" s="21" t="s">
        <v>78</v>
      </c>
      <c r="D11" s="10" t="s">
        <v>4600</v>
      </c>
      <c r="E11" s="10" t="s">
        <v>4601</v>
      </c>
      <c r="F11" s="11" t="s">
        <v>199</v>
      </c>
      <c r="G11" s="724" t="s">
        <v>198</v>
      </c>
      <c r="H11" s="8">
        <v>20220729259</v>
      </c>
      <c r="I11" s="84">
        <v>252000</v>
      </c>
      <c r="J11" s="84">
        <v>68040</v>
      </c>
      <c r="K11" s="252">
        <f>I11+J11</f>
        <v>320040</v>
      </c>
      <c r="L11" s="256" t="s">
        <v>7</v>
      </c>
      <c r="M11" s="85">
        <v>45108</v>
      </c>
      <c r="N11" s="66" t="s">
        <v>126</v>
      </c>
      <c r="O11" s="8" t="str">
        <f>IF(M11&gt;0,
(IF(M11&lt;Hónapok!$A$10,Admin!$A$28,
(IF(M11&lt;Hónapok!$A$22,Admin!$B$28,
(IF(M11&lt;Hónapok!$A$34,Admin!$C$28,
(IF(M11&lt;Hónapok!$A$46,Admin!$D$28,"")))))))),"")</f>
        <v>3. mérföldkő</v>
      </c>
      <c r="P11" s="11"/>
      <c r="Q11" s="3" t="s">
        <v>4586</v>
      </c>
    </row>
    <row r="12" spans="1:17" s="3" customFormat="1" x14ac:dyDescent="0.25">
      <c r="A12" s="20"/>
      <c r="B12" s="19" t="s">
        <v>46</v>
      </c>
      <c r="C12" s="21" t="s">
        <v>78</v>
      </c>
      <c r="D12" s="10" t="s">
        <v>4602</v>
      </c>
      <c r="E12" s="10" t="s">
        <v>4603</v>
      </c>
      <c r="F12" s="11" t="s">
        <v>199</v>
      </c>
      <c r="G12" s="724" t="s">
        <v>198</v>
      </c>
      <c r="H12" s="8">
        <v>20220729259</v>
      </c>
      <c r="I12" s="84">
        <v>468000</v>
      </c>
      <c r="J12" s="84">
        <v>126360</v>
      </c>
      <c r="K12" s="252">
        <f>I12+J12</f>
        <v>594360</v>
      </c>
      <c r="L12" s="256" t="s">
        <v>7</v>
      </c>
      <c r="M12" s="85">
        <v>45139</v>
      </c>
      <c r="N12" s="66" t="s">
        <v>126</v>
      </c>
      <c r="O12" s="8" t="str">
        <f>IF(M12&gt;0,
(IF(M12&lt;Hónapok!$A$10,Admin!$A$28,
(IF(M12&lt;Hónapok!$A$22,Admin!$B$28,
(IF(M12&lt;Hónapok!$A$34,Admin!$C$28,
(IF(M12&lt;Hónapok!$A$46,Admin!$D$28,"")))))))),"")</f>
        <v>3. mérföldkő</v>
      </c>
      <c r="P12" s="11"/>
      <c r="Q12" s="3" t="s">
        <v>4604</v>
      </c>
    </row>
    <row r="13" spans="1:17" s="3" customFormat="1" x14ac:dyDescent="0.25">
      <c r="A13" s="20"/>
      <c r="B13" s="19" t="s">
        <v>46</v>
      </c>
      <c r="C13" s="21" t="s">
        <v>78</v>
      </c>
      <c r="D13" s="10" t="s">
        <v>4611</v>
      </c>
      <c r="E13" s="10" t="s">
        <v>4612</v>
      </c>
      <c r="F13" s="11" t="s">
        <v>199</v>
      </c>
      <c r="G13" s="724" t="s">
        <v>198</v>
      </c>
      <c r="H13" s="8">
        <v>20220729259</v>
      </c>
      <c r="I13" s="84">
        <v>324000</v>
      </c>
      <c r="J13" s="84">
        <v>87480</v>
      </c>
      <c r="K13" s="252">
        <f>I13+J13</f>
        <v>411480</v>
      </c>
      <c r="L13" s="256" t="s">
        <v>7</v>
      </c>
      <c r="M13" s="85">
        <v>45170</v>
      </c>
      <c r="N13" s="66" t="s">
        <v>126</v>
      </c>
      <c r="O13" s="8" t="str">
        <f>IF(M13&gt;0,
(IF(M13&lt;Hónapok!$A$10,Admin!$A$28,
(IF(M13&lt;Hónapok!$A$22,Admin!$B$28,
(IF(M13&lt;Hónapok!$A$34,Admin!$C$28,
(IF(M13&lt;Hónapok!$A$46,Admin!$D$28,"")))))))),"")</f>
        <v>3. mérföldkő</v>
      </c>
      <c r="P13" s="11"/>
      <c r="Q13" s="3" t="s">
        <v>4604</v>
      </c>
    </row>
    <row r="14" spans="1:17" s="3" customFormat="1" x14ac:dyDescent="0.25">
      <c r="A14" s="20"/>
      <c r="B14" s="19" t="s">
        <v>46</v>
      </c>
      <c r="C14" s="21" t="s">
        <v>78</v>
      </c>
      <c r="D14" s="10" t="s">
        <v>4614</v>
      </c>
      <c r="E14" s="10" t="s">
        <v>4615</v>
      </c>
      <c r="F14" s="11" t="s">
        <v>199</v>
      </c>
      <c r="G14" s="724" t="s">
        <v>198</v>
      </c>
      <c r="H14" s="8">
        <v>20220729259</v>
      </c>
      <c r="I14" s="84">
        <v>162000</v>
      </c>
      <c r="J14" s="84">
        <v>43740</v>
      </c>
      <c r="K14" s="252">
        <f>I14+J14</f>
        <v>205740</v>
      </c>
      <c r="L14" s="256" t="s">
        <v>8</v>
      </c>
      <c r="M14" s="85"/>
      <c r="N14" s="66" t="s">
        <v>126</v>
      </c>
      <c r="O14" s="8" t="str">
        <f>IF(M14&gt;0,
(IF(M14&lt;Hónapok!$A$10,Admin!$A$28,
(IF(M14&lt;Hónapok!$A$22,Admin!$B$28,
(IF(M14&lt;Hónapok!$A$34,Admin!$C$28,
(IF(M14&lt;Hónapok!$A$46,Admin!$D$28,"")))))))),"")</f>
        <v/>
      </c>
      <c r="P14" s="11"/>
      <c r="Q14" s="3" t="s">
        <v>4604</v>
      </c>
    </row>
    <row r="15" spans="1:17" s="3" customFormat="1" ht="45" x14ac:dyDescent="0.25">
      <c r="A15" s="20"/>
      <c r="B15" s="19" t="s">
        <v>46</v>
      </c>
      <c r="C15" s="21" t="s">
        <v>79</v>
      </c>
      <c r="D15" s="10" t="s">
        <v>4588</v>
      </c>
      <c r="E15" s="10" t="s">
        <v>4589</v>
      </c>
      <c r="F15" s="11" t="s">
        <v>4587</v>
      </c>
      <c r="G15" s="11" t="s">
        <v>4616</v>
      </c>
      <c r="H15" s="814">
        <v>202305122535</v>
      </c>
      <c r="I15" s="84">
        <v>1430000</v>
      </c>
      <c r="J15" s="84">
        <v>386100</v>
      </c>
      <c r="K15" s="252">
        <v>1816100</v>
      </c>
      <c r="L15" s="256" t="s">
        <v>7</v>
      </c>
      <c r="M15" s="85">
        <v>45047</v>
      </c>
      <c r="N15" s="66" t="s">
        <v>126</v>
      </c>
      <c r="O15" s="8" t="str">
        <f>IF(M15&gt;0,
(IF(M15&lt;Hónapok!$A$10,Admin!$A$28,
(IF(M15&lt;Hónapok!$A$22,Admin!$B$28,
(IF(M15&lt;Hónapok!$A$34,Admin!$C$28,
(IF(M15&lt;Hónapok!$A$46,Admin!$D$28,"")))))))),"")</f>
        <v>3. mérföldkő</v>
      </c>
      <c r="P15" s="11"/>
    </row>
    <row r="16" spans="1:17" s="3" customFormat="1" x14ac:dyDescent="0.25">
      <c r="A16" s="20"/>
      <c r="B16" s="19"/>
      <c r="C16" s="21"/>
      <c r="D16" s="10"/>
      <c r="E16" s="10"/>
      <c r="F16" s="11"/>
      <c r="G16" s="11"/>
      <c r="H16" s="8"/>
      <c r="I16" s="84"/>
      <c r="J16" s="84"/>
      <c r="K16" s="252"/>
      <c r="L16" s="256"/>
      <c r="M16" s="85"/>
      <c r="N16" s="8"/>
      <c r="O16" s="8" t="str">
        <f>IF(M16&gt;0,
(IF(M16&lt;Hónapok!$A$10,Admin!$A$28,
(IF(M16&lt;Hónapok!$A$22,Admin!$B$28,
(IF(M16&lt;Hónapok!$A$34,Admin!$C$28,
(IF(M16&lt;Hónapok!$A$46,Admin!$D$28,"")))))))),"")</f>
        <v/>
      </c>
      <c r="P16" s="11"/>
    </row>
    <row r="17" spans="1:16" s="3" customFormat="1" x14ac:dyDescent="0.25">
      <c r="A17" s="20"/>
      <c r="B17" s="19"/>
      <c r="C17" s="21"/>
      <c r="D17" s="10"/>
      <c r="E17" s="10"/>
      <c r="F17" s="11"/>
      <c r="G17" s="11"/>
      <c r="H17" s="8"/>
      <c r="I17" s="84"/>
      <c r="J17" s="84"/>
      <c r="K17" s="252"/>
      <c r="L17" s="256"/>
      <c r="M17" s="85"/>
      <c r="N17" s="8"/>
      <c r="O17" s="8" t="str">
        <f>IF(M17&gt;0,
(IF(M17&lt;Hónapok!$A$10,Admin!$A$28,
(IF(M17&lt;Hónapok!$A$22,Admin!$B$28,
(IF(M17&lt;Hónapok!$A$34,Admin!$C$28,
(IF(M17&lt;Hónapok!$A$46,Admin!$D$28,"")))))))),"")</f>
        <v/>
      </c>
      <c r="P17" s="11"/>
    </row>
    <row r="18" spans="1:16" s="3" customFormat="1" x14ac:dyDescent="0.25">
      <c r="A18" s="20"/>
      <c r="B18" s="19"/>
      <c r="C18" s="21"/>
      <c r="D18" s="10"/>
      <c r="E18" s="10"/>
      <c r="F18" s="11"/>
      <c r="G18" s="11"/>
      <c r="H18" s="8"/>
      <c r="I18" s="84"/>
      <c r="J18" s="84"/>
      <c r="K18" s="252"/>
      <c r="L18" s="256"/>
      <c r="M18" s="85"/>
      <c r="N18" s="8"/>
      <c r="O18" s="8" t="str">
        <f>IF(M18&gt;0,
(IF(M18&lt;Hónapok!$A$10,Admin!$A$28,
(IF(M18&lt;Hónapok!$A$22,Admin!$B$28,
(IF(M18&lt;Hónapok!$A$34,Admin!$C$28,
(IF(M18&lt;Hónapok!$A$46,Admin!$D$28,"")))))))),"")</f>
        <v/>
      </c>
      <c r="P18" s="11"/>
    </row>
    <row r="19" spans="1:16" s="3" customFormat="1" x14ac:dyDescent="0.25">
      <c r="A19" s="20"/>
      <c r="B19" s="19"/>
      <c r="C19" s="21"/>
      <c r="D19" s="10"/>
      <c r="E19" s="10"/>
      <c r="F19" s="11"/>
      <c r="G19" s="11"/>
      <c r="H19" s="8"/>
      <c r="I19" s="84"/>
      <c r="J19" s="84"/>
      <c r="K19" s="252"/>
      <c r="L19" s="256"/>
      <c r="M19" s="85"/>
      <c r="N19" s="8"/>
      <c r="O19" s="8" t="str">
        <f>IF(M19&gt;0,
(IF(M19&lt;Hónapok!$A$10,Admin!$A$28,
(IF(M19&lt;Hónapok!$A$22,Admin!$B$28,
(IF(M19&lt;Hónapok!$A$34,Admin!$C$28,
(IF(M19&lt;Hónapok!$A$46,Admin!$D$28,"")))))))),"")</f>
        <v/>
      </c>
      <c r="P19" s="11"/>
    </row>
    <row r="20" spans="1:16" s="3" customFormat="1" x14ac:dyDescent="0.25">
      <c r="A20" s="20"/>
      <c r="B20" s="19"/>
      <c r="C20" s="21"/>
      <c r="D20" s="10"/>
      <c r="E20" s="10"/>
      <c r="F20" s="11"/>
      <c r="G20" s="11"/>
      <c r="H20" s="8"/>
      <c r="I20" s="84"/>
      <c r="J20" s="84"/>
      <c r="K20" s="252"/>
      <c r="L20" s="256"/>
      <c r="M20" s="85"/>
      <c r="N20" s="8"/>
      <c r="O20" s="8" t="str">
        <f>IF(M20&gt;0,
(IF(M20&lt;Hónapok!$A$10,Admin!$A$28,
(IF(M20&lt;Hónapok!$A$22,Admin!$B$28,
(IF(M20&lt;Hónapok!$A$34,Admin!$C$28,
(IF(M20&lt;Hónapok!$A$46,Admin!$D$28,"")))))))),"")</f>
        <v/>
      </c>
      <c r="P20" s="11"/>
    </row>
    <row r="21" spans="1:16" s="3" customFormat="1" x14ac:dyDescent="0.25">
      <c r="A21" s="20"/>
      <c r="B21" s="19"/>
      <c r="C21" s="21"/>
      <c r="D21" s="10"/>
      <c r="E21" s="10"/>
      <c r="F21" s="11"/>
      <c r="G21" s="11"/>
      <c r="H21" s="8"/>
      <c r="I21" s="84"/>
      <c r="J21" s="84"/>
      <c r="K21" s="252"/>
      <c r="L21" s="256"/>
      <c r="M21" s="85"/>
      <c r="N21" s="8"/>
      <c r="O21" s="8" t="str">
        <f>IF(M21&gt;0,
(IF(M21&lt;Hónapok!$A$10,Admin!$A$28,
(IF(M21&lt;Hónapok!$A$22,Admin!$B$28,
(IF(M21&lt;Hónapok!$A$34,Admin!$C$28,
(IF(M21&lt;Hónapok!$A$46,Admin!$D$28,"")))))))),"")</f>
        <v/>
      </c>
      <c r="P21" s="11"/>
    </row>
    <row r="22" spans="1:16" s="3" customFormat="1" x14ac:dyDescent="0.25">
      <c r="A22" s="20"/>
      <c r="B22" s="19"/>
      <c r="C22" s="21"/>
      <c r="D22" s="10"/>
      <c r="E22" s="10"/>
      <c r="F22" s="11"/>
      <c r="G22" s="11"/>
      <c r="H22" s="8"/>
      <c r="I22" s="84"/>
      <c r="J22" s="84"/>
      <c r="K22" s="252"/>
      <c r="L22" s="256"/>
      <c r="M22" s="85"/>
      <c r="N22" s="8"/>
      <c r="O22" s="8" t="str">
        <f>IF(M22&gt;0,
(IF(M22&lt;Hónapok!$A$10,Admin!$A$28,
(IF(M22&lt;Hónapok!$A$22,Admin!$B$28,
(IF(M22&lt;Hónapok!$A$34,Admin!$C$28,
(IF(M22&lt;Hónapok!$A$46,Admin!$D$28,"")))))))),"")</f>
        <v/>
      </c>
      <c r="P22" s="11"/>
    </row>
    <row r="23" spans="1:16" s="3" customFormat="1" x14ac:dyDescent="0.25">
      <c r="A23" s="20"/>
      <c r="B23" s="19"/>
      <c r="C23" s="21"/>
      <c r="D23" s="10"/>
      <c r="E23" s="10"/>
      <c r="F23" s="11"/>
      <c r="G23" s="11"/>
      <c r="H23" s="8"/>
      <c r="I23" s="84"/>
      <c r="J23" s="84"/>
      <c r="K23" s="252"/>
      <c r="L23" s="256"/>
      <c r="M23" s="85"/>
      <c r="N23" s="8"/>
      <c r="O23" s="8" t="str">
        <f>IF(M23&gt;0,
(IF(M23&lt;Hónapok!$A$10,Admin!$A$28,
(IF(M23&lt;Hónapok!$A$22,Admin!$B$28,
(IF(M23&lt;Hónapok!$A$34,Admin!$C$28,
(IF(M23&lt;Hónapok!$A$46,Admin!$D$28,"")))))))),"")</f>
        <v/>
      </c>
      <c r="P23" s="11"/>
    </row>
    <row r="24" spans="1:16" s="3" customFormat="1" x14ac:dyDescent="0.25">
      <c r="A24" s="20"/>
      <c r="B24" s="19"/>
      <c r="C24" s="21"/>
      <c r="D24" s="10"/>
      <c r="E24" s="10"/>
      <c r="F24" s="11"/>
      <c r="G24" s="11"/>
      <c r="H24" s="8"/>
      <c r="I24" s="84"/>
      <c r="J24" s="84"/>
      <c r="K24" s="252"/>
      <c r="L24" s="256"/>
      <c r="M24" s="85"/>
      <c r="N24" s="8"/>
      <c r="O24" s="8" t="str">
        <f>IF(M24&gt;0,
(IF(M24&lt;Hónapok!$A$10,Admin!$A$28,
(IF(M24&lt;Hónapok!$A$22,Admin!$B$28,
(IF(M24&lt;Hónapok!$A$34,Admin!$C$28,
(IF(M24&lt;Hónapok!$A$46,Admin!$D$28,"")))))))),"")</f>
        <v/>
      </c>
      <c r="P24" s="11"/>
    </row>
    <row r="25" spans="1:16" s="3" customFormat="1" x14ac:dyDescent="0.25">
      <c r="A25" s="20"/>
      <c r="B25" s="19"/>
      <c r="C25" s="21"/>
      <c r="D25" s="10"/>
      <c r="E25" s="10"/>
      <c r="F25" s="11"/>
      <c r="G25" s="11"/>
      <c r="H25" s="8"/>
      <c r="I25" s="84"/>
      <c r="J25" s="84"/>
      <c r="K25" s="252"/>
      <c r="L25" s="256"/>
      <c r="M25" s="85"/>
      <c r="N25" s="8"/>
      <c r="O25" s="8" t="str">
        <f>IF(M25&gt;0,
(IF(M25&lt;Hónapok!$A$10,Admin!$A$28,
(IF(M25&lt;Hónapok!$A$22,Admin!$B$28,
(IF(M25&lt;Hónapok!$A$34,Admin!$C$28,
(IF(M25&lt;Hónapok!$A$46,Admin!$D$28,"")))))))),"")</f>
        <v/>
      </c>
      <c r="P25" s="11"/>
    </row>
    <row r="26" spans="1:16" s="3" customFormat="1" x14ac:dyDescent="0.25">
      <c r="A26" s="20"/>
      <c r="B26" s="19"/>
      <c r="C26" s="21"/>
      <c r="D26" s="10"/>
      <c r="E26" s="10"/>
      <c r="F26" s="11"/>
      <c r="G26" s="11"/>
      <c r="H26" s="8"/>
      <c r="I26" s="84"/>
      <c r="J26" s="84"/>
      <c r="K26" s="252"/>
      <c r="L26" s="256"/>
      <c r="M26" s="85"/>
      <c r="N26" s="8"/>
      <c r="O26" s="8" t="str">
        <f>IF(M26&gt;0,
(IF(M26&lt;Hónapok!$A$10,Admin!$A$28,
(IF(M26&lt;Hónapok!$A$22,Admin!$B$28,
(IF(M26&lt;Hónapok!$A$34,Admin!$C$28,
(IF(M26&lt;Hónapok!$A$46,Admin!$D$28,"")))))))),"")</f>
        <v/>
      </c>
      <c r="P26" s="11"/>
    </row>
    <row r="27" spans="1:16" s="3" customFormat="1" x14ac:dyDescent="0.25">
      <c r="A27" s="20"/>
      <c r="B27" s="19"/>
      <c r="C27" s="21"/>
      <c r="D27" s="10"/>
      <c r="E27" s="10"/>
      <c r="F27" s="11"/>
      <c r="G27" s="11"/>
      <c r="H27" s="8"/>
      <c r="I27" s="84"/>
      <c r="J27" s="84"/>
      <c r="K27" s="252"/>
      <c r="L27" s="256"/>
      <c r="M27" s="85"/>
      <c r="N27" s="8"/>
      <c r="O27" s="8" t="str">
        <f>IF(M27&gt;0,
(IF(M27&lt;Hónapok!$A$10,Admin!$A$28,
(IF(M27&lt;Hónapok!$A$22,Admin!$B$28,
(IF(M27&lt;Hónapok!$A$34,Admin!$C$28,
(IF(M27&lt;Hónapok!$A$46,Admin!$D$28,"")))))))),"")</f>
        <v/>
      </c>
      <c r="P27" s="11"/>
    </row>
    <row r="28" spans="1:16" s="3" customFormat="1" x14ac:dyDescent="0.25">
      <c r="A28" s="20"/>
      <c r="B28" s="19"/>
      <c r="C28" s="21"/>
      <c r="D28" s="10"/>
      <c r="E28" s="10"/>
      <c r="F28" s="11"/>
      <c r="G28" s="11"/>
      <c r="H28" s="8"/>
      <c r="I28" s="84"/>
      <c r="J28" s="84"/>
      <c r="K28" s="252"/>
      <c r="L28" s="256"/>
      <c r="M28" s="85"/>
      <c r="N28" s="8"/>
      <c r="O28" s="8" t="str">
        <f>IF(M28&gt;0,
(IF(M28&lt;Hónapok!$A$10,Admin!$A$28,
(IF(M28&lt;Hónapok!$A$22,Admin!$B$28,
(IF(M28&lt;Hónapok!$A$34,Admin!$C$28,
(IF(M28&lt;Hónapok!$A$46,Admin!$D$28,"")))))))),"")</f>
        <v/>
      </c>
      <c r="P28" s="11"/>
    </row>
    <row r="29" spans="1:16" s="3" customFormat="1" x14ac:dyDescent="0.25">
      <c r="A29" s="20"/>
      <c r="B29" s="19"/>
      <c r="C29" s="21"/>
      <c r="D29" s="10"/>
      <c r="E29" s="10"/>
      <c r="F29" s="11"/>
      <c r="G29" s="11"/>
      <c r="H29" s="8"/>
      <c r="I29" s="84"/>
      <c r="J29" s="84"/>
      <c r="K29" s="252"/>
      <c r="L29" s="256"/>
      <c r="M29" s="85"/>
      <c r="N29" s="8"/>
      <c r="O29" s="8" t="str">
        <f>IF(M29&gt;0,
(IF(M29&lt;Hónapok!$A$10,Admin!$A$28,
(IF(M29&lt;Hónapok!$A$22,Admin!$B$28,
(IF(M29&lt;Hónapok!$A$34,Admin!$C$28,
(IF(M29&lt;Hónapok!$A$46,Admin!$D$28,"")))))))),"")</f>
        <v/>
      </c>
      <c r="P29" s="11"/>
    </row>
    <row r="30" spans="1:16" s="3" customFormat="1" x14ac:dyDescent="0.25">
      <c r="A30" s="20"/>
      <c r="B30" s="19"/>
      <c r="C30" s="21"/>
      <c r="D30" s="10"/>
      <c r="E30" s="10"/>
      <c r="F30" s="11"/>
      <c r="G30" s="11"/>
      <c r="H30" s="8"/>
      <c r="I30" s="84"/>
      <c r="J30" s="84"/>
      <c r="K30" s="252"/>
      <c r="L30" s="256"/>
      <c r="M30" s="85"/>
      <c r="N30" s="8"/>
      <c r="O30" s="8" t="str">
        <f>IF(M30&gt;0,
(IF(M30&lt;Hónapok!$A$10,Admin!$A$28,
(IF(M30&lt;Hónapok!$A$22,Admin!$B$28,
(IF(M30&lt;Hónapok!$A$34,Admin!$C$28,
(IF(M30&lt;Hónapok!$A$46,Admin!$D$28,"")))))))),"")</f>
        <v/>
      </c>
      <c r="P30" s="11"/>
    </row>
    <row r="31" spans="1:16" s="3" customFormat="1" x14ac:dyDescent="0.25">
      <c r="A31" s="20"/>
      <c r="B31" s="19"/>
      <c r="C31" s="21"/>
      <c r="D31" s="10"/>
      <c r="E31" s="10"/>
      <c r="F31" s="11"/>
      <c r="G31" s="11"/>
      <c r="H31" s="8"/>
      <c r="I31" s="84"/>
      <c r="J31" s="84"/>
      <c r="K31" s="252"/>
      <c r="L31" s="256"/>
      <c r="M31" s="85"/>
      <c r="N31" s="8"/>
      <c r="O31" s="8" t="str">
        <f>IF(M31&gt;0,
(IF(M31&lt;Hónapok!$A$10,Admin!$A$28,
(IF(M31&lt;Hónapok!$A$22,Admin!$B$28,
(IF(M31&lt;Hónapok!$A$34,Admin!$C$28,
(IF(M31&lt;Hónapok!$A$46,Admin!$D$28,"")))))))),"")</f>
        <v/>
      </c>
      <c r="P31" s="11"/>
    </row>
    <row r="32" spans="1:16" s="3" customFormat="1" x14ac:dyDescent="0.25">
      <c r="A32" s="20"/>
      <c r="B32" s="19"/>
      <c r="C32" s="21"/>
      <c r="D32" s="10"/>
      <c r="E32" s="10"/>
      <c r="F32" s="11"/>
      <c r="G32" s="11"/>
      <c r="H32" s="8"/>
      <c r="I32" s="84"/>
      <c r="J32" s="84"/>
      <c r="K32" s="252"/>
      <c r="L32" s="256"/>
      <c r="M32" s="85"/>
      <c r="N32" s="8"/>
      <c r="O32" s="8" t="str">
        <f>IF(M32&gt;0,
(IF(M32&lt;Hónapok!$A$10,Admin!$A$28,
(IF(M32&lt;Hónapok!$A$22,Admin!$B$28,
(IF(M32&lt;Hónapok!$A$34,Admin!$C$28,
(IF(M32&lt;Hónapok!$A$46,Admin!$D$28,"")))))))),"")</f>
        <v/>
      </c>
      <c r="P32" s="11"/>
    </row>
    <row r="33" spans="1:16" s="3" customFormat="1" x14ac:dyDescent="0.25">
      <c r="A33" s="20"/>
      <c r="B33" s="19"/>
      <c r="C33" s="21"/>
      <c r="D33" s="10"/>
      <c r="E33" s="10"/>
      <c r="F33" s="11"/>
      <c r="G33" s="11"/>
      <c r="H33" s="8"/>
      <c r="I33" s="84"/>
      <c r="J33" s="84"/>
      <c r="K33" s="252"/>
      <c r="L33" s="256"/>
      <c r="M33" s="85"/>
      <c r="N33" s="8"/>
      <c r="O33" s="8" t="str">
        <f>IF(M33&gt;0,
(IF(M33&lt;Hónapok!$A$10,Admin!$A$28,
(IF(M33&lt;Hónapok!$A$22,Admin!$B$28,
(IF(M33&lt;Hónapok!$A$34,Admin!$C$28,
(IF(M33&lt;Hónapok!$A$46,Admin!$D$28,"")))))))),"")</f>
        <v/>
      </c>
      <c r="P33" s="11"/>
    </row>
    <row r="34" spans="1:16" s="3" customFormat="1" x14ac:dyDescent="0.25">
      <c r="A34" s="20"/>
      <c r="B34" s="19"/>
      <c r="C34" s="21"/>
      <c r="D34" s="10"/>
      <c r="E34" s="10"/>
      <c r="F34" s="11"/>
      <c r="G34" s="11"/>
      <c r="H34" s="8"/>
      <c r="I34" s="84"/>
      <c r="J34" s="84"/>
      <c r="K34" s="252"/>
      <c r="L34" s="256"/>
      <c r="M34" s="85"/>
      <c r="N34" s="8"/>
      <c r="O34" s="8" t="str">
        <f>IF(M34&gt;0,
(IF(M34&lt;Hónapok!$A$10,Admin!$A$28,
(IF(M34&lt;Hónapok!$A$22,Admin!$B$28,
(IF(M34&lt;Hónapok!$A$34,Admin!$C$28,
(IF(M34&lt;Hónapok!$A$46,Admin!$D$28,"")))))))),"")</f>
        <v/>
      </c>
      <c r="P34" s="11"/>
    </row>
    <row r="35" spans="1:16" s="3" customFormat="1" x14ac:dyDescent="0.25">
      <c r="A35" s="20"/>
      <c r="B35" s="19"/>
      <c r="C35" s="21"/>
      <c r="D35" s="10"/>
      <c r="E35" s="10"/>
      <c r="F35" s="11"/>
      <c r="G35" s="11"/>
      <c r="H35" s="8"/>
      <c r="I35" s="84"/>
      <c r="J35" s="84"/>
      <c r="K35" s="252"/>
      <c r="L35" s="256"/>
      <c r="M35" s="85"/>
      <c r="N35" s="8"/>
      <c r="O35" s="8" t="str">
        <f>IF(M35&gt;0,
(IF(M35&lt;Hónapok!$A$10,Admin!$A$28,
(IF(M35&lt;Hónapok!$A$22,Admin!$B$28,
(IF(M35&lt;Hónapok!$A$34,Admin!$C$28,
(IF(M35&lt;Hónapok!$A$46,Admin!$D$28,"")))))))),"")</f>
        <v/>
      </c>
      <c r="P35" s="11"/>
    </row>
    <row r="36" spans="1:16" s="3" customFormat="1" x14ac:dyDescent="0.25">
      <c r="A36" s="20"/>
      <c r="B36" s="19"/>
      <c r="C36" s="21"/>
      <c r="D36" s="10"/>
      <c r="E36" s="10"/>
      <c r="F36" s="11"/>
      <c r="G36" s="11"/>
      <c r="H36" s="8"/>
      <c r="I36" s="84"/>
      <c r="J36" s="84"/>
      <c r="K36" s="252"/>
      <c r="L36" s="256"/>
      <c r="M36" s="85"/>
      <c r="N36" s="8"/>
      <c r="O36" s="8" t="str">
        <f>IF(M36&gt;0,
(IF(M36&lt;Hónapok!$A$10,Admin!$A$28,
(IF(M36&lt;Hónapok!$A$22,Admin!$B$28,
(IF(M36&lt;Hónapok!$A$34,Admin!$C$28,
(IF(M36&lt;Hónapok!$A$46,Admin!$D$28,"")))))))),"")</f>
        <v/>
      </c>
      <c r="P36" s="11"/>
    </row>
    <row r="37" spans="1:16" s="3" customFormat="1" x14ac:dyDescent="0.25">
      <c r="A37" s="20"/>
      <c r="B37" s="19"/>
      <c r="C37" s="21"/>
      <c r="D37" s="10"/>
      <c r="E37" s="10"/>
      <c r="F37" s="11"/>
      <c r="G37" s="11"/>
      <c r="H37" s="8"/>
      <c r="I37" s="84"/>
      <c r="J37" s="84"/>
      <c r="K37" s="252"/>
      <c r="L37" s="256"/>
      <c r="M37" s="85"/>
      <c r="N37" s="8"/>
      <c r="O37" s="8" t="str">
        <f>IF(M37&gt;0,
(IF(M37&lt;Hónapok!$A$10,Admin!$A$28,
(IF(M37&lt;Hónapok!$A$22,Admin!$B$28,
(IF(M37&lt;Hónapok!$A$34,Admin!$C$28,
(IF(M37&lt;Hónapok!$A$46,Admin!$D$28,"")))))))),"")</f>
        <v/>
      </c>
      <c r="P37" s="11"/>
    </row>
    <row r="38" spans="1:16" s="3" customFormat="1" x14ac:dyDescent="0.25">
      <c r="A38" s="20"/>
      <c r="B38" s="19"/>
      <c r="C38" s="21"/>
      <c r="D38" s="10"/>
      <c r="E38" s="10"/>
      <c r="F38" s="11"/>
      <c r="G38" s="11"/>
      <c r="H38" s="8"/>
      <c r="I38" s="84"/>
      <c r="J38" s="84"/>
      <c r="K38" s="252"/>
      <c r="L38" s="256"/>
      <c r="M38" s="85"/>
      <c r="N38" s="8"/>
      <c r="O38" s="8" t="str">
        <f>IF(M38&gt;0,
(IF(M38&lt;Hónapok!$A$10,Admin!$A$28,
(IF(M38&lt;Hónapok!$A$22,Admin!$B$28,
(IF(M38&lt;Hónapok!$A$34,Admin!$C$28,
(IF(M38&lt;Hónapok!$A$46,Admin!$D$28,"")))))))),"")</f>
        <v/>
      </c>
      <c r="P38" s="11"/>
    </row>
    <row r="39" spans="1:16" s="3" customFormat="1" x14ac:dyDescent="0.25">
      <c r="A39" s="20"/>
      <c r="B39" s="19"/>
      <c r="C39" s="21"/>
      <c r="D39" s="10"/>
      <c r="E39" s="10"/>
      <c r="F39" s="11"/>
      <c r="G39" s="11"/>
      <c r="H39" s="8"/>
      <c r="I39" s="84"/>
      <c r="J39" s="84"/>
      <c r="K39" s="252"/>
      <c r="L39" s="256"/>
      <c r="M39" s="85"/>
      <c r="N39" s="8"/>
      <c r="O39" s="8" t="str">
        <f>IF(M39&gt;0,
(IF(M39&lt;Hónapok!$A$10,Admin!$A$28,
(IF(M39&lt;Hónapok!$A$22,Admin!$B$28,
(IF(M39&lt;Hónapok!$A$34,Admin!$C$28,
(IF(M39&lt;Hónapok!$A$46,Admin!$D$28,"")))))))),"")</f>
        <v/>
      </c>
      <c r="P39" s="11"/>
    </row>
    <row r="40" spans="1:16" s="3" customFormat="1" x14ac:dyDescent="0.25">
      <c r="A40" s="20"/>
      <c r="B40" s="19"/>
      <c r="C40" s="21"/>
      <c r="D40" s="10"/>
      <c r="E40" s="10"/>
      <c r="F40" s="11"/>
      <c r="G40" s="11"/>
      <c r="H40" s="8"/>
      <c r="I40" s="84"/>
      <c r="J40" s="84"/>
      <c r="K40" s="252"/>
      <c r="L40" s="256"/>
      <c r="M40" s="85"/>
      <c r="N40" s="8"/>
      <c r="O40" s="8" t="str">
        <f>IF(M40&gt;0,
(IF(M40&lt;Hónapok!$A$10,Admin!$A$28,
(IF(M40&lt;Hónapok!$A$22,Admin!$B$28,
(IF(M40&lt;Hónapok!$A$34,Admin!$C$28,
(IF(M40&lt;Hónapok!$A$46,Admin!$D$28,"")))))))),"")</f>
        <v/>
      </c>
      <c r="P40" s="11"/>
    </row>
    <row r="41" spans="1:16" s="3" customFormat="1" x14ac:dyDescent="0.25">
      <c r="A41" s="20"/>
      <c r="B41" s="19"/>
      <c r="C41" s="21"/>
      <c r="D41" s="10"/>
      <c r="E41" s="10"/>
      <c r="F41" s="11"/>
      <c r="G41" s="11"/>
      <c r="H41" s="8"/>
      <c r="I41" s="84"/>
      <c r="J41" s="84"/>
      <c r="K41" s="252"/>
      <c r="L41" s="256"/>
      <c r="M41" s="85"/>
      <c r="N41" s="8"/>
      <c r="O41" s="8" t="str">
        <f>IF(M41&gt;0,
(IF(M41&lt;Hónapok!$A$10,Admin!$A$28,
(IF(M41&lt;Hónapok!$A$22,Admin!$B$28,
(IF(M41&lt;Hónapok!$A$34,Admin!$C$28,
(IF(M41&lt;Hónapok!$A$46,Admin!$D$28,"")))))))),"")</f>
        <v/>
      </c>
      <c r="P41" s="11"/>
    </row>
    <row r="42" spans="1:16" s="3" customFormat="1" x14ac:dyDescent="0.25">
      <c r="A42" s="20"/>
      <c r="B42" s="19"/>
      <c r="C42" s="21"/>
      <c r="D42" s="10"/>
      <c r="E42" s="10"/>
      <c r="F42" s="11"/>
      <c r="G42" s="11"/>
      <c r="H42" s="8"/>
      <c r="I42" s="84"/>
      <c r="J42" s="84"/>
      <c r="K42" s="252"/>
      <c r="L42" s="256"/>
      <c r="M42" s="85"/>
      <c r="N42" s="8"/>
      <c r="O42" s="8" t="str">
        <f>IF(M42&gt;0,
(IF(M42&lt;Hónapok!$A$10,Admin!$A$28,
(IF(M42&lt;Hónapok!$A$22,Admin!$B$28,
(IF(M42&lt;Hónapok!$A$34,Admin!$C$28,
(IF(M42&lt;Hónapok!$A$46,Admin!$D$28,"")))))))),"")</f>
        <v/>
      </c>
      <c r="P42" s="11"/>
    </row>
    <row r="43" spans="1:16" s="3" customFormat="1" x14ac:dyDescent="0.25">
      <c r="A43" s="20"/>
      <c r="B43" s="19"/>
      <c r="C43" s="21"/>
      <c r="D43" s="10"/>
      <c r="E43" s="10"/>
      <c r="F43" s="11"/>
      <c r="G43" s="11"/>
      <c r="H43" s="8"/>
      <c r="I43" s="84"/>
      <c r="J43" s="84"/>
      <c r="K43" s="252"/>
      <c r="L43" s="256"/>
      <c r="M43" s="85"/>
      <c r="N43" s="8"/>
      <c r="O43" s="8" t="str">
        <f>IF(M43&gt;0,
(IF(M43&lt;Hónapok!$A$10,Admin!$A$28,
(IF(M43&lt;Hónapok!$A$22,Admin!$B$28,
(IF(M43&lt;Hónapok!$A$34,Admin!$C$28,
(IF(M43&lt;Hónapok!$A$46,Admin!$D$28,"")))))))),"")</f>
        <v/>
      </c>
      <c r="P43" s="11"/>
    </row>
    <row r="44" spans="1:16" s="3" customFormat="1" x14ac:dyDescent="0.25">
      <c r="A44" s="20"/>
      <c r="B44" s="19"/>
      <c r="C44" s="21"/>
      <c r="D44" s="10"/>
      <c r="E44" s="10"/>
      <c r="F44" s="11"/>
      <c r="G44" s="11"/>
      <c r="H44" s="8"/>
      <c r="I44" s="84"/>
      <c r="J44" s="84"/>
      <c r="K44" s="252"/>
      <c r="L44" s="256"/>
      <c r="M44" s="85"/>
      <c r="N44" s="8"/>
      <c r="O44" s="8" t="str">
        <f>IF(M44&gt;0,
(IF(M44&lt;Hónapok!$A$10,Admin!$A$28,
(IF(M44&lt;Hónapok!$A$22,Admin!$B$28,
(IF(M44&lt;Hónapok!$A$34,Admin!$C$28,
(IF(M44&lt;Hónapok!$A$46,Admin!$D$28,"")))))))),"")</f>
        <v/>
      </c>
      <c r="P44" s="11"/>
    </row>
    <row r="45" spans="1:16" s="3" customFormat="1" x14ac:dyDescent="0.25">
      <c r="A45" s="20"/>
      <c r="B45" s="19"/>
      <c r="C45" s="21"/>
      <c r="D45" s="10"/>
      <c r="E45" s="10"/>
      <c r="F45" s="11"/>
      <c r="G45" s="11"/>
      <c r="H45" s="8"/>
      <c r="I45" s="84"/>
      <c r="J45" s="84"/>
      <c r="K45" s="252"/>
      <c r="L45" s="256"/>
      <c r="M45" s="85"/>
      <c r="N45" s="8"/>
      <c r="O45" s="8" t="str">
        <f>IF(M45&gt;0,
(IF(M45&lt;Hónapok!$A$10,Admin!$A$28,
(IF(M45&lt;Hónapok!$A$22,Admin!$B$28,
(IF(M45&lt;Hónapok!$A$34,Admin!$C$28,
(IF(M45&lt;Hónapok!$A$46,Admin!$D$28,"")))))))),"")</f>
        <v/>
      </c>
      <c r="P45" s="11"/>
    </row>
    <row r="46" spans="1:16" s="3" customFormat="1" x14ac:dyDescent="0.25">
      <c r="A46" s="20"/>
      <c r="B46" s="19"/>
      <c r="C46" s="21"/>
      <c r="D46" s="10"/>
      <c r="E46" s="10"/>
      <c r="F46" s="11"/>
      <c r="G46" s="11"/>
      <c r="H46" s="8"/>
      <c r="I46" s="84"/>
      <c r="J46" s="84"/>
      <c r="K46" s="252"/>
      <c r="L46" s="256"/>
      <c r="M46" s="85"/>
      <c r="N46" s="8"/>
      <c r="O46" s="8" t="str">
        <f>IF(M46&gt;0,
(IF(M46&lt;Hónapok!$A$10,Admin!$A$28,
(IF(M46&lt;Hónapok!$A$22,Admin!$B$28,
(IF(M46&lt;Hónapok!$A$34,Admin!$C$28,
(IF(M46&lt;Hónapok!$A$46,Admin!$D$28,"")))))))),"")</f>
        <v/>
      </c>
      <c r="P46" s="11"/>
    </row>
    <row r="47" spans="1:16" s="3" customFormat="1" x14ac:dyDescent="0.25">
      <c r="A47" s="20"/>
      <c r="B47" s="19"/>
      <c r="C47" s="21"/>
      <c r="D47" s="10"/>
      <c r="E47" s="10"/>
      <c r="F47" s="11"/>
      <c r="G47" s="11"/>
      <c r="H47" s="8"/>
      <c r="I47" s="84"/>
      <c r="J47" s="84"/>
      <c r="K47" s="252"/>
      <c r="L47" s="256"/>
      <c r="M47" s="85"/>
      <c r="N47" s="8"/>
      <c r="O47" s="8" t="str">
        <f>IF(M47&gt;0,
(IF(M47&lt;Hónapok!$A$10,Admin!$A$28,
(IF(M47&lt;Hónapok!$A$22,Admin!$B$28,
(IF(M47&lt;Hónapok!$A$34,Admin!$C$28,
(IF(M47&lt;Hónapok!$A$46,Admin!$D$28,"")))))))),"")</f>
        <v/>
      </c>
      <c r="P47" s="11"/>
    </row>
    <row r="48" spans="1:16" s="3" customFormat="1" x14ac:dyDescent="0.25">
      <c r="A48" s="20"/>
      <c r="B48" s="19"/>
      <c r="C48" s="21"/>
      <c r="D48" s="10"/>
      <c r="E48" s="10"/>
      <c r="F48" s="11"/>
      <c r="G48" s="11"/>
      <c r="H48" s="8"/>
      <c r="I48" s="84"/>
      <c r="J48" s="84"/>
      <c r="K48" s="252"/>
      <c r="L48" s="256"/>
      <c r="M48" s="85"/>
      <c r="N48" s="8"/>
      <c r="O48" s="8" t="str">
        <f>IF(M48&gt;0,
(IF(M48&lt;Hónapok!$A$10,Admin!$A$28,
(IF(M48&lt;Hónapok!$A$22,Admin!$B$28,
(IF(M48&lt;Hónapok!$A$34,Admin!$C$28,
(IF(M48&lt;Hónapok!$A$46,Admin!$D$28,"")))))))),"")</f>
        <v/>
      </c>
      <c r="P48" s="11"/>
    </row>
    <row r="49" spans="1:16" s="3" customFormat="1" x14ac:dyDescent="0.25">
      <c r="A49" s="20"/>
      <c r="B49" s="19"/>
      <c r="C49" s="21"/>
      <c r="D49" s="10"/>
      <c r="E49" s="10"/>
      <c r="F49" s="11"/>
      <c r="G49" s="11"/>
      <c r="H49" s="8"/>
      <c r="I49" s="84"/>
      <c r="J49" s="84"/>
      <c r="K49" s="252"/>
      <c r="L49" s="256"/>
      <c r="M49" s="85"/>
      <c r="N49" s="8"/>
      <c r="O49" s="8" t="str">
        <f>IF(M49&gt;0,
(IF(M49&lt;Hónapok!$A$10,Admin!$A$28,
(IF(M49&lt;Hónapok!$A$22,Admin!$B$28,
(IF(M49&lt;Hónapok!$A$34,Admin!$C$28,
(IF(M49&lt;Hónapok!$A$46,Admin!$D$28,"")))))))),"")</f>
        <v/>
      </c>
      <c r="P49" s="11"/>
    </row>
    <row r="50" spans="1:16" s="3" customFormat="1" x14ac:dyDescent="0.25">
      <c r="A50" s="20"/>
      <c r="B50" s="19"/>
      <c r="C50" s="21"/>
      <c r="D50" s="10"/>
      <c r="E50" s="10"/>
      <c r="F50" s="11"/>
      <c r="G50" s="11"/>
      <c r="H50" s="8"/>
      <c r="I50" s="84"/>
      <c r="J50" s="84"/>
      <c r="K50" s="252"/>
      <c r="L50" s="256"/>
      <c r="M50" s="85"/>
      <c r="N50" s="8"/>
      <c r="O50" s="8" t="str">
        <f>IF(M50&gt;0,
(IF(M50&lt;Hónapok!$A$10,Admin!$A$28,
(IF(M50&lt;Hónapok!$A$22,Admin!$B$28,
(IF(M50&lt;Hónapok!$A$34,Admin!$C$28,
(IF(M50&lt;Hónapok!$A$46,Admin!$D$28,"")))))))),"")</f>
        <v/>
      </c>
      <c r="P50" s="11"/>
    </row>
    <row r="51" spans="1:16" s="3" customFormat="1" x14ac:dyDescent="0.25">
      <c r="A51" s="20"/>
      <c r="B51" s="19"/>
      <c r="C51" s="21"/>
      <c r="D51" s="10"/>
      <c r="E51" s="10"/>
      <c r="F51" s="11"/>
      <c r="G51" s="11"/>
      <c r="H51" s="8"/>
      <c r="I51" s="84"/>
      <c r="J51" s="84"/>
      <c r="K51" s="252"/>
      <c r="L51" s="256"/>
      <c r="M51" s="85"/>
      <c r="N51" s="8"/>
      <c r="O51" s="8" t="str">
        <f>IF(M51&gt;0,
(IF(M51&lt;Hónapok!$A$10,Admin!$A$28,
(IF(M51&lt;Hónapok!$A$22,Admin!$B$28,
(IF(M51&lt;Hónapok!$A$34,Admin!$C$28,
(IF(M51&lt;Hónapok!$A$46,Admin!$D$28,"")))))))),"")</f>
        <v/>
      </c>
      <c r="P51" s="11"/>
    </row>
    <row r="52" spans="1:16" s="3" customFormat="1" x14ac:dyDescent="0.25">
      <c r="A52" s="20"/>
      <c r="B52" s="19"/>
      <c r="C52" s="21"/>
      <c r="D52" s="10"/>
      <c r="E52" s="10"/>
      <c r="F52" s="11"/>
      <c r="G52" s="11"/>
      <c r="H52" s="8"/>
      <c r="I52" s="84"/>
      <c r="J52" s="84"/>
      <c r="K52" s="252"/>
      <c r="L52" s="256"/>
      <c r="M52" s="85"/>
      <c r="N52" s="8"/>
      <c r="O52" s="8" t="str">
        <f>IF(M52&gt;0,
(IF(M52&lt;Hónapok!$A$10,Admin!$A$28,
(IF(M52&lt;Hónapok!$A$22,Admin!$B$28,
(IF(M52&lt;Hónapok!$A$34,Admin!$C$28,
(IF(M52&lt;Hónapok!$A$46,Admin!$D$28,"")))))))),"")</f>
        <v/>
      </c>
      <c r="P52" s="11"/>
    </row>
    <row r="53" spans="1:16" s="3" customFormat="1" x14ac:dyDescent="0.25">
      <c r="A53" s="20"/>
      <c r="B53" s="19"/>
      <c r="C53" s="21"/>
      <c r="D53" s="10"/>
      <c r="E53" s="10"/>
      <c r="F53" s="11"/>
      <c r="G53" s="11"/>
      <c r="H53" s="8"/>
      <c r="I53" s="84"/>
      <c r="J53" s="84"/>
      <c r="K53" s="252"/>
      <c r="L53" s="256"/>
      <c r="M53" s="85"/>
      <c r="N53" s="8"/>
      <c r="O53" s="8" t="str">
        <f>IF(M53&gt;0,
(IF(M53&lt;Hónapok!$A$10,Admin!$A$28,
(IF(M53&lt;Hónapok!$A$22,Admin!$B$28,
(IF(M53&lt;Hónapok!$A$34,Admin!$C$28,
(IF(M53&lt;Hónapok!$A$46,Admin!$D$28,"")))))))),"")</f>
        <v/>
      </c>
      <c r="P53" s="9"/>
    </row>
    <row r="54" spans="1:16" s="3" customFormat="1" ht="15.75" thickBot="1" x14ac:dyDescent="0.3">
      <c r="A54" s="40"/>
      <c r="B54" s="40"/>
      <c r="C54" s="40"/>
      <c r="D54" s="41"/>
      <c r="E54" s="41"/>
      <c r="F54" s="42"/>
      <c r="G54" s="42"/>
      <c r="H54" s="43"/>
      <c r="I54" s="43"/>
      <c r="J54" s="43"/>
      <c r="K54" s="253"/>
      <c r="L54" s="257"/>
      <c r="M54" s="43"/>
      <c r="N54" s="43"/>
      <c r="O54" s="43"/>
      <c r="P54" s="44"/>
    </row>
    <row r="55" spans="1:16" ht="16.5" thickBot="1" x14ac:dyDescent="0.3">
      <c r="A55" s="940"/>
      <c r="B55" s="941"/>
      <c r="C55" s="941"/>
      <c r="D55" s="941"/>
      <c r="E55" s="941"/>
      <c r="F55" s="941"/>
      <c r="G55" s="941"/>
      <c r="H55" s="941"/>
      <c r="I55" s="81"/>
      <c r="J55" s="81"/>
      <c r="K55" s="45">
        <f>SUM(K3:K53)</f>
        <v>5021529</v>
      </c>
      <c r="L55" s="942"/>
      <c r="M55" s="942"/>
      <c r="N55" s="942"/>
      <c r="O55" s="942"/>
      <c r="P55" s="943"/>
    </row>
  </sheetData>
  <autoFilter ref="A2:P53"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90CAEE36-D058-4F56-BDDE-F9D60093A355}"/>
    </customSheetView>
  </customSheetViews>
  <mergeCells count="2">
    <mergeCell ref="A55:H55"/>
    <mergeCell ref="L55:P55"/>
  </mergeCells>
  <phoneticPr fontId="50" type="noConversion"/>
  <dataValidations count="2">
    <dataValidation type="list" allowBlank="1" showInputMessage="1" showErrorMessage="1" sqref="N54:O54" xr:uid="{00000000-0002-0000-0200-000000000000}">
      <formula1>#REF!</formula1>
    </dataValidation>
    <dataValidation type="list" allowBlank="1" showInputMessage="1" showErrorMessage="1" sqref="L54" xr:uid="{00000000-0002-0000-0200-000002000000}">
      <formula1>#REF!</formula1>
    </dataValidation>
  </dataValidations>
  <pageMargins left="0.70866141732283472" right="0.70866141732283472" top="0.19685039370078741" bottom="0.19685039370078741" header="0.31496062992125984" footer="0.31496062992125984"/>
  <pageSetup paperSize="9" scale="42" fitToHeight="0" orientation="landscape" r:id="rId2"/>
  <extLst>
    <ext xmlns:x14="http://schemas.microsoft.com/office/spreadsheetml/2009/9/main" uri="{CCE6A557-97BC-4b89-ADB6-D9C93CAAB3DF}">
      <x14:dataValidations xmlns:xm="http://schemas.microsoft.com/office/excel/2006/main" count="6">
        <x14:dataValidation type="list" allowBlank="1" showInputMessage="1" showErrorMessage="1" xr:uid="{E7FD46AE-3299-4C57-AEE3-268874D3C4AD}">
          <x14:formula1>
            <xm:f>IF(B3=Admin!$A$9,Admin!$A$2:$A$6,IF(B3=Admin!$A$10,Admin!$A$6:$A$7,"Hiba"))</xm:f>
          </x14:formula1>
          <xm:sqref>N3</xm:sqref>
        </x14:dataValidation>
        <x14:dataValidation type="list" allowBlank="1" showInputMessage="1" showErrorMessage="1" xr:uid="{CFF4F4C2-F0A4-43F7-AA99-D5A118995D38}">
          <x14:formula1>
            <xm:f>Admin!$A$9:$A$10</xm:f>
          </x14:formula1>
          <xm:sqref>B3:B53</xm:sqref>
        </x14:dataValidation>
        <x14:dataValidation type="list" allowBlank="1" showInputMessage="1" showErrorMessage="1" xr:uid="{A867FA40-B574-47A9-996B-275AF3D64EA7}">
          <x14:formula1>
            <xm:f>Admin!$A$18:$A$19</xm:f>
          </x14:formula1>
          <xm:sqref>L3:L53</xm:sqref>
        </x14:dataValidation>
        <x14:dataValidation type="list" allowBlank="1" showInputMessage="1" showErrorMessage="1" xr:uid="{C4D34C1C-D694-40C6-9294-8E512BC5176F}">
          <x14:formula1>
            <xm:f>Hónapok!$A$1:$A$45</xm:f>
          </x14:formula1>
          <xm:sqref>M3:M53</xm:sqref>
        </x14:dataValidation>
        <x14:dataValidation type="list" allowBlank="1" showInputMessage="1" showErrorMessage="1" xr:uid="{68CBD913-BF1B-4E01-B0E6-313A91C763BF}">
          <x14:formula1>
            <xm:f>IF(B4=Admin!$A$9,Admin!$A$2:$A$6,IF(B4=Admin!$A$10,Admin!$A$6:$A$7,"Nincs tevékenység kiválasztva!"))</xm:f>
          </x14:formula1>
          <xm:sqref>N4:N53</xm:sqref>
        </x14:dataValidation>
        <x14:dataValidation type="list" allowBlank="1" showInputMessage="1" showErrorMessage="1" xr:uid="{D2331353-C67F-44D3-BDD8-E08887BEEFDB}">
          <x14:formula1>
            <xm:f>IF(B3=Admin!$A$9,Admin!$C$4:$C$23,IF(B3=Admin!$A$10,Admin!$D$2:$D$7,""))</xm:f>
          </x14:formula1>
          <xm:sqref>C3:C53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6"/>
  <dimension ref="A1:A46"/>
  <sheetViews>
    <sheetView topLeftCell="A4" workbookViewId="0">
      <selection activeCell="A45" sqref="A5:A45"/>
    </sheetView>
  </sheetViews>
  <sheetFormatPr defaultRowHeight="15" x14ac:dyDescent="0.25"/>
  <cols>
    <col min="1" max="1" width="19.85546875" style="17" customWidth="1"/>
  </cols>
  <sheetData>
    <row r="1" spans="1:1" x14ac:dyDescent="0.25">
      <c r="A1" s="18">
        <v>44742</v>
      </c>
    </row>
    <row r="2" spans="1:1" x14ac:dyDescent="0.25">
      <c r="A2" s="18">
        <v>44743</v>
      </c>
    </row>
    <row r="3" spans="1:1" x14ac:dyDescent="0.25">
      <c r="A3" s="18">
        <v>44774</v>
      </c>
    </row>
    <row r="4" spans="1:1" x14ac:dyDescent="0.25">
      <c r="A4" s="18">
        <v>44805</v>
      </c>
    </row>
    <row r="5" spans="1:1" x14ac:dyDescent="0.25">
      <c r="A5" s="18">
        <v>44835</v>
      </c>
    </row>
    <row r="6" spans="1:1" x14ac:dyDescent="0.25">
      <c r="A6" s="18">
        <v>44866</v>
      </c>
    </row>
    <row r="7" spans="1:1" x14ac:dyDescent="0.25">
      <c r="A7" s="18">
        <v>44896</v>
      </c>
    </row>
    <row r="8" spans="1:1" x14ac:dyDescent="0.25">
      <c r="A8" s="18">
        <v>44927</v>
      </c>
    </row>
    <row r="9" spans="1:1" x14ac:dyDescent="0.25">
      <c r="A9" s="18">
        <v>44958</v>
      </c>
    </row>
    <row r="10" spans="1:1" x14ac:dyDescent="0.25">
      <c r="A10" s="18">
        <v>44986</v>
      </c>
    </row>
    <row r="11" spans="1:1" x14ac:dyDescent="0.25">
      <c r="A11" s="18">
        <v>45017</v>
      </c>
    </row>
    <row r="12" spans="1:1" x14ac:dyDescent="0.25">
      <c r="A12" s="18">
        <v>45047</v>
      </c>
    </row>
    <row r="13" spans="1:1" x14ac:dyDescent="0.25">
      <c r="A13" s="18">
        <v>45078</v>
      </c>
    </row>
    <row r="14" spans="1:1" x14ac:dyDescent="0.25">
      <c r="A14" s="18">
        <v>45108</v>
      </c>
    </row>
    <row r="15" spans="1:1" x14ac:dyDescent="0.25">
      <c r="A15" s="18">
        <v>45139</v>
      </c>
    </row>
    <row r="16" spans="1:1" x14ac:dyDescent="0.25">
      <c r="A16" s="18">
        <v>45170</v>
      </c>
    </row>
    <row r="17" spans="1:1" x14ac:dyDescent="0.25">
      <c r="A17" s="18">
        <v>45200</v>
      </c>
    </row>
    <row r="18" spans="1:1" x14ac:dyDescent="0.25">
      <c r="A18" s="18">
        <v>45231</v>
      </c>
    </row>
    <row r="19" spans="1:1" x14ac:dyDescent="0.25">
      <c r="A19" s="18">
        <v>45261</v>
      </c>
    </row>
    <row r="20" spans="1:1" x14ac:dyDescent="0.25">
      <c r="A20" s="18">
        <v>45292</v>
      </c>
    </row>
    <row r="21" spans="1:1" x14ac:dyDescent="0.25">
      <c r="A21" s="18">
        <v>45323</v>
      </c>
    </row>
    <row r="22" spans="1:1" x14ac:dyDescent="0.25">
      <c r="A22" s="18">
        <v>45352</v>
      </c>
    </row>
    <row r="23" spans="1:1" x14ac:dyDescent="0.25">
      <c r="A23" s="18">
        <v>45383</v>
      </c>
    </row>
    <row r="24" spans="1:1" x14ac:dyDescent="0.25">
      <c r="A24" s="18">
        <v>45413</v>
      </c>
    </row>
    <row r="25" spans="1:1" x14ac:dyDescent="0.25">
      <c r="A25" s="18">
        <v>45444</v>
      </c>
    </row>
    <row r="26" spans="1:1" x14ac:dyDescent="0.25">
      <c r="A26" s="18">
        <v>45474</v>
      </c>
    </row>
    <row r="27" spans="1:1" x14ac:dyDescent="0.25">
      <c r="A27" s="18">
        <v>45505</v>
      </c>
    </row>
    <row r="28" spans="1:1" x14ac:dyDescent="0.25">
      <c r="A28" s="18">
        <v>45536</v>
      </c>
    </row>
    <row r="29" spans="1:1" x14ac:dyDescent="0.25">
      <c r="A29" s="18">
        <v>45566</v>
      </c>
    </row>
    <row r="30" spans="1:1" x14ac:dyDescent="0.25">
      <c r="A30" s="18">
        <v>45597</v>
      </c>
    </row>
    <row r="31" spans="1:1" x14ac:dyDescent="0.25">
      <c r="A31" s="18">
        <v>45627</v>
      </c>
    </row>
    <row r="32" spans="1:1" x14ac:dyDescent="0.25">
      <c r="A32" s="18">
        <v>45658</v>
      </c>
    </row>
    <row r="33" spans="1:1" x14ac:dyDescent="0.25">
      <c r="A33" s="18">
        <v>45689</v>
      </c>
    </row>
    <row r="34" spans="1:1" x14ac:dyDescent="0.25">
      <c r="A34" s="18">
        <v>45717</v>
      </c>
    </row>
    <row r="35" spans="1:1" x14ac:dyDescent="0.25">
      <c r="A35" s="18">
        <v>45748</v>
      </c>
    </row>
    <row r="36" spans="1:1" x14ac:dyDescent="0.25">
      <c r="A36" s="18">
        <v>45778</v>
      </c>
    </row>
    <row r="37" spans="1:1" x14ac:dyDescent="0.25">
      <c r="A37" s="18">
        <v>45809</v>
      </c>
    </row>
    <row r="38" spans="1:1" x14ac:dyDescent="0.25">
      <c r="A38" s="18">
        <v>45839</v>
      </c>
    </row>
    <row r="39" spans="1:1" x14ac:dyDescent="0.25">
      <c r="A39" s="18">
        <v>45870</v>
      </c>
    </row>
    <row r="40" spans="1:1" x14ac:dyDescent="0.25">
      <c r="A40" s="18">
        <v>45901</v>
      </c>
    </row>
    <row r="41" spans="1:1" x14ac:dyDescent="0.25">
      <c r="A41" s="18">
        <v>45931</v>
      </c>
    </row>
    <row r="42" spans="1:1" x14ac:dyDescent="0.25">
      <c r="A42" s="18">
        <v>45962</v>
      </c>
    </row>
    <row r="43" spans="1:1" x14ac:dyDescent="0.25">
      <c r="A43" s="18">
        <v>45992</v>
      </c>
    </row>
    <row r="44" spans="1:1" x14ac:dyDescent="0.25">
      <c r="A44" s="18">
        <v>46023</v>
      </c>
    </row>
    <row r="45" spans="1:1" x14ac:dyDescent="0.25">
      <c r="A45" s="18">
        <v>46054</v>
      </c>
    </row>
    <row r="46" spans="1:1" x14ac:dyDescent="0.25">
      <c r="A46" s="18"/>
    </row>
  </sheetData>
  <customSheetViews>
    <customSheetView guid="{B3053EE5-F487-4331-B4B6-28A1F2EF1617}">
      <selection activeCell="A7" sqref="A7:A13"/>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8CF3-573E-4DB5-8A7B-018EFAB7FDF9}">
  <sheetPr codeName="Munka5"/>
  <dimension ref="A1:H35"/>
  <sheetViews>
    <sheetView workbookViewId="0">
      <selection activeCell="A13" sqref="A13"/>
    </sheetView>
  </sheetViews>
  <sheetFormatPr defaultRowHeight="15" x14ac:dyDescent="0.25"/>
  <cols>
    <col min="1" max="1" width="54.140625" customWidth="1"/>
    <col min="2" max="2" width="41.85546875" customWidth="1"/>
    <col min="3" max="3" width="17.28515625" customWidth="1"/>
    <col min="4" max="4" width="47.28515625" customWidth="1"/>
    <col min="5" max="6" width="14.28515625" bestFit="1" customWidth="1"/>
    <col min="7" max="7" width="15.7109375" bestFit="1" customWidth="1"/>
  </cols>
  <sheetData>
    <row r="1" spans="1:8" x14ac:dyDescent="0.25">
      <c r="A1" t="s">
        <v>170</v>
      </c>
      <c r="B1" s="158" t="s">
        <v>169</v>
      </c>
      <c r="C1" t="s">
        <v>171</v>
      </c>
      <c r="D1" s="158" t="s">
        <v>4605</v>
      </c>
    </row>
    <row r="2" spans="1:8" ht="15.75" thickBot="1" x14ac:dyDescent="0.3"/>
    <row r="3" spans="1:8" ht="15.75" thickBot="1" x14ac:dyDescent="0.3">
      <c r="A3" s="246" t="s">
        <v>186</v>
      </c>
      <c r="E3" s="2" t="s">
        <v>233</v>
      </c>
      <c r="F3" s="2" t="s">
        <v>232</v>
      </c>
    </row>
    <row r="4" spans="1:8" x14ac:dyDescent="0.25">
      <c r="A4" s="245" t="s">
        <v>155</v>
      </c>
      <c r="B4" s="244" t="s">
        <v>183</v>
      </c>
      <c r="C4" s="244" t="s">
        <v>185</v>
      </c>
      <c r="E4" s="271">
        <f>ROUND(1000000/1.13,0)</f>
        <v>884956</v>
      </c>
      <c r="F4" s="272">
        <f>ROUND(E4*0.13,0)</f>
        <v>115044</v>
      </c>
      <c r="G4" s="292">
        <f>E4+F4</f>
        <v>1000000</v>
      </c>
    </row>
    <row r="5" spans="1:8" x14ac:dyDescent="0.25">
      <c r="A5" s="244" t="s">
        <v>22</v>
      </c>
      <c r="B5" s="244" t="s">
        <v>179</v>
      </c>
      <c r="C5" s="244" t="s">
        <v>185</v>
      </c>
      <c r="E5" s="271">
        <f>ROUND(800000/1.13,0)</f>
        <v>707965</v>
      </c>
      <c r="F5" s="272">
        <f t="shared" ref="F5:F6" si="0">ROUND(E5*0.13,0)</f>
        <v>92035</v>
      </c>
      <c r="G5" s="293">
        <f t="shared" ref="G5:G7" si="1">E5+F5</f>
        <v>800000</v>
      </c>
    </row>
    <row r="6" spans="1:8" x14ac:dyDescent="0.25">
      <c r="A6" s="244" t="s">
        <v>158</v>
      </c>
      <c r="B6" s="244" t="s">
        <v>180</v>
      </c>
      <c r="C6" s="244" t="s">
        <v>185</v>
      </c>
      <c r="D6" t="s">
        <v>184</v>
      </c>
      <c r="E6" s="271">
        <f>ROUND(400000/1.13,0)</f>
        <v>353982</v>
      </c>
      <c r="F6" s="272">
        <f t="shared" si="0"/>
        <v>46018</v>
      </c>
      <c r="G6" s="293">
        <f t="shared" si="1"/>
        <v>400000</v>
      </c>
    </row>
    <row r="7" spans="1:8" ht="15.75" thickBot="1" x14ac:dyDescent="0.3">
      <c r="A7" s="244" t="s">
        <v>181</v>
      </c>
      <c r="B7" s="244" t="s">
        <v>182</v>
      </c>
      <c r="C7" s="244" t="s">
        <v>185</v>
      </c>
      <c r="E7" s="271">
        <f>ROUND(350000/1.13,0)</f>
        <v>309735</v>
      </c>
      <c r="F7" s="272">
        <f>ROUND(E7*0.13,0)-1</f>
        <v>40265</v>
      </c>
      <c r="G7" s="294">
        <f t="shared" si="1"/>
        <v>350000</v>
      </c>
    </row>
    <row r="8" spans="1:8" ht="15.75" thickBot="1" x14ac:dyDescent="0.3"/>
    <row r="9" spans="1:8" x14ac:dyDescent="0.25">
      <c r="D9" s="277"/>
      <c r="E9" s="290" t="s">
        <v>219</v>
      </c>
      <c r="F9" s="361" t="s">
        <v>233</v>
      </c>
      <c r="G9" s="361" t="s">
        <v>232</v>
      </c>
      <c r="H9" s="279"/>
    </row>
    <row r="10" spans="1:8" x14ac:dyDescent="0.25">
      <c r="A10" t="s">
        <v>158</v>
      </c>
      <c r="D10" s="280" t="s">
        <v>220</v>
      </c>
      <c r="E10" s="281">
        <f>800000*0.75</f>
        <v>600000</v>
      </c>
      <c r="F10" s="282">
        <f>ROUND(600000/1.13,0)</f>
        <v>530973</v>
      </c>
      <c r="G10" s="282">
        <f>ROUND(F10*0.13,0)</f>
        <v>69026</v>
      </c>
      <c r="H10" s="283"/>
    </row>
    <row r="11" spans="1:8" x14ac:dyDescent="0.25">
      <c r="A11" s="158" t="s">
        <v>223</v>
      </c>
      <c r="D11" s="280" t="s">
        <v>221</v>
      </c>
      <c r="E11" s="291">
        <f>350000*0.75</f>
        <v>262500</v>
      </c>
      <c r="F11" s="282">
        <f>ROUND(262500/1.13,0)</f>
        <v>232301</v>
      </c>
      <c r="G11" s="282">
        <f>ROUND(F11*0.13,0)</f>
        <v>30199</v>
      </c>
      <c r="H11" s="283"/>
    </row>
    <row r="12" spans="1:8" x14ac:dyDescent="0.25">
      <c r="A12" s="158" t="s">
        <v>217</v>
      </c>
      <c r="D12" s="280"/>
      <c r="H12" s="283"/>
    </row>
    <row r="13" spans="1:8" x14ac:dyDescent="0.25">
      <c r="A13" s="158" t="s">
        <v>156</v>
      </c>
      <c r="D13" s="280"/>
      <c r="H13" s="283"/>
    </row>
    <row r="14" spans="1:8" x14ac:dyDescent="0.25">
      <c r="A14" s="158" t="s">
        <v>177</v>
      </c>
      <c r="D14" s="280"/>
      <c r="H14" s="283"/>
    </row>
    <row r="15" spans="1:8" ht="15.75" thickBot="1" x14ac:dyDescent="0.3">
      <c r="D15" s="284"/>
      <c r="E15" s="285"/>
      <c r="F15" s="285"/>
      <c r="G15" s="285"/>
      <c r="H15" s="286"/>
    </row>
    <row r="18" spans="1:3" ht="15.75" thickBot="1" x14ac:dyDescent="0.3"/>
    <row r="19" spans="1:3" ht="30.75" thickBot="1" x14ac:dyDescent="0.3">
      <c r="A19" s="617" t="s">
        <v>151</v>
      </c>
      <c r="B19" s="618" t="s">
        <v>5</v>
      </c>
      <c r="C19" s="625" t="s">
        <v>4546</v>
      </c>
    </row>
    <row r="20" spans="1:3" ht="15.75" x14ac:dyDescent="0.25">
      <c r="A20" s="632" t="s">
        <v>115</v>
      </c>
      <c r="B20" s="626" t="str">
        <f>Admin!$A$2</f>
        <v>C017000143</v>
      </c>
      <c r="C20" s="627">
        <f ca="1">SUMIFS(Bérköltség!$X$9:$X$552,Bérköltség!$AF$9:$AF$552,$B20)</f>
        <v>32466.517068965026</v>
      </c>
    </row>
    <row r="21" spans="1:3" ht="15.75" x14ac:dyDescent="0.25">
      <c r="A21" s="633" t="s">
        <v>116</v>
      </c>
      <c r="B21" s="628" t="str">
        <f>Admin!$A$3</f>
        <v>C017000144</v>
      </c>
      <c r="C21" s="629">
        <f ca="1">SUMIFS(Bérköltség!$X$9:$X$552,Bérköltség!$AF$9:$AF$552,$B21)</f>
        <v>3830706.9845689647</v>
      </c>
    </row>
    <row r="22" spans="1:3" ht="15.75" x14ac:dyDescent="0.25">
      <c r="A22" s="633" t="s">
        <v>117</v>
      </c>
      <c r="B22" s="628" t="str">
        <f>Admin!$A$4</f>
        <v>C017000145</v>
      </c>
      <c r="C22" s="629">
        <f ca="1">SUMIFS(Bérköltség!$X$9:$X$552,Bérköltség!$AF$9:$AF$552,$B22)</f>
        <v>5245911.6882758588</v>
      </c>
    </row>
    <row r="23" spans="1:3" ht="15.75" x14ac:dyDescent="0.25">
      <c r="A23" s="633" t="s">
        <v>118</v>
      </c>
      <c r="B23" s="628" t="str">
        <f>Admin!$A$5</f>
        <v>C017000154</v>
      </c>
      <c r="C23" s="629">
        <f ca="1">SUMIFS(Bérköltség!$X$9:$X$552,Bérköltség!$AF$9:$AF$552,$B23)</f>
        <v>0</v>
      </c>
    </row>
    <row r="24" spans="1:3" ht="15.75" x14ac:dyDescent="0.25">
      <c r="A24" s="634" t="s">
        <v>150</v>
      </c>
      <c r="B24" s="630" t="str">
        <f>Admin!$A$6</f>
        <v>K037000146</v>
      </c>
      <c r="C24" s="631">
        <f ca="1">SUMIFS(Bérköltség!$X$9:$X$552,Bérköltség!$AF$9:$AF$552,$B24)</f>
        <v>55434.682758620715</v>
      </c>
    </row>
    <row r="25" spans="1:3" ht="16.5" thickBot="1" x14ac:dyDescent="0.3">
      <c r="A25" s="619" t="s">
        <v>107</v>
      </c>
      <c r="B25" s="620" t="str">
        <f>Admin!$A$7</f>
        <v>M217000147</v>
      </c>
      <c r="C25" s="621">
        <f ca="1">SUMIFS(Bérköltség!$X$9:$X$552,Bérköltség!$AF$9:$AF$552,$B25)</f>
        <v>0</v>
      </c>
    </row>
    <row r="26" spans="1:3" ht="16.5" thickBot="1" x14ac:dyDescent="0.3">
      <c r="A26" s="622" t="s">
        <v>4545</v>
      </c>
      <c r="B26" s="623"/>
      <c r="C26" s="624">
        <f ca="1">C20+C21+C22+C23+C24+C25</f>
        <v>9164519.8726724088</v>
      </c>
    </row>
    <row r="27" spans="1:3" ht="15.75" thickBot="1" x14ac:dyDescent="0.3"/>
    <row r="28" spans="1:3" ht="15.75" thickBot="1" x14ac:dyDescent="0.3">
      <c r="A28" s="636" t="s">
        <v>4547</v>
      </c>
      <c r="B28" s="637"/>
    </row>
    <row r="29" spans="1:3" x14ac:dyDescent="0.25">
      <c r="A29" s="245" t="s">
        <v>4549</v>
      </c>
      <c r="B29" s="635">
        <v>67448906</v>
      </c>
    </row>
    <row r="30" spans="1:3" ht="15.75" thickBot="1" x14ac:dyDescent="0.3">
      <c r="A30" s="645" t="s">
        <v>4548</v>
      </c>
      <c r="B30" s="646">
        <f>ROUND(B29*0.15,0)</f>
        <v>10117336</v>
      </c>
    </row>
    <row r="31" spans="1:3" ht="15.75" thickBot="1" x14ac:dyDescent="0.3">
      <c r="A31" s="636" t="s">
        <v>4550</v>
      </c>
      <c r="B31" s="647">
        <f>B29+B30</f>
        <v>77566242</v>
      </c>
    </row>
    <row r="32" spans="1:3" ht="15.75" thickBot="1" x14ac:dyDescent="0.3"/>
    <row r="33" spans="1:2" x14ac:dyDescent="0.25">
      <c r="A33" s="944" t="s">
        <v>4564</v>
      </c>
      <c r="B33" s="945"/>
    </row>
    <row r="34" spans="1:2" x14ac:dyDescent="0.25">
      <c r="A34" s="946" t="s">
        <v>4562</v>
      </c>
      <c r="B34" s="947"/>
    </row>
    <row r="35" spans="1:2" ht="60.75" thickBot="1" x14ac:dyDescent="0.3">
      <c r="A35" s="709" t="s">
        <v>4563</v>
      </c>
      <c r="B35" s="286"/>
    </row>
  </sheetData>
  <mergeCells count="2">
    <mergeCell ref="A33:B33"/>
    <mergeCell ref="A34:B34"/>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7"/>
  <dimension ref="A1:D42"/>
  <sheetViews>
    <sheetView topLeftCell="A20" zoomScale="80" zoomScaleNormal="80" workbookViewId="0">
      <selection activeCell="B29" activeCellId="1" sqref="A29:A37 B29:B34"/>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3" customFormat="1" ht="18.75" customHeight="1" thickBot="1" x14ac:dyDescent="0.3">
      <c r="A1" s="24" t="s">
        <v>35</v>
      </c>
      <c r="B1" s="29" t="s">
        <v>36</v>
      </c>
      <c r="C1" s="33" t="s">
        <v>67</v>
      </c>
      <c r="D1" s="24" t="s">
        <v>76</v>
      </c>
    </row>
    <row r="2" spans="1:4" s="3" customFormat="1" ht="18.75" customHeight="1" thickBot="1" x14ac:dyDescent="0.3">
      <c r="A2" s="25" t="s">
        <v>119</v>
      </c>
      <c r="B2" s="157" t="s">
        <v>155</v>
      </c>
      <c r="C2" s="14" t="s">
        <v>131</v>
      </c>
      <c r="D2" s="34" t="s">
        <v>77</v>
      </c>
    </row>
    <row r="3" spans="1:4" s="3" customFormat="1" ht="30.75" thickBot="1" x14ac:dyDescent="0.3">
      <c r="A3" s="14" t="s">
        <v>120</v>
      </c>
      <c r="B3" s="157" t="s">
        <v>22</v>
      </c>
      <c r="C3" s="46" t="s">
        <v>83</v>
      </c>
      <c r="D3" s="35" t="s">
        <v>78</v>
      </c>
    </row>
    <row r="4" spans="1:4" s="3" customFormat="1" ht="18.75" customHeight="1" thickBot="1" x14ac:dyDescent="0.3">
      <c r="A4" s="14" t="s">
        <v>121</v>
      </c>
      <c r="B4" s="39" t="s">
        <v>158</v>
      </c>
      <c r="C4" s="14" t="s">
        <v>68</v>
      </c>
      <c r="D4" s="35" t="s">
        <v>79</v>
      </c>
    </row>
    <row r="5" spans="1:4" s="3" customFormat="1" ht="18.75" customHeight="1" x14ac:dyDescent="0.25">
      <c r="A5" s="14" t="s">
        <v>124</v>
      </c>
      <c r="B5" s="16" t="s">
        <v>49</v>
      </c>
      <c r="C5" s="14" t="s">
        <v>69</v>
      </c>
      <c r="D5" s="35" t="s">
        <v>96</v>
      </c>
    </row>
    <row r="6" spans="1:4" s="3" customFormat="1" ht="18.75" customHeight="1" x14ac:dyDescent="0.25">
      <c r="A6" s="14" t="s">
        <v>125</v>
      </c>
      <c r="B6" s="14" t="s">
        <v>50</v>
      </c>
      <c r="C6" s="14" t="s">
        <v>70</v>
      </c>
      <c r="D6" s="35" t="s">
        <v>80</v>
      </c>
    </row>
    <row r="7" spans="1:4" s="3" customFormat="1" ht="15.75" thickBot="1" x14ac:dyDescent="0.3">
      <c r="A7" s="15" t="s">
        <v>126</v>
      </c>
      <c r="B7" s="14" t="s">
        <v>51</v>
      </c>
      <c r="C7" s="14" t="s">
        <v>71</v>
      </c>
      <c r="D7" s="35" t="s">
        <v>81</v>
      </c>
    </row>
    <row r="8" spans="1:4" s="3" customFormat="1" ht="30.75" thickBot="1" x14ac:dyDescent="0.3">
      <c r="A8" s="26" t="s">
        <v>43</v>
      </c>
      <c r="B8" s="14" t="s">
        <v>23</v>
      </c>
      <c r="C8" s="14" t="s">
        <v>72</v>
      </c>
      <c r="D8" s="36" t="s">
        <v>97</v>
      </c>
    </row>
    <row r="9" spans="1:4" s="3" customFormat="1" x14ac:dyDescent="0.25">
      <c r="A9" s="16" t="s">
        <v>45</v>
      </c>
      <c r="B9" s="30" t="s">
        <v>52</v>
      </c>
      <c r="C9" s="37" t="s">
        <v>122</v>
      </c>
    </row>
    <row r="10" spans="1:4" s="3" customFormat="1" ht="18.75" customHeight="1" thickBot="1" x14ac:dyDescent="0.3">
      <c r="A10" s="15" t="s">
        <v>46</v>
      </c>
      <c r="B10" s="30" t="s">
        <v>24</v>
      </c>
      <c r="C10" s="12" t="s">
        <v>73</v>
      </c>
    </row>
    <row r="11" spans="1:4" ht="15.75" thickBot="1" x14ac:dyDescent="0.3">
      <c r="B11" s="30" t="s">
        <v>53</v>
      </c>
      <c r="C11" s="27" t="s">
        <v>74</v>
      </c>
    </row>
    <row r="12" spans="1:4" ht="15.75" thickBot="1" x14ac:dyDescent="0.3">
      <c r="A12" s="26" t="s">
        <v>38</v>
      </c>
      <c r="B12" s="30" t="s">
        <v>25</v>
      </c>
      <c r="C12" s="27" t="s">
        <v>75</v>
      </c>
    </row>
    <row r="13" spans="1:4" x14ac:dyDescent="0.25">
      <c r="A13" s="16" t="s">
        <v>26</v>
      </c>
      <c r="B13" s="31" t="s">
        <v>54</v>
      </c>
      <c r="C13" s="27" t="s">
        <v>75</v>
      </c>
    </row>
    <row r="14" spans="1:4" x14ac:dyDescent="0.25">
      <c r="A14" s="14" t="s">
        <v>39</v>
      </c>
      <c r="B14" s="31" t="s">
        <v>55</v>
      </c>
      <c r="C14" s="27" t="s">
        <v>123</v>
      </c>
    </row>
    <row r="15" spans="1:4" ht="15.75" thickBot="1" x14ac:dyDescent="0.3">
      <c r="A15" s="13" t="s">
        <v>40</v>
      </c>
      <c r="B15" s="31" t="s">
        <v>56</v>
      </c>
      <c r="C15" s="27"/>
    </row>
    <row r="16" spans="1:4" ht="15.75" thickBot="1" x14ac:dyDescent="0.3">
      <c r="B16" s="32" t="s">
        <v>57</v>
      </c>
      <c r="C16" s="27"/>
    </row>
    <row r="17" spans="1:4" ht="15.75" thickBot="1" x14ac:dyDescent="0.3">
      <c r="B17" t="s">
        <v>2478</v>
      </c>
      <c r="C17" s="27"/>
    </row>
    <row r="18" spans="1:4" ht="15.75" thickBot="1" x14ac:dyDescent="0.3">
      <c r="A18" s="39" t="s">
        <v>7</v>
      </c>
      <c r="B18" t="s">
        <v>2479</v>
      </c>
      <c r="C18" s="27"/>
    </row>
    <row r="19" spans="1:4" ht="15.75" thickBot="1" x14ac:dyDescent="0.3">
      <c r="A19" s="38" t="s">
        <v>8</v>
      </c>
      <c r="C19" s="27"/>
    </row>
    <row r="20" spans="1:4" x14ac:dyDescent="0.25">
      <c r="C20" s="27"/>
    </row>
    <row r="21" spans="1:4" x14ac:dyDescent="0.25">
      <c r="C21" s="27"/>
    </row>
    <row r="22" spans="1:4" x14ac:dyDescent="0.25">
      <c r="C22" s="27"/>
    </row>
    <row r="23" spans="1:4" ht="15.75" thickBot="1" x14ac:dyDescent="0.3">
      <c r="C23" s="28"/>
    </row>
    <row r="26" spans="1:4" ht="15.75" thickBot="1" x14ac:dyDescent="0.3"/>
    <row r="27" spans="1:4" ht="15.75" thickBot="1" x14ac:dyDescent="0.3">
      <c r="A27" s="86" t="s">
        <v>98</v>
      </c>
      <c r="B27" s="87"/>
      <c r="C27" s="87"/>
      <c r="D27" s="88"/>
    </row>
    <row r="28" spans="1:4" ht="15.75" thickBot="1" x14ac:dyDescent="0.3">
      <c r="A28" s="48" t="s">
        <v>99</v>
      </c>
      <c r="B28" s="49" t="s">
        <v>100</v>
      </c>
      <c r="C28" s="49" t="s">
        <v>101</v>
      </c>
      <c r="D28" s="50" t="s">
        <v>102</v>
      </c>
    </row>
    <row r="29" spans="1:4" x14ac:dyDescent="0.25">
      <c r="A29" s="51">
        <v>44713</v>
      </c>
      <c r="B29" s="52">
        <v>44986</v>
      </c>
      <c r="C29" s="52">
        <v>45352</v>
      </c>
      <c r="D29" s="53">
        <v>45717</v>
      </c>
    </row>
    <row r="30" spans="1:4" x14ac:dyDescent="0.25">
      <c r="A30" s="54">
        <v>44743</v>
      </c>
      <c r="B30" s="55">
        <v>45017</v>
      </c>
      <c r="C30" s="55">
        <v>45383</v>
      </c>
      <c r="D30" s="56">
        <v>45748</v>
      </c>
    </row>
    <row r="31" spans="1:4" x14ac:dyDescent="0.25">
      <c r="A31" s="54">
        <v>44774</v>
      </c>
      <c r="B31" s="55">
        <v>45047</v>
      </c>
      <c r="C31" s="55">
        <v>45413</v>
      </c>
      <c r="D31" s="56">
        <v>45778</v>
      </c>
    </row>
    <row r="32" spans="1:4" x14ac:dyDescent="0.25">
      <c r="A32" s="54">
        <v>44805</v>
      </c>
      <c r="B32" s="55">
        <v>45078</v>
      </c>
      <c r="C32" s="55">
        <v>45444</v>
      </c>
      <c r="D32" s="56">
        <v>45809</v>
      </c>
    </row>
    <row r="33" spans="1:4" x14ac:dyDescent="0.25">
      <c r="A33" s="54">
        <v>44835</v>
      </c>
      <c r="B33" s="55">
        <v>45108</v>
      </c>
      <c r="C33" s="55">
        <v>45474</v>
      </c>
      <c r="D33" s="56">
        <v>45839</v>
      </c>
    </row>
    <row r="34" spans="1:4" x14ac:dyDescent="0.25">
      <c r="A34" s="54">
        <v>44866</v>
      </c>
      <c r="B34" s="55">
        <v>45139</v>
      </c>
      <c r="C34" s="55">
        <v>45505</v>
      </c>
      <c r="D34" s="56">
        <v>45870</v>
      </c>
    </row>
    <row r="35" spans="1:4" x14ac:dyDescent="0.25">
      <c r="A35" s="54">
        <v>44896</v>
      </c>
      <c r="B35" s="55">
        <v>45170</v>
      </c>
      <c r="C35" s="55">
        <v>45536</v>
      </c>
      <c r="D35" s="56">
        <v>45901</v>
      </c>
    </row>
    <row r="36" spans="1:4" x14ac:dyDescent="0.25">
      <c r="A36" s="54">
        <v>44927</v>
      </c>
      <c r="B36" s="55">
        <v>45200</v>
      </c>
      <c r="C36" s="55">
        <v>45566</v>
      </c>
      <c r="D36" s="56">
        <v>45931</v>
      </c>
    </row>
    <row r="37" spans="1:4" x14ac:dyDescent="0.25">
      <c r="A37" s="54">
        <v>44958</v>
      </c>
      <c r="B37" s="55">
        <v>45231</v>
      </c>
      <c r="C37" s="55">
        <v>45597</v>
      </c>
      <c r="D37" s="56">
        <v>45962</v>
      </c>
    </row>
    <row r="38" spans="1:4" x14ac:dyDescent="0.25">
      <c r="A38" s="57"/>
      <c r="B38" s="55">
        <v>45261</v>
      </c>
      <c r="C38" s="55">
        <v>45627</v>
      </c>
      <c r="D38" s="56">
        <v>45992</v>
      </c>
    </row>
    <row r="39" spans="1:4" x14ac:dyDescent="0.25">
      <c r="A39" s="57"/>
      <c r="B39" s="55">
        <v>45292</v>
      </c>
      <c r="C39" s="55">
        <v>45658</v>
      </c>
      <c r="D39" s="56">
        <v>46023</v>
      </c>
    </row>
    <row r="40" spans="1:4" ht="15.75" thickBot="1" x14ac:dyDescent="0.3">
      <c r="A40" s="58"/>
      <c r="B40" s="59">
        <v>45323</v>
      </c>
      <c r="C40" s="59">
        <v>45689</v>
      </c>
      <c r="D40" s="60">
        <v>46054</v>
      </c>
    </row>
    <row r="42" spans="1:4" x14ac:dyDescent="0.25">
      <c r="A42" t="s">
        <v>189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6A5F-8A52-40EF-8D37-D0A74E2C0753}">
  <sheetPr codeName="Munka8"/>
  <dimension ref="A1:J947"/>
  <sheetViews>
    <sheetView zoomScale="85" zoomScaleNormal="85" workbookViewId="0">
      <selection activeCell="A39" sqref="A39"/>
    </sheetView>
  </sheetViews>
  <sheetFormatPr defaultColWidth="9.140625" defaultRowHeight="15" x14ac:dyDescent="0.25"/>
  <cols>
    <col min="1" max="1" width="60.7109375" style="370" customWidth="1"/>
    <col min="2" max="2" width="14.85546875" style="370" customWidth="1"/>
    <col min="3" max="3" width="14" style="370" customWidth="1"/>
    <col min="4" max="6" width="10.85546875" style="370" customWidth="1"/>
    <col min="7" max="16384" width="9.140625" style="370"/>
  </cols>
  <sheetData>
    <row r="1" spans="1:6" ht="15.75" thickBot="1" x14ac:dyDescent="0.3">
      <c r="A1" s="367" t="s">
        <v>263</v>
      </c>
      <c r="B1" s="368" t="s">
        <v>264</v>
      </c>
      <c r="C1" s="367" t="s">
        <v>265</v>
      </c>
      <c r="D1" s="369" t="s">
        <v>266</v>
      </c>
      <c r="E1" s="369" t="s">
        <v>267</v>
      </c>
      <c r="F1" s="368" t="s">
        <v>268</v>
      </c>
    </row>
    <row r="2" spans="1:6" ht="15.75" thickBot="1" x14ac:dyDescent="0.3">
      <c r="A2" s="371" t="s">
        <v>269</v>
      </c>
      <c r="B2" s="371" t="s">
        <v>270</v>
      </c>
      <c r="C2" s="372" t="s">
        <v>271</v>
      </c>
      <c r="D2" s="372" t="s">
        <v>272</v>
      </c>
      <c r="E2" s="372" t="s">
        <v>273</v>
      </c>
      <c r="F2" s="372" t="s">
        <v>274</v>
      </c>
    </row>
    <row r="3" spans="1:6" ht="15.75" thickBot="1" x14ac:dyDescent="0.3">
      <c r="A3" s="373"/>
      <c r="B3" s="373"/>
      <c r="C3" s="374">
        <v>2021</v>
      </c>
      <c r="D3" s="375"/>
      <c r="E3" s="375"/>
      <c r="F3" s="375"/>
    </row>
    <row r="4" spans="1:6" x14ac:dyDescent="0.25">
      <c r="A4" s="376">
        <v>110</v>
      </c>
      <c r="B4" s="377" t="s">
        <v>275</v>
      </c>
      <c r="C4" s="378">
        <v>610334</v>
      </c>
      <c r="D4" s="378">
        <v>703824</v>
      </c>
      <c r="E4" s="378">
        <v>821442</v>
      </c>
      <c r="F4" s="378">
        <v>994178</v>
      </c>
    </row>
    <row r="5" spans="1:6" x14ac:dyDescent="0.25">
      <c r="A5" s="379">
        <v>210</v>
      </c>
      <c r="B5" s="380" t="s">
        <v>276</v>
      </c>
      <c r="C5" s="381">
        <v>453256</v>
      </c>
      <c r="D5" s="381">
        <v>501006</v>
      </c>
      <c r="E5" s="381">
        <v>543013</v>
      </c>
      <c r="F5" s="381">
        <v>555638</v>
      </c>
    </row>
    <row r="6" spans="1:6" x14ac:dyDescent="0.25">
      <c r="A6" s="376">
        <v>310</v>
      </c>
      <c r="B6" s="377" t="s">
        <v>277</v>
      </c>
      <c r="C6" s="378">
        <v>378183</v>
      </c>
      <c r="D6" s="378">
        <v>418453</v>
      </c>
      <c r="E6" s="378">
        <v>424822</v>
      </c>
      <c r="F6" s="378">
        <v>431805</v>
      </c>
    </row>
    <row r="7" spans="1:6" x14ac:dyDescent="0.25">
      <c r="A7" s="379">
        <v>1110</v>
      </c>
      <c r="B7" s="380" t="s">
        <v>278</v>
      </c>
      <c r="C7" s="382" t="s">
        <v>279</v>
      </c>
      <c r="D7" s="381">
        <v>1393815</v>
      </c>
      <c r="E7" s="381">
        <v>1480872</v>
      </c>
      <c r="F7" s="381">
        <v>1678539</v>
      </c>
    </row>
    <row r="8" spans="1:6" x14ac:dyDescent="0.25">
      <c r="A8" s="376">
        <v>1121</v>
      </c>
      <c r="B8" s="377" t="s">
        <v>280</v>
      </c>
      <c r="C8" s="378">
        <v>959016</v>
      </c>
      <c r="D8" s="378">
        <v>1047039</v>
      </c>
      <c r="E8" s="378">
        <v>1102504</v>
      </c>
      <c r="F8" s="378">
        <v>1209867</v>
      </c>
    </row>
    <row r="9" spans="1:6" x14ac:dyDescent="0.25">
      <c r="A9" s="379">
        <v>1122</v>
      </c>
      <c r="B9" s="380" t="s">
        <v>281</v>
      </c>
      <c r="C9" s="382" t="s">
        <v>279</v>
      </c>
      <c r="D9" s="381">
        <v>541264</v>
      </c>
      <c r="E9" s="381">
        <v>546732</v>
      </c>
      <c r="F9" s="381">
        <v>539206</v>
      </c>
    </row>
    <row r="10" spans="1:6" x14ac:dyDescent="0.25">
      <c r="A10" s="376">
        <v>1123</v>
      </c>
      <c r="B10" s="377" t="s">
        <v>282</v>
      </c>
      <c r="C10" s="378">
        <v>572185</v>
      </c>
      <c r="D10" s="378">
        <v>658231</v>
      </c>
      <c r="E10" s="378">
        <v>729859</v>
      </c>
      <c r="F10" s="378">
        <v>769962</v>
      </c>
    </row>
    <row r="11" spans="1:6" x14ac:dyDescent="0.25">
      <c r="A11" s="379">
        <v>1131</v>
      </c>
      <c r="B11" s="380" t="s">
        <v>283</v>
      </c>
      <c r="C11" s="382" t="s">
        <v>279</v>
      </c>
      <c r="D11" s="383" t="s">
        <v>279</v>
      </c>
      <c r="E11" s="381">
        <v>1000673</v>
      </c>
      <c r="F11" s="381">
        <v>943659</v>
      </c>
    </row>
    <row r="12" spans="1:6" x14ac:dyDescent="0.25">
      <c r="A12" s="376">
        <v>1210</v>
      </c>
      <c r="B12" s="377" t="s">
        <v>284</v>
      </c>
      <c r="C12" s="378">
        <v>376208</v>
      </c>
      <c r="D12" s="378">
        <v>646023</v>
      </c>
      <c r="E12" s="378">
        <v>869149</v>
      </c>
      <c r="F12" s="378">
        <v>980645</v>
      </c>
    </row>
    <row r="13" spans="1:6" x14ac:dyDescent="0.25">
      <c r="A13" s="379">
        <v>1311</v>
      </c>
      <c r="B13" s="380" t="s">
        <v>285</v>
      </c>
      <c r="C13" s="381">
        <v>432910</v>
      </c>
      <c r="D13" s="381">
        <v>577232</v>
      </c>
      <c r="E13" s="381">
        <v>607879</v>
      </c>
      <c r="F13" s="381">
        <v>612492</v>
      </c>
    </row>
    <row r="14" spans="1:6" x14ac:dyDescent="0.25">
      <c r="A14" s="376">
        <v>1312</v>
      </c>
      <c r="B14" s="377" t="s">
        <v>286</v>
      </c>
      <c r="C14" s="378">
        <v>625030</v>
      </c>
      <c r="D14" s="378">
        <v>894140</v>
      </c>
      <c r="E14" s="378">
        <v>1052374</v>
      </c>
      <c r="F14" s="378">
        <v>934971</v>
      </c>
    </row>
    <row r="15" spans="1:6" x14ac:dyDescent="0.25">
      <c r="A15" s="379">
        <v>1313</v>
      </c>
      <c r="B15" s="380" t="s">
        <v>287</v>
      </c>
      <c r="C15" s="381">
        <v>472344</v>
      </c>
      <c r="D15" s="381">
        <v>617401</v>
      </c>
      <c r="E15" s="381">
        <v>606062</v>
      </c>
      <c r="F15" s="381">
        <v>598924</v>
      </c>
    </row>
    <row r="16" spans="1:6" x14ac:dyDescent="0.25">
      <c r="A16" s="376">
        <v>1321</v>
      </c>
      <c r="B16" s="377" t="s">
        <v>288</v>
      </c>
      <c r="C16" s="378">
        <v>507988</v>
      </c>
      <c r="D16" s="378">
        <v>731302</v>
      </c>
      <c r="E16" s="378">
        <v>883398</v>
      </c>
      <c r="F16" s="378">
        <v>752766</v>
      </c>
    </row>
    <row r="17" spans="1:6" x14ac:dyDescent="0.25">
      <c r="A17" s="379">
        <v>1322</v>
      </c>
      <c r="B17" s="380" t="s">
        <v>289</v>
      </c>
      <c r="C17" s="381">
        <v>820173</v>
      </c>
      <c r="D17" s="381">
        <v>1184533</v>
      </c>
      <c r="E17" s="381">
        <v>1317498</v>
      </c>
      <c r="F17" s="381">
        <v>1187144</v>
      </c>
    </row>
    <row r="18" spans="1:6" x14ac:dyDescent="0.25">
      <c r="A18" s="376">
        <v>1323</v>
      </c>
      <c r="B18" s="377" t="s">
        <v>290</v>
      </c>
      <c r="C18" s="378">
        <v>738523</v>
      </c>
      <c r="D18" s="378">
        <v>1209893</v>
      </c>
      <c r="E18" s="378">
        <v>1409095</v>
      </c>
      <c r="F18" s="378">
        <v>1228579</v>
      </c>
    </row>
    <row r="19" spans="1:6" x14ac:dyDescent="0.25">
      <c r="A19" s="379">
        <v>1324</v>
      </c>
      <c r="B19" s="380" t="s">
        <v>291</v>
      </c>
      <c r="C19" s="381">
        <v>374186</v>
      </c>
      <c r="D19" s="381">
        <v>427771</v>
      </c>
      <c r="E19" s="381">
        <v>476855</v>
      </c>
      <c r="F19" s="381">
        <v>531218</v>
      </c>
    </row>
    <row r="20" spans="1:6" x14ac:dyDescent="0.25">
      <c r="A20" s="376">
        <v>1325</v>
      </c>
      <c r="B20" s="377" t="s">
        <v>292</v>
      </c>
      <c r="C20" s="378">
        <v>352869</v>
      </c>
      <c r="D20" s="378">
        <v>411169</v>
      </c>
      <c r="E20" s="378">
        <v>474969</v>
      </c>
      <c r="F20" s="378">
        <v>532660</v>
      </c>
    </row>
    <row r="21" spans="1:6" x14ac:dyDescent="0.25">
      <c r="A21" s="379">
        <v>1326</v>
      </c>
      <c r="B21" s="380" t="s">
        <v>293</v>
      </c>
      <c r="C21" s="382" t="s">
        <v>279</v>
      </c>
      <c r="D21" s="381">
        <v>432389</v>
      </c>
      <c r="E21" s="381">
        <v>471295</v>
      </c>
      <c r="F21" s="381">
        <v>495489</v>
      </c>
    </row>
    <row r="22" spans="1:6" x14ac:dyDescent="0.25">
      <c r="A22" s="376">
        <v>1327</v>
      </c>
      <c r="B22" s="377" t="s">
        <v>294</v>
      </c>
      <c r="C22" s="384" t="s">
        <v>279</v>
      </c>
      <c r="D22" s="378">
        <v>807423</v>
      </c>
      <c r="E22" s="378">
        <v>1026307</v>
      </c>
      <c r="F22" s="378">
        <v>1606725</v>
      </c>
    </row>
    <row r="23" spans="1:6" x14ac:dyDescent="0.25">
      <c r="A23" s="379">
        <v>1328</v>
      </c>
      <c r="B23" s="380" t="s">
        <v>295</v>
      </c>
      <c r="C23" s="381">
        <v>386063</v>
      </c>
      <c r="D23" s="381">
        <v>526517</v>
      </c>
      <c r="E23" s="381">
        <v>620993</v>
      </c>
      <c r="F23" s="381">
        <v>682288</v>
      </c>
    </row>
    <row r="24" spans="1:6" x14ac:dyDescent="0.25">
      <c r="A24" s="376">
        <v>1329</v>
      </c>
      <c r="B24" s="377" t="s">
        <v>296</v>
      </c>
      <c r="C24" s="378">
        <v>471485</v>
      </c>
      <c r="D24" s="378">
        <v>752210</v>
      </c>
      <c r="E24" s="378">
        <v>779029</v>
      </c>
      <c r="F24" s="378">
        <v>690125</v>
      </c>
    </row>
    <row r="25" spans="1:6" x14ac:dyDescent="0.25">
      <c r="A25" s="379">
        <v>1331</v>
      </c>
      <c r="B25" s="380" t="s">
        <v>297</v>
      </c>
      <c r="C25" s="381">
        <v>430275</v>
      </c>
      <c r="D25" s="381">
        <v>565927</v>
      </c>
      <c r="E25" s="381">
        <v>646327</v>
      </c>
      <c r="F25" s="381">
        <v>572805</v>
      </c>
    </row>
    <row r="26" spans="1:6" x14ac:dyDescent="0.25">
      <c r="A26" s="376">
        <v>1332</v>
      </c>
      <c r="B26" s="377" t="s">
        <v>298</v>
      </c>
      <c r="C26" s="378">
        <v>404207</v>
      </c>
      <c r="D26" s="378">
        <v>398818</v>
      </c>
      <c r="E26" s="378">
        <v>382203</v>
      </c>
      <c r="F26" s="378">
        <v>375283</v>
      </c>
    </row>
    <row r="27" spans="1:6" x14ac:dyDescent="0.25">
      <c r="A27" s="379">
        <v>1333</v>
      </c>
      <c r="B27" s="380" t="s">
        <v>299</v>
      </c>
      <c r="C27" s="381">
        <v>444774</v>
      </c>
      <c r="D27" s="381">
        <v>575608</v>
      </c>
      <c r="E27" s="381">
        <v>635702</v>
      </c>
      <c r="F27" s="381">
        <v>619069</v>
      </c>
    </row>
    <row r="28" spans="1:6" x14ac:dyDescent="0.25">
      <c r="A28" s="376">
        <v>1334</v>
      </c>
      <c r="B28" s="377" t="s">
        <v>300</v>
      </c>
      <c r="C28" s="378">
        <v>509119</v>
      </c>
      <c r="D28" s="378">
        <v>1023599</v>
      </c>
      <c r="E28" s="378">
        <v>1128688</v>
      </c>
      <c r="F28" s="378">
        <v>1021029</v>
      </c>
    </row>
    <row r="29" spans="1:6" x14ac:dyDescent="0.25">
      <c r="A29" s="379">
        <v>1335</v>
      </c>
      <c r="B29" s="380" t="s">
        <v>301</v>
      </c>
      <c r="C29" s="382" t="s">
        <v>279</v>
      </c>
      <c r="D29" s="381">
        <v>558024</v>
      </c>
      <c r="E29" s="381">
        <v>575937</v>
      </c>
      <c r="F29" s="381">
        <v>610700</v>
      </c>
    </row>
    <row r="30" spans="1:6" x14ac:dyDescent="0.25">
      <c r="A30" s="376">
        <v>1336</v>
      </c>
      <c r="B30" s="377" t="s">
        <v>302</v>
      </c>
      <c r="C30" s="384" t="s">
        <v>279</v>
      </c>
      <c r="D30" s="378">
        <v>546197</v>
      </c>
      <c r="E30" s="378">
        <v>605757</v>
      </c>
      <c r="F30" s="378">
        <v>644374</v>
      </c>
    </row>
    <row r="31" spans="1:6" x14ac:dyDescent="0.25">
      <c r="A31" s="379">
        <v>1339</v>
      </c>
      <c r="B31" s="380" t="s">
        <v>303</v>
      </c>
      <c r="C31" s="381">
        <v>485900</v>
      </c>
      <c r="D31" s="381">
        <v>521738</v>
      </c>
      <c r="E31" s="381">
        <v>527452</v>
      </c>
      <c r="F31" s="381">
        <v>517806</v>
      </c>
    </row>
    <row r="32" spans="1:6" x14ac:dyDescent="0.25">
      <c r="A32" s="376">
        <v>1411</v>
      </c>
      <c r="B32" s="377" t="s">
        <v>304</v>
      </c>
      <c r="C32" s="378">
        <v>705510</v>
      </c>
      <c r="D32" s="378">
        <v>1155905</v>
      </c>
      <c r="E32" s="378">
        <v>1235953</v>
      </c>
      <c r="F32" s="378">
        <v>1029920</v>
      </c>
    </row>
    <row r="33" spans="1:6" x14ac:dyDescent="0.25">
      <c r="A33" s="379">
        <v>1412</v>
      </c>
      <c r="B33" s="380" t="s">
        <v>305</v>
      </c>
      <c r="C33" s="381">
        <v>673035</v>
      </c>
      <c r="D33" s="381">
        <v>1102089</v>
      </c>
      <c r="E33" s="381">
        <v>1364388</v>
      </c>
      <c r="F33" s="381">
        <v>1210216</v>
      </c>
    </row>
    <row r="34" spans="1:6" x14ac:dyDescent="0.25">
      <c r="A34" s="376">
        <v>1413</v>
      </c>
      <c r="B34" s="377" t="s">
        <v>306</v>
      </c>
      <c r="C34" s="378">
        <v>585345</v>
      </c>
      <c r="D34" s="378">
        <v>985893</v>
      </c>
      <c r="E34" s="378">
        <v>1275992</v>
      </c>
      <c r="F34" s="378">
        <v>1296322</v>
      </c>
    </row>
    <row r="35" spans="1:6" x14ac:dyDescent="0.25">
      <c r="A35" s="379">
        <v>1414</v>
      </c>
      <c r="B35" s="380" t="s">
        <v>307</v>
      </c>
      <c r="C35" s="381">
        <v>808119</v>
      </c>
      <c r="D35" s="381">
        <v>1324854</v>
      </c>
      <c r="E35" s="381">
        <v>1388058</v>
      </c>
      <c r="F35" s="381">
        <v>1144521</v>
      </c>
    </row>
    <row r="36" spans="1:6" x14ac:dyDescent="0.25">
      <c r="A36" s="376">
        <v>1415</v>
      </c>
      <c r="B36" s="377" t="s">
        <v>308</v>
      </c>
      <c r="C36" s="378">
        <v>593444</v>
      </c>
      <c r="D36" s="378">
        <v>967682</v>
      </c>
      <c r="E36" s="378">
        <v>1181219</v>
      </c>
      <c r="F36" s="378">
        <v>1215584</v>
      </c>
    </row>
    <row r="37" spans="1:6" x14ac:dyDescent="0.25">
      <c r="A37" s="379">
        <v>1416</v>
      </c>
      <c r="B37" s="380" t="s">
        <v>309</v>
      </c>
      <c r="C37" s="381">
        <v>645761</v>
      </c>
      <c r="D37" s="381">
        <v>907032</v>
      </c>
      <c r="E37" s="381">
        <v>1037969</v>
      </c>
      <c r="F37" s="381">
        <v>1100354</v>
      </c>
    </row>
    <row r="38" spans="1:6" x14ac:dyDescent="0.25">
      <c r="A38" s="376">
        <v>1419</v>
      </c>
      <c r="B38" s="377" t="s">
        <v>310</v>
      </c>
      <c r="C38" s="378">
        <v>626428</v>
      </c>
      <c r="D38" s="378">
        <v>971881</v>
      </c>
      <c r="E38" s="378">
        <v>1112685</v>
      </c>
      <c r="F38" s="378">
        <v>985727</v>
      </c>
    </row>
    <row r="39" spans="1:6" x14ac:dyDescent="0.25">
      <c r="A39" s="379">
        <v>2111</v>
      </c>
      <c r="B39" s="380" t="s">
        <v>311</v>
      </c>
      <c r="C39" s="381">
        <v>517397</v>
      </c>
      <c r="D39" s="381">
        <v>747143</v>
      </c>
      <c r="E39" s="381">
        <v>606946</v>
      </c>
      <c r="F39" s="381">
        <v>717831</v>
      </c>
    </row>
    <row r="40" spans="1:6" x14ac:dyDescent="0.25">
      <c r="A40" s="376">
        <v>2112</v>
      </c>
      <c r="B40" s="377" t="s">
        <v>312</v>
      </c>
      <c r="C40" s="378">
        <v>531009</v>
      </c>
      <c r="D40" s="378">
        <v>710179</v>
      </c>
      <c r="E40" s="378">
        <v>804309</v>
      </c>
      <c r="F40" s="378">
        <v>833907</v>
      </c>
    </row>
    <row r="41" spans="1:6" x14ac:dyDescent="0.25">
      <c r="A41" s="379">
        <v>2113</v>
      </c>
      <c r="B41" s="380" t="s">
        <v>313</v>
      </c>
      <c r="C41" s="381">
        <v>448683</v>
      </c>
      <c r="D41" s="381">
        <v>560602</v>
      </c>
      <c r="E41" s="381">
        <v>619252</v>
      </c>
      <c r="F41" s="381">
        <v>671464</v>
      </c>
    </row>
    <row r="42" spans="1:6" x14ac:dyDescent="0.25">
      <c r="A42" s="376">
        <v>2114</v>
      </c>
      <c r="B42" s="377" t="s">
        <v>314</v>
      </c>
      <c r="C42" s="378">
        <v>456015</v>
      </c>
      <c r="D42" s="378">
        <v>563070</v>
      </c>
      <c r="E42" s="378">
        <v>628577</v>
      </c>
      <c r="F42" s="378">
        <v>587074</v>
      </c>
    </row>
    <row r="43" spans="1:6" x14ac:dyDescent="0.25">
      <c r="A43" s="379">
        <v>2115</v>
      </c>
      <c r="B43" s="380" t="s">
        <v>315</v>
      </c>
      <c r="C43" s="381">
        <v>481646</v>
      </c>
      <c r="D43" s="381">
        <v>609647</v>
      </c>
      <c r="E43" s="381">
        <v>676396</v>
      </c>
      <c r="F43" s="381">
        <v>672323</v>
      </c>
    </row>
    <row r="44" spans="1:6" x14ac:dyDescent="0.25">
      <c r="A44" s="376">
        <v>2116</v>
      </c>
      <c r="B44" s="377" t="s">
        <v>316</v>
      </c>
      <c r="C44" s="378">
        <v>548756</v>
      </c>
      <c r="D44" s="378">
        <v>726702</v>
      </c>
      <c r="E44" s="378">
        <v>814492</v>
      </c>
      <c r="F44" s="378">
        <v>751057</v>
      </c>
    </row>
    <row r="45" spans="1:6" x14ac:dyDescent="0.25">
      <c r="A45" s="379">
        <v>2117</v>
      </c>
      <c r="B45" s="380" t="s">
        <v>317</v>
      </c>
      <c r="C45" s="381">
        <v>538686</v>
      </c>
      <c r="D45" s="381">
        <v>696588</v>
      </c>
      <c r="E45" s="381">
        <v>824591</v>
      </c>
      <c r="F45" s="381">
        <v>826737</v>
      </c>
    </row>
    <row r="46" spans="1:6" x14ac:dyDescent="0.25">
      <c r="A46" s="376">
        <v>2118</v>
      </c>
      <c r="B46" s="377" t="s">
        <v>318</v>
      </c>
      <c r="C46" s="378">
        <v>607699</v>
      </c>
      <c r="D46" s="378">
        <v>780252</v>
      </c>
      <c r="E46" s="378">
        <v>863893</v>
      </c>
      <c r="F46" s="378">
        <v>806103</v>
      </c>
    </row>
    <row r="47" spans="1:6" x14ac:dyDescent="0.25">
      <c r="A47" s="379">
        <v>2121</v>
      </c>
      <c r="B47" s="380" t="s">
        <v>319</v>
      </c>
      <c r="C47" s="381">
        <v>655956</v>
      </c>
      <c r="D47" s="381">
        <v>833475</v>
      </c>
      <c r="E47" s="381">
        <v>905593</v>
      </c>
      <c r="F47" s="381">
        <v>839387</v>
      </c>
    </row>
    <row r="48" spans="1:6" x14ac:dyDescent="0.25">
      <c r="A48" s="376">
        <v>2122</v>
      </c>
      <c r="B48" s="377" t="s">
        <v>320</v>
      </c>
      <c r="C48" s="378">
        <v>661840</v>
      </c>
      <c r="D48" s="378">
        <v>861128</v>
      </c>
      <c r="E48" s="378">
        <v>901460</v>
      </c>
      <c r="F48" s="378">
        <v>815654</v>
      </c>
    </row>
    <row r="49" spans="1:6" x14ac:dyDescent="0.25">
      <c r="A49" s="379">
        <v>2123</v>
      </c>
      <c r="B49" s="380" t="s">
        <v>321</v>
      </c>
      <c r="C49" s="381">
        <v>672750</v>
      </c>
      <c r="D49" s="381">
        <v>1139228</v>
      </c>
      <c r="E49" s="381">
        <v>975935</v>
      </c>
      <c r="F49" s="381">
        <v>851181</v>
      </c>
    </row>
    <row r="50" spans="1:6" x14ac:dyDescent="0.25">
      <c r="A50" s="376">
        <v>2131</v>
      </c>
      <c r="B50" s="377" t="s">
        <v>322</v>
      </c>
      <c r="C50" s="378">
        <v>412014</v>
      </c>
      <c r="D50" s="378">
        <v>534154</v>
      </c>
      <c r="E50" s="378">
        <v>618653</v>
      </c>
      <c r="F50" s="378">
        <v>642466</v>
      </c>
    </row>
    <row r="51" spans="1:6" x14ac:dyDescent="0.25">
      <c r="A51" s="379">
        <v>2132</v>
      </c>
      <c r="B51" s="380" t="s">
        <v>323</v>
      </c>
      <c r="C51" s="381">
        <v>455858</v>
      </c>
      <c r="D51" s="381">
        <v>580650</v>
      </c>
      <c r="E51" s="381">
        <v>664687</v>
      </c>
      <c r="F51" s="381">
        <v>647457</v>
      </c>
    </row>
    <row r="52" spans="1:6" x14ac:dyDescent="0.25">
      <c r="A52" s="376">
        <v>2133</v>
      </c>
      <c r="B52" s="377" t="s">
        <v>324</v>
      </c>
      <c r="C52" s="378">
        <v>363633</v>
      </c>
      <c r="D52" s="378">
        <v>463973</v>
      </c>
      <c r="E52" s="378">
        <v>536146</v>
      </c>
      <c r="F52" s="378">
        <v>535547</v>
      </c>
    </row>
    <row r="53" spans="1:6" x14ac:dyDescent="0.25">
      <c r="A53" s="379">
        <v>2134</v>
      </c>
      <c r="B53" s="380" t="s">
        <v>325</v>
      </c>
      <c r="C53" s="381">
        <v>492725</v>
      </c>
      <c r="D53" s="381">
        <v>649468</v>
      </c>
      <c r="E53" s="381">
        <v>694787</v>
      </c>
      <c r="F53" s="381">
        <v>719544</v>
      </c>
    </row>
    <row r="54" spans="1:6" x14ac:dyDescent="0.25">
      <c r="A54" s="376">
        <v>2135</v>
      </c>
      <c r="B54" s="377" t="s">
        <v>326</v>
      </c>
      <c r="C54" s="378">
        <v>458190</v>
      </c>
      <c r="D54" s="378">
        <v>507354</v>
      </c>
      <c r="E54" s="378">
        <v>552984</v>
      </c>
      <c r="F54" s="378">
        <v>512616</v>
      </c>
    </row>
    <row r="55" spans="1:6" x14ac:dyDescent="0.25">
      <c r="A55" s="379">
        <v>2136</v>
      </c>
      <c r="B55" s="380" t="s">
        <v>327</v>
      </c>
      <c r="C55" s="381">
        <v>412066</v>
      </c>
      <c r="D55" s="381">
        <v>580750</v>
      </c>
      <c r="E55" s="381">
        <v>604341</v>
      </c>
      <c r="F55" s="381">
        <v>498324</v>
      </c>
    </row>
    <row r="56" spans="1:6" x14ac:dyDescent="0.25">
      <c r="A56" s="376">
        <v>2137</v>
      </c>
      <c r="B56" s="377" t="s">
        <v>328</v>
      </c>
      <c r="C56" s="378">
        <v>602925</v>
      </c>
      <c r="D56" s="378">
        <v>773737</v>
      </c>
      <c r="E56" s="378">
        <v>843003</v>
      </c>
      <c r="F56" s="378">
        <v>820284</v>
      </c>
    </row>
    <row r="57" spans="1:6" x14ac:dyDescent="0.25">
      <c r="A57" s="379">
        <v>2139</v>
      </c>
      <c r="B57" s="380" t="s">
        <v>329</v>
      </c>
      <c r="C57" s="381">
        <v>639238</v>
      </c>
      <c r="D57" s="381">
        <v>845378</v>
      </c>
      <c r="E57" s="381">
        <v>916594</v>
      </c>
      <c r="F57" s="381">
        <v>842437</v>
      </c>
    </row>
    <row r="58" spans="1:6" x14ac:dyDescent="0.25">
      <c r="A58" s="376">
        <v>2141</v>
      </c>
      <c r="B58" s="377" t="s">
        <v>330</v>
      </c>
      <c r="C58" s="378">
        <v>667631</v>
      </c>
      <c r="D58" s="378">
        <v>875305</v>
      </c>
      <c r="E58" s="378">
        <v>967494</v>
      </c>
      <c r="F58" s="378">
        <v>909369</v>
      </c>
    </row>
    <row r="59" spans="1:6" x14ac:dyDescent="0.25">
      <c r="A59" s="379">
        <v>2142</v>
      </c>
      <c r="B59" s="380" t="s">
        <v>331</v>
      </c>
      <c r="C59" s="381">
        <v>703061</v>
      </c>
      <c r="D59" s="381">
        <v>938832</v>
      </c>
      <c r="E59" s="381">
        <v>1013093</v>
      </c>
      <c r="F59" s="381">
        <v>929299</v>
      </c>
    </row>
    <row r="60" spans="1:6" x14ac:dyDescent="0.25">
      <c r="A60" s="376">
        <v>2143</v>
      </c>
      <c r="B60" s="377" t="s">
        <v>332</v>
      </c>
      <c r="C60" s="378">
        <v>502498</v>
      </c>
      <c r="D60" s="378">
        <v>744557</v>
      </c>
      <c r="E60" s="378">
        <v>927604</v>
      </c>
      <c r="F60" s="378">
        <v>882301</v>
      </c>
    </row>
    <row r="61" spans="1:6" x14ac:dyDescent="0.25">
      <c r="A61" s="379">
        <v>2144</v>
      </c>
      <c r="B61" s="380" t="s">
        <v>333</v>
      </c>
      <c r="C61" s="381">
        <v>565740</v>
      </c>
      <c r="D61" s="381">
        <v>756207</v>
      </c>
      <c r="E61" s="381">
        <v>772416</v>
      </c>
      <c r="F61" s="381">
        <v>703432</v>
      </c>
    </row>
    <row r="62" spans="1:6" x14ac:dyDescent="0.25">
      <c r="A62" s="376">
        <v>2149</v>
      </c>
      <c r="B62" s="377" t="s">
        <v>334</v>
      </c>
      <c r="C62" s="378">
        <v>641529</v>
      </c>
      <c r="D62" s="378">
        <v>895515</v>
      </c>
      <c r="E62" s="378">
        <v>1025021</v>
      </c>
      <c r="F62" s="378">
        <v>957070</v>
      </c>
    </row>
    <row r="63" spans="1:6" x14ac:dyDescent="0.25">
      <c r="A63" s="379">
        <v>2151</v>
      </c>
      <c r="B63" s="380" t="s">
        <v>335</v>
      </c>
      <c r="C63" s="381">
        <v>626776</v>
      </c>
      <c r="D63" s="381">
        <v>796993</v>
      </c>
      <c r="E63" s="381">
        <v>801724</v>
      </c>
      <c r="F63" s="381">
        <v>745859</v>
      </c>
    </row>
    <row r="64" spans="1:6" x14ac:dyDescent="0.25">
      <c r="A64" s="376">
        <v>2152</v>
      </c>
      <c r="B64" s="377" t="s">
        <v>336</v>
      </c>
      <c r="C64" s="378">
        <v>462761</v>
      </c>
      <c r="D64" s="378">
        <v>632993</v>
      </c>
      <c r="E64" s="378">
        <v>692847</v>
      </c>
      <c r="F64" s="378">
        <v>676096</v>
      </c>
    </row>
    <row r="65" spans="1:6" x14ac:dyDescent="0.25">
      <c r="A65" s="379">
        <v>2153</v>
      </c>
      <c r="B65" s="380" t="s">
        <v>337</v>
      </c>
      <c r="C65" s="381">
        <v>568951</v>
      </c>
      <c r="D65" s="381">
        <v>757034</v>
      </c>
      <c r="E65" s="381">
        <v>786335</v>
      </c>
      <c r="F65" s="381">
        <v>710587</v>
      </c>
    </row>
    <row r="66" spans="1:6" x14ac:dyDescent="0.25">
      <c r="A66" s="376">
        <v>2159</v>
      </c>
      <c r="B66" s="377" t="s">
        <v>338</v>
      </c>
      <c r="C66" s="378">
        <v>601812</v>
      </c>
      <c r="D66" s="378">
        <v>787592</v>
      </c>
      <c r="E66" s="378">
        <v>854617</v>
      </c>
      <c r="F66" s="378">
        <v>803973</v>
      </c>
    </row>
    <row r="67" spans="1:6" x14ac:dyDescent="0.25">
      <c r="A67" s="379">
        <v>2161</v>
      </c>
      <c r="B67" s="380" t="s">
        <v>339</v>
      </c>
      <c r="C67" s="381">
        <v>606386</v>
      </c>
      <c r="D67" s="381">
        <v>729135</v>
      </c>
      <c r="E67" s="381">
        <v>927571</v>
      </c>
      <c r="F67" s="381">
        <v>933825</v>
      </c>
    </row>
    <row r="68" spans="1:6" x14ac:dyDescent="0.25">
      <c r="A68" s="376">
        <v>2163</v>
      </c>
      <c r="B68" s="377" t="s">
        <v>340</v>
      </c>
      <c r="C68" s="385" t="s">
        <v>279</v>
      </c>
      <c r="D68" s="378">
        <v>560580</v>
      </c>
      <c r="E68" s="384" t="s">
        <v>279</v>
      </c>
      <c r="F68" s="384" t="s">
        <v>279</v>
      </c>
    </row>
    <row r="69" spans="1:6" x14ac:dyDescent="0.25">
      <c r="A69" s="379">
        <v>2164</v>
      </c>
      <c r="B69" s="380" t="s">
        <v>341</v>
      </c>
      <c r="C69" s="381">
        <v>509764</v>
      </c>
      <c r="D69" s="381">
        <v>658268</v>
      </c>
      <c r="E69" s="381">
        <v>787278</v>
      </c>
      <c r="F69" s="381">
        <v>896683</v>
      </c>
    </row>
    <row r="70" spans="1:6" x14ac:dyDescent="0.25">
      <c r="A70" s="376">
        <v>2165</v>
      </c>
      <c r="B70" s="377" t="s">
        <v>342</v>
      </c>
      <c r="C70" s="378">
        <v>457996</v>
      </c>
      <c r="D70" s="378">
        <v>607857</v>
      </c>
      <c r="E70" s="378">
        <v>824510</v>
      </c>
      <c r="F70" s="378">
        <v>944179</v>
      </c>
    </row>
    <row r="71" spans="1:6" x14ac:dyDescent="0.25">
      <c r="A71" s="379">
        <v>2166</v>
      </c>
      <c r="B71" s="380" t="s">
        <v>343</v>
      </c>
      <c r="C71" s="381">
        <v>641530</v>
      </c>
      <c r="D71" s="381">
        <v>883954</v>
      </c>
      <c r="E71" s="381">
        <v>981384</v>
      </c>
      <c r="F71" s="381">
        <v>997549</v>
      </c>
    </row>
    <row r="72" spans="1:6" x14ac:dyDescent="0.25">
      <c r="A72" s="376">
        <v>2167</v>
      </c>
      <c r="B72" s="377" t="s">
        <v>344</v>
      </c>
      <c r="C72" s="378">
        <v>471057</v>
      </c>
      <c r="D72" s="378">
        <v>578385</v>
      </c>
      <c r="E72" s="378">
        <v>749359</v>
      </c>
      <c r="F72" s="378">
        <v>944032</v>
      </c>
    </row>
    <row r="73" spans="1:6" x14ac:dyDescent="0.25">
      <c r="A73" s="379">
        <v>2168</v>
      </c>
      <c r="B73" s="380" t="s">
        <v>345</v>
      </c>
      <c r="C73" s="381">
        <v>457217</v>
      </c>
      <c r="D73" s="381">
        <v>547111</v>
      </c>
      <c r="E73" s="381">
        <v>645600</v>
      </c>
      <c r="F73" s="381">
        <v>786507</v>
      </c>
    </row>
    <row r="74" spans="1:6" x14ac:dyDescent="0.25">
      <c r="A74" s="376">
        <v>2169</v>
      </c>
      <c r="B74" s="377" t="s">
        <v>346</v>
      </c>
      <c r="C74" s="378">
        <v>505959</v>
      </c>
      <c r="D74" s="378">
        <v>641245</v>
      </c>
      <c r="E74" s="378">
        <v>758214</v>
      </c>
      <c r="F74" s="378">
        <v>865200</v>
      </c>
    </row>
    <row r="75" spans="1:6" x14ac:dyDescent="0.25">
      <c r="A75" s="379">
        <v>2211</v>
      </c>
      <c r="B75" s="380" t="s">
        <v>347</v>
      </c>
      <c r="C75" s="381">
        <v>830930</v>
      </c>
      <c r="D75" s="381">
        <v>1103071</v>
      </c>
      <c r="E75" s="381">
        <v>1081458</v>
      </c>
      <c r="F75" s="381">
        <v>1276788</v>
      </c>
    </row>
    <row r="76" spans="1:6" x14ac:dyDescent="0.25">
      <c r="A76" s="376">
        <v>2212</v>
      </c>
      <c r="B76" s="377" t="s">
        <v>348</v>
      </c>
      <c r="C76" s="378">
        <v>925852</v>
      </c>
      <c r="D76" s="378">
        <v>1378655</v>
      </c>
      <c r="E76" s="378">
        <v>1588607</v>
      </c>
      <c r="F76" s="378">
        <v>1919069</v>
      </c>
    </row>
    <row r="77" spans="1:6" x14ac:dyDescent="0.25">
      <c r="A77" s="379">
        <v>2213</v>
      </c>
      <c r="B77" s="380" t="s">
        <v>349</v>
      </c>
      <c r="C77" s="381">
        <v>476446</v>
      </c>
      <c r="D77" s="381">
        <v>577834</v>
      </c>
      <c r="E77" s="381">
        <v>676357</v>
      </c>
      <c r="F77" s="381">
        <v>1022076</v>
      </c>
    </row>
    <row r="78" spans="1:6" x14ac:dyDescent="0.25">
      <c r="A78" s="376">
        <v>2214</v>
      </c>
      <c r="B78" s="377" t="s">
        <v>350</v>
      </c>
      <c r="C78" s="378">
        <v>558568</v>
      </c>
      <c r="D78" s="378">
        <v>633911</v>
      </c>
      <c r="E78" s="378">
        <v>664966</v>
      </c>
      <c r="F78" s="378">
        <v>771337</v>
      </c>
    </row>
    <row r="79" spans="1:6" x14ac:dyDescent="0.25">
      <c r="A79" s="379">
        <v>2221</v>
      </c>
      <c r="B79" s="380" t="s">
        <v>351</v>
      </c>
      <c r="C79" s="381">
        <v>443564</v>
      </c>
      <c r="D79" s="381">
        <v>524257</v>
      </c>
      <c r="E79" s="381">
        <v>552353</v>
      </c>
      <c r="F79" s="381">
        <v>596503</v>
      </c>
    </row>
    <row r="80" spans="1:6" x14ac:dyDescent="0.25">
      <c r="A80" s="376">
        <v>2222</v>
      </c>
      <c r="B80" s="377" t="s">
        <v>352</v>
      </c>
      <c r="C80" s="378">
        <v>413024</v>
      </c>
      <c r="D80" s="378">
        <v>461881</v>
      </c>
      <c r="E80" s="378">
        <v>412789</v>
      </c>
      <c r="F80" s="378">
        <v>476412</v>
      </c>
    </row>
    <row r="81" spans="1:10" x14ac:dyDescent="0.25">
      <c r="A81" s="379">
        <v>2223</v>
      </c>
      <c r="B81" s="380" t="s">
        <v>353</v>
      </c>
      <c r="C81" s="381">
        <v>369411</v>
      </c>
      <c r="D81" s="381">
        <v>391876</v>
      </c>
      <c r="E81" s="381">
        <v>420232</v>
      </c>
      <c r="F81" s="381">
        <v>473516</v>
      </c>
    </row>
    <row r="82" spans="1:10" x14ac:dyDescent="0.25">
      <c r="A82" s="376">
        <v>2224</v>
      </c>
      <c r="B82" s="377" t="s">
        <v>354</v>
      </c>
      <c r="C82" s="378">
        <v>369338</v>
      </c>
      <c r="D82" s="378">
        <v>400114</v>
      </c>
      <c r="E82" s="378">
        <v>451210</v>
      </c>
      <c r="F82" s="378">
        <v>541502</v>
      </c>
    </row>
    <row r="83" spans="1:10" x14ac:dyDescent="0.25">
      <c r="A83" s="379">
        <v>2225</v>
      </c>
      <c r="B83" s="380" t="s">
        <v>355</v>
      </c>
      <c r="C83" s="381">
        <v>445298</v>
      </c>
      <c r="D83" s="381">
        <v>473485</v>
      </c>
      <c r="E83" s="381">
        <v>524290</v>
      </c>
      <c r="F83" s="381">
        <v>616405</v>
      </c>
    </row>
    <row r="84" spans="1:10" x14ac:dyDescent="0.25">
      <c r="A84" s="376">
        <v>2226</v>
      </c>
      <c r="B84" s="377" t="s">
        <v>356</v>
      </c>
      <c r="C84" s="378">
        <v>570652</v>
      </c>
      <c r="D84" s="378">
        <v>659366</v>
      </c>
      <c r="E84" s="378">
        <v>724295</v>
      </c>
      <c r="F84" s="378">
        <v>818817</v>
      </c>
    </row>
    <row r="85" spans="1:10" x14ac:dyDescent="0.25">
      <c r="A85" s="379">
        <v>2227</v>
      </c>
      <c r="B85" s="380" t="s">
        <v>357</v>
      </c>
      <c r="C85" s="382" t="s">
        <v>279</v>
      </c>
      <c r="D85" s="382" t="s">
        <v>279</v>
      </c>
      <c r="E85" s="382" t="s">
        <v>279</v>
      </c>
      <c r="F85" s="381">
        <v>595362</v>
      </c>
    </row>
    <row r="86" spans="1:10" x14ac:dyDescent="0.25">
      <c r="A86" s="376">
        <v>2228</v>
      </c>
      <c r="B86" s="377" t="s">
        <v>358</v>
      </c>
      <c r="C86" s="384" t="s">
        <v>279</v>
      </c>
      <c r="D86" s="384" t="s">
        <v>279</v>
      </c>
      <c r="E86" s="378">
        <v>1004954</v>
      </c>
      <c r="F86" s="384" t="s">
        <v>279</v>
      </c>
    </row>
    <row r="87" spans="1:10" x14ac:dyDescent="0.25">
      <c r="A87" s="379">
        <v>2229</v>
      </c>
      <c r="B87" s="380" t="s">
        <v>359</v>
      </c>
      <c r="C87" s="381">
        <v>532838</v>
      </c>
      <c r="D87" s="381">
        <v>776076</v>
      </c>
      <c r="E87" s="381">
        <v>894363</v>
      </c>
      <c r="F87" s="381">
        <v>927208</v>
      </c>
    </row>
    <row r="88" spans="1:10" x14ac:dyDescent="0.25">
      <c r="A88" s="376">
        <v>2231</v>
      </c>
      <c r="B88" s="377" t="s">
        <v>360</v>
      </c>
      <c r="C88" s="378">
        <v>537310</v>
      </c>
      <c r="D88" s="378">
        <v>559949</v>
      </c>
      <c r="E88" s="378">
        <v>640576</v>
      </c>
      <c r="F88" s="378">
        <v>712052</v>
      </c>
    </row>
    <row r="89" spans="1:10" x14ac:dyDescent="0.25">
      <c r="A89" s="379">
        <v>2232</v>
      </c>
      <c r="B89" s="380" t="s">
        <v>361</v>
      </c>
      <c r="C89" s="381">
        <v>515356</v>
      </c>
      <c r="D89" s="381">
        <v>476686</v>
      </c>
      <c r="E89" s="381">
        <v>505246</v>
      </c>
      <c r="F89" s="381">
        <v>576881</v>
      </c>
    </row>
    <row r="90" spans="1:10" x14ac:dyDescent="0.25">
      <c r="A90" s="376">
        <v>2241</v>
      </c>
      <c r="B90" s="377" t="s">
        <v>362</v>
      </c>
      <c r="C90" s="378">
        <v>373942</v>
      </c>
      <c r="D90" s="378">
        <v>430404</v>
      </c>
      <c r="E90" s="378">
        <v>493730</v>
      </c>
      <c r="F90" s="378">
        <v>513041</v>
      </c>
    </row>
    <row r="91" spans="1:10" x14ac:dyDescent="0.25">
      <c r="A91" s="379">
        <v>2242</v>
      </c>
      <c r="B91" s="380" t="s">
        <v>363</v>
      </c>
      <c r="C91" s="381">
        <v>389316</v>
      </c>
      <c r="D91" s="381">
        <v>504052</v>
      </c>
      <c r="E91" s="381">
        <v>658737</v>
      </c>
      <c r="F91" s="381">
        <v>581831</v>
      </c>
    </row>
    <row r="92" spans="1:10" x14ac:dyDescent="0.25">
      <c r="A92" s="376">
        <v>2311</v>
      </c>
      <c r="B92" s="377" t="s">
        <v>364</v>
      </c>
      <c r="C92" s="384" t="s">
        <v>279</v>
      </c>
      <c r="D92" s="384" t="s">
        <v>279</v>
      </c>
      <c r="E92" s="378">
        <v>445850</v>
      </c>
      <c r="F92" s="384" t="s">
        <v>279</v>
      </c>
    </row>
    <row r="93" spans="1:10" x14ac:dyDescent="0.25">
      <c r="A93" s="379">
        <v>2312</v>
      </c>
      <c r="B93" s="380" t="s">
        <v>365</v>
      </c>
      <c r="C93" s="381">
        <v>322254</v>
      </c>
      <c r="D93" s="381">
        <v>338904</v>
      </c>
      <c r="E93" s="381">
        <v>376461</v>
      </c>
      <c r="F93" s="381">
        <v>415291</v>
      </c>
    </row>
    <row r="94" spans="1:10" x14ac:dyDescent="0.25">
      <c r="A94" s="376">
        <v>2410</v>
      </c>
      <c r="B94" s="377" t="s">
        <v>366</v>
      </c>
      <c r="C94" s="378">
        <v>402243</v>
      </c>
      <c r="D94" s="378">
        <v>571548</v>
      </c>
      <c r="E94" s="378">
        <v>629398</v>
      </c>
      <c r="F94" s="378">
        <v>676379</v>
      </c>
      <c r="J94" s="370" t="s">
        <v>367</v>
      </c>
    </row>
    <row r="95" spans="1:10" x14ac:dyDescent="0.25">
      <c r="A95" s="379">
        <v>2421</v>
      </c>
      <c r="B95" s="380" t="s">
        <v>368</v>
      </c>
      <c r="C95" s="381">
        <v>314813</v>
      </c>
      <c r="D95" s="381">
        <v>387328</v>
      </c>
      <c r="E95" s="381">
        <v>437198</v>
      </c>
      <c r="F95" s="381">
        <v>503108</v>
      </c>
    </row>
    <row r="96" spans="1:10" x14ac:dyDescent="0.25">
      <c r="A96" s="376">
        <v>2422</v>
      </c>
      <c r="B96" s="377" t="s">
        <v>369</v>
      </c>
      <c r="C96" s="378">
        <v>350606</v>
      </c>
      <c r="D96" s="378">
        <v>397818</v>
      </c>
      <c r="E96" s="378">
        <v>435583</v>
      </c>
      <c r="F96" s="378">
        <v>470649</v>
      </c>
    </row>
    <row r="97" spans="1:6" x14ac:dyDescent="0.25">
      <c r="A97" s="379">
        <v>2431</v>
      </c>
      <c r="B97" s="380" t="s">
        <v>370</v>
      </c>
      <c r="C97" s="381">
        <v>273107</v>
      </c>
      <c r="D97" s="381">
        <v>322959</v>
      </c>
      <c r="E97" s="381">
        <v>372618</v>
      </c>
      <c r="F97" s="381">
        <v>438068</v>
      </c>
    </row>
    <row r="98" spans="1:6" x14ac:dyDescent="0.25">
      <c r="A98" s="376">
        <v>2432</v>
      </c>
      <c r="B98" s="377" t="s">
        <v>371</v>
      </c>
      <c r="C98" s="378">
        <v>283715</v>
      </c>
      <c r="D98" s="378">
        <v>300029</v>
      </c>
      <c r="E98" s="378">
        <v>349788</v>
      </c>
      <c r="F98" s="378">
        <v>416729</v>
      </c>
    </row>
    <row r="99" spans="1:6" x14ac:dyDescent="0.25">
      <c r="A99" s="379">
        <v>2441</v>
      </c>
      <c r="B99" s="380" t="s">
        <v>372</v>
      </c>
      <c r="C99" s="381">
        <v>278198</v>
      </c>
      <c r="D99" s="381">
        <v>314772</v>
      </c>
      <c r="E99" s="381">
        <v>371495</v>
      </c>
      <c r="F99" s="381">
        <v>443038</v>
      </c>
    </row>
    <row r="100" spans="1:6" x14ac:dyDescent="0.25">
      <c r="A100" s="376">
        <v>2442</v>
      </c>
      <c r="B100" s="377" t="s">
        <v>373</v>
      </c>
      <c r="C100" s="378">
        <v>280965</v>
      </c>
      <c r="D100" s="378">
        <v>330433</v>
      </c>
      <c r="E100" s="378">
        <v>379636</v>
      </c>
      <c r="F100" s="378">
        <v>450510</v>
      </c>
    </row>
    <row r="101" spans="1:6" x14ac:dyDescent="0.25">
      <c r="A101" s="379">
        <v>2491</v>
      </c>
      <c r="B101" s="380" t="s">
        <v>374</v>
      </c>
      <c r="C101" s="382" t="s">
        <v>279</v>
      </c>
      <c r="D101" s="381">
        <v>472901</v>
      </c>
      <c r="E101" s="381">
        <v>400326</v>
      </c>
      <c r="F101" s="381">
        <v>476827</v>
      </c>
    </row>
    <row r="102" spans="1:6" x14ac:dyDescent="0.25">
      <c r="A102" s="376">
        <v>2492</v>
      </c>
      <c r="B102" s="377" t="s">
        <v>375</v>
      </c>
      <c r="C102" s="384" t="s">
        <v>279</v>
      </c>
      <c r="D102" s="384" t="s">
        <v>279</v>
      </c>
      <c r="E102" s="378">
        <v>398469</v>
      </c>
      <c r="F102" s="385" t="s">
        <v>279</v>
      </c>
    </row>
    <row r="103" spans="1:6" x14ac:dyDescent="0.25">
      <c r="A103" s="379">
        <v>2493</v>
      </c>
      <c r="B103" s="380" t="s">
        <v>376</v>
      </c>
      <c r="C103" s="381">
        <v>259331</v>
      </c>
      <c r="D103" s="381">
        <v>313253</v>
      </c>
      <c r="E103" s="381">
        <v>357303</v>
      </c>
      <c r="F103" s="381">
        <v>405334</v>
      </c>
    </row>
    <row r="104" spans="1:6" x14ac:dyDescent="0.25">
      <c r="A104" s="376">
        <v>2494</v>
      </c>
      <c r="B104" s="377" t="s">
        <v>377</v>
      </c>
      <c r="C104" s="378">
        <v>261065</v>
      </c>
      <c r="D104" s="378">
        <v>306055</v>
      </c>
      <c r="E104" s="378">
        <v>369221</v>
      </c>
      <c r="F104" s="378">
        <v>374643</v>
      </c>
    </row>
    <row r="105" spans="1:6" x14ac:dyDescent="0.25">
      <c r="A105" s="379">
        <v>2495</v>
      </c>
      <c r="B105" s="380" t="s">
        <v>378</v>
      </c>
      <c r="C105" s="382" t="s">
        <v>279</v>
      </c>
      <c r="D105" s="382" t="s">
        <v>279</v>
      </c>
      <c r="E105" s="382" t="s">
        <v>279</v>
      </c>
      <c r="F105" s="382" t="s">
        <v>279</v>
      </c>
    </row>
    <row r="106" spans="1:6" x14ac:dyDescent="0.25">
      <c r="A106" s="376">
        <v>2499</v>
      </c>
      <c r="B106" s="377" t="s">
        <v>379</v>
      </c>
      <c r="C106" s="378">
        <v>353414</v>
      </c>
      <c r="D106" s="378">
        <v>400949</v>
      </c>
      <c r="E106" s="378">
        <v>414250</v>
      </c>
      <c r="F106" s="378">
        <v>455980</v>
      </c>
    </row>
    <row r="107" spans="1:6" x14ac:dyDescent="0.25">
      <c r="A107" s="379">
        <v>2511</v>
      </c>
      <c r="B107" s="380" t="s">
        <v>380</v>
      </c>
      <c r="C107" s="381">
        <v>640230</v>
      </c>
      <c r="D107" s="381">
        <v>884667</v>
      </c>
      <c r="E107" s="381">
        <v>929608</v>
      </c>
      <c r="F107" s="381">
        <v>853588</v>
      </c>
    </row>
    <row r="108" spans="1:6" x14ac:dyDescent="0.25">
      <c r="A108" s="376">
        <v>2512</v>
      </c>
      <c r="B108" s="377" t="s">
        <v>381</v>
      </c>
      <c r="C108" s="378">
        <v>584744</v>
      </c>
      <c r="D108" s="378">
        <v>970611</v>
      </c>
      <c r="E108" s="378">
        <v>1107707</v>
      </c>
      <c r="F108" s="378">
        <v>890524</v>
      </c>
    </row>
    <row r="109" spans="1:6" x14ac:dyDescent="0.25">
      <c r="A109" s="379">
        <v>2513</v>
      </c>
      <c r="B109" s="380" t="s">
        <v>382</v>
      </c>
      <c r="C109" s="381">
        <v>602547</v>
      </c>
      <c r="D109" s="381">
        <v>862534</v>
      </c>
      <c r="E109" s="381">
        <v>820428</v>
      </c>
      <c r="F109" s="381">
        <v>782347</v>
      </c>
    </row>
    <row r="110" spans="1:6" x14ac:dyDescent="0.25">
      <c r="A110" s="376">
        <v>2514</v>
      </c>
      <c r="B110" s="377" t="s">
        <v>383</v>
      </c>
      <c r="C110" s="378">
        <v>586157</v>
      </c>
      <c r="D110" s="378">
        <v>802513</v>
      </c>
      <c r="E110" s="378">
        <v>842679</v>
      </c>
      <c r="F110" s="378">
        <v>745113</v>
      </c>
    </row>
    <row r="111" spans="1:6" x14ac:dyDescent="0.25">
      <c r="A111" s="379">
        <v>2521</v>
      </c>
      <c r="B111" s="380" t="s">
        <v>384</v>
      </c>
      <c r="C111" s="381">
        <v>635138</v>
      </c>
      <c r="D111" s="381">
        <v>850027</v>
      </c>
      <c r="E111" s="381">
        <v>917911</v>
      </c>
      <c r="F111" s="381">
        <v>802104</v>
      </c>
    </row>
    <row r="112" spans="1:6" x14ac:dyDescent="0.25">
      <c r="A112" s="376">
        <v>2522</v>
      </c>
      <c r="B112" s="377" t="s">
        <v>385</v>
      </c>
      <c r="C112" s="378">
        <v>682153</v>
      </c>
      <c r="D112" s="378">
        <v>890954</v>
      </c>
      <c r="E112" s="378">
        <v>932515</v>
      </c>
      <c r="F112" s="378">
        <v>870952</v>
      </c>
    </row>
    <row r="113" spans="1:6" x14ac:dyDescent="0.25">
      <c r="A113" s="379">
        <v>2523</v>
      </c>
      <c r="B113" s="380" t="s">
        <v>386</v>
      </c>
      <c r="C113" s="381">
        <v>567011</v>
      </c>
      <c r="D113" s="381">
        <v>727905</v>
      </c>
      <c r="E113" s="381">
        <v>780333</v>
      </c>
      <c r="F113" s="381">
        <v>710403</v>
      </c>
    </row>
    <row r="114" spans="1:6" x14ac:dyDescent="0.25">
      <c r="A114" s="376">
        <v>2524</v>
      </c>
      <c r="B114" s="377" t="s">
        <v>387</v>
      </c>
      <c r="C114" s="378">
        <v>524169</v>
      </c>
      <c r="D114" s="378">
        <v>662273</v>
      </c>
      <c r="E114" s="378">
        <v>697007</v>
      </c>
      <c r="F114" s="378">
        <v>696153</v>
      </c>
    </row>
    <row r="115" spans="1:6" x14ac:dyDescent="0.25">
      <c r="A115" s="379">
        <v>2531</v>
      </c>
      <c r="B115" s="380" t="s">
        <v>388</v>
      </c>
      <c r="C115" s="381">
        <v>515530</v>
      </c>
      <c r="D115" s="381">
        <v>740348</v>
      </c>
      <c r="E115" s="381">
        <v>896303</v>
      </c>
      <c r="F115" s="381">
        <v>909235</v>
      </c>
    </row>
    <row r="116" spans="1:6" x14ac:dyDescent="0.25">
      <c r="A116" s="376">
        <v>2532</v>
      </c>
      <c r="B116" s="377" t="s">
        <v>389</v>
      </c>
      <c r="C116" s="378">
        <v>460141</v>
      </c>
      <c r="D116" s="378">
        <v>654237</v>
      </c>
      <c r="E116" s="378">
        <v>745122</v>
      </c>
      <c r="F116" s="378">
        <v>777830</v>
      </c>
    </row>
    <row r="117" spans="1:6" x14ac:dyDescent="0.25">
      <c r="A117" s="379">
        <v>2533</v>
      </c>
      <c r="B117" s="380" t="s">
        <v>390</v>
      </c>
      <c r="C117" s="381">
        <v>542050</v>
      </c>
      <c r="D117" s="381">
        <v>740169</v>
      </c>
      <c r="E117" s="381">
        <v>809204</v>
      </c>
      <c r="F117" s="381">
        <v>777697</v>
      </c>
    </row>
    <row r="118" spans="1:6" x14ac:dyDescent="0.25">
      <c r="A118" s="376">
        <v>2534</v>
      </c>
      <c r="B118" s="377" t="s">
        <v>391</v>
      </c>
      <c r="C118" s="378">
        <v>613401</v>
      </c>
      <c r="D118" s="378">
        <v>1015487</v>
      </c>
      <c r="E118" s="378">
        <v>1218439</v>
      </c>
      <c r="F118" s="378">
        <v>1195483</v>
      </c>
    </row>
    <row r="119" spans="1:6" x14ac:dyDescent="0.25">
      <c r="A119" s="379">
        <v>2611</v>
      </c>
      <c r="B119" s="380" t="s">
        <v>392</v>
      </c>
      <c r="C119" s="381">
        <v>531789</v>
      </c>
      <c r="D119" s="381">
        <v>772384</v>
      </c>
      <c r="E119" s="381">
        <v>897433</v>
      </c>
      <c r="F119" s="381">
        <v>834992</v>
      </c>
    </row>
    <row r="120" spans="1:6" x14ac:dyDescent="0.25">
      <c r="A120" s="376">
        <v>2612</v>
      </c>
      <c r="B120" s="377" t="s">
        <v>393</v>
      </c>
      <c r="C120" s="378">
        <v>361870</v>
      </c>
      <c r="D120" s="378">
        <v>823320</v>
      </c>
      <c r="E120" s="378">
        <v>1120843</v>
      </c>
      <c r="F120" s="378">
        <v>1404812</v>
      </c>
    </row>
    <row r="121" spans="1:6" x14ac:dyDescent="0.25">
      <c r="A121" s="379">
        <v>2613</v>
      </c>
      <c r="B121" s="380" t="s">
        <v>394</v>
      </c>
      <c r="C121" s="382" t="s">
        <v>279</v>
      </c>
      <c r="D121" s="381">
        <v>992405</v>
      </c>
      <c r="E121" s="381">
        <v>1159664</v>
      </c>
      <c r="F121" s="381">
        <v>1396400</v>
      </c>
    </row>
    <row r="122" spans="1:6" x14ac:dyDescent="0.25">
      <c r="A122" s="376">
        <v>2614</v>
      </c>
      <c r="B122" s="377" t="s">
        <v>395</v>
      </c>
      <c r="C122" s="384" t="s">
        <v>279</v>
      </c>
      <c r="D122" s="378">
        <v>533660</v>
      </c>
      <c r="E122" s="378">
        <v>507329</v>
      </c>
      <c r="F122" s="378">
        <v>651935</v>
      </c>
    </row>
    <row r="123" spans="1:6" x14ac:dyDescent="0.25">
      <c r="A123" s="379">
        <v>2615</v>
      </c>
      <c r="B123" s="380" t="s">
        <v>396</v>
      </c>
      <c r="C123" s="381">
        <v>375012</v>
      </c>
      <c r="D123" s="381">
        <v>439734</v>
      </c>
      <c r="E123" s="381">
        <v>375588</v>
      </c>
      <c r="F123" s="383" t="s">
        <v>279</v>
      </c>
    </row>
    <row r="124" spans="1:6" x14ac:dyDescent="0.25">
      <c r="A124" s="376">
        <v>2619</v>
      </c>
      <c r="B124" s="377" t="s">
        <v>397</v>
      </c>
      <c r="C124" s="378">
        <v>443187</v>
      </c>
      <c r="D124" s="378">
        <v>620273</v>
      </c>
      <c r="E124" s="378">
        <v>709430</v>
      </c>
      <c r="F124" s="378">
        <v>773335</v>
      </c>
    </row>
    <row r="125" spans="1:6" x14ac:dyDescent="0.25">
      <c r="A125" s="379">
        <v>2621</v>
      </c>
      <c r="B125" s="380" t="s">
        <v>398</v>
      </c>
      <c r="C125" s="383" t="s">
        <v>279</v>
      </c>
      <c r="D125" s="383" t="s">
        <v>279</v>
      </c>
      <c r="E125" s="383" t="s">
        <v>279</v>
      </c>
      <c r="F125" s="383" t="s">
        <v>279</v>
      </c>
    </row>
    <row r="126" spans="1:6" x14ac:dyDescent="0.25">
      <c r="A126" s="376">
        <v>2622</v>
      </c>
      <c r="B126" s="377" t="s">
        <v>399</v>
      </c>
      <c r="C126" s="378">
        <v>395079</v>
      </c>
      <c r="D126" s="378">
        <v>440232</v>
      </c>
      <c r="E126" s="378">
        <v>548478</v>
      </c>
      <c r="F126" s="378">
        <v>542008</v>
      </c>
    </row>
    <row r="127" spans="1:6" x14ac:dyDescent="0.25">
      <c r="A127" s="379">
        <v>2623</v>
      </c>
      <c r="B127" s="380" t="s">
        <v>400</v>
      </c>
      <c r="C127" s="383" t="s">
        <v>279</v>
      </c>
      <c r="D127" s="383" t="s">
        <v>279</v>
      </c>
      <c r="E127" s="383" t="s">
        <v>279</v>
      </c>
      <c r="F127" s="383" t="s">
        <v>279</v>
      </c>
    </row>
    <row r="128" spans="1:6" x14ac:dyDescent="0.25">
      <c r="A128" s="376">
        <v>2624</v>
      </c>
      <c r="B128" s="377" t="s">
        <v>401</v>
      </c>
      <c r="C128" s="378">
        <v>644401</v>
      </c>
      <c r="D128" s="378">
        <v>931620</v>
      </c>
      <c r="E128" s="378">
        <v>1046617</v>
      </c>
      <c r="F128" s="378">
        <v>948148</v>
      </c>
    </row>
    <row r="129" spans="1:6" x14ac:dyDescent="0.25">
      <c r="A129" s="379">
        <v>2625</v>
      </c>
      <c r="B129" s="380" t="s">
        <v>402</v>
      </c>
      <c r="C129" s="381">
        <v>502072</v>
      </c>
      <c r="D129" s="381">
        <v>649417</v>
      </c>
      <c r="E129" s="381">
        <v>602513</v>
      </c>
      <c r="F129" s="381">
        <v>595934</v>
      </c>
    </row>
    <row r="130" spans="1:6" x14ac:dyDescent="0.25">
      <c r="A130" s="376">
        <v>2626</v>
      </c>
      <c r="B130" s="377" t="s">
        <v>403</v>
      </c>
      <c r="C130" s="384" t="s">
        <v>279</v>
      </c>
      <c r="D130" s="384" t="s">
        <v>279</v>
      </c>
      <c r="E130" s="378">
        <v>564884</v>
      </c>
      <c r="F130" s="384" t="s">
        <v>279</v>
      </c>
    </row>
    <row r="131" spans="1:6" x14ac:dyDescent="0.25">
      <c r="A131" s="379">
        <v>2627</v>
      </c>
      <c r="B131" s="380" t="s">
        <v>404</v>
      </c>
      <c r="C131" s="381">
        <v>584705</v>
      </c>
      <c r="D131" s="381">
        <v>562437</v>
      </c>
      <c r="E131" s="381">
        <v>551812</v>
      </c>
      <c r="F131" s="381">
        <v>527979</v>
      </c>
    </row>
    <row r="132" spans="1:6" x14ac:dyDescent="0.25">
      <c r="A132" s="376">
        <v>2628</v>
      </c>
      <c r="B132" s="377" t="s">
        <v>405</v>
      </c>
      <c r="C132" s="378">
        <v>395226</v>
      </c>
      <c r="D132" s="378">
        <v>512128</v>
      </c>
      <c r="E132" s="378">
        <v>544969</v>
      </c>
      <c r="F132" s="378">
        <v>737380</v>
      </c>
    </row>
    <row r="133" spans="1:6" x14ac:dyDescent="0.25">
      <c r="A133" s="379">
        <v>2629</v>
      </c>
      <c r="B133" s="380" t="s">
        <v>406</v>
      </c>
      <c r="C133" s="381">
        <v>444842</v>
      </c>
      <c r="D133" s="381">
        <v>553743</v>
      </c>
      <c r="E133" s="381">
        <v>611891</v>
      </c>
      <c r="F133" s="381">
        <v>699020</v>
      </c>
    </row>
    <row r="134" spans="1:6" x14ac:dyDescent="0.25">
      <c r="A134" s="376">
        <v>2711</v>
      </c>
      <c r="B134" s="377" t="s">
        <v>407</v>
      </c>
      <c r="C134" s="378">
        <v>289825</v>
      </c>
      <c r="D134" s="378">
        <v>316720</v>
      </c>
      <c r="E134" s="378">
        <v>330022</v>
      </c>
      <c r="F134" s="378">
        <v>359573</v>
      </c>
    </row>
    <row r="135" spans="1:6" x14ac:dyDescent="0.25">
      <c r="A135" s="379">
        <v>2712</v>
      </c>
      <c r="B135" s="380" t="s">
        <v>408</v>
      </c>
      <c r="C135" s="381">
        <v>349768</v>
      </c>
      <c r="D135" s="381">
        <v>388051</v>
      </c>
      <c r="E135" s="381">
        <v>429535</v>
      </c>
      <c r="F135" s="381">
        <v>459960</v>
      </c>
    </row>
    <row r="136" spans="1:6" x14ac:dyDescent="0.25">
      <c r="A136" s="376">
        <v>2713</v>
      </c>
      <c r="B136" s="377" t="s">
        <v>409</v>
      </c>
      <c r="C136" s="378">
        <v>329877</v>
      </c>
      <c r="D136" s="378">
        <v>368678</v>
      </c>
      <c r="E136" s="378">
        <v>387783</v>
      </c>
      <c r="F136" s="378">
        <v>416681</v>
      </c>
    </row>
    <row r="137" spans="1:6" x14ac:dyDescent="0.25">
      <c r="A137" s="379">
        <v>2714</v>
      </c>
      <c r="B137" s="380" t="s">
        <v>410</v>
      </c>
      <c r="C137" s="381">
        <v>335681</v>
      </c>
      <c r="D137" s="381">
        <v>376642</v>
      </c>
      <c r="E137" s="381">
        <v>410660</v>
      </c>
      <c r="F137" s="381">
        <v>398896</v>
      </c>
    </row>
    <row r="138" spans="1:6" x14ac:dyDescent="0.25">
      <c r="A138" s="376">
        <v>2715</v>
      </c>
      <c r="B138" s="377" t="s">
        <v>411</v>
      </c>
      <c r="C138" s="378">
        <v>377980</v>
      </c>
      <c r="D138" s="378">
        <v>477367</v>
      </c>
      <c r="E138" s="378">
        <v>564876</v>
      </c>
      <c r="F138" s="378">
        <v>579142</v>
      </c>
    </row>
    <row r="139" spans="1:6" x14ac:dyDescent="0.25">
      <c r="A139" s="379">
        <v>2716</v>
      </c>
      <c r="B139" s="380" t="s">
        <v>412</v>
      </c>
      <c r="C139" s="381">
        <v>411996</v>
      </c>
      <c r="D139" s="381">
        <v>546150</v>
      </c>
      <c r="E139" s="381">
        <v>614764</v>
      </c>
      <c r="F139" s="381">
        <v>604495</v>
      </c>
    </row>
    <row r="140" spans="1:6" x14ac:dyDescent="0.25">
      <c r="A140" s="376">
        <v>2717</v>
      </c>
      <c r="B140" s="377" t="s">
        <v>413</v>
      </c>
      <c r="C140" s="378">
        <v>431230</v>
      </c>
      <c r="D140" s="378">
        <v>583958</v>
      </c>
      <c r="E140" s="378">
        <v>763458</v>
      </c>
      <c r="F140" s="378">
        <v>722754</v>
      </c>
    </row>
    <row r="141" spans="1:6" x14ac:dyDescent="0.25">
      <c r="A141" s="379">
        <v>2719</v>
      </c>
      <c r="B141" s="380" t="s">
        <v>414</v>
      </c>
      <c r="C141" s="381">
        <v>397990</v>
      </c>
      <c r="D141" s="381">
        <v>481426</v>
      </c>
      <c r="E141" s="381">
        <v>529534</v>
      </c>
      <c r="F141" s="381">
        <v>561464</v>
      </c>
    </row>
    <row r="142" spans="1:6" x14ac:dyDescent="0.25">
      <c r="A142" s="376">
        <v>2721</v>
      </c>
      <c r="B142" s="377" t="s">
        <v>415</v>
      </c>
      <c r="C142" s="378">
        <v>423948</v>
      </c>
      <c r="D142" s="378">
        <v>560586</v>
      </c>
      <c r="E142" s="378">
        <v>663961</v>
      </c>
      <c r="F142" s="384" t="s">
        <v>279</v>
      </c>
    </row>
    <row r="143" spans="1:6" x14ac:dyDescent="0.25">
      <c r="A143" s="379">
        <v>2723</v>
      </c>
      <c r="B143" s="380" t="s">
        <v>416</v>
      </c>
      <c r="C143" s="381">
        <v>476149</v>
      </c>
      <c r="D143" s="381">
        <v>500596</v>
      </c>
      <c r="E143" s="381">
        <v>599344</v>
      </c>
      <c r="F143" s="382" t="s">
        <v>279</v>
      </c>
    </row>
    <row r="144" spans="1:6" x14ac:dyDescent="0.25">
      <c r="A144" s="376">
        <v>2724</v>
      </c>
      <c r="B144" s="377" t="s">
        <v>417</v>
      </c>
      <c r="C144" s="378">
        <v>378123</v>
      </c>
      <c r="D144" s="378">
        <v>440789</v>
      </c>
      <c r="E144" s="378">
        <v>516714</v>
      </c>
      <c r="F144" s="378">
        <v>545274</v>
      </c>
    </row>
    <row r="145" spans="1:6" x14ac:dyDescent="0.25">
      <c r="A145" s="379">
        <v>2725</v>
      </c>
      <c r="B145" s="380" t="s">
        <v>418</v>
      </c>
      <c r="C145" s="381">
        <v>392802</v>
      </c>
      <c r="D145" s="381">
        <v>512113</v>
      </c>
      <c r="E145" s="381">
        <v>598151</v>
      </c>
      <c r="F145" s="381">
        <v>540554</v>
      </c>
    </row>
    <row r="146" spans="1:6" x14ac:dyDescent="0.25">
      <c r="A146" s="376">
        <v>2726</v>
      </c>
      <c r="B146" s="377" t="s">
        <v>419</v>
      </c>
      <c r="C146" s="378">
        <v>351012</v>
      </c>
      <c r="D146" s="378">
        <v>391189</v>
      </c>
      <c r="E146" s="378">
        <v>441676</v>
      </c>
      <c r="F146" s="378">
        <v>476830</v>
      </c>
    </row>
    <row r="147" spans="1:6" x14ac:dyDescent="0.25">
      <c r="A147" s="379">
        <v>2727</v>
      </c>
      <c r="B147" s="380" t="s">
        <v>420</v>
      </c>
      <c r="C147" s="381">
        <v>413069</v>
      </c>
      <c r="D147" s="381">
        <v>459621</v>
      </c>
      <c r="E147" s="381">
        <v>526087</v>
      </c>
      <c r="F147" s="382" t="s">
        <v>279</v>
      </c>
    </row>
    <row r="148" spans="1:6" x14ac:dyDescent="0.25">
      <c r="A148" s="376">
        <v>2729</v>
      </c>
      <c r="B148" s="377" t="s">
        <v>421</v>
      </c>
      <c r="C148" s="384" t="s">
        <v>279</v>
      </c>
      <c r="D148" s="378">
        <v>450250</v>
      </c>
      <c r="E148" s="378">
        <v>628417</v>
      </c>
      <c r="F148" s="378">
        <v>588305</v>
      </c>
    </row>
    <row r="149" spans="1:6" x14ac:dyDescent="0.25">
      <c r="A149" s="379">
        <v>2910</v>
      </c>
      <c r="B149" s="380" t="s">
        <v>422</v>
      </c>
      <c r="C149" s="381">
        <v>521195</v>
      </c>
      <c r="D149" s="381">
        <v>652117</v>
      </c>
      <c r="E149" s="381">
        <v>657296</v>
      </c>
      <c r="F149" s="381">
        <v>639081</v>
      </c>
    </row>
    <row r="150" spans="1:6" x14ac:dyDescent="0.25">
      <c r="A150" s="376">
        <v>3111</v>
      </c>
      <c r="B150" s="377" t="s">
        <v>423</v>
      </c>
      <c r="C150" s="384" t="s">
        <v>279</v>
      </c>
      <c r="D150" s="385" t="s">
        <v>279</v>
      </c>
      <c r="E150" s="378">
        <v>464801</v>
      </c>
      <c r="F150" s="378">
        <v>432524</v>
      </c>
    </row>
    <row r="151" spans="1:6" x14ac:dyDescent="0.25">
      <c r="A151" s="379">
        <v>3112</v>
      </c>
      <c r="B151" s="380" t="s">
        <v>424</v>
      </c>
      <c r="C151" s="383" t="s">
        <v>279</v>
      </c>
      <c r="D151" s="381">
        <v>499361</v>
      </c>
      <c r="E151" s="381">
        <v>578884</v>
      </c>
      <c r="F151" s="381">
        <v>595565</v>
      </c>
    </row>
    <row r="152" spans="1:6" x14ac:dyDescent="0.25">
      <c r="A152" s="376">
        <v>3113</v>
      </c>
      <c r="B152" s="377" t="s">
        <v>425</v>
      </c>
      <c r="C152" s="378">
        <v>403465</v>
      </c>
      <c r="D152" s="378">
        <v>447206</v>
      </c>
      <c r="E152" s="378">
        <v>456693</v>
      </c>
      <c r="F152" s="378">
        <v>421070</v>
      </c>
    </row>
    <row r="153" spans="1:6" x14ac:dyDescent="0.25">
      <c r="A153" s="379">
        <v>3114</v>
      </c>
      <c r="B153" s="380" t="s">
        <v>426</v>
      </c>
      <c r="C153" s="381">
        <v>316941</v>
      </c>
      <c r="D153" s="381">
        <v>363469</v>
      </c>
      <c r="E153" s="381">
        <v>389132</v>
      </c>
      <c r="F153" s="381">
        <v>415132</v>
      </c>
    </row>
    <row r="154" spans="1:6" x14ac:dyDescent="0.25">
      <c r="A154" s="376">
        <v>3115</v>
      </c>
      <c r="B154" s="377" t="s">
        <v>427</v>
      </c>
      <c r="C154" s="378">
        <v>408787</v>
      </c>
      <c r="D154" s="378">
        <v>459783</v>
      </c>
      <c r="E154" s="378">
        <v>465524</v>
      </c>
      <c r="F154" s="378">
        <v>473340</v>
      </c>
    </row>
    <row r="155" spans="1:6" x14ac:dyDescent="0.25">
      <c r="A155" s="379">
        <v>3116</v>
      </c>
      <c r="B155" s="380" t="s">
        <v>428</v>
      </c>
      <c r="C155" s="381">
        <v>454896</v>
      </c>
      <c r="D155" s="381">
        <v>550154</v>
      </c>
      <c r="E155" s="381">
        <v>567862</v>
      </c>
      <c r="F155" s="381">
        <v>522164</v>
      </c>
    </row>
    <row r="156" spans="1:6" x14ac:dyDescent="0.25">
      <c r="A156" s="376">
        <v>3117</v>
      </c>
      <c r="B156" s="377" t="s">
        <v>429</v>
      </c>
      <c r="C156" s="378">
        <v>363045</v>
      </c>
      <c r="D156" s="378">
        <v>469234</v>
      </c>
      <c r="E156" s="378">
        <v>503613</v>
      </c>
      <c r="F156" s="378">
        <v>505775</v>
      </c>
    </row>
    <row r="157" spans="1:6" x14ac:dyDescent="0.25">
      <c r="A157" s="379">
        <v>3121</v>
      </c>
      <c r="B157" s="380" t="s">
        <v>430</v>
      </c>
      <c r="C157" s="381">
        <v>471807</v>
      </c>
      <c r="D157" s="381">
        <v>585579</v>
      </c>
      <c r="E157" s="381">
        <v>621138</v>
      </c>
      <c r="F157" s="381">
        <v>645447</v>
      </c>
    </row>
    <row r="158" spans="1:6" x14ac:dyDescent="0.25">
      <c r="A158" s="376">
        <v>3122</v>
      </c>
      <c r="B158" s="377" t="s">
        <v>431</v>
      </c>
      <c r="C158" s="378">
        <v>443355</v>
      </c>
      <c r="D158" s="378">
        <v>505342</v>
      </c>
      <c r="E158" s="378">
        <v>554430</v>
      </c>
      <c r="F158" s="378">
        <v>548430</v>
      </c>
    </row>
    <row r="159" spans="1:6" x14ac:dyDescent="0.25">
      <c r="A159" s="379">
        <v>3131</v>
      </c>
      <c r="B159" s="380" t="s">
        <v>432</v>
      </c>
      <c r="C159" s="381">
        <v>363306</v>
      </c>
      <c r="D159" s="381">
        <v>421281</v>
      </c>
      <c r="E159" s="381">
        <v>463004</v>
      </c>
      <c r="F159" s="381">
        <v>445779</v>
      </c>
    </row>
    <row r="160" spans="1:6" x14ac:dyDescent="0.25">
      <c r="A160" s="376">
        <v>3132</v>
      </c>
      <c r="B160" s="377" t="s">
        <v>433</v>
      </c>
      <c r="C160" s="378">
        <v>340869</v>
      </c>
      <c r="D160" s="378">
        <v>393853</v>
      </c>
      <c r="E160" s="378">
        <v>432697</v>
      </c>
      <c r="F160" s="378">
        <v>442826</v>
      </c>
    </row>
    <row r="161" spans="1:6" x14ac:dyDescent="0.25">
      <c r="A161" s="379">
        <v>3133</v>
      </c>
      <c r="B161" s="380" t="s">
        <v>434</v>
      </c>
      <c r="C161" s="381">
        <v>374348</v>
      </c>
      <c r="D161" s="381">
        <v>443576</v>
      </c>
      <c r="E161" s="381">
        <v>432602</v>
      </c>
      <c r="F161" s="381">
        <v>392421</v>
      </c>
    </row>
    <row r="162" spans="1:6" x14ac:dyDescent="0.25">
      <c r="A162" s="376">
        <v>3134</v>
      </c>
      <c r="B162" s="377" t="s">
        <v>435</v>
      </c>
      <c r="C162" s="378">
        <v>361327</v>
      </c>
      <c r="D162" s="378">
        <v>408982</v>
      </c>
      <c r="E162" s="378">
        <v>457456</v>
      </c>
      <c r="F162" s="378">
        <v>427908</v>
      </c>
    </row>
    <row r="163" spans="1:6" x14ac:dyDescent="0.25">
      <c r="A163" s="379">
        <v>3135</v>
      </c>
      <c r="B163" s="380" t="s">
        <v>436</v>
      </c>
      <c r="C163" s="381">
        <v>412268</v>
      </c>
      <c r="D163" s="381">
        <v>458336</v>
      </c>
      <c r="E163" s="381">
        <v>468305</v>
      </c>
      <c r="F163" s="381">
        <v>446475</v>
      </c>
    </row>
    <row r="164" spans="1:6" x14ac:dyDescent="0.25">
      <c r="A164" s="376">
        <v>3136</v>
      </c>
      <c r="B164" s="377" t="s">
        <v>437</v>
      </c>
      <c r="C164" s="378">
        <v>391194</v>
      </c>
      <c r="D164" s="378">
        <v>466190</v>
      </c>
      <c r="E164" s="378">
        <v>479189</v>
      </c>
      <c r="F164" s="378">
        <v>438818</v>
      </c>
    </row>
    <row r="165" spans="1:6" x14ac:dyDescent="0.25">
      <c r="A165" s="379">
        <v>3139</v>
      </c>
      <c r="B165" s="380" t="s">
        <v>438</v>
      </c>
      <c r="C165" s="381">
        <v>454606</v>
      </c>
      <c r="D165" s="381">
        <v>537986</v>
      </c>
      <c r="E165" s="381">
        <v>551541</v>
      </c>
      <c r="F165" s="381">
        <v>496193</v>
      </c>
    </row>
    <row r="166" spans="1:6" x14ac:dyDescent="0.25">
      <c r="A166" s="376">
        <v>3141</v>
      </c>
      <c r="B166" s="377" t="s">
        <v>439</v>
      </c>
      <c r="C166" s="378">
        <v>463225</v>
      </c>
      <c r="D166" s="378">
        <v>625556</v>
      </c>
      <c r="E166" s="378">
        <v>661930</v>
      </c>
      <c r="F166" s="378">
        <v>615114</v>
      </c>
    </row>
    <row r="167" spans="1:6" x14ac:dyDescent="0.25">
      <c r="A167" s="379">
        <v>3142</v>
      </c>
      <c r="B167" s="380" t="s">
        <v>440</v>
      </c>
      <c r="C167" s="381">
        <v>483339</v>
      </c>
      <c r="D167" s="381">
        <v>623462</v>
      </c>
      <c r="E167" s="381">
        <v>677444</v>
      </c>
      <c r="F167" s="381">
        <v>575697</v>
      </c>
    </row>
    <row r="168" spans="1:6" x14ac:dyDescent="0.25">
      <c r="A168" s="376">
        <v>3143</v>
      </c>
      <c r="B168" s="377" t="s">
        <v>441</v>
      </c>
      <c r="C168" s="378">
        <v>464769</v>
      </c>
      <c r="D168" s="378">
        <v>594438</v>
      </c>
      <c r="E168" s="378">
        <v>650486</v>
      </c>
      <c r="F168" s="378">
        <v>574801</v>
      </c>
    </row>
    <row r="169" spans="1:6" x14ac:dyDescent="0.25">
      <c r="A169" s="379">
        <v>3144</v>
      </c>
      <c r="B169" s="380" t="s">
        <v>442</v>
      </c>
      <c r="C169" s="381">
        <v>421654</v>
      </c>
      <c r="D169" s="381">
        <v>493495</v>
      </c>
      <c r="E169" s="381">
        <v>579626</v>
      </c>
      <c r="F169" s="381">
        <v>467361</v>
      </c>
    </row>
    <row r="170" spans="1:6" x14ac:dyDescent="0.25">
      <c r="A170" s="376">
        <v>3145</v>
      </c>
      <c r="B170" s="377" t="s">
        <v>443</v>
      </c>
      <c r="C170" s="378">
        <v>435267</v>
      </c>
      <c r="D170" s="378">
        <v>502149</v>
      </c>
      <c r="E170" s="378">
        <v>503143</v>
      </c>
      <c r="F170" s="378">
        <v>455703</v>
      </c>
    </row>
    <row r="171" spans="1:6" x14ac:dyDescent="0.25">
      <c r="A171" s="379">
        <v>3146</v>
      </c>
      <c r="B171" s="380" t="s">
        <v>444</v>
      </c>
      <c r="C171" s="381">
        <v>437142</v>
      </c>
      <c r="D171" s="381">
        <v>520813</v>
      </c>
      <c r="E171" s="381">
        <v>571583</v>
      </c>
      <c r="F171" s="381">
        <v>563052</v>
      </c>
    </row>
    <row r="172" spans="1:6" x14ac:dyDescent="0.25">
      <c r="A172" s="376">
        <v>3151</v>
      </c>
      <c r="B172" s="377" t="s">
        <v>445</v>
      </c>
      <c r="C172" s="384" t="s">
        <v>279</v>
      </c>
      <c r="D172" s="378">
        <v>771949</v>
      </c>
      <c r="E172" s="378">
        <v>705522</v>
      </c>
      <c r="F172" s="378">
        <v>660918</v>
      </c>
    </row>
    <row r="173" spans="1:6" x14ac:dyDescent="0.25">
      <c r="A173" s="379">
        <v>3152</v>
      </c>
      <c r="B173" s="380" t="s">
        <v>446</v>
      </c>
      <c r="C173" s="382" t="s">
        <v>279</v>
      </c>
      <c r="D173" s="381">
        <v>424871</v>
      </c>
      <c r="E173" s="381">
        <v>460286</v>
      </c>
      <c r="F173" s="381">
        <v>414136</v>
      </c>
    </row>
    <row r="174" spans="1:6" x14ac:dyDescent="0.25">
      <c r="A174" s="376">
        <v>3153</v>
      </c>
      <c r="B174" s="377" t="s">
        <v>447</v>
      </c>
      <c r="C174" s="378">
        <v>566362</v>
      </c>
      <c r="D174" s="378">
        <v>561804</v>
      </c>
      <c r="E174" s="378">
        <v>552192</v>
      </c>
      <c r="F174" s="378">
        <v>485867</v>
      </c>
    </row>
    <row r="175" spans="1:6" x14ac:dyDescent="0.25">
      <c r="A175" s="379">
        <v>3155</v>
      </c>
      <c r="B175" s="380" t="s">
        <v>448</v>
      </c>
      <c r="C175" s="381">
        <v>416594</v>
      </c>
      <c r="D175" s="381">
        <v>499329</v>
      </c>
      <c r="E175" s="381">
        <v>525429</v>
      </c>
      <c r="F175" s="381">
        <v>474189</v>
      </c>
    </row>
    <row r="176" spans="1:6" x14ac:dyDescent="0.25">
      <c r="A176" s="376">
        <v>3159</v>
      </c>
      <c r="B176" s="377" t="s">
        <v>449</v>
      </c>
      <c r="C176" s="378">
        <v>454697</v>
      </c>
      <c r="D176" s="378">
        <v>474375</v>
      </c>
      <c r="E176" s="378">
        <v>471066</v>
      </c>
      <c r="F176" s="378">
        <v>451135</v>
      </c>
    </row>
    <row r="177" spans="1:6" x14ac:dyDescent="0.25">
      <c r="A177" s="379">
        <v>3161</v>
      </c>
      <c r="B177" s="380" t="s">
        <v>450</v>
      </c>
      <c r="C177" s="381">
        <v>460425</v>
      </c>
      <c r="D177" s="381">
        <v>558957</v>
      </c>
      <c r="E177" s="381">
        <v>549629</v>
      </c>
      <c r="F177" s="381">
        <v>497250</v>
      </c>
    </row>
    <row r="178" spans="1:6" x14ac:dyDescent="0.25">
      <c r="A178" s="376">
        <v>3162</v>
      </c>
      <c r="B178" s="377" t="s">
        <v>451</v>
      </c>
      <c r="C178" s="378">
        <v>532241</v>
      </c>
      <c r="D178" s="378">
        <v>638930</v>
      </c>
      <c r="E178" s="378">
        <v>587815</v>
      </c>
      <c r="F178" s="378">
        <v>556723</v>
      </c>
    </row>
    <row r="179" spans="1:6" x14ac:dyDescent="0.25">
      <c r="A179" s="379">
        <v>3163</v>
      </c>
      <c r="B179" s="380" t="s">
        <v>452</v>
      </c>
      <c r="C179" s="381">
        <v>427663</v>
      </c>
      <c r="D179" s="381">
        <v>541970</v>
      </c>
      <c r="E179" s="381">
        <v>591822</v>
      </c>
      <c r="F179" s="381">
        <v>549861</v>
      </c>
    </row>
    <row r="180" spans="1:6" x14ac:dyDescent="0.25">
      <c r="A180" s="376">
        <v>3171</v>
      </c>
      <c r="B180" s="377" t="s">
        <v>453</v>
      </c>
      <c r="C180" s="384" t="s">
        <v>279</v>
      </c>
      <c r="D180" s="384" t="s">
        <v>279</v>
      </c>
      <c r="E180" s="384" t="s">
        <v>279</v>
      </c>
      <c r="F180" s="378">
        <v>460665</v>
      </c>
    </row>
    <row r="181" spans="1:6" x14ac:dyDescent="0.25">
      <c r="A181" s="379">
        <v>3172</v>
      </c>
      <c r="B181" s="380" t="s">
        <v>454</v>
      </c>
      <c r="C181" s="383" t="s">
        <v>279</v>
      </c>
      <c r="D181" s="381">
        <v>691698</v>
      </c>
      <c r="E181" s="381">
        <v>1062660</v>
      </c>
      <c r="F181" s="381">
        <v>1216011</v>
      </c>
    </row>
    <row r="182" spans="1:6" x14ac:dyDescent="0.25">
      <c r="A182" s="376">
        <v>3173</v>
      </c>
      <c r="B182" s="377" t="s">
        <v>455</v>
      </c>
      <c r="C182" s="378">
        <v>839517</v>
      </c>
      <c r="D182" s="378">
        <v>1803967</v>
      </c>
      <c r="E182" s="378">
        <v>2107173</v>
      </c>
      <c r="F182" s="378">
        <v>2769239</v>
      </c>
    </row>
    <row r="183" spans="1:6" x14ac:dyDescent="0.25">
      <c r="A183" s="379">
        <v>3190</v>
      </c>
      <c r="B183" s="380" t="s">
        <v>456</v>
      </c>
      <c r="C183" s="381">
        <v>446064</v>
      </c>
      <c r="D183" s="381">
        <v>523041</v>
      </c>
      <c r="E183" s="381">
        <v>528488</v>
      </c>
      <c r="F183" s="381">
        <v>476317</v>
      </c>
    </row>
    <row r="184" spans="1:6" x14ac:dyDescent="0.25">
      <c r="A184" s="376">
        <v>3211</v>
      </c>
      <c r="B184" s="377" t="s">
        <v>457</v>
      </c>
      <c r="C184" s="384" t="s">
        <v>279</v>
      </c>
      <c r="D184" s="384" t="s">
        <v>279</v>
      </c>
      <c r="E184" s="378">
        <v>610153</v>
      </c>
      <c r="F184" s="378">
        <v>738499</v>
      </c>
    </row>
    <row r="185" spans="1:6" x14ac:dyDescent="0.25">
      <c r="A185" s="379">
        <v>3212</v>
      </c>
      <c r="B185" s="380" t="s">
        <v>458</v>
      </c>
      <c r="C185" s="381">
        <v>517664</v>
      </c>
      <c r="D185" s="381">
        <v>581918</v>
      </c>
      <c r="E185" s="381">
        <v>595223</v>
      </c>
      <c r="F185" s="381">
        <v>555910</v>
      </c>
    </row>
    <row r="186" spans="1:6" x14ac:dyDescent="0.25">
      <c r="A186" s="376">
        <v>3213</v>
      </c>
      <c r="B186" s="377" t="s">
        <v>459</v>
      </c>
      <c r="C186" s="378">
        <v>479539</v>
      </c>
      <c r="D186" s="378">
        <v>583711</v>
      </c>
      <c r="E186" s="378">
        <v>578613</v>
      </c>
      <c r="F186" s="378">
        <v>556813</v>
      </c>
    </row>
    <row r="187" spans="1:6" x14ac:dyDescent="0.25">
      <c r="A187" s="379">
        <v>3221</v>
      </c>
      <c r="B187" s="380" t="s">
        <v>460</v>
      </c>
      <c r="C187" s="381">
        <v>420773</v>
      </c>
      <c r="D187" s="381">
        <v>518067</v>
      </c>
      <c r="E187" s="381">
        <v>549286</v>
      </c>
      <c r="F187" s="381">
        <v>540597</v>
      </c>
    </row>
    <row r="188" spans="1:6" x14ac:dyDescent="0.25">
      <c r="A188" s="376">
        <v>3222</v>
      </c>
      <c r="B188" s="377" t="s">
        <v>461</v>
      </c>
      <c r="C188" s="378">
        <v>341258</v>
      </c>
      <c r="D188" s="378">
        <v>395907</v>
      </c>
      <c r="E188" s="378">
        <v>382016</v>
      </c>
      <c r="F188" s="378">
        <v>392893</v>
      </c>
    </row>
    <row r="189" spans="1:6" x14ac:dyDescent="0.25">
      <c r="A189" s="379">
        <v>3311</v>
      </c>
      <c r="B189" s="380" t="s">
        <v>462</v>
      </c>
      <c r="C189" s="381">
        <v>436675</v>
      </c>
      <c r="D189" s="381">
        <v>458754</v>
      </c>
      <c r="E189" s="381">
        <v>497476</v>
      </c>
      <c r="F189" s="381">
        <v>520268</v>
      </c>
    </row>
    <row r="190" spans="1:6" x14ac:dyDescent="0.25">
      <c r="A190" s="376">
        <v>3312</v>
      </c>
      <c r="B190" s="377" t="s">
        <v>463</v>
      </c>
      <c r="C190" s="384" t="s">
        <v>279</v>
      </c>
      <c r="D190" s="384" t="s">
        <v>279</v>
      </c>
      <c r="E190" s="378">
        <v>490727</v>
      </c>
      <c r="F190" s="378">
        <v>520429</v>
      </c>
    </row>
    <row r="191" spans="1:6" x14ac:dyDescent="0.25">
      <c r="A191" s="379">
        <v>3321</v>
      </c>
      <c r="B191" s="380" t="s">
        <v>464</v>
      </c>
      <c r="C191" s="381">
        <v>387070</v>
      </c>
      <c r="D191" s="381">
        <v>417163</v>
      </c>
      <c r="E191" s="381">
        <v>482259</v>
      </c>
      <c r="F191" s="381">
        <v>522828</v>
      </c>
    </row>
    <row r="192" spans="1:6" x14ac:dyDescent="0.25">
      <c r="A192" s="376">
        <v>3322</v>
      </c>
      <c r="B192" s="377" t="s">
        <v>465</v>
      </c>
      <c r="C192" s="378">
        <v>318414</v>
      </c>
      <c r="D192" s="378">
        <v>328466</v>
      </c>
      <c r="E192" s="378">
        <v>354007</v>
      </c>
      <c r="F192" s="378">
        <v>393405</v>
      </c>
    </row>
    <row r="193" spans="1:10" x14ac:dyDescent="0.25">
      <c r="A193" s="379">
        <v>3323</v>
      </c>
      <c r="B193" s="380" t="s">
        <v>466</v>
      </c>
      <c r="C193" s="381">
        <v>500805</v>
      </c>
      <c r="D193" s="381">
        <v>548972</v>
      </c>
      <c r="E193" s="381">
        <v>542304</v>
      </c>
      <c r="F193" s="381">
        <v>603895</v>
      </c>
    </row>
    <row r="194" spans="1:10" x14ac:dyDescent="0.25">
      <c r="A194" s="376">
        <v>3324</v>
      </c>
      <c r="B194" s="377" t="s">
        <v>467</v>
      </c>
      <c r="C194" s="378">
        <v>425671</v>
      </c>
      <c r="D194" s="378">
        <v>471723</v>
      </c>
      <c r="E194" s="378">
        <v>513228</v>
      </c>
      <c r="F194" s="378">
        <v>564747</v>
      </c>
    </row>
    <row r="195" spans="1:10" x14ac:dyDescent="0.25">
      <c r="A195" s="379">
        <v>3325</v>
      </c>
      <c r="B195" s="380" t="s">
        <v>468</v>
      </c>
      <c r="C195" s="381">
        <v>270368</v>
      </c>
      <c r="D195" s="381">
        <v>284377</v>
      </c>
      <c r="E195" s="381">
        <v>324718</v>
      </c>
      <c r="F195" s="381">
        <v>368361</v>
      </c>
    </row>
    <row r="196" spans="1:10" x14ac:dyDescent="0.25">
      <c r="A196" s="376">
        <v>3326</v>
      </c>
      <c r="B196" s="377" t="s">
        <v>469</v>
      </c>
      <c r="C196" s="378">
        <v>320993</v>
      </c>
      <c r="D196" s="378">
        <v>354892</v>
      </c>
      <c r="E196" s="378">
        <v>370094</v>
      </c>
      <c r="F196" s="378">
        <v>384804</v>
      </c>
    </row>
    <row r="197" spans="1:10" x14ac:dyDescent="0.25">
      <c r="A197" s="379">
        <v>3331</v>
      </c>
      <c r="B197" s="380" t="s">
        <v>470</v>
      </c>
      <c r="C197" s="382" t="s">
        <v>279</v>
      </c>
      <c r="D197" s="382" t="s">
        <v>279</v>
      </c>
      <c r="E197" s="381">
        <v>488899</v>
      </c>
      <c r="F197" s="381">
        <v>478744</v>
      </c>
    </row>
    <row r="198" spans="1:10" x14ac:dyDescent="0.25">
      <c r="A198" s="376">
        <v>3332</v>
      </c>
      <c r="B198" s="377" t="s">
        <v>471</v>
      </c>
      <c r="C198" s="378">
        <v>292932</v>
      </c>
      <c r="D198" s="378">
        <v>292851</v>
      </c>
      <c r="E198" s="378">
        <v>314312</v>
      </c>
      <c r="F198" s="378">
        <v>362860</v>
      </c>
    </row>
    <row r="199" spans="1:10" x14ac:dyDescent="0.25">
      <c r="A199" s="379">
        <v>3333</v>
      </c>
      <c r="B199" s="380" t="s">
        <v>472</v>
      </c>
      <c r="C199" s="381">
        <v>238393</v>
      </c>
      <c r="D199" s="381">
        <v>256098</v>
      </c>
      <c r="E199" s="381">
        <v>257339</v>
      </c>
      <c r="F199" s="381">
        <v>270302</v>
      </c>
    </row>
    <row r="200" spans="1:10" x14ac:dyDescent="0.25">
      <c r="A200" s="376">
        <v>3334</v>
      </c>
      <c r="B200" s="377" t="s">
        <v>473</v>
      </c>
      <c r="C200" s="385" t="s">
        <v>279</v>
      </c>
      <c r="D200" s="378">
        <v>343783</v>
      </c>
      <c r="E200" s="378">
        <v>298240</v>
      </c>
      <c r="F200" s="378">
        <v>332824</v>
      </c>
    </row>
    <row r="201" spans="1:10" x14ac:dyDescent="0.25">
      <c r="A201" s="379">
        <v>3335</v>
      </c>
      <c r="B201" s="380" t="s">
        <v>474</v>
      </c>
      <c r="C201" s="381">
        <v>243871</v>
      </c>
      <c r="D201" s="381">
        <v>263458</v>
      </c>
      <c r="E201" s="381">
        <v>280262</v>
      </c>
      <c r="F201" s="381">
        <v>258781</v>
      </c>
    </row>
    <row r="202" spans="1:10" x14ac:dyDescent="0.25">
      <c r="A202" s="376">
        <v>3339</v>
      </c>
      <c r="B202" s="377" t="s">
        <v>475</v>
      </c>
      <c r="C202" s="378">
        <v>401795</v>
      </c>
      <c r="D202" s="378">
        <v>544707</v>
      </c>
      <c r="E202" s="378">
        <v>529397</v>
      </c>
      <c r="F202" s="378">
        <v>534469</v>
      </c>
    </row>
    <row r="203" spans="1:10" x14ac:dyDescent="0.25">
      <c r="A203" s="379">
        <v>3341</v>
      </c>
      <c r="B203" s="380" t="s">
        <v>476</v>
      </c>
      <c r="C203" s="381">
        <v>266967</v>
      </c>
      <c r="D203" s="381">
        <v>304272</v>
      </c>
      <c r="E203" s="381">
        <v>325227</v>
      </c>
      <c r="F203" s="381">
        <v>375343</v>
      </c>
    </row>
    <row r="204" spans="1:10" x14ac:dyDescent="0.25">
      <c r="A204" s="376">
        <v>3342</v>
      </c>
      <c r="B204" s="377" t="s">
        <v>477</v>
      </c>
      <c r="C204" s="384" t="s">
        <v>279</v>
      </c>
      <c r="D204" s="384" t="s">
        <v>279</v>
      </c>
      <c r="E204" s="384" t="s">
        <v>279</v>
      </c>
      <c r="F204" s="378">
        <v>263206</v>
      </c>
    </row>
    <row r="205" spans="1:10" x14ac:dyDescent="0.25">
      <c r="A205" s="379">
        <v>3410</v>
      </c>
      <c r="B205" s="380" t="s">
        <v>478</v>
      </c>
      <c r="C205" s="381">
        <v>255094</v>
      </c>
      <c r="D205" s="381">
        <v>257811</v>
      </c>
      <c r="E205" s="381">
        <v>263936</v>
      </c>
      <c r="F205" s="381">
        <v>282107</v>
      </c>
      <c r="J205" s="370" t="s">
        <v>479</v>
      </c>
    </row>
    <row r="206" spans="1:10" x14ac:dyDescent="0.25">
      <c r="A206" s="376">
        <v>3511</v>
      </c>
      <c r="B206" s="377" t="s">
        <v>480</v>
      </c>
      <c r="C206" s="378">
        <v>271430</v>
      </c>
      <c r="D206" s="378">
        <v>284676</v>
      </c>
      <c r="E206" s="378">
        <v>301008</v>
      </c>
      <c r="F206" s="378">
        <v>303550</v>
      </c>
    </row>
    <row r="207" spans="1:10" x14ac:dyDescent="0.25">
      <c r="A207" s="379">
        <v>3513</v>
      </c>
      <c r="B207" s="380" t="s">
        <v>481</v>
      </c>
      <c r="C207" s="381">
        <v>293168</v>
      </c>
      <c r="D207" s="381">
        <v>290481</v>
      </c>
      <c r="E207" s="381">
        <v>303380</v>
      </c>
      <c r="F207" s="381">
        <v>318560</v>
      </c>
    </row>
    <row r="208" spans="1:10" x14ac:dyDescent="0.25">
      <c r="A208" s="376">
        <v>3514</v>
      </c>
      <c r="B208" s="377" t="s">
        <v>482</v>
      </c>
      <c r="C208" s="384" t="s">
        <v>279</v>
      </c>
      <c r="D208" s="384" t="s">
        <v>279</v>
      </c>
      <c r="E208" s="384" t="s">
        <v>279</v>
      </c>
      <c r="F208" s="384" t="s">
        <v>279</v>
      </c>
    </row>
    <row r="209" spans="1:10" x14ac:dyDescent="0.25">
      <c r="A209" s="379">
        <v>3515</v>
      </c>
      <c r="B209" s="380" t="s">
        <v>483</v>
      </c>
      <c r="C209" s="381">
        <v>283913</v>
      </c>
      <c r="D209" s="381">
        <v>290178</v>
      </c>
      <c r="E209" s="381">
        <v>302664</v>
      </c>
      <c r="F209" s="381">
        <v>316325</v>
      </c>
    </row>
    <row r="210" spans="1:10" x14ac:dyDescent="0.25">
      <c r="A210" s="376">
        <v>3520</v>
      </c>
      <c r="B210" s="377" t="s">
        <v>484</v>
      </c>
      <c r="C210" s="378">
        <v>398720</v>
      </c>
      <c r="D210" s="378">
        <v>414964</v>
      </c>
      <c r="E210" s="378">
        <v>439550</v>
      </c>
      <c r="F210" s="378">
        <v>451978</v>
      </c>
    </row>
    <row r="211" spans="1:10" x14ac:dyDescent="0.25">
      <c r="A211" s="379">
        <v>3611</v>
      </c>
      <c r="B211" s="380" t="s">
        <v>485</v>
      </c>
      <c r="C211" s="381">
        <v>408664</v>
      </c>
      <c r="D211" s="381">
        <v>477191</v>
      </c>
      <c r="E211" s="381">
        <v>455910</v>
      </c>
      <c r="F211" s="381">
        <v>430202</v>
      </c>
      <c r="J211" s="370" t="s">
        <v>486</v>
      </c>
    </row>
    <row r="212" spans="1:10" x14ac:dyDescent="0.25">
      <c r="A212" s="376">
        <v>3612</v>
      </c>
      <c r="B212" s="377" t="s">
        <v>487</v>
      </c>
      <c r="C212" s="378">
        <v>418146</v>
      </c>
      <c r="D212" s="378">
        <v>538766</v>
      </c>
      <c r="E212" s="378">
        <v>575487</v>
      </c>
      <c r="F212" s="378">
        <v>530399</v>
      </c>
    </row>
    <row r="213" spans="1:10" x14ac:dyDescent="0.25">
      <c r="A213" s="379">
        <v>3613</v>
      </c>
      <c r="B213" s="380" t="s">
        <v>488</v>
      </c>
      <c r="C213" s="381">
        <v>719212</v>
      </c>
      <c r="D213" s="381">
        <v>1233852</v>
      </c>
      <c r="E213" s="381">
        <v>1454450</v>
      </c>
      <c r="F213" s="381">
        <v>1133731</v>
      </c>
    </row>
    <row r="214" spans="1:10" x14ac:dyDescent="0.25">
      <c r="A214" s="376">
        <v>3614</v>
      </c>
      <c r="B214" s="377" t="s">
        <v>489</v>
      </c>
      <c r="C214" s="378">
        <v>459392</v>
      </c>
      <c r="D214" s="378">
        <v>548571</v>
      </c>
      <c r="E214" s="378">
        <v>508356</v>
      </c>
      <c r="F214" s="378">
        <v>466334</v>
      </c>
    </row>
    <row r="215" spans="1:10" x14ac:dyDescent="0.25">
      <c r="A215" s="379">
        <v>3615</v>
      </c>
      <c r="B215" s="380" t="s">
        <v>490</v>
      </c>
      <c r="C215" s="381">
        <v>461731</v>
      </c>
      <c r="D215" s="381">
        <v>546941</v>
      </c>
      <c r="E215" s="381">
        <v>489187</v>
      </c>
      <c r="F215" s="381">
        <v>437940</v>
      </c>
    </row>
    <row r="216" spans="1:10" x14ac:dyDescent="0.25">
      <c r="A216" s="376">
        <v>3616</v>
      </c>
      <c r="B216" s="377" t="s">
        <v>491</v>
      </c>
      <c r="C216" s="378">
        <v>366159</v>
      </c>
      <c r="D216" s="378">
        <v>421500</v>
      </c>
      <c r="E216" s="378">
        <v>439420</v>
      </c>
      <c r="F216" s="378">
        <v>419992</v>
      </c>
    </row>
    <row r="217" spans="1:10" x14ac:dyDescent="0.25">
      <c r="A217" s="379">
        <v>3621</v>
      </c>
      <c r="B217" s="380" t="s">
        <v>492</v>
      </c>
      <c r="C217" s="381">
        <v>409470</v>
      </c>
      <c r="D217" s="381">
        <v>504113</v>
      </c>
      <c r="E217" s="381">
        <v>551784</v>
      </c>
      <c r="F217" s="381">
        <v>604059</v>
      </c>
    </row>
    <row r="218" spans="1:10" x14ac:dyDescent="0.25">
      <c r="A218" s="376">
        <v>3622</v>
      </c>
      <c r="B218" s="377" t="s">
        <v>493</v>
      </c>
      <c r="C218" s="378">
        <v>417135</v>
      </c>
      <c r="D218" s="378">
        <v>491526</v>
      </c>
      <c r="E218" s="378">
        <v>496400</v>
      </c>
      <c r="F218" s="378">
        <v>476264</v>
      </c>
    </row>
    <row r="219" spans="1:10" x14ac:dyDescent="0.25">
      <c r="A219" s="379">
        <v>3623</v>
      </c>
      <c r="B219" s="380" t="s">
        <v>494</v>
      </c>
      <c r="C219" s="381">
        <v>461922</v>
      </c>
      <c r="D219" s="381">
        <v>557598</v>
      </c>
      <c r="E219" s="381">
        <v>540890</v>
      </c>
      <c r="F219" s="381">
        <v>436825</v>
      </c>
    </row>
    <row r="220" spans="1:10" x14ac:dyDescent="0.25">
      <c r="A220" s="376">
        <v>3624</v>
      </c>
      <c r="B220" s="377" t="s">
        <v>495</v>
      </c>
      <c r="C220" s="378">
        <v>472321</v>
      </c>
      <c r="D220" s="378">
        <v>592079</v>
      </c>
      <c r="E220" s="378">
        <v>645782</v>
      </c>
      <c r="F220" s="378">
        <v>615373</v>
      </c>
    </row>
    <row r="221" spans="1:10" x14ac:dyDescent="0.25">
      <c r="A221" s="379">
        <v>3631</v>
      </c>
      <c r="B221" s="380" t="s">
        <v>496</v>
      </c>
      <c r="C221" s="381">
        <v>352209</v>
      </c>
      <c r="D221" s="381">
        <v>430562</v>
      </c>
      <c r="E221" s="381">
        <v>424342</v>
      </c>
      <c r="F221" s="381">
        <v>410317</v>
      </c>
    </row>
    <row r="222" spans="1:10" x14ac:dyDescent="0.25">
      <c r="A222" s="376">
        <v>3632</v>
      </c>
      <c r="B222" s="377" t="s">
        <v>497</v>
      </c>
      <c r="C222" s="378">
        <v>430150</v>
      </c>
      <c r="D222" s="378">
        <v>541876</v>
      </c>
      <c r="E222" s="378">
        <v>572602</v>
      </c>
      <c r="F222" s="378">
        <v>514986</v>
      </c>
    </row>
    <row r="223" spans="1:10" x14ac:dyDescent="0.25">
      <c r="A223" s="379">
        <v>3633</v>
      </c>
      <c r="B223" s="380" t="s">
        <v>498</v>
      </c>
      <c r="C223" s="381">
        <v>526665</v>
      </c>
      <c r="D223" s="381">
        <v>603694</v>
      </c>
      <c r="E223" s="381">
        <v>586685</v>
      </c>
      <c r="F223" s="381">
        <v>482599</v>
      </c>
    </row>
    <row r="224" spans="1:10" x14ac:dyDescent="0.25">
      <c r="A224" s="376">
        <v>3639</v>
      </c>
      <c r="B224" s="377" t="s">
        <v>499</v>
      </c>
      <c r="C224" s="378">
        <v>433539</v>
      </c>
      <c r="D224" s="378">
        <v>540245</v>
      </c>
      <c r="E224" s="378">
        <v>522709</v>
      </c>
      <c r="F224" s="378">
        <v>464505</v>
      </c>
    </row>
    <row r="225" spans="1:6" x14ac:dyDescent="0.25">
      <c r="A225" s="379">
        <v>3641</v>
      </c>
      <c r="B225" s="380" t="s">
        <v>500</v>
      </c>
      <c r="C225" s="381">
        <v>414976</v>
      </c>
      <c r="D225" s="381">
        <v>467983</v>
      </c>
      <c r="E225" s="381">
        <v>494739</v>
      </c>
      <c r="F225" s="381">
        <v>480158</v>
      </c>
    </row>
    <row r="226" spans="1:6" x14ac:dyDescent="0.25">
      <c r="A226" s="376">
        <v>3642</v>
      </c>
      <c r="B226" s="377" t="s">
        <v>501</v>
      </c>
      <c r="C226" s="378">
        <v>392039</v>
      </c>
      <c r="D226" s="378">
        <v>492108</v>
      </c>
      <c r="E226" s="378">
        <v>495633</v>
      </c>
      <c r="F226" s="378">
        <v>444861</v>
      </c>
    </row>
    <row r="227" spans="1:6" x14ac:dyDescent="0.25">
      <c r="A227" s="379">
        <v>3649</v>
      </c>
      <c r="B227" s="380" t="s">
        <v>502</v>
      </c>
      <c r="C227" s="381">
        <v>366608</v>
      </c>
      <c r="D227" s="381">
        <v>410553</v>
      </c>
      <c r="E227" s="381">
        <v>421123</v>
      </c>
      <c r="F227" s="381">
        <v>427478</v>
      </c>
    </row>
    <row r="228" spans="1:6" x14ac:dyDescent="0.25">
      <c r="A228" s="376">
        <v>3651</v>
      </c>
      <c r="B228" s="377" t="s">
        <v>503</v>
      </c>
      <c r="C228" s="378">
        <v>429319</v>
      </c>
      <c r="D228" s="378">
        <v>503572</v>
      </c>
      <c r="E228" s="378">
        <v>599589</v>
      </c>
      <c r="F228" s="378">
        <v>669646</v>
      </c>
    </row>
    <row r="229" spans="1:6" x14ac:dyDescent="0.25">
      <c r="A229" s="379">
        <v>3652</v>
      </c>
      <c r="B229" s="380" t="s">
        <v>504</v>
      </c>
      <c r="C229" s="381">
        <v>423755</v>
      </c>
      <c r="D229" s="381">
        <v>511411</v>
      </c>
      <c r="E229" s="381">
        <v>559884</v>
      </c>
      <c r="F229" s="381">
        <v>595738</v>
      </c>
    </row>
    <row r="230" spans="1:6" x14ac:dyDescent="0.25">
      <c r="A230" s="376">
        <v>3653</v>
      </c>
      <c r="B230" s="377" t="s">
        <v>505</v>
      </c>
      <c r="C230" s="384" t="s">
        <v>279</v>
      </c>
      <c r="D230" s="378">
        <v>336928</v>
      </c>
      <c r="E230" s="378">
        <v>388442</v>
      </c>
      <c r="F230" s="378">
        <v>409044</v>
      </c>
    </row>
    <row r="231" spans="1:6" x14ac:dyDescent="0.25">
      <c r="A231" s="379">
        <v>3654</v>
      </c>
      <c r="B231" s="380" t="s">
        <v>506</v>
      </c>
      <c r="C231" s="383" t="s">
        <v>279</v>
      </c>
      <c r="D231" s="381">
        <v>380615</v>
      </c>
      <c r="E231" s="381">
        <v>422993</v>
      </c>
      <c r="F231" s="381">
        <v>517934</v>
      </c>
    </row>
    <row r="232" spans="1:6" x14ac:dyDescent="0.25">
      <c r="A232" s="376">
        <v>3655</v>
      </c>
      <c r="B232" s="377" t="s">
        <v>507</v>
      </c>
      <c r="C232" s="384" t="s">
        <v>279</v>
      </c>
      <c r="D232" s="378">
        <v>648651</v>
      </c>
      <c r="E232" s="378">
        <v>714067</v>
      </c>
      <c r="F232" s="378">
        <v>803622</v>
      </c>
    </row>
    <row r="233" spans="1:6" x14ac:dyDescent="0.25">
      <c r="A233" s="379">
        <v>3656</v>
      </c>
      <c r="B233" s="380" t="s">
        <v>508</v>
      </c>
      <c r="C233" s="382" t="s">
        <v>279</v>
      </c>
      <c r="D233" s="381">
        <v>510974</v>
      </c>
      <c r="E233" s="381">
        <v>559273</v>
      </c>
      <c r="F233" s="381">
        <v>600648</v>
      </c>
    </row>
    <row r="234" spans="1:6" x14ac:dyDescent="0.25">
      <c r="A234" s="376">
        <v>3659</v>
      </c>
      <c r="B234" s="377" t="s">
        <v>509</v>
      </c>
      <c r="C234" s="378">
        <v>332880</v>
      </c>
      <c r="D234" s="378">
        <v>407308</v>
      </c>
      <c r="E234" s="378">
        <v>485239</v>
      </c>
      <c r="F234" s="378">
        <v>571980</v>
      </c>
    </row>
    <row r="235" spans="1:6" x14ac:dyDescent="0.25">
      <c r="A235" s="379">
        <v>3711</v>
      </c>
      <c r="B235" s="380" t="s">
        <v>510</v>
      </c>
      <c r="C235" s="382" t="s">
        <v>279</v>
      </c>
      <c r="D235" s="382" t="s">
        <v>279</v>
      </c>
      <c r="E235" s="382" t="s">
        <v>279</v>
      </c>
      <c r="F235" s="382" t="s">
        <v>279</v>
      </c>
    </row>
    <row r="236" spans="1:6" x14ac:dyDescent="0.25">
      <c r="A236" s="376">
        <v>3712</v>
      </c>
      <c r="B236" s="377" t="s">
        <v>511</v>
      </c>
      <c r="C236" s="384" t="s">
        <v>279</v>
      </c>
      <c r="D236" s="384" t="s">
        <v>279</v>
      </c>
      <c r="E236" s="378">
        <v>476397</v>
      </c>
      <c r="F236" s="378">
        <v>447936</v>
      </c>
    </row>
    <row r="237" spans="1:6" x14ac:dyDescent="0.25">
      <c r="A237" s="379">
        <v>3713</v>
      </c>
      <c r="B237" s="380" t="s">
        <v>512</v>
      </c>
      <c r="C237" s="381">
        <v>341707</v>
      </c>
      <c r="D237" s="381">
        <v>447270</v>
      </c>
      <c r="E237" s="381">
        <v>412474</v>
      </c>
      <c r="F237" s="381">
        <v>380566</v>
      </c>
    </row>
    <row r="238" spans="1:6" x14ac:dyDescent="0.25">
      <c r="A238" s="376">
        <v>3714</v>
      </c>
      <c r="B238" s="377" t="s">
        <v>513</v>
      </c>
      <c r="C238" s="378">
        <v>325138</v>
      </c>
      <c r="D238" s="378">
        <v>369715</v>
      </c>
      <c r="E238" s="378">
        <v>390204</v>
      </c>
      <c r="F238" s="378">
        <v>409860</v>
      </c>
    </row>
    <row r="239" spans="1:6" x14ac:dyDescent="0.25">
      <c r="A239" s="379">
        <v>3715</v>
      </c>
      <c r="B239" s="380" t="s">
        <v>514</v>
      </c>
      <c r="C239" s="381">
        <v>381855</v>
      </c>
      <c r="D239" s="381">
        <v>468367</v>
      </c>
      <c r="E239" s="381">
        <v>515101</v>
      </c>
      <c r="F239" s="381">
        <v>518288</v>
      </c>
    </row>
    <row r="240" spans="1:6" x14ac:dyDescent="0.25">
      <c r="A240" s="376">
        <v>3716</v>
      </c>
      <c r="B240" s="377" t="s">
        <v>515</v>
      </c>
      <c r="C240" s="378">
        <v>292602</v>
      </c>
      <c r="D240" s="378">
        <v>328061</v>
      </c>
      <c r="E240" s="378">
        <v>317916</v>
      </c>
      <c r="F240" s="378">
        <v>308524</v>
      </c>
    </row>
    <row r="241" spans="1:10" x14ac:dyDescent="0.25">
      <c r="A241" s="379">
        <v>3717</v>
      </c>
      <c r="B241" s="380" t="s">
        <v>516</v>
      </c>
      <c r="C241" s="381">
        <v>305700</v>
      </c>
      <c r="D241" s="381">
        <v>307925</v>
      </c>
      <c r="E241" s="381">
        <v>317076</v>
      </c>
      <c r="F241" s="381">
        <v>324869</v>
      </c>
    </row>
    <row r="242" spans="1:10" x14ac:dyDescent="0.25">
      <c r="A242" s="376">
        <v>3719</v>
      </c>
      <c r="B242" s="377" t="s">
        <v>517</v>
      </c>
      <c r="C242" s="378">
        <v>361091</v>
      </c>
      <c r="D242" s="378">
        <v>416476</v>
      </c>
      <c r="E242" s="378">
        <v>414399</v>
      </c>
      <c r="F242" s="378">
        <v>393416</v>
      </c>
    </row>
    <row r="243" spans="1:10" x14ac:dyDescent="0.25">
      <c r="A243" s="379">
        <v>3721</v>
      </c>
      <c r="B243" s="380" t="s">
        <v>518</v>
      </c>
      <c r="C243" s="381">
        <v>1382995</v>
      </c>
      <c r="D243" s="381">
        <v>2134664</v>
      </c>
      <c r="E243" s="381">
        <v>891923</v>
      </c>
      <c r="F243" s="382" t="s">
        <v>279</v>
      </c>
    </row>
    <row r="244" spans="1:10" x14ac:dyDescent="0.25">
      <c r="A244" s="376">
        <v>3722</v>
      </c>
      <c r="B244" s="377" t="s">
        <v>519</v>
      </c>
      <c r="C244" s="378">
        <v>253288</v>
      </c>
      <c r="D244" s="378">
        <v>300751</v>
      </c>
      <c r="E244" s="385" t="s">
        <v>279</v>
      </c>
      <c r="F244" s="384" t="s">
        <v>279</v>
      </c>
    </row>
    <row r="245" spans="1:10" x14ac:dyDescent="0.25">
      <c r="A245" s="379">
        <v>3910</v>
      </c>
      <c r="B245" s="380" t="s">
        <v>520</v>
      </c>
      <c r="C245" s="381">
        <v>359927</v>
      </c>
      <c r="D245" s="381">
        <v>408171</v>
      </c>
      <c r="E245" s="381">
        <v>408626</v>
      </c>
      <c r="F245" s="381">
        <v>399150</v>
      </c>
      <c r="J245" s="370" t="s">
        <v>521</v>
      </c>
    </row>
    <row r="246" spans="1:10" x14ac:dyDescent="0.25">
      <c r="A246" s="376">
        <v>4111</v>
      </c>
      <c r="B246" s="377" t="s">
        <v>522</v>
      </c>
      <c r="C246" s="378">
        <v>341303</v>
      </c>
      <c r="D246" s="378">
        <v>377608</v>
      </c>
      <c r="E246" s="378">
        <v>394062</v>
      </c>
      <c r="F246" s="378">
        <v>390542</v>
      </c>
    </row>
    <row r="247" spans="1:10" x14ac:dyDescent="0.25">
      <c r="A247" s="379">
        <v>4112</v>
      </c>
      <c r="B247" s="380" t="s">
        <v>523</v>
      </c>
      <c r="C247" s="381">
        <v>299256</v>
      </c>
      <c r="D247" s="381">
        <v>320058</v>
      </c>
      <c r="E247" s="381">
        <v>316640</v>
      </c>
      <c r="F247" s="381">
        <v>317025</v>
      </c>
      <c r="J247" s="370" t="s">
        <v>524</v>
      </c>
    </row>
    <row r="248" spans="1:10" x14ac:dyDescent="0.25">
      <c r="A248" s="376">
        <v>4113</v>
      </c>
      <c r="B248" s="377" t="s">
        <v>525</v>
      </c>
      <c r="C248" s="378">
        <v>283785</v>
      </c>
      <c r="D248" s="378">
        <v>325980</v>
      </c>
      <c r="E248" s="378">
        <v>376969</v>
      </c>
      <c r="F248" s="378">
        <v>431377</v>
      </c>
    </row>
    <row r="249" spans="1:10" x14ac:dyDescent="0.25">
      <c r="A249" s="379">
        <v>4114</v>
      </c>
      <c r="B249" s="380" t="s">
        <v>526</v>
      </c>
      <c r="C249" s="381">
        <v>348169</v>
      </c>
      <c r="D249" s="381">
        <v>380670</v>
      </c>
      <c r="E249" s="381">
        <v>343953</v>
      </c>
      <c r="F249" s="381">
        <v>324198</v>
      </c>
    </row>
    <row r="250" spans="1:10" x14ac:dyDescent="0.25">
      <c r="A250" s="376">
        <v>4121</v>
      </c>
      <c r="B250" s="377" t="s">
        <v>527</v>
      </c>
      <c r="C250" s="378">
        <v>448929</v>
      </c>
      <c r="D250" s="378">
        <v>554679</v>
      </c>
      <c r="E250" s="378">
        <v>498985</v>
      </c>
      <c r="F250" s="378">
        <v>423530</v>
      </c>
    </row>
    <row r="251" spans="1:10" x14ac:dyDescent="0.25">
      <c r="A251" s="379">
        <v>4122</v>
      </c>
      <c r="B251" s="380" t="s">
        <v>528</v>
      </c>
      <c r="C251" s="381">
        <v>392604</v>
      </c>
      <c r="D251" s="381">
        <v>459981</v>
      </c>
      <c r="E251" s="381">
        <v>460230</v>
      </c>
      <c r="F251" s="381">
        <v>436607</v>
      </c>
    </row>
    <row r="252" spans="1:10" x14ac:dyDescent="0.25">
      <c r="A252" s="376">
        <v>4123</v>
      </c>
      <c r="B252" s="377" t="s">
        <v>529</v>
      </c>
      <c r="C252" s="378">
        <v>359937</v>
      </c>
      <c r="D252" s="378">
        <v>387753</v>
      </c>
      <c r="E252" s="378">
        <v>378588</v>
      </c>
      <c r="F252" s="378">
        <v>365003</v>
      </c>
    </row>
    <row r="253" spans="1:10" x14ac:dyDescent="0.25">
      <c r="A253" s="379">
        <v>4129</v>
      </c>
      <c r="B253" s="380" t="s">
        <v>530</v>
      </c>
      <c r="C253" s="381">
        <v>475723</v>
      </c>
      <c r="D253" s="381">
        <v>569821</v>
      </c>
      <c r="E253" s="381">
        <v>541902</v>
      </c>
      <c r="F253" s="381">
        <v>409417</v>
      </c>
    </row>
    <row r="254" spans="1:10" x14ac:dyDescent="0.25">
      <c r="A254" s="376">
        <v>4131</v>
      </c>
      <c r="B254" s="377" t="s">
        <v>531</v>
      </c>
      <c r="C254" s="378">
        <v>351758</v>
      </c>
      <c r="D254" s="378">
        <v>390734</v>
      </c>
      <c r="E254" s="378">
        <v>387688</v>
      </c>
      <c r="F254" s="378">
        <v>366319</v>
      </c>
    </row>
    <row r="255" spans="1:10" x14ac:dyDescent="0.25">
      <c r="A255" s="379">
        <v>4132</v>
      </c>
      <c r="B255" s="380" t="s">
        <v>532</v>
      </c>
      <c r="C255" s="381">
        <v>414298</v>
      </c>
      <c r="D255" s="381">
        <v>484632</v>
      </c>
      <c r="E255" s="381">
        <v>470787</v>
      </c>
      <c r="F255" s="381">
        <v>427172</v>
      </c>
    </row>
    <row r="256" spans="1:10" x14ac:dyDescent="0.25">
      <c r="A256" s="376">
        <v>4133</v>
      </c>
      <c r="B256" s="377" t="s">
        <v>533</v>
      </c>
      <c r="C256" s="378">
        <v>332852</v>
      </c>
      <c r="D256" s="378">
        <v>328814</v>
      </c>
      <c r="E256" s="378">
        <v>313455</v>
      </c>
      <c r="F256" s="378">
        <v>305892</v>
      </c>
    </row>
    <row r="257" spans="1:6" x14ac:dyDescent="0.25">
      <c r="A257" s="379">
        <v>4134</v>
      </c>
      <c r="B257" s="380" t="s">
        <v>534</v>
      </c>
      <c r="C257" s="381">
        <v>469926</v>
      </c>
      <c r="D257" s="381">
        <v>541984</v>
      </c>
      <c r="E257" s="381">
        <v>507332</v>
      </c>
      <c r="F257" s="381">
        <v>458581</v>
      </c>
    </row>
    <row r="258" spans="1:6" x14ac:dyDescent="0.25">
      <c r="A258" s="376">
        <v>4136</v>
      </c>
      <c r="B258" s="377" t="s">
        <v>535</v>
      </c>
      <c r="C258" s="378">
        <v>278241</v>
      </c>
      <c r="D258" s="378">
        <v>306200</v>
      </c>
      <c r="E258" s="378">
        <v>318212</v>
      </c>
      <c r="F258" s="378">
        <v>316586</v>
      </c>
    </row>
    <row r="259" spans="1:6" x14ac:dyDescent="0.25">
      <c r="A259" s="379">
        <v>4190</v>
      </c>
      <c r="B259" s="380" t="s">
        <v>536</v>
      </c>
      <c r="C259" s="381">
        <v>355505</v>
      </c>
      <c r="D259" s="381">
        <v>420092</v>
      </c>
      <c r="E259" s="381">
        <v>396613</v>
      </c>
      <c r="F259" s="381">
        <v>370407</v>
      </c>
    </row>
    <row r="260" spans="1:6" x14ac:dyDescent="0.25">
      <c r="A260" s="376">
        <v>4211</v>
      </c>
      <c r="B260" s="377" t="s">
        <v>537</v>
      </c>
      <c r="C260" s="378">
        <v>375100</v>
      </c>
      <c r="D260" s="378">
        <v>355708</v>
      </c>
      <c r="E260" s="378">
        <v>336907</v>
      </c>
      <c r="F260" s="378">
        <v>326013</v>
      </c>
    </row>
    <row r="261" spans="1:6" x14ac:dyDescent="0.25">
      <c r="A261" s="379">
        <v>4212</v>
      </c>
      <c r="B261" s="380" t="s">
        <v>538</v>
      </c>
      <c r="C261" s="381">
        <v>318996</v>
      </c>
      <c r="D261" s="381">
        <v>408439</v>
      </c>
      <c r="E261" s="381">
        <v>503553</v>
      </c>
      <c r="F261" s="381">
        <v>491040</v>
      </c>
    </row>
    <row r="262" spans="1:6" x14ac:dyDescent="0.25">
      <c r="A262" s="376">
        <v>4221</v>
      </c>
      <c r="B262" s="377" t="s">
        <v>539</v>
      </c>
      <c r="C262" s="378">
        <v>310600</v>
      </c>
      <c r="D262" s="378">
        <v>378940</v>
      </c>
      <c r="E262" s="378">
        <v>356959</v>
      </c>
      <c r="F262" s="378">
        <v>373020</v>
      </c>
    </row>
    <row r="263" spans="1:6" x14ac:dyDescent="0.25">
      <c r="A263" s="379">
        <v>4222</v>
      </c>
      <c r="B263" s="380" t="s">
        <v>540</v>
      </c>
      <c r="C263" s="381">
        <v>298192</v>
      </c>
      <c r="D263" s="381">
        <v>318756</v>
      </c>
      <c r="E263" s="381">
        <v>312260</v>
      </c>
      <c r="F263" s="381">
        <v>291791</v>
      </c>
    </row>
    <row r="264" spans="1:6" x14ac:dyDescent="0.25">
      <c r="A264" s="376">
        <v>4223</v>
      </c>
      <c r="B264" s="377" t="s">
        <v>541</v>
      </c>
      <c r="C264" s="378">
        <v>296352</v>
      </c>
      <c r="D264" s="378">
        <v>317851</v>
      </c>
      <c r="E264" s="378">
        <v>320082</v>
      </c>
      <c r="F264" s="378">
        <v>324799</v>
      </c>
    </row>
    <row r="265" spans="1:6" x14ac:dyDescent="0.25">
      <c r="A265" s="379">
        <v>4224</v>
      </c>
      <c r="B265" s="380" t="s">
        <v>542</v>
      </c>
      <c r="C265" s="381">
        <v>351454</v>
      </c>
      <c r="D265" s="381">
        <v>409195</v>
      </c>
      <c r="E265" s="381">
        <v>392827</v>
      </c>
      <c r="F265" s="381">
        <v>370166</v>
      </c>
    </row>
    <row r="266" spans="1:6" x14ac:dyDescent="0.25">
      <c r="A266" s="376">
        <v>4225</v>
      </c>
      <c r="B266" s="377" t="s">
        <v>543</v>
      </c>
      <c r="C266" s="378">
        <v>392281</v>
      </c>
      <c r="D266" s="378">
        <v>442110</v>
      </c>
      <c r="E266" s="378">
        <v>432083</v>
      </c>
      <c r="F266" s="378">
        <v>394760</v>
      </c>
    </row>
    <row r="267" spans="1:6" x14ac:dyDescent="0.25">
      <c r="A267" s="379">
        <v>4226</v>
      </c>
      <c r="B267" s="380" t="s">
        <v>544</v>
      </c>
      <c r="C267" s="382" t="s">
        <v>279</v>
      </c>
      <c r="D267" s="382" t="s">
        <v>279</v>
      </c>
      <c r="E267" s="382" t="s">
        <v>279</v>
      </c>
      <c r="F267" s="381">
        <v>234272</v>
      </c>
    </row>
    <row r="268" spans="1:6" x14ac:dyDescent="0.25">
      <c r="A268" s="376">
        <v>4229</v>
      </c>
      <c r="B268" s="377" t="s">
        <v>545</v>
      </c>
      <c r="C268" s="378">
        <v>410285</v>
      </c>
      <c r="D268" s="378">
        <v>482660</v>
      </c>
      <c r="E268" s="378">
        <v>445503</v>
      </c>
      <c r="F268" s="378">
        <v>379582</v>
      </c>
    </row>
    <row r="269" spans="1:6" x14ac:dyDescent="0.25">
      <c r="A269" s="379">
        <v>5111</v>
      </c>
      <c r="B269" s="380" t="s">
        <v>546</v>
      </c>
      <c r="C269" s="381">
        <v>349720</v>
      </c>
      <c r="D269" s="381">
        <v>445498</v>
      </c>
      <c r="E269" s="381">
        <v>438522</v>
      </c>
      <c r="F269" s="381">
        <v>389715</v>
      </c>
    </row>
    <row r="270" spans="1:6" x14ac:dyDescent="0.25">
      <c r="A270" s="376">
        <v>5112</v>
      </c>
      <c r="B270" s="377" t="s">
        <v>547</v>
      </c>
      <c r="C270" s="378">
        <v>358833</v>
      </c>
      <c r="D270" s="378">
        <v>386242</v>
      </c>
      <c r="E270" s="378">
        <v>386929</v>
      </c>
      <c r="F270" s="378">
        <v>364528</v>
      </c>
    </row>
    <row r="271" spans="1:6" x14ac:dyDescent="0.25">
      <c r="A271" s="379">
        <v>5113</v>
      </c>
      <c r="B271" s="380" t="s">
        <v>548</v>
      </c>
      <c r="C271" s="381">
        <v>287728</v>
      </c>
      <c r="D271" s="381">
        <v>297590</v>
      </c>
      <c r="E271" s="381">
        <v>282738</v>
      </c>
      <c r="F271" s="381">
        <v>270447</v>
      </c>
    </row>
    <row r="272" spans="1:6" x14ac:dyDescent="0.25">
      <c r="A272" s="376">
        <v>5114</v>
      </c>
      <c r="B272" s="377" t="s">
        <v>549</v>
      </c>
      <c r="C272" s="378">
        <v>356019</v>
      </c>
      <c r="D272" s="378">
        <v>412683</v>
      </c>
      <c r="E272" s="378">
        <v>382916</v>
      </c>
      <c r="F272" s="378">
        <v>331521</v>
      </c>
    </row>
    <row r="273" spans="1:6" x14ac:dyDescent="0.25">
      <c r="A273" s="379">
        <v>5115</v>
      </c>
      <c r="B273" s="380" t="s">
        <v>550</v>
      </c>
      <c r="C273" s="381">
        <v>213534</v>
      </c>
      <c r="D273" s="381">
        <v>245515</v>
      </c>
      <c r="E273" s="381">
        <v>228653</v>
      </c>
      <c r="F273" s="381">
        <v>218539</v>
      </c>
    </row>
    <row r="274" spans="1:6" x14ac:dyDescent="0.25">
      <c r="A274" s="376">
        <v>5116</v>
      </c>
      <c r="B274" s="377" t="s">
        <v>551</v>
      </c>
      <c r="C274" s="378">
        <v>220992</v>
      </c>
      <c r="D274" s="384" t="s">
        <v>279</v>
      </c>
      <c r="E274" s="378">
        <v>236213</v>
      </c>
      <c r="F274" s="378">
        <v>234735</v>
      </c>
    </row>
    <row r="275" spans="1:6" x14ac:dyDescent="0.25">
      <c r="A275" s="379">
        <v>5117</v>
      </c>
      <c r="B275" s="380" t="s">
        <v>552</v>
      </c>
      <c r="C275" s="381">
        <v>297459</v>
      </c>
      <c r="D275" s="381">
        <v>303473</v>
      </c>
      <c r="E275" s="381">
        <v>301744</v>
      </c>
      <c r="F275" s="381">
        <v>305785</v>
      </c>
    </row>
    <row r="276" spans="1:6" x14ac:dyDescent="0.25">
      <c r="A276" s="376">
        <v>5121</v>
      </c>
      <c r="B276" s="377" t="s">
        <v>553</v>
      </c>
      <c r="C276" s="378">
        <v>273140</v>
      </c>
      <c r="D276" s="378">
        <v>278314</v>
      </c>
      <c r="E276" s="378">
        <v>279250</v>
      </c>
      <c r="F276" s="378">
        <v>277880</v>
      </c>
    </row>
    <row r="277" spans="1:6" x14ac:dyDescent="0.25">
      <c r="A277" s="379">
        <v>5122</v>
      </c>
      <c r="B277" s="380" t="s">
        <v>554</v>
      </c>
      <c r="C277" s="381">
        <v>387733</v>
      </c>
      <c r="D277" s="381">
        <v>411970</v>
      </c>
      <c r="E277" s="382" t="s">
        <v>279</v>
      </c>
      <c r="F277" s="382" t="s">
        <v>279</v>
      </c>
    </row>
    <row r="278" spans="1:6" x14ac:dyDescent="0.25">
      <c r="A278" s="376">
        <v>5123</v>
      </c>
      <c r="B278" s="377" t="s">
        <v>555</v>
      </c>
      <c r="C278" s="378">
        <v>327578</v>
      </c>
      <c r="D278" s="378">
        <v>340212</v>
      </c>
      <c r="E278" s="378">
        <v>332339</v>
      </c>
      <c r="F278" s="378">
        <v>295714</v>
      </c>
    </row>
    <row r="279" spans="1:6" x14ac:dyDescent="0.25">
      <c r="A279" s="379">
        <v>5129</v>
      </c>
      <c r="B279" s="380" t="s">
        <v>556</v>
      </c>
      <c r="C279" s="381">
        <v>310397</v>
      </c>
      <c r="D279" s="381">
        <v>342728</v>
      </c>
      <c r="E279" s="381">
        <v>345853</v>
      </c>
      <c r="F279" s="381">
        <v>329105</v>
      </c>
    </row>
    <row r="280" spans="1:6" x14ac:dyDescent="0.25">
      <c r="A280" s="376">
        <v>5131</v>
      </c>
      <c r="B280" s="377" t="s">
        <v>557</v>
      </c>
      <c r="C280" s="378">
        <v>250130</v>
      </c>
      <c r="D280" s="378">
        <v>267056</v>
      </c>
      <c r="E280" s="378">
        <v>281930</v>
      </c>
      <c r="F280" s="378">
        <v>272174</v>
      </c>
    </row>
    <row r="281" spans="1:6" x14ac:dyDescent="0.25">
      <c r="A281" s="379">
        <v>5132</v>
      </c>
      <c r="B281" s="380" t="s">
        <v>558</v>
      </c>
      <c r="C281" s="381">
        <v>246002</v>
      </c>
      <c r="D281" s="381">
        <v>252130</v>
      </c>
      <c r="E281" s="381">
        <v>257859</v>
      </c>
      <c r="F281" s="381">
        <v>263877</v>
      </c>
    </row>
    <row r="282" spans="1:6" x14ac:dyDescent="0.25">
      <c r="A282" s="376">
        <v>5133</v>
      </c>
      <c r="B282" s="377" t="s">
        <v>559</v>
      </c>
      <c r="C282" s="378">
        <v>232567</v>
      </c>
      <c r="D282" s="378">
        <v>234466</v>
      </c>
      <c r="E282" s="378">
        <v>233266</v>
      </c>
      <c r="F282" s="378">
        <v>233006</v>
      </c>
    </row>
    <row r="283" spans="1:6" x14ac:dyDescent="0.25">
      <c r="A283" s="379">
        <v>5134</v>
      </c>
      <c r="B283" s="380" t="s">
        <v>560</v>
      </c>
      <c r="C283" s="381">
        <v>251709</v>
      </c>
      <c r="D283" s="381">
        <v>262807</v>
      </c>
      <c r="E283" s="381">
        <v>273967</v>
      </c>
      <c r="F283" s="381">
        <v>276175</v>
      </c>
    </row>
    <row r="284" spans="1:6" x14ac:dyDescent="0.25">
      <c r="A284" s="376">
        <v>5135</v>
      </c>
      <c r="B284" s="377" t="s">
        <v>561</v>
      </c>
      <c r="C284" s="378">
        <v>243109</v>
      </c>
      <c r="D284" s="378">
        <v>258316</v>
      </c>
      <c r="E284" s="378">
        <v>262266</v>
      </c>
      <c r="F284" s="378">
        <v>262174</v>
      </c>
    </row>
    <row r="285" spans="1:6" x14ac:dyDescent="0.25">
      <c r="A285" s="379">
        <v>5211</v>
      </c>
      <c r="B285" s="380" t="s">
        <v>562</v>
      </c>
      <c r="C285" s="381">
        <v>240475</v>
      </c>
      <c r="D285" s="381">
        <v>264187</v>
      </c>
      <c r="E285" s="381">
        <v>268646</v>
      </c>
      <c r="F285" s="381">
        <v>288551</v>
      </c>
    </row>
    <row r="286" spans="1:6" x14ac:dyDescent="0.25">
      <c r="A286" s="376">
        <v>5212</v>
      </c>
      <c r="B286" s="377" t="s">
        <v>563</v>
      </c>
      <c r="C286" s="378">
        <v>222862</v>
      </c>
      <c r="D286" s="378">
        <v>246783</v>
      </c>
      <c r="E286" s="378">
        <v>262168</v>
      </c>
      <c r="F286" s="378">
        <v>271473</v>
      </c>
    </row>
    <row r="287" spans="1:6" x14ac:dyDescent="0.25">
      <c r="A287" s="379">
        <v>5213</v>
      </c>
      <c r="B287" s="380" t="s">
        <v>564</v>
      </c>
      <c r="C287" s="383" t="s">
        <v>279</v>
      </c>
      <c r="D287" s="381">
        <v>256761</v>
      </c>
      <c r="E287" s="381">
        <v>231970</v>
      </c>
      <c r="F287" s="383" t="s">
        <v>279</v>
      </c>
    </row>
    <row r="288" spans="1:6" x14ac:dyDescent="0.25">
      <c r="A288" s="376">
        <v>5219</v>
      </c>
      <c r="B288" s="377" t="s">
        <v>565</v>
      </c>
      <c r="C288" s="378">
        <v>288373</v>
      </c>
      <c r="D288" s="378">
        <v>304789</v>
      </c>
      <c r="E288" s="378">
        <v>309679</v>
      </c>
      <c r="F288" s="378">
        <v>296016</v>
      </c>
    </row>
    <row r="289" spans="1:6" x14ac:dyDescent="0.25">
      <c r="A289" s="379">
        <v>5221</v>
      </c>
      <c r="B289" s="380" t="s">
        <v>566</v>
      </c>
      <c r="C289" s="381">
        <v>248049</v>
      </c>
      <c r="D289" s="381">
        <v>247774</v>
      </c>
      <c r="E289" s="381">
        <v>255183</v>
      </c>
      <c r="F289" s="381">
        <v>264995</v>
      </c>
    </row>
    <row r="290" spans="1:6" x14ac:dyDescent="0.25">
      <c r="A290" s="376">
        <v>5222</v>
      </c>
      <c r="B290" s="377" t="s">
        <v>567</v>
      </c>
      <c r="C290" s="378">
        <v>353288</v>
      </c>
      <c r="D290" s="378">
        <v>387502</v>
      </c>
      <c r="E290" s="378">
        <v>400398</v>
      </c>
      <c r="F290" s="378">
        <v>394712</v>
      </c>
    </row>
    <row r="291" spans="1:6" x14ac:dyDescent="0.25">
      <c r="A291" s="379">
        <v>5223</v>
      </c>
      <c r="B291" s="380" t="s">
        <v>568</v>
      </c>
      <c r="C291" s="381">
        <v>223374</v>
      </c>
      <c r="D291" s="381">
        <v>236251</v>
      </c>
      <c r="E291" s="381">
        <v>247171</v>
      </c>
      <c r="F291" s="381">
        <v>256651</v>
      </c>
    </row>
    <row r="292" spans="1:6" x14ac:dyDescent="0.25">
      <c r="A292" s="376">
        <v>5229</v>
      </c>
      <c r="B292" s="377" t="s">
        <v>569</v>
      </c>
      <c r="C292" s="378">
        <v>258202</v>
      </c>
      <c r="D292" s="378">
        <v>263711</v>
      </c>
      <c r="E292" s="378">
        <v>295693</v>
      </c>
      <c r="F292" s="378">
        <v>290363</v>
      </c>
    </row>
    <row r="293" spans="1:6" x14ac:dyDescent="0.25">
      <c r="A293" s="379">
        <v>5231</v>
      </c>
      <c r="B293" s="380" t="s">
        <v>570</v>
      </c>
      <c r="C293" s="381">
        <v>395115</v>
      </c>
      <c r="D293" s="381">
        <v>422485</v>
      </c>
      <c r="E293" s="381">
        <v>443745</v>
      </c>
      <c r="F293" s="381">
        <v>451606</v>
      </c>
    </row>
    <row r="294" spans="1:6" x14ac:dyDescent="0.25">
      <c r="A294" s="376">
        <v>5232</v>
      </c>
      <c r="B294" s="377" t="s">
        <v>571</v>
      </c>
      <c r="C294" s="378">
        <v>336943</v>
      </c>
      <c r="D294" s="378">
        <v>375790</v>
      </c>
      <c r="E294" s="384" t="s">
        <v>279</v>
      </c>
      <c r="F294" s="384" t="s">
        <v>279</v>
      </c>
    </row>
    <row r="295" spans="1:6" x14ac:dyDescent="0.25">
      <c r="A295" s="379">
        <v>5233</v>
      </c>
      <c r="B295" s="380" t="s">
        <v>572</v>
      </c>
      <c r="C295" s="382" t="s">
        <v>279</v>
      </c>
      <c r="D295" s="381">
        <v>309144</v>
      </c>
      <c r="E295" s="382" t="s">
        <v>279</v>
      </c>
      <c r="F295" s="382" t="s">
        <v>279</v>
      </c>
    </row>
    <row r="296" spans="1:6" x14ac:dyDescent="0.25">
      <c r="A296" s="376">
        <v>5241</v>
      </c>
      <c r="B296" s="377" t="s">
        <v>573</v>
      </c>
      <c r="C296" s="378">
        <v>322849</v>
      </c>
      <c r="D296" s="378">
        <v>318482</v>
      </c>
      <c r="E296" s="378">
        <v>328044</v>
      </c>
      <c r="F296" s="378">
        <v>330656</v>
      </c>
    </row>
    <row r="297" spans="1:6" x14ac:dyDescent="0.25">
      <c r="A297" s="379">
        <v>5242</v>
      </c>
      <c r="B297" s="380" t="s">
        <v>574</v>
      </c>
      <c r="C297" s="382" t="s">
        <v>279</v>
      </c>
      <c r="D297" s="382" t="s">
        <v>279</v>
      </c>
      <c r="E297" s="382" t="s">
        <v>279</v>
      </c>
      <c r="F297" s="382" t="s">
        <v>279</v>
      </c>
    </row>
    <row r="298" spans="1:6" x14ac:dyDescent="0.25">
      <c r="A298" s="376">
        <v>5243</v>
      </c>
      <c r="B298" s="377" t="s">
        <v>575</v>
      </c>
      <c r="C298" s="378">
        <v>288971</v>
      </c>
      <c r="D298" s="378">
        <v>309192</v>
      </c>
      <c r="E298" s="378">
        <v>317836</v>
      </c>
      <c r="F298" s="378">
        <v>297483</v>
      </c>
    </row>
    <row r="299" spans="1:6" x14ac:dyDescent="0.25">
      <c r="A299" s="379">
        <v>5251</v>
      </c>
      <c r="B299" s="380" t="s">
        <v>576</v>
      </c>
      <c r="C299" s="381">
        <v>390693</v>
      </c>
      <c r="D299" s="381">
        <v>508179</v>
      </c>
      <c r="E299" s="381">
        <v>607670</v>
      </c>
      <c r="F299" s="381">
        <v>726993</v>
      </c>
    </row>
    <row r="300" spans="1:6" x14ac:dyDescent="0.25">
      <c r="A300" s="376">
        <v>5252</v>
      </c>
      <c r="B300" s="377" t="s">
        <v>577</v>
      </c>
      <c r="C300" s="378">
        <v>414802</v>
      </c>
      <c r="D300" s="378">
        <v>443888</v>
      </c>
      <c r="E300" s="378">
        <v>478773</v>
      </c>
      <c r="F300" s="378">
        <v>559476</v>
      </c>
    </row>
    <row r="301" spans="1:6" x14ac:dyDescent="0.25">
      <c r="A301" s="379">
        <v>5253</v>
      </c>
      <c r="B301" s="380" t="s">
        <v>578</v>
      </c>
      <c r="C301" s="381">
        <v>418370</v>
      </c>
      <c r="D301" s="381">
        <v>462182</v>
      </c>
      <c r="E301" s="381">
        <v>505553</v>
      </c>
      <c r="F301" s="381">
        <v>510152</v>
      </c>
    </row>
    <row r="302" spans="1:6" x14ac:dyDescent="0.25">
      <c r="A302" s="376">
        <v>5254</v>
      </c>
      <c r="B302" s="377" t="s">
        <v>579</v>
      </c>
      <c r="C302" s="378">
        <v>307328</v>
      </c>
      <c r="D302" s="378">
        <v>317569</v>
      </c>
      <c r="E302" s="378">
        <v>322776</v>
      </c>
      <c r="F302" s="378">
        <v>299379</v>
      </c>
    </row>
    <row r="303" spans="1:6" x14ac:dyDescent="0.25">
      <c r="A303" s="379">
        <v>5255</v>
      </c>
      <c r="B303" s="380" t="s">
        <v>580</v>
      </c>
      <c r="C303" s="382" t="s">
        <v>279</v>
      </c>
      <c r="D303" s="382" t="s">
        <v>279</v>
      </c>
      <c r="E303" s="381">
        <v>429383</v>
      </c>
      <c r="F303" s="381">
        <v>359756</v>
      </c>
    </row>
    <row r="304" spans="1:6" x14ac:dyDescent="0.25">
      <c r="A304" s="376">
        <v>5256</v>
      </c>
      <c r="B304" s="377" t="s">
        <v>581</v>
      </c>
      <c r="C304" s="378">
        <v>343501</v>
      </c>
      <c r="D304" s="378">
        <v>375935</v>
      </c>
      <c r="E304" s="378">
        <v>389551</v>
      </c>
      <c r="F304" s="378">
        <v>376273</v>
      </c>
    </row>
    <row r="305" spans="1:6" x14ac:dyDescent="0.25">
      <c r="A305" s="379">
        <v>5259</v>
      </c>
      <c r="B305" s="380" t="s">
        <v>582</v>
      </c>
      <c r="C305" s="381">
        <v>378652</v>
      </c>
      <c r="D305" s="381">
        <v>386888</v>
      </c>
      <c r="E305" s="381">
        <v>392977</v>
      </c>
      <c r="F305" s="381">
        <v>358375</v>
      </c>
    </row>
    <row r="306" spans="1:6" x14ac:dyDescent="0.25">
      <c r="A306" s="376">
        <v>5291</v>
      </c>
      <c r="B306" s="377" t="s">
        <v>583</v>
      </c>
      <c r="C306" s="384" t="s">
        <v>279</v>
      </c>
      <c r="D306" s="384" t="s">
        <v>279</v>
      </c>
      <c r="E306" s="384" t="s">
        <v>279</v>
      </c>
      <c r="F306" s="378">
        <v>345996</v>
      </c>
    </row>
    <row r="307" spans="1:6" x14ac:dyDescent="0.25">
      <c r="A307" s="379">
        <v>5292</v>
      </c>
      <c r="B307" s="380" t="s">
        <v>584</v>
      </c>
      <c r="C307" s="381">
        <v>294303</v>
      </c>
      <c r="D307" s="381">
        <v>342550</v>
      </c>
      <c r="E307" s="382" t="s">
        <v>279</v>
      </c>
      <c r="F307" s="382" t="s">
        <v>279</v>
      </c>
    </row>
    <row r="308" spans="1:6" x14ac:dyDescent="0.25">
      <c r="A308" s="376">
        <v>5293</v>
      </c>
      <c r="B308" s="377" t="s">
        <v>585</v>
      </c>
      <c r="C308" s="378">
        <v>269096</v>
      </c>
      <c r="D308" s="378">
        <v>292356</v>
      </c>
      <c r="E308" s="378">
        <v>288893</v>
      </c>
      <c r="F308" s="378">
        <v>280488</v>
      </c>
    </row>
    <row r="309" spans="1:6" x14ac:dyDescent="0.25">
      <c r="A309" s="379">
        <v>5299</v>
      </c>
      <c r="B309" s="380" t="s">
        <v>586</v>
      </c>
      <c r="C309" s="381">
        <v>295286</v>
      </c>
      <c r="D309" s="381">
        <v>326354</v>
      </c>
      <c r="E309" s="381">
        <v>329163</v>
      </c>
      <c r="F309" s="381">
        <v>318540</v>
      </c>
    </row>
    <row r="310" spans="1:6" x14ac:dyDescent="0.25">
      <c r="A310" s="376">
        <v>6111</v>
      </c>
      <c r="B310" s="377" t="s">
        <v>587</v>
      </c>
      <c r="C310" s="378">
        <v>290693</v>
      </c>
      <c r="D310" s="378">
        <v>254850</v>
      </c>
      <c r="E310" s="378">
        <v>267658</v>
      </c>
      <c r="F310" s="378">
        <v>237056</v>
      </c>
    </row>
    <row r="311" spans="1:6" x14ac:dyDescent="0.25">
      <c r="A311" s="379">
        <v>6113</v>
      </c>
      <c r="B311" s="380" t="s">
        <v>588</v>
      </c>
      <c r="C311" s="381">
        <v>262628</v>
      </c>
      <c r="D311" s="381">
        <v>213551</v>
      </c>
      <c r="E311" s="381">
        <v>194321</v>
      </c>
      <c r="F311" s="381">
        <v>190833</v>
      </c>
    </row>
    <row r="312" spans="1:6" x14ac:dyDescent="0.25">
      <c r="A312" s="376">
        <v>6114</v>
      </c>
      <c r="B312" s="377" t="s">
        <v>589</v>
      </c>
      <c r="C312" s="378">
        <v>293553</v>
      </c>
      <c r="D312" s="378">
        <v>275593</v>
      </c>
      <c r="E312" s="378">
        <v>270214</v>
      </c>
      <c r="F312" s="378">
        <v>257742</v>
      </c>
    </row>
    <row r="313" spans="1:6" x14ac:dyDescent="0.25">
      <c r="A313" s="379">
        <v>6115</v>
      </c>
      <c r="B313" s="380" t="s">
        <v>590</v>
      </c>
      <c r="C313" s="381">
        <v>230945</v>
      </c>
      <c r="D313" s="381">
        <v>243421</v>
      </c>
      <c r="E313" s="381">
        <v>251112</v>
      </c>
      <c r="F313" s="381">
        <v>243708</v>
      </c>
    </row>
    <row r="314" spans="1:6" x14ac:dyDescent="0.25">
      <c r="A314" s="376">
        <v>6116</v>
      </c>
      <c r="B314" s="377" t="s">
        <v>591</v>
      </c>
      <c r="C314" s="384" t="s">
        <v>279</v>
      </c>
      <c r="D314" s="384" t="s">
        <v>279</v>
      </c>
      <c r="E314" s="384" t="s">
        <v>279</v>
      </c>
      <c r="F314" s="384" t="s">
        <v>279</v>
      </c>
    </row>
    <row r="315" spans="1:6" x14ac:dyDescent="0.25">
      <c r="A315" s="379">
        <v>6119</v>
      </c>
      <c r="B315" s="380" t="s">
        <v>592</v>
      </c>
      <c r="C315" s="381">
        <v>272947</v>
      </c>
      <c r="D315" s="381">
        <v>261611</v>
      </c>
      <c r="E315" s="381">
        <v>255879</v>
      </c>
      <c r="F315" s="381">
        <v>258938</v>
      </c>
    </row>
    <row r="316" spans="1:6" x14ac:dyDescent="0.25">
      <c r="A316" s="376">
        <v>6121</v>
      </c>
      <c r="B316" s="377" t="s">
        <v>593</v>
      </c>
      <c r="C316" s="378">
        <v>317142</v>
      </c>
      <c r="D316" s="378">
        <v>329393</v>
      </c>
      <c r="E316" s="378">
        <v>329036</v>
      </c>
      <c r="F316" s="378">
        <v>317888</v>
      </c>
    </row>
    <row r="317" spans="1:6" x14ac:dyDescent="0.25">
      <c r="A317" s="379">
        <v>6122</v>
      </c>
      <c r="B317" s="380" t="s">
        <v>594</v>
      </c>
      <c r="C317" s="381">
        <v>296321</v>
      </c>
      <c r="D317" s="381">
        <v>308350</v>
      </c>
      <c r="E317" s="381">
        <v>305392</v>
      </c>
      <c r="F317" s="381">
        <v>296902</v>
      </c>
    </row>
    <row r="318" spans="1:6" x14ac:dyDescent="0.25">
      <c r="A318" s="376">
        <v>6124</v>
      </c>
      <c r="B318" s="377" t="s">
        <v>595</v>
      </c>
      <c r="C318" s="378">
        <v>293451</v>
      </c>
      <c r="D318" s="378">
        <v>323050</v>
      </c>
      <c r="E318" s="378">
        <v>320512</v>
      </c>
      <c r="F318" s="378">
        <v>316017</v>
      </c>
    </row>
    <row r="319" spans="1:6" x14ac:dyDescent="0.25">
      <c r="A319" s="379">
        <v>6130</v>
      </c>
      <c r="B319" s="380" t="s">
        <v>596</v>
      </c>
      <c r="C319" s="381">
        <v>204395</v>
      </c>
      <c r="D319" s="381">
        <v>224623</v>
      </c>
      <c r="E319" s="381">
        <v>231859</v>
      </c>
      <c r="F319" s="381">
        <v>256527</v>
      </c>
    </row>
    <row r="320" spans="1:6" x14ac:dyDescent="0.25">
      <c r="A320" s="376">
        <v>6211</v>
      </c>
      <c r="B320" s="377" t="s">
        <v>597</v>
      </c>
      <c r="C320" s="378">
        <v>209771</v>
      </c>
      <c r="D320" s="378">
        <v>185363</v>
      </c>
      <c r="E320" s="378">
        <v>174152</v>
      </c>
      <c r="F320" s="378">
        <v>171179</v>
      </c>
    </row>
    <row r="321" spans="1:6" x14ac:dyDescent="0.25">
      <c r="A321" s="379">
        <v>6212</v>
      </c>
      <c r="B321" s="380" t="s">
        <v>598</v>
      </c>
      <c r="C321" s="381">
        <v>268827</v>
      </c>
      <c r="D321" s="381">
        <v>254249</v>
      </c>
      <c r="E321" s="381">
        <v>256394</v>
      </c>
      <c r="F321" s="381">
        <v>250432</v>
      </c>
    </row>
    <row r="322" spans="1:6" x14ac:dyDescent="0.25">
      <c r="A322" s="376">
        <v>6220</v>
      </c>
      <c r="B322" s="377" t="s">
        <v>599</v>
      </c>
      <c r="C322" s="384" t="s">
        <v>279</v>
      </c>
      <c r="D322" s="378">
        <v>336827</v>
      </c>
      <c r="E322" s="378">
        <v>324449</v>
      </c>
      <c r="F322" s="378">
        <v>313185</v>
      </c>
    </row>
    <row r="323" spans="1:6" x14ac:dyDescent="0.25">
      <c r="A323" s="379">
        <v>6230</v>
      </c>
      <c r="B323" s="380" t="s">
        <v>600</v>
      </c>
      <c r="C323" s="381">
        <v>263549</v>
      </c>
      <c r="D323" s="381">
        <v>327031</v>
      </c>
      <c r="E323" s="381">
        <v>323234</v>
      </c>
      <c r="F323" s="381">
        <v>293414</v>
      </c>
    </row>
    <row r="324" spans="1:6" x14ac:dyDescent="0.25">
      <c r="A324" s="376">
        <v>7111</v>
      </c>
      <c r="B324" s="377" t="s">
        <v>601</v>
      </c>
      <c r="C324" s="378">
        <v>294258</v>
      </c>
      <c r="D324" s="378">
        <v>309179</v>
      </c>
      <c r="E324" s="378">
        <v>311775</v>
      </c>
      <c r="F324" s="378">
        <v>298385</v>
      </c>
    </row>
    <row r="325" spans="1:6" x14ac:dyDescent="0.25">
      <c r="A325" s="379">
        <v>7112</v>
      </c>
      <c r="B325" s="380" t="s">
        <v>602</v>
      </c>
      <c r="C325" s="381">
        <v>275237</v>
      </c>
      <c r="D325" s="381">
        <v>296042</v>
      </c>
      <c r="E325" s="381">
        <v>291692</v>
      </c>
      <c r="F325" s="381">
        <v>288006</v>
      </c>
    </row>
    <row r="326" spans="1:6" x14ac:dyDescent="0.25">
      <c r="A326" s="376">
        <v>7113</v>
      </c>
      <c r="B326" s="377" t="s">
        <v>603</v>
      </c>
      <c r="C326" s="378">
        <v>365573</v>
      </c>
      <c r="D326" s="378">
        <v>401870</v>
      </c>
      <c r="E326" s="378">
        <v>370675</v>
      </c>
      <c r="F326" s="378">
        <v>370098</v>
      </c>
    </row>
    <row r="327" spans="1:6" x14ac:dyDescent="0.25">
      <c r="A327" s="379">
        <v>7114</v>
      </c>
      <c r="B327" s="380" t="s">
        <v>604</v>
      </c>
      <c r="C327" s="381">
        <v>276461</v>
      </c>
      <c r="D327" s="381">
        <v>298058</v>
      </c>
      <c r="E327" s="381">
        <v>297135</v>
      </c>
      <c r="F327" s="381">
        <v>283484</v>
      </c>
    </row>
    <row r="328" spans="1:6" x14ac:dyDescent="0.25">
      <c r="A328" s="376">
        <v>7115</v>
      </c>
      <c r="B328" s="377" t="s">
        <v>605</v>
      </c>
      <c r="C328" s="378">
        <v>325412</v>
      </c>
      <c r="D328" s="378">
        <v>343429</v>
      </c>
      <c r="E328" s="378">
        <v>367268</v>
      </c>
      <c r="F328" s="378">
        <v>336293</v>
      </c>
    </row>
    <row r="329" spans="1:6" x14ac:dyDescent="0.25">
      <c r="A329" s="379">
        <v>7211</v>
      </c>
      <c r="B329" s="380" t="s">
        <v>606</v>
      </c>
      <c r="C329" s="381">
        <v>255118</v>
      </c>
      <c r="D329" s="381">
        <v>261362</v>
      </c>
      <c r="E329" s="381">
        <v>268358</v>
      </c>
      <c r="F329" s="381">
        <v>250376</v>
      </c>
    </row>
    <row r="330" spans="1:6" x14ac:dyDescent="0.25">
      <c r="A330" s="376">
        <v>7212</v>
      </c>
      <c r="B330" s="377" t="s">
        <v>607</v>
      </c>
      <c r="C330" s="378">
        <v>246545</v>
      </c>
      <c r="D330" s="378">
        <v>241019</v>
      </c>
      <c r="E330" s="378">
        <v>256641</v>
      </c>
      <c r="F330" s="378">
        <v>249320</v>
      </c>
    </row>
    <row r="331" spans="1:6" x14ac:dyDescent="0.25">
      <c r="A331" s="379">
        <v>7213</v>
      </c>
      <c r="B331" s="380" t="s">
        <v>608</v>
      </c>
      <c r="C331" s="382" t="s">
        <v>279</v>
      </c>
      <c r="D331" s="382" t="s">
        <v>279</v>
      </c>
      <c r="E331" s="382" t="s">
        <v>279</v>
      </c>
      <c r="F331" s="381">
        <v>265511</v>
      </c>
    </row>
    <row r="332" spans="1:6" x14ac:dyDescent="0.25">
      <c r="A332" s="376">
        <v>7216</v>
      </c>
      <c r="B332" s="377" t="s">
        <v>609</v>
      </c>
      <c r="C332" s="378">
        <v>283968</v>
      </c>
      <c r="D332" s="378">
        <v>291452</v>
      </c>
      <c r="E332" s="378">
        <v>300962</v>
      </c>
      <c r="F332" s="378">
        <v>298484</v>
      </c>
    </row>
    <row r="333" spans="1:6" x14ac:dyDescent="0.25">
      <c r="A333" s="379">
        <v>7217</v>
      </c>
      <c r="B333" s="380" t="s">
        <v>610</v>
      </c>
      <c r="C333" s="381">
        <v>217485</v>
      </c>
      <c r="D333" s="381">
        <v>227545</v>
      </c>
      <c r="E333" s="381">
        <v>254531</v>
      </c>
      <c r="F333" s="381">
        <v>244518</v>
      </c>
    </row>
    <row r="334" spans="1:6" x14ac:dyDescent="0.25">
      <c r="A334" s="376">
        <v>7221</v>
      </c>
      <c r="B334" s="377" t="s">
        <v>611</v>
      </c>
      <c r="C334" s="378">
        <v>298899</v>
      </c>
      <c r="D334" s="378">
        <v>302204</v>
      </c>
      <c r="E334" s="378">
        <v>285536</v>
      </c>
      <c r="F334" s="378">
        <v>291008</v>
      </c>
    </row>
    <row r="335" spans="1:6" x14ac:dyDescent="0.25">
      <c r="A335" s="379">
        <v>7222</v>
      </c>
      <c r="B335" s="380" t="s">
        <v>612</v>
      </c>
      <c r="C335" s="382" t="s">
        <v>279</v>
      </c>
      <c r="D335" s="382" t="s">
        <v>279</v>
      </c>
      <c r="E335" s="382" t="s">
        <v>279</v>
      </c>
      <c r="F335" s="381">
        <v>309178</v>
      </c>
    </row>
    <row r="336" spans="1:6" x14ac:dyDescent="0.25">
      <c r="A336" s="376">
        <v>7223</v>
      </c>
      <c r="B336" s="377" t="s">
        <v>613</v>
      </c>
      <c r="C336" s="378">
        <v>256573</v>
      </c>
      <c r="D336" s="378">
        <v>267616</v>
      </c>
      <c r="E336" s="378">
        <v>273524</v>
      </c>
      <c r="F336" s="378">
        <v>273604</v>
      </c>
    </row>
    <row r="337" spans="1:6" x14ac:dyDescent="0.25">
      <c r="A337" s="379">
        <v>7224</v>
      </c>
      <c r="B337" s="380" t="s">
        <v>614</v>
      </c>
      <c r="C337" s="381">
        <v>333758</v>
      </c>
      <c r="D337" s="381">
        <v>340052</v>
      </c>
      <c r="E337" s="381">
        <v>333649</v>
      </c>
      <c r="F337" s="381">
        <v>304941</v>
      </c>
    </row>
    <row r="338" spans="1:6" x14ac:dyDescent="0.25">
      <c r="A338" s="376">
        <v>7225</v>
      </c>
      <c r="B338" s="377" t="s">
        <v>615</v>
      </c>
      <c r="C338" s="384" t="s">
        <v>279</v>
      </c>
      <c r="D338" s="384" t="s">
        <v>279</v>
      </c>
      <c r="E338" s="384" t="s">
        <v>279</v>
      </c>
      <c r="F338" s="384" t="s">
        <v>279</v>
      </c>
    </row>
    <row r="339" spans="1:6" x14ac:dyDescent="0.25">
      <c r="A339" s="379">
        <v>7231</v>
      </c>
      <c r="B339" s="380" t="s">
        <v>616</v>
      </c>
      <c r="C339" s="381">
        <v>316873</v>
      </c>
      <c r="D339" s="381">
        <v>357893</v>
      </c>
      <c r="E339" s="381">
        <v>348408</v>
      </c>
      <c r="F339" s="381">
        <v>349294</v>
      </c>
    </row>
    <row r="340" spans="1:6" x14ac:dyDescent="0.25">
      <c r="A340" s="376">
        <v>7232</v>
      </c>
      <c r="B340" s="377" t="s">
        <v>617</v>
      </c>
      <c r="C340" s="378">
        <v>385115</v>
      </c>
      <c r="D340" s="378">
        <v>427598</v>
      </c>
      <c r="E340" s="378">
        <v>444084</v>
      </c>
      <c r="F340" s="378">
        <v>407456</v>
      </c>
    </row>
    <row r="341" spans="1:6" x14ac:dyDescent="0.25">
      <c r="A341" s="379">
        <v>7233</v>
      </c>
      <c r="B341" s="380" t="s">
        <v>618</v>
      </c>
      <c r="C341" s="381">
        <v>266668</v>
      </c>
      <c r="D341" s="381">
        <v>309666</v>
      </c>
      <c r="E341" s="381">
        <v>312957</v>
      </c>
      <c r="F341" s="381">
        <v>304569</v>
      </c>
    </row>
    <row r="342" spans="1:6" x14ac:dyDescent="0.25">
      <c r="A342" s="376">
        <v>7310</v>
      </c>
      <c r="B342" s="377" t="s">
        <v>619</v>
      </c>
      <c r="C342" s="384" t="s">
        <v>279</v>
      </c>
      <c r="D342" s="384" t="s">
        <v>279</v>
      </c>
      <c r="E342" s="378">
        <v>377761</v>
      </c>
      <c r="F342" s="378">
        <v>344408</v>
      </c>
    </row>
    <row r="343" spans="1:6" x14ac:dyDescent="0.25">
      <c r="A343" s="379">
        <v>7321</v>
      </c>
      <c r="B343" s="380" t="s">
        <v>620</v>
      </c>
      <c r="C343" s="381">
        <v>341692</v>
      </c>
      <c r="D343" s="381">
        <v>375108</v>
      </c>
      <c r="E343" s="381">
        <v>386468</v>
      </c>
      <c r="F343" s="381">
        <v>365137</v>
      </c>
    </row>
    <row r="344" spans="1:6" x14ac:dyDescent="0.25">
      <c r="A344" s="376">
        <v>7322</v>
      </c>
      <c r="B344" s="377" t="s">
        <v>621</v>
      </c>
      <c r="C344" s="378">
        <v>510314</v>
      </c>
      <c r="D344" s="378">
        <v>603443</v>
      </c>
      <c r="E344" s="378">
        <v>598735</v>
      </c>
      <c r="F344" s="378">
        <v>519794</v>
      </c>
    </row>
    <row r="345" spans="1:6" x14ac:dyDescent="0.25">
      <c r="A345" s="379">
        <v>7323</v>
      </c>
      <c r="B345" s="380" t="s">
        <v>622</v>
      </c>
      <c r="C345" s="381">
        <v>421961</v>
      </c>
      <c r="D345" s="381">
        <v>508489</v>
      </c>
      <c r="E345" s="381">
        <v>542582</v>
      </c>
      <c r="F345" s="381">
        <v>447820</v>
      </c>
    </row>
    <row r="346" spans="1:6" x14ac:dyDescent="0.25">
      <c r="A346" s="376">
        <v>7324</v>
      </c>
      <c r="B346" s="377" t="s">
        <v>623</v>
      </c>
      <c r="C346" s="378">
        <v>354687</v>
      </c>
      <c r="D346" s="378">
        <v>409822</v>
      </c>
      <c r="E346" s="378">
        <v>383606</v>
      </c>
      <c r="F346" s="378">
        <v>360179</v>
      </c>
    </row>
    <row r="347" spans="1:6" x14ac:dyDescent="0.25">
      <c r="A347" s="379">
        <v>7325</v>
      </c>
      <c r="B347" s="380" t="s">
        <v>624</v>
      </c>
      <c r="C347" s="381">
        <v>344027</v>
      </c>
      <c r="D347" s="381">
        <v>386365</v>
      </c>
      <c r="E347" s="381">
        <v>398582</v>
      </c>
      <c r="F347" s="381">
        <v>382254</v>
      </c>
    </row>
    <row r="348" spans="1:6" x14ac:dyDescent="0.25">
      <c r="A348" s="376">
        <v>7326</v>
      </c>
      <c r="B348" s="377" t="s">
        <v>625</v>
      </c>
      <c r="C348" s="378">
        <v>360877</v>
      </c>
      <c r="D348" s="378">
        <v>444437</v>
      </c>
      <c r="E348" s="378">
        <v>456572</v>
      </c>
      <c r="F348" s="378">
        <v>454812</v>
      </c>
    </row>
    <row r="349" spans="1:6" x14ac:dyDescent="0.25">
      <c r="A349" s="379">
        <v>7327</v>
      </c>
      <c r="B349" s="380" t="s">
        <v>626</v>
      </c>
      <c r="C349" s="381">
        <v>364871</v>
      </c>
      <c r="D349" s="381">
        <v>389246</v>
      </c>
      <c r="E349" s="381">
        <v>380242</v>
      </c>
      <c r="F349" s="381">
        <v>364438</v>
      </c>
    </row>
    <row r="350" spans="1:6" x14ac:dyDescent="0.25">
      <c r="A350" s="376">
        <v>7328</v>
      </c>
      <c r="B350" s="377" t="s">
        <v>627</v>
      </c>
      <c r="C350" s="378">
        <v>320168</v>
      </c>
      <c r="D350" s="378">
        <v>368944</v>
      </c>
      <c r="E350" s="378">
        <v>371901</v>
      </c>
      <c r="F350" s="378">
        <v>353860</v>
      </c>
    </row>
    <row r="351" spans="1:6" x14ac:dyDescent="0.25">
      <c r="A351" s="379">
        <v>7331</v>
      </c>
      <c r="B351" s="380" t="s">
        <v>628</v>
      </c>
      <c r="C351" s="381">
        <v>330449</v>
      </c>
      <c r="D351" s="381">
        <v>383590</v>
      </c>
      <c r="E351" s="381">
        <v>380262</v>
      </c>
      <c r="F351" s="381">
        <v>383699</v>
      </c>
    </row>
    <row r="352" spans="1:6" x14ac:dyDescent="0.25">
      <c r="A352" s="376">
        <v>7332</v>
      </c>
      <c r="B352" s="377" t="s">
        <v>629</v>
      </c>
      <c r="C352" s="378">
        <v>457580</v>
      </c>
      <c r="D352" s="378">
        <v>680232</v>
      </c>
      <c r="E352" s="378">
        <v>766256</v>
      </c>
      <c r="F352" s="378">
        <v>636319</v>
      </c>
    </row>
    <row r="353" spans="1:6" x14ac:dyDescent="0.25">
      <c r="A353" s="379">
        <v>7333</v>
      </c>
      <c r="B353" s="380" t="s">
        <v>630</v>
      </c>
      <c r="C353" s="381">
        <v>411879</v>
      </c>
      <c r="D353" s="381">
        <v>460400</v>
      </c>
      <c r="E353" s="381">
        <v>459835</v>
      </c>
      <c r="F353" s="381">
        <v>391769</v>
      </c>
    </row>
    <row r="354" spans="1:6" x14ac:dyDescent="0.25">
      <c r="A354" s="376">
        <v>7334</v>
      </c>
      <c r="B354" s="377" t="s">
        <v>631</v>
      </c>
      <c r="C354" s="378">
        <v>474061</v>
      </c>
      <c r="D354" s="378">
        <v>515590</v>
      </c>
      <c r="E354" s="378">
        <v>483664</v>
      </c>
      <c r="F354" s="378">
        <v>434779</v>
      </c>
    </row>
    <row r="355" spans="1:6" x14ac:dyDescent="0.25">
      <c r="A355" s="379">
        <v>7335</v>
      </c>
      <c r="B355" s="380" t="s">
        <v>632</v>
      </c>
      <c r="C355" s="382" t="s">
        <v>279</v>
      </c>
      <c r="D355" s="383" t="s">
        <v>279</v>
      </c>
      <c r="E355" s="382" t="s">
        <v>279</v>
      </c>
      <c r="F355" s="382" t="s">
        <v>279</v>
      </c>
    </row>
    <row r="356" spans="1:6" x14ac:dyDescent="0.25">
      <c r="A356" s="376">
        <v>7341</v>
      </c>
      <c r="B356" s="377" t="s">
        <v>633</v>
      </c>
      <c r="C356" s="378">
        <v>427920</v>
      </c>
      <c r="D356" s="378">
        <v>486927</v>
      </c>
      <c r="E356" s="378">
        <v>469877</v>
      </c>
      <c r="F356" s="378">
        <v>440264</v>
      </c>
    </row>
    <row r="357" spans="1:6" x14ac:dyDescent="0.25">
      <c r="A357" s="379">
        <v>7342</v>
      </c>
      <c r="B357" s="380" t="s">
        <v>634</v>
      </c>
      <c r="C357" s="381">
        <v>359570</v>
      </c>
      <c r="D357" s="381">
        <v>401847</v>
      </c>
      <c r="E357" s="381">
        <v>417208</v>
      </c>
      <c r="F357" s="381">
        <v>398700</v>
      </c>
    </row>
    <row r="358" spans="1:6" x14ac:dyDescent="0.25">
      <c r="A358" s="376">
        <v>7343</v>
      </c>
      <c r="B358" s="377" t="s">
        <v>635</v>
      </c>
      <c r="C358" s="378">
        <v>405898</v>
      </c>
      <c r="D358" s="378">
        <v>468584</v>
      </c>
      <c r="E358" s="378">
        <v>493656</v>
      </c>
      <c r="F358" s="378">
        <v>488765</v>
      </c>
    </row>
    <row r="359" spans="1:6" x14ac:dyDescent="0.25">
      <c r="A359" s="379">
        <v>7411</v>
      </c>
      <c r="B359" s="380" t="s">
        <v>636</v>
      </c>
      <c r="C359" s="382" t="s">
        <v>279</v>
      </c>
      <c r="D359" s="382" t="s">
        <v>279</v>
      </c>
      <c r="E359" s="382" t="s">
        <v>279</v>
      </c>
      <c r="F359" s="382" t="s">
        <v>279</v>
      </c>
    </row>
    <row r="360" spans="1:6" x14ac:dyDescent="0.25">
      <c r="A360" s="376">
        <v>7412</v>
      </c>
      <c r="B360" s="377" t="s">
        <v>637</v>
      </c>
      <c r="C360" s="384" t="s">
        <v>279</v>
      </c>
      <c r="D360" s="384" t="s">
        <v>279</v>
      </c>
      <c r="E360" s="378">
        <v>256026</v>
      </c>
      <c r="F360" s="378">
        <v>242960</v>
      </c>
    </row>
    <row r="361" spans="1:6" x14ac:dyDescent="0.25">
      <c r="A361" s="379">
        <v>7413</v>
      </c>
      <c r="B361" s="380" t="s">
        <v>638</v>
      </c>
      <c r="C361" s="381">
        <v>248803</v>
      </c>
      <c r="D361" s="381">
        <v>271564</v>
      </c>
      <c r="E361" s="381">
        <v>292520</v>
      </c>
      <c r="F361" s="381">
        <v>316472</v>
      </c>
    </row>
    <row r="362" spans="1:6" x14ac:dyDescent="0.25">
      <c r="A362" s="376">
        <v>7414</v>
      </c>
      <c r="B362" s="377" t="s">
        <v>639</v>
      </c>
      <c r="C362" s="378">
        <v>400821</v>
      </c>
      <c r="D362" s="378">
        <v>447698</v>
      </c>
      <c r="E362" s="378">
        <v>461241</v>
      </c>
      <c r="F362" s="378">
        <v>413731</v>
      </c>
    </row>
    <row r="363" spans="1:6" x14ac:dyDescent="0.25">
      <c r="A363" s="379">
        <v>7415</v>
      </c>
      <c r="B363" s="380" t="s">
        <v>640</v>
      </c>
      <c r="C363" s="382" t="s">
        <v>279</v>
      </c>
      <c r="D363" s="382" t="s">
        <v>279</v>
      </c>
      <c r="E363" s="382" t="s">
        <v>279</v>
      </c>
      <c r="F363" s="382" t="s">
        <v>279</v>
      </c>
    </row>
    <row r="364" spans="1:6" x14ac:dyDescent="0.25">
      <c r="A364" s="376">
        <v>7416</v>
      </c>
      <c r="B364" s="377" t="s">
        <v>641</v>
      </c>
      <c r="C364" s="384" t="s">
        <v>279</v>
      </c>
      <c r="D364" s="384" t="s">
        <v>279</v>
      </c>
      <c r="E364" s="384" t="s">
        <v>279</v>
      </c>
      <c r="F364" s="384" t="s">
        <v>279</v>
      </c>
    </row>
    <row r="365" spans="1:6" x14ac:dyDescent="0.25">
      <c r="A365" s="379">
        <v>7417</v>
      </c>
      <c r="B365" s="380" t="s">
        <v>642</v>
      </c>
      <c r="C365" s="382" t="s">
        <v>279</v>
      </c>
      <c r="D365" s="382" t="s">
        <v>279</v>
      </c>
      <c r="E365" s="381">
        <v>136433</v>
      </c>
      <c r="F365" s="381">
        <v>120607</v>
      </c>
    </row>
    <row r="366" spans="1:6" x14ac:dyDescent="0.25">
      <c r="A366" s="376">
        <v>7418</v>
      </c>
      <c r="B366" s="377" t="s">
        <v>643</v>
      </c>
      <c r="C366" s="384" t="s">
        <v>279</v>
      </c>
      <c r="D366" s="384" t="s">
        <v>279</v>
      </c>
      <c r="E366" s="384" t="s">
        <v>279</v>
      </c>
      <c r="F366" s="378">
        <v>157877</v>
      </c>
    </row>
    <row r="367" spans="1:6" x14ac:dyDescent="0.25">
      <c r="A367" s="379">
        <v>7419</v>
      </c>
      <c r="B367" s="380" t="s">
        <v>644</v>
      </c>
      <c r="C367" s="381">
        <v>210569</v>
      </c>
      <c r="D367" s="381">
        <v>223940</v>
      </c>
      <c r="E367" s="381">
        <v>241430</v>
      </c>
      <c r="F367" s="381">
        <v>230533</v>
      </c>
    </row>
    <row r="368" spans="1:6" x14ac:dyDescent="0.25">
      <c r="A368" s="376">
        <v>7420</v>
      </c>
      <c r="B368" s="377" t="s">
        <v>645</v>
      </c>
      <c r="C368" s="378">
        <v>357601</v>
      </c>
      <c r="D368" s="378">
        <v>421173</v>
      </c>
      <c r="E368" s="378">
        <v>415001</v>
      </c>
      <c r="F368" s="378">
        <v>388589</v>
      </c>
    </row>
    <row r="369" spans="1:6" x14ac:dyDescent="0.25">
      <c r="A369" s="379">
        <v>7511</v>
      </c>
      <c r="B369" s="380" t="s">
        <v>646</v>
      </c>
      <c r="C369" s="381">
        <v>257294</v>
      </c>
      <c r="D369" s="381">
        <v>261731</v>
      </c>
      <c r="E369" s="381">
        <v>271711</v>
      </c>
      <c r="F369" s="381">
        <v>269734</v>
      </c>
    </row>
    <row r="370" spans="1:6" x14ac:dyDescent="0.25">
      <c r="A370" s="376">
        <v>7512</v>
      </c>
      <c r="B370" s="377" t="s">
        <v>647</v>
      </c>
      <c r="C370" s="378">
        <v>288214</v>
      </c>
      <c r="D370" s="378">
        <v>287651</v>
      </c>
      <c r="E370" s="378">
        <v>284082</v>
      </c>
      <c r="F370" s="378">
        <v>286412</v>
      </c>
    </row>
    <row r="371" spans="1:6" x14ac:dyDescent="0.25">
      <c r="A371" s="379">
        <v>7513</v>
      </c>
      <c r="B371" s="380" t="s">
        <v>648</v>
      </c>
      <c r="C371" s="381">
        <v>261977</v>
      </c>
      <c r="D371" s="381">
        <v>278482</v>
      </c>
      <c r="E371" s="381">
        <v>290755</v>
      </c>
      <c r="F371" s="381">
        <v>288562</v>
      </c>
    </row>
    <row r="372" spans="1:6" x14ac:dyDescent="0.25">
      <c r="A372" s="376">
        <v>7514</v>
      </c>
      <c r="B372" s="377" t="s">
        <v>649</v>
      </c>
      <c r="C372" s="378">
        <v>253118</v>
      </c>
      <c r="D372" s="378">
        <v>263746</v>
      </c>
      <c r="E372" s="378">
        <v>273301</v>
      </c>
      <c r="F372" s="378">
        <v>286707</v>
      </c>
    </row>
    <row r="373" spans="1:6" x14ac:dyDescent="0.25">
      <c r="A373" s="379">
        <v>7515</v>
      </c>
      <c r="B373" s="380" t="s">
        <v>650</v>
      </c>
      <c r="C373" s="381">
        <v>314289</v>
      </c>
      <c r="D373" s="381">
        <v>368828</v>
      </c>
      <c r="E373" s="381">
        <v>354273</v>
      </c>
      <c r="F373" s="381">
        <v>357330</v>
      </c>
    </row>
    <row r="374" spans="1:6" x14ac:dyDescent="0.25">
      <c r="A374" s="376">
        <v>7519</v>
      </c>
      <c r="B374" s="377" t="s">
        <v>651</v>
      </c>
      <c r="C374" s="378">
        <v>335651</v>
      </c>
      <c r="D374" s="378">
        <v>356959</v>
      </c>
      <c r="E374" s="378">
        <v>310905</v>
      </c>
      <c r="F374" s="378">
        <v>322603</v>
      </c>
    </row>
    <row r="375" spans="1:6" x14ac:dyDescent="0.25">
      <c r="A375" s="379">
        <v>7521</v>
      </c>
      <c r="B375" s="380" t="s">
        <v>652</v>
      </c>
      <c r="C375" s="381">
        <v>301841</v>
      </c>
      <c r="D375" s="381">
        <v>344187</v>
      </c>
      <c r="E375" s="381">
        <v>363331</v>
      </c>
      <c r="F375" s="381">
        <v>368752</v>
      </c>
    </row>
    <row r="376" spans="1:6" x14ac:dyDescent="0.25">
      <c r="A376" s="376">
        <v>7522</v>
      </c>
      <c r="B376" s="377" t="s">
        <v>653</v>
      </c>
      <c r="C376" s="378">
        <v>309567</v>
      </c>
      <c r="D376" s="378">
        <v>365048</v>
      </c>
      <c r="E376" s="378">
        <v>379618</v>
      </c>
      <c r="F376" s="378">
        <v>391636</v>
      </c>
    </row>
    <row r="377" spans="1:6" x14ac:dyDescent="0.25">
      <c r="A377" s="379">
        <v>7523</v>
      </c>
      <c r="B377" s="380" t="s">
        <v>654</v>
      </c>
      <c r="C377" s="381">
        <v>400894</v>
      </c>
      <c r="D377" s="381">
        <v>453345</v>
      </c>
      <c r="E377" s="381">
        <v>486242</v>
      </c>
      <c r="F377" s="381">
        <v>433005</v>
      </c>
    </row>
    <row r="378" spans="1:6" x14ac:dyDescent="0.25">
      <c r="A378" s="376">
        <v>7524</v>
      </c>
      <c r="B378" s="377" t="s">
        <v>655</v>
      </c>
      <c r="C378" s="378">
        <v>342228</v>
      </c>
      <c r="D378" s="378">
        <v>378802</v>
      </c>
      <c r="E378" s="378">
        <v>397245</v>
      </c>
      <c r="F378" s="378">
        <v>392736</v>
      </c>
    </row>
    <row r="379" spans="1:6" x14ac:dyDescent="0.25">
      <c r="A379" s="379">
        <v>7529</v>
      </c>
      <c r="B379" s="380" t="s">
        <v>656</v>
      </c>
      <c r="C379" s="381">
        <v>318029</v>
      </c>
      <c r="D379" s="381">
        <v>335958</v>
      </c>
      <c r="E379" s="381">
        <v>335540</v>
      </c>
      <c r="F379" s="381">
        <v>320318</v>
      </c>
    </row>
    <row r="380" spans="1:6" x14ac:dyDescent="0.25">
      <c r="A380" s="376">
        <v>7531</v>
      </c>
      <c r="B380" s="377" t="s">
        <v>657</v>
      </c>
      <c r="C380" s="378">
        <v>287017</v>
      </c>
      <c r="D380" s="378">
        <v>314270</v>
      </c>
      <c r="E380" s="378">
        <v>324269</v>
      </c>
      <c r="F380" s="378">
        <v>323693</v>
      </c>
    </row>
    <row r="381" spans="1:6" x14ac:dyDescent="0.25">
      <c r="A381" s="379">
        <v>7532</v>
      </c>
      <c r="B381" s="380" t="s">
        <v>658</v>
      </c>
      <c r="C381" s="382" t="s">
        <v>279</v>
      </c>
      <c r="D381" s="381">
        <v>253855</v>
      </c>
      <c r="E381" s="381">
        <v>264379</v>
      </c>
      <c r="F381" s="381">
        <v>249128</v>
      </c>
    </row>
    <row r="382" spans="1:6" x14ac:dyDescent="0.25">
      <c r="A382" s="376">
        <v>7533</v>
      </c>
      <c r="B382" s="377" t="s">
        <v>659</v>
      </c>
      <c r="C382" s="378">
        <v>294030</v>
      </c>
      <c r="D382" s="378">
        <v>294879</v>
      </c>
      <c r="E382" s="378">
        <v>312415</v>
      </c>
      <c r="F382" s="378">
        <v>317589</v>
      </c>
    </row>
    <row r="383" spans="1:6" x14ac:dyDescent="0.25">
      <c r="A383" s="379">
        <v>7534</v>
      </c>
      <c r="B383" s="380" t="s">
        <v>660</v>
      </c>
      <c r="C383" s="381">
        <v>264739</v>
      </c>
      <c r="D383" s="381">
        <v>275991</v>
      </c>
      <c r="E383" s="381">
        <v>267059</v>
      </c>
      <c r="F383" s="381">
        <v>277288</v>
      </c>
    </row>
    <row r="384" spans="1:6" x14ac:dyDescent="0.25">
      <c r="A384" s="376">
        <v>7535</v>
      </c>
      <c r="B384" s="377" t="s">
        <v>661</v>
      </c>
      <c r="C384" s="378">
        <v>265024</v>
      </c>
      <c r="D384" s="378">
        <v>277078</v>
      </c>
      <c r="E384" s="378">
        <v>290432</v>
      </c>
      <c r="F384" s="378">
        <v>280550</v>
      </c>
    </row>
    <row r="385" spans="1:6" x14ac:dyDescent="0.25">
      <c r="A385" s="379">
        <v>7536</v>
      </c>
      <c r="B385" s="380" t="s">
        <v>662</v>
      </c>
      <c r="C385" s="382" t="s">
        <v>279</v>
      </c>
      <c r="D385" s="381">
        <v>257985</v>
      </c>
      <c r="E385" s="381">
        <v>276793</v>
      </c>
      <c r="F385" s="381">
        <v>283993</v>
      </c>
    </row>
    <row r="386" spans="1:6" x14ac:dyDescent="0.25">
      <c r="A386" s="376">
        <v>7538</v>
      </c>
      <c r="B386" s="377" t="s">
        <v>663</v>
      </c>
      <c r="C386" s="384" t="s">
        <v>279</v>
      </c>
      <c r="D386" s="378">
        <v>306531</v>
      </c>
      <c r="E386" s="378">
        <v>283858</v>
      </c>
      <c r="F386" s="378">
        <v>262639</v>
      </c>
    </row>
    <row r="387" spans="1:6" x14ac:dyDescent="0.25">
      <c r="A387" s="379">
        <v>7539</v>
      </c>
      <c r="B387" s="380" t="s">
        <v>664</v>
      </c>
      <c r="C387" s="381">
        <v>283382</v>
      </c>
      <c r="D387" s="381">
        <v>298773</v>
      </c>
      <c r="E387" s="381">
        <v>304224</v>
      </c>
      <c r="F387" s="381">
        <v>283980</v>
      </c>
    </row>
    <row r="388" spans="1:6" x14ac:dyDescent="0.25">
      <c r="A388" s="376">
        <v>7911</v>
      </c>
      <c r="B388" s="377" t="s">
        <v>665</v>
      </c>
      <c r="C388" s="384" t="s">
        <v>279</v>
      </c>
      <c r="D388" s="384" t="s">
        <v>279</v>
      </c>
      <c r="E388" s="384" t="s">
        <v>279</v>
      </c>
      <c r="F388" s="384" t="s">
        <v>279</v>
      </c>
    </row>
    <row r="389" spans="1:6" x14ac:dyDescent="0.25">
      <c r="A389" s="379">
        <v>7914</v>
      </c>
      <c r="B389" s="380" t="s">
        <v>666</v>
      </c>
      <c r="C389" s="382" t="s">
        <v>279</v>
      </c>
      <c r="D389" s="381">
        <v>361350</v>
      </c>
      <c r="E389" s="381">
        <v>316919</v>
      </c>
      <c r="F389" s="381">
        <v>310318</v>
      </c>
    </row>
    <row r="390" spans="1:6" x14ac:dyDescent="0.25">
      <c r="A390" s="376">
        <v>7915</v>
      </c>
      <c r="B390" s="377" t="s">
        <v>667</v>
      </c>
      <c r="C390" s="378">
        <v>298862</v>
      </c>
      <c r="D390" s="378">
        <v>316337</v>
      </c>
      <c r="E390" s="378">
        <v>316548</v>
      </c>
      <c r="F390" s="378">
        <v>316997</v>
      </c>
    </row>
    <row r="391" spans="1:6" x14ac:dyDescent="0.25">
      <c r="A391" s="379">
        <v>7919</v>
      </c>
      <c r="B391" s="380" t="s">
        <v>668</v>
      </c>
      <c r="C391" s="381">
        <v>361545</v>
      </c>
      <c r="D391" s="381">
        <v>401245</v>
      </c>
      <c r="E391" s="381">
        <v>408930</v>
      </c>
      <c r="F391" s="381">
        <v>398669</v>
      </c>
    </row>
    <row r="392" spans="1:6" x14ac:dyDescent="0.25">
      <c r="A392" s="376">
        <v>8111</v>
      </c>
      <c r="B392" s="377" t="s">
        <v>669</v>
      </c>
      <c r="C392" s="378">
        <v>388878</v>
      </c>
      <c r="D392" s="378">
        <v>420366</v>
      </c>
      <c r="E392" s="378">
        <v>407699</v>
      </c>
      <c r="F392" s="378">
        <v>387022</v>
      </c>
    </row>
    <row r="393" spans="1:6" x14ac:dyDescent="0.25">
      <c r="A393" s="379">
        <v>8112</v>
      </c>
      <c r="B393" s="380" t="s">
        <v>670</v>
      </c>
      <c r="C393" s="381">
        <v>336441</v>
      </c>
      <c r="D393" s="381">
        <v>377966</v>
      </c>
      <c r="E393" s="381">
        <v>381610</v>
      </c>
      <c r="F393" s="381">
        <v>410806</v>
      </c>
    </row>
    <row r="394" spans="1:6" x14ac:dyDescent="0.25">
      <c r="A394" s="376">
        <v>8121</v>
      </c>
      <c r="B394" s="377" t="s">
        <v>671</v>
      </c>
      <c r="C394" s="378">
        <v>292451</v>
      </c>
      <c r="D394" s="378">
        <v>302142</v>
      </c>
      <c r="E394" s="378">
        <v>302401</v>
      </c>
      <c r="F394" s="378">
        <v>294328</v>
      </c>
    </row>
    <row r="395" spans="1:6" x14ac:dyDescent="0.25">
      <c r="A395" s="379">
        <v>8122</v>
      </c>
      <c r="B395" s="380" t="s">
        <v>672</v>
      </c>
      <c r="C395" s="381">
        <v>225552</v>
      </c>
      <c r="D395" s="381">
        <v>239214</v>
      </c>
      <c r="E395" s="381">
        <v>237517</v>
      </c>
      <c r="F395" s="381">
        <v>229969</v>
      </c>
    </row>
    <row r="396" spans="1:6" x14ac:dyDescent="0.25">
      <c r="A396" s="376">
        <v>8123</v>
      </c>
      <c r="B396" s="377" t="s">
        <v>673</v>
      </c>
      <c r="C396" s="378">
        <v>330262</v>
      </c>
      <c r="D396" s="378">
        <v>332273</v>
      </c>
      <c r="E396" s="378">
        <v>303832</v>
      </c>
      <c r="F396" s="378">
        <v>294253</v>
      </c>
    </row>
    <row r="397" spans="1:6" x14ac:dyDescent="0.25">
      <c r="A397" s="379">
        <v>8124</v>
      </c>
      <c r="B397" s="380" t="s">
        <v>674</v>
      </c>
      <c r="C397" s="381">
        <v>217130</v>
      </c>
      <c r="D397" s="381">
        <v>234138</v>
      </c>
      <c r="E397" s="381">
        <v>238495</v>
      </c>
      <c r="F397" s="381">
        <v>228670</v>
      </c>
    </row>
    <row r="398" spans="1:6" x14ac:dyDescent="0.25">
      <c r="A398" s="376">
        <v>8125</v>
      </c>
      <c r="B398" s="377" t="s">
        <v>675</v>
      </c>
      <c r="C398" s="378">
        <v>305171</v>
      </c>
      <c r="D398" s="378">
        <v>318973</v>
      </c>
      <c r="E398" s="378">
        <v>318112</v>
      </c>
      <c r="F398" s="378">
        <v>291119</v>
      </c>
    </row>
    <row r="399" spans="1:6" x14ac:dyDescent="0.25">
      <c r="A399" s="379">
        <v>8126</v>
      </c>
      <c r="B399" s="380" t="s">
        <v>676</v>
      </c>
      <c r="C399" s="381">
        <v>388300</v>
      </c>
      <c r="D399" s="381">
        <v>452308</v>
      </c>
      <c r="E399" s="381">
        <v>434526</v>
      </c>
      <c r="F399" s="381">
        <v>412309</v>
      </c>
    </row>
    <row r="400" spans="1:6" x14ac:dyDescent="0.25">
      <c r="A400" s="376">
        <v>8131</v>
      </c>
      <c r="B400" s="377" t="s">
        <v>677</v>
      </c>
      <c r="C400" s="378">
        <v>460812</v>
      </c>
      <c r="D400" s="378">
        <v>557843</v>
      </c>
      <c r="E400" s="378">
        <v>646597</v>
      </c>
      <c r="F400" s="378">
        <v>626649</v>
      </c>
    </row>
    <row r="401" spans="1:6" x14ac:dyDescent="0.25">
      <c r="A401" s="379">
        <v>8132</v>
      </c>
      <c r="B401" s="380" t="s">
        <v>678</v>
      </c>
      <c r="C401" s="381">
        <v>472489</v>
      </c>
      <c r="D401" s="381">
        <v>528313</v>
      </c>
      <c r="E401" s="381">
        <v>549670</v>
      </c>
      <c r="F401" s="381">
        <v>553294</v>
      </c>
    </row>
    <row r="402" spans="1:6" x14ac:dyDescent="0.25">
      <c r="A402" s="376">
        <v>8133</v>
      </c>
      <c r="B402" s="377" t="s">
        <v>679</v>
      </c>
      <c r="C402" s="378">
        <v>464163</v>
      </c>
      <c r="D402" s="378">
        <v>512596</v>
      </c>
      <c r="E402" s="378">
        <v>528870</v>
      </c>
      <c r="F402" s="378">
        <v>556979</v>
      </c>
    </row>
    <row r="403" spans="1:6" x14ac:dyDescent="0.25">
      <c r="A403" s="379">
        <v>8134</v>
      </c>
      <c r="B403" s="380" t="s">
        <v>680</v>
      </c>
      <c r="C403" s="381">
        <v>492443</v>
      </c>
      <c r="D403" s="381">
        <v>530886</v>
      </c>
      <c r="E403" s="381">
        <v>533849</v>
      </c>
      <c r="F403" s="381">
        <v>451613</v>
      </c>
    </row>
    <row r="404" spans="1:6" x14ac:dyDescent="0.25">
      <c r="A404" s="376">
        <v>8135</v>
      </c>
      <c r="B404" s="377" t="s">
        <v>681</v>
      </c>
      <c r="C404" s="378">
        <v>351092</v>
      </c>
      <c r="D404" s="378">
        <v>377896</v>
      </c>
      <c r="E404" s="378">
        <v>372911</v>
      </c>
      <c r="F404" s="378">
        <v>345065</v>
      </c>
    </row>
    <row r="405" spans="1:6" x14ac:dyDescent="0.25">
      <c r="A405" s="379">
        <v>8136</v>
      </c>
      <c r="B405" s="380" t="s">
        <v>682</v>
      </c>
      <c r="C405" s="381">
        <v>437198</v>
      </c>
      <c r="D405" s="381">
        <v>461428</v>
      </c>
      <c r="E405" s="381">
        <v>451835</v>
      </c>
      <c r="F405" s="381">
        <v>407842</v>
      </c>
    </row>
    <row r="406" spans="1:6" x14ac:dyDescent="0.25">
      <c r="A406" s="376">
        <v>8137</v>
      </c>
      <c r="B406" s="377" t="s">
        <v>683</v>
      </c>
      <c r="C406" s="384" t="s">
        <v>279</v>
      </c>
      <c r="D406" s="384" t="s">
        <v>279</v>
      </c>
      <c r="E406" s="384" t="s">
        <v>279</v>
      </c>
      <c r="F406" s="384" t="s">
        <v>279</v>
      </c>
    </row>
    <row r="407" spans="1:6" x14ac:dyDescent="0.25">
      <c r="A407" s="379">
        <v>8141</v>
      </c>
      <c r="B407" s="380" t="s">
        <v>684</v>
      </c>
      <c r="C407" s="381">
        <v>349104</v>
      </c>
      <c r="D407" s="381">
        <v>389586</v>
      </c>
      <c r="E407" s="381">
        <v>360275</v>
      </c>
      <c r="F407" s="381">
        <v>352755</v>
      </c>
    </row>
    <row r="408" spans="1:6" x14ac:dyDescent="0.25">
      <c r="A408" s="376">
        <v>8142</v>
      </c>
      <c r="B408" s="377" t="s">
        <v>685</v>
      </c>
      <c r="C408" s="378">
        <v>345357</v>
      </c>
      <c r="D408" s="378">
        <v>399130</v>
      </c>
      <c r="E408" s="378">
        <v>387961</v>
      </c>
      <c r="F408" s="378">
        <v>373730</v>
      </c>
    </row>
    <row r="409" spans="1:6" x14ac:dyDescent="0.25">
      <c r="A409" s="379">
        <v>8143</v>
      </c>
      <c r="B409" s="380" t="s">
        <v>686</v>
      </c>
      <c r="C409" s="381">
        <v>471680</v>
      </c>
      <c r="D409" s="381">
        <v>475119</v>
      </c>
      <c r="E409" s="381">
        <v>470336</v>
      </c>
      <c r="F409" s="381">
        <v>440947</v>
      </c>
    </row>
    <row r="410" spans="1:6" x14ac:dyDescent="0.25">
      <c r="A410" s="376">
        <v>8144</v>
      </c>
      <c r="B410" s="377" t="s">
        <v>687</v>
      </c>
      <c r="C410" s="384" t="s">
        <v>279</v>
      </c>
      <c r="D410" s="384" t="s">
        <v>279</v>
      </c>
      <c r="E410" s="378">
        <v>451369</v>
      </c>
      <c r="F410" s="385" t="s">
        <v>279</v>
      </c>
    </row>
    <row r="411" spans="1:6" x14ac:dyDescent="0.25">
      <c r="A411" s="379">
        <v>8151</v>
      </c>
      <c r="B411" s="380" t="s">
        <v>688</v>
      </c>
      <c r="C411" s="381">
        <v>378155</v>
      </c>
      <c r="D411" s="381">
        <v>432591</v>
      </c>
      <c r="E411" s="381">
        <v>451779</v>
      </c>
      <c r="F411" s="381">
        <v>435793</v>
      </c>
    </row>
    <row r="412" spans="1:6" x14ac:dyDescent="0.25">
      <c r="A412" s="376">
        <v>8152</v>
      </c>
      <c r="B412" s="377" t="s">
        <v>689</v>
      </c>
      <c r="C412" s="378">
        <v>373362</v>
      </c>
      <c r="D412" s="378">
        <v>405285</v>
      </c>
      <c r="E412" s="378">
        <v>401488</v>
      </c>
      <c r="F412" s="378">
        <v>368778</v>
      </c>
    </row>
    <row r="413" spans="1:6" x14ac:dyDescent="0.25">
      <c r="A413" s="379">
        <v>8190</v>
      </c>
      <c r="B413" s="380" t="s">
        <v>690</v>
      </c>
      <c r="C413" s="381">
        <v>376879</v>
      </c>
      <c r="D413" s="381">
        <v>416760</v>
      </c>
      <c r="E413" s="381">
        <v>411357</v>
      </c>
      <c r="F413" s="381">
        <v>384175</v>
      </c>
    </row>
    <row r="414" spans="1:6" x14ac:dyDescent="0.25">
      <c r="A414" s="376">
        <v>8211</v>
      </c>
      <c r="B414" s="377" t="s">
        <v>691</v>
      </c>
      <c r="C414" s="378">
        <v>335126</v>
      </c>
      <c r="D414" s="378">
        <v>364464</v>
      </c>
      <c r="E414" s="378">
        <v>369494</v>
      </c>
      <c r="F414" s="378">
        <v>355546</v>
      </c>
    </row>
    <row r="415" spans="1:6" x14ac:dyDescent="0.25">
      <c r="A415" s="379">
        <v>8212</v>
      </c>
      <c r="B415" s="380" t="s">
        <v>692</v>
      </c>
      <c r="C415" s="381">
        <v>320238</v>
      </c>
      <c r="D415" s="381">
        <v>336614</v>
      </c>
      <c r="E415" s="381">
        <v>330575</v>
      </c>
      <c r="F415" s="381">
        <v>320799</v>
      </c>
    </row>
    <row r="416" spans="1:6" x14ac:dyDescent="0.25">
      <c r="A416" s="376">
        <v>8219</v>
      </c>
      <c r="B416" s="377" t="s">
        <v>693</v>
      </c>
      <c r="C416" s="378">
        <v>393110</v>
      </c>
      <c r="D416" s="378">
        <v>409812</v>
      </c>
      <c r="E416" s="378">
        <v>399419</v>
      </c>
      <c r="F416" s="378">
        <v>368599</v>
      </c>
    </row>
    <row r="417" spans="1:6" x14ac:dyDescent="0.25">
      <c r="A417" s="379">
        <v>8311</v>
      </c>
      <c r="B417" s="380" t="s">
        <v>694</v>
      </c>
      <c r="C417" s="381">
        <v>435278</v>
      </c>
      <c r="D417" s="381">
        <v>482183</v>
      </c>
      <c r="E417" s="381">
        <v>499695</v>
      </c>
      <c r="F417" s="381">
        <v>521049</v>
      </c>
    </row>
    <row r="418" spans="1:6" x14ac:dyDescent="0.25">
      <c r="A418" s="376">
        <v>8312</v>
      </c>
      <c r="B418" s="377" t="s">
        <v>695</v>
      </c>
      <c r="C418" s="378">
        <v>467034</v>
      </c>
      <c r="D418" s="378">
        <v>539957</v>
      </c>
      <c r="E418" s="378">
        <v>558776</v>
      </c>
      <c r="F418" s="378">
        <v>563319</v>
      </c>
    </row>
    <row r="419" spans="1:6" x14ac:dyDescent="0.25">
      <c r="A419" s="379">
        <v>8321</v>
      </c>
      <c r="B419" s="380" t="s">
        <v>696</v>
      </c>
      <c r="C419" s="381">
        <v>464555</v>
      </c>
      <c r="D419" s="381">
        <v>528018</v>
      </c>
      <c r="E419" s="381">
        <v>569971</v>
      </c>
      <c r="F419" s="381">
        <v>559672</v>
      </c>
    </row>
    <row r="420" spans="1:6" x14ac:dyDescent="0.25">
      <c r="A420" s="376">
        <v>8322</v>
      </c>
      <c r="B420" s="377" t="s">
        <v>697</v>
      </c>
      <c r="C420" s="378">
        <v>351211</v>
      </c>
      <c r="D420" s="378">
        <v>371929</v>
      </c>
      <c r="E420" s="378">
        <v>383511</v>
      </c>
      <c r="F420" s="378">
        <v>374572</v>
      </c>
    </row>
    <row r="421" spans="1:6" x14ac:dyDescent="0.25">
      <c r="A421" s="379">
        <v>8323</v>
      </c>
      <c r="B421" s="380" t="s">
        <v>698</v>
      </c>
      <c r="C421" s="381">
        <v>386244</v>
      </c>
      <c r="D421" s="381">
        <v>405151</v>
      </c>
      <c r="E421" s="381">
        <v>414113</v>
      </c>
      <c r="F421" s="381">
        <v>360140</v>
      </c>
    </row>
    <row r="422" spans="1:6" x14ac:dyDescent="0.25">
      <c r="A422" s="376">
        <v>8324</v>
      </c>
      <c r="B422" s="377" t="s">
        <v>699</v>
      </c>
      <c r="C422" s="384" t="s">
        <v>279</v>
      </c>
      <c r="D422" s="384" t="s">
        <v>279</v>
      </c>
      <c r="E422" s="378">
        <v>773126</v>
      </c>
      <c r="F422" s="378">
        <v>744885</v>
      </c>
    </row>
    <row r="423" spans="1:6" x14ac:dyDescent="0.25">
      <c r="A423" s="379">
        <v>8325</v>
      </c>
      <c r="B423" s="380" t="s">
        <v>700</v>
      </c>
      <c r="C423" s="381">
        <v>366682</v>
      </c>
      <c r="D423" s="381">
        <v>398926</v>
      </c>
      <c r="E423" s="381">
        <v>392795</v>
      </c>
      <c r="F423" s="381">
        <v>371769</v>
      </c>
    </row>
    <row r="424" spans="1:6" x14ac:dyDescent="0.25">
      <c r="A424" s="376">
        <v>8326</v>
      </c>
      <c r="B424" s="377" t="s">
        <v>701</v>
      </c>
      <c r="C424" s="384" t="s">
        <v>279</v>
      </c>
      <c r="D424" s="384" t="s">
        <v>279</v>
      </c>
      <c r="E424" s="384" t="s">
        <v>279</v>
      </c>
      <c r="F424" s="384" t="s">
        <v>279</v>
      </c>
    </row>
    <row r="425" spans="1:6" x14ac:dyDescent="0.25">
      <c r="A425" s="379">
        <v>8327</v>
      </c>
      <c r="B425" s="380" t="s">
        <v>702</v>
      </c>
      <c r="C425" s="381">
        <v>262860</v>
      </c>
      <c r="D425" s="381">
        <v>255160</v>
      </c>
      <c r="E425" s="381">
        <v>270271</v>
      </c>
      <c r="F425" s="381">
        <v>262865</v>
      </c>
    </row>
    <row r="426" spans="1:6" x14ac:dyDescent="0.25">
      <c r="A426" s="376">
        <v>8329</v>
      </c>
      <c r="B426" s="377" t="s">
        <v>703</v>
      </c>
      <c r="C426" s="378">
        <v>418156</v>
      </c>
      <c r="D426" s="378">
        <v>436537</v>
      </c>
      <c r="E426" s="378">
        <v>422557</v>
      </c>
      <c r="F426" s="378">
        <v>384635</v>
      </c>
    </row>
    <row r="427" spans="1:6" x14ac:dyDescent="0.25">
      <c r="A427" s="379">
        <v>8411</v>
      </c>
      <c r="B427" s="380" t="s">
        <v>704</v>
      </c>
      <c r="C427" s="381">
        <v>549440</v>
      </c>
      <c r="D427" s="381">
        <v>658811</v>
      </c>
      <c r="E427" s="381">
        <v>703789</v>
      </c>
      <c r="F427" s="381">
        <v>768811</v>
      </c>
    </row>
    <row r="428" spans="1:6" x14ac:dyDescent="0.25">
      <c r="A428" s="376">
        <v>8412</v>
      </c>
      <c r="B428" s="377" t="s">
        <v>705</v>
      </c>
      <c r="C428" s="378">
        <v>353900</v>
      </c>
      <c r="D428" s="378">
        <v>422704</v>
      </c>
      <c r="E428" s="378">
        <v>428178</v>
      </c>
      <c r="F428" s="378">
        <v>439401</v>
      </c>
    </row>
    <row r="429" spans="1:6" x14ac:dyDescent="0.25">
      <c r="A429" s="379">
        <v>8413</v>
      </c>
      <c r="B429" s="380" t="s">
        <v>706</v>
      </c>
      <c r="C429" s="381">
        <v>476287</v>
      </c>
      <c r="D429" s="381">
        <v>492777</v>
      </c>
      <c r="E429" s="381">
        <v>510371</v>
      </c>
      <c r="F429" s="381">
        <v>542671</v>
      </c>
    </row>
    <row r="430" spans="1:6" x14ac:dyDescent="0.25">
      <c r="A430" s="376">
        <v>8415</v>
      </c>
      <c r="B430" s="377" t="s">
        <v>707</v>
      </c>
      <c r="C430" s="378">
        <v>411796</v>
      </c>
      <c r="D430" s="378">
        <v>435094</v>
      </c>
      <c r="E430" s="378">
        <v>450739</v>
      </c>
      <c r="F430" s="378">
        <v>485508</v>
      </c>
    </row>
    <row r="431" spans="1:6" x14ac:dyDescent="0.25">
      <c r="A431" s="379">
        <v>8416</v>
      </c>
      <c r="B431" s="380" t="s">
        <v>708</v>
      </c>
      <c r="C431" s="381">
        <v>269572</v>
      </c>
      <c r="D431" s="381">
        <v>297216</v>
      </c>
      <c r="E431" s="381">
        <v>325421</v>
      </c>
      <c r="F431" s="381">
        <v>333705</v>
      </c>
    </row>
    <row r="432" spans="1:6" x14ac:dyDescent="0.25">
      <c r="A432" s="376">
        <v>8417</v>
      </c>
      <c r="B432" s="377" t="s">
        <v>709</v>
      </c>
      <c r="C432" s="378">
        <v>260794</v>
      </c>
      <c r="D432" s="378">
        <v>273357</v>
      </c>
      <c r="E432" s="378">
        <v>282258</v>
      </c>
      <c r="F432" s="378">
        <v>280439</v>
      </c>
    </row>
    <row r="433" spans="1:6" x14ac:dyDescent="0.25">
      <c r="A433" s="379">
        <v>8418</v>
      </c>
      <c r="B433" s="380" t="s">
        <v>710</v>
      </c>
      <c r="C433" s="381">
        <v>394499</v>
      </c>
      <c r="D433" s="381">
        <v>401164</v>
      </c>
      <c r="E433" s="381">
        <v>408275</v>
      </c>
      <c r="F433" s="381">
        <v>408258</v>
      </c>
    </row>
    <row r="434" spans="1:6" x14ac:dyDescent="0.25">
      <c r="A434" s="376">
        <v>8419</v>
      </c>
      <c r="B434" s="377" t="s">
        <v>711</v>
      </c>
      <c r="C434" s="378">
        <v>342893</v>
      </c>
      <c r="D434" s="378">
        <v>393070</v>
      </c>
      <c r="E434" s="378">
        <v>416544</v>
      </c>
      <c r="F434" s="378">
        <v>397650</v>
      </c>
    </row>
    <row r="435" spans="1:6" x14ac:dyDescent="0.25">
      <c r="A435" s="379">
        <v>8421</v>
      </c>
      <c r="B435" s="380" t="s">
        <v>712</v>
      </c>
      <c r="C435" s="381">
        <v>325388</v>
      </c>
      <c r="D435" s="381">
        <v>341608</v>
      </c>
      <c r="E435" s="381">
        <v>345206</v>
      </c>
      <c r="F435" s="381">
        <v>336301</v>
      </c>
    </row>
    <row r="436" spans="1:6" x14ac:dyDescent="0.25">
      <c r="A436" s="376">
        <v>8422</v>
      </c>
      <c r="B436" s="377" t="s">
        <v>713</v>
      </c>
      <c r="C436" s="378">
        <v>326220</v>
      </c>
      <c r="D436" s="378">
        <v>346188</v>
      </c>
      <c r="E436" s="378">
        <v>363270</v>
      </c>
      <c r="F436" s="378">
        <v>376544</v>
      </c>
    </row>
    <row r="437" spans="1:6" x14ac:dyDescent="0.25">
      <c r="A437" s="379">
        <v>8423</v>
      </c>
      <c r="B437" s="380" t="s">
        <v>714</v>
      </c>
      <c r="C437" s="381">
        <v>327713</v>
      </c>
      <c r="D437" s="381">
        <v>352349</v>
      </c>
      <c r="E437" s="381">
        <v>372675</v>
      </c>
      <c r="F437" s="381">
        <v>372122</v>
      </c>
    </row>
    <row r="438" spans="1:6" x14ac:dyDescent="0.25">
      <c r="A438" s="376">
        <v>8424</v>
      </c>
      <c r="B438" s="377" t="s">
        <v>715</v>
      </c>
      <c r="C438" s="378">
        <v>359852</v>
      </c>
      <c r="D438" s="378">
        <v>400029</v>
      </c>
      <c r="E438" s="378">
        <v>405242</v>
      </c>
      <c r="F438" s="378">
        <v>387654</v>
      </c>
    </row>
    <row r="439" spans="1:6" x14ac:dyDescent="0.25">
      <c r="A439" s="379">
        <v>8425</v>
      </c>
      <c r="B439" s="380" t="s">
        <v>716</v>
      </c>
      <c r="C439" s="381">
        <v>383207</v>
      </c>
      <c r="D439" s="381">
        <v>404523</v>
      </c>
      <c r="E439" s="381">
        <v>399977</v>
      </c>
      <c r="F439" s="381">
        <v>382295</v>
      </c>
    </row>
    <row r="440" spans="1:6" x14ac:dyDescent="0.25">
      <c r="A440" s="376">
        <v>8430</v>
      </c>
      <c r="B440" s="377" t="s">
        <v>717</v>
      </c>
      <c r="C440" s="378">
        <v>347664</v>
      </c>
      <c r="D440" s="378">
        <v>375955</v>
      </c>
      <c r="E440" s="378">
        <v>370152</v>
      </c>
      <c r="F440" s="378">
        <v>375839</v>
      </c>
    </row>
    <row r="441" spans="1:6" x14ac:dyDescent="0.25">
      <c r="A441" s="379">
        <v>9111</v>
      </c>
      <c r="B441" s="380" t="s">
        <v>718</v>
      </c>
      <c r="C441" s="382" t="s">
        <v>279</v>
      </c>
      <c r="D441" s="382" t="s">
        <v>279</v>
      </c>
      <c r="E441" s="382" t="s">
        <v>279</v>
      </c>
      <c r="F441" s="381">
        <v>219478</v>
      </c>
    </row>
    <row r="442" spans="1:6" x14ac:dyDescent="0.25">
      <c r="A442" s="376">
        <v>9112</v>
      </c>
      <c r="B442" s="377" t="s">
        <v>719</v>
      </c>
      <c r="C442" s="378">
        <v>203902</v>
      </c>
      <c r="D442" s="378">
        <v>204393</v>
      </c>
      <c r="E442" s="378">
        <v>212312</v>
      </c>
      <c r="F442" s="378">
        <v>214618</v>
      </c>
    </row>
    <row r="443" spans="1:6" x14ac:dyDescent="0.25">
      <c r="A443" s="379">
        <v>9113</v>
      </c>
      <c r="B443" s="380" t="s">
        <v>720</v>
      </c>
      <c r="C443" s="381">
        <v>215591</v>
      </c>
      <c r="D443" s="381">
        <v>220826</v>
      </c>
      <c r="E443" s="381">
        <v>224103</v>
      </c>
      <c r="F443" s="381">
        <v>230248</v>
      </c>
    </row>
    <row r="444" spans="1:6" x14ac:dyDescent="0.25">
      <c r="A444" s="376">
        <v>9114</v>
      </c>
      <c r="B444" s="377" t="s">
        <v>721</v>
      </c>
      <c r="C444" s="378">
        <v>234763</v>
      </c>
      <c r="D444" s="378">
        <v>247982</v>
      </c>
      <c r="E444" s="378">
        <v>247801</v>
      </c>
      <c r="F444" s="378">
        <v>258612</v>
      </c>
    </row>
    <row r="445" spans="1:6" x14ac:dyDescent="0.25">
      <c r="A445" s="379">
        <v>9115</v>
      </c>
      <c r="B445" s="380" t="s">
        <v>722</v>
      </c>
      <c r="C445" s="382" t="s">
        <v>279</v>
      </c>
      <c r="D445" s="382" t="s">
        <v>279</v>
      </c>
      <c r="E445" s="381">
        <v>313396</v>
      </c>
      <c r="F445" s="381">
        <v>300676</v>
      </c>
    </row>
    <row r="446" spans="1:6" x14ac:dyDescent="0.25">
      <c r="A446" s="376">
        <v>9119</v>
      </c>
      <c r="B446" s="377" t="s">
        <v>723</v>
      </c>
      <c r="C446" s="378">
        <v>191396</v>
      </c>
      <c r="D446" s="378">
        <v>192829</v>
      </c>
      <c r="E446" s="378">
        <v>204284</v>
      </c>
      <c r="F446" s="378">
        <v>206995</v>
      </c>
    </row>
    <row r="447" spans="1:6" x14ac:dyDescent="0.25">
      <c r="A447" s="379">
        <v>9211</v>
      </c>
      <c r="B447" s="380" t="s">
        <v>724</v>
      </c>
      <c r="C447" s="381">
        <v>239321</v>
      </c>
      <c r="D447" s="381">
        <v>239975</v>
      </c>
      <c r="E447" s="381">
        <v>231583</v>
      </c>
      <c r="F447" s="381">
        <v>205414</v>
      </c>
    </row>
    <row r="448" spans="1:6" x14ac:dyDescent="0.25">
      <c r="A448" s="376">
        <v>9212</v>
      </c>
      <c r="B448" s="377" t="s">
        <v>725</v>
      </c>
      <c r="C448" s="378">
        <v>259050</v>
      </c>
      <c r="D448" s="378">
        <v>256968</v>
      </c>
      <c r="E448" s="378">
        <v>252540</v>
      </c>
      <c r="F448" s="378">
        <v>243219</v>
      </c>
    </row>
    <row r="449" spans="1:6" x14ac:dyDescent="0.25">
      <c r="A449" s="379">
        <v>9221</v>
      </c>
      <c r="B449" s="380" t="s">
        <v>726</v>
      </c>
      <c r="C449" s="382" t="s">
        <v>279</v>
      </c>
      <c r="D449" s="381">
        <v>264811</v>
      </c>
      <c r="E449" s="381">
        <v>317707</v>
      </c>
      <c r="F449" s="381">
        <v>288954</v>
      </c>
    </row>
    <row r="450" spans="1:6" x14ac:dyDescent="0.25">
      <c r="A450" s="376">
        <v>9223</v>
      </c>
      <c r="B450" s="377" t="s">
        <v>727</v>
      </c>
      <c r="C450" s="378">
        <v>314784</v>
      </c>
      <c r="D450" s="378">
        <v>335957</v>
      </c>
      <c r="E450" s="378">
        <v>334423</v>
      </c>
      <c r="F450" s="378">
        <v>321218</v>
      </c>
    </row>
    <row r="451" spans="1:6" x14ac:dyDescent="0.25">
      <c r="A451" s="379">
        <v>9224</v>
      </c>
      <c r="B451" s="380" t="s">
        <v>728</v>
      </c>
      <c r="C451" s="381">
        <v>235285</v>
      </c>
      <c r="D451" s="381">
        <v>250487</v>
      </c>
      <c r="E451" s="381">
        <v>252108</v>
      </c>
      <c r="F451" s="381">
        <v>253980</v>
      </c>
    </row>
    <row r="452" spans="1:6" x14ac:dyDescent="0.25">
      <c r="A452" s="376">
        <v>9225</v>
      </c>
      <c r="B452" s="377" t="s">
        <v>729</v>
      </c>
      <c r="C452" s="378">
        <v>270831</v>
      </c>
      <c r="D452" s="378">
        <v>276590</v>
      </c>
      <c r="E452" s="378">
        <v>276605</v>
      </c>
      <c r="F452" s="378">
        <v>275452</v>
      </c>
    </row>
    <row r="453" spans="1:6" x14ac:dyDescent="0.25">
      <c r="A453" s="379">
        <v>9231</v>
      </c>
      <c r="B453" s="380" t="s">
        <v>730</v>
      </c>
      <c r="C453" s="381">
        <v>244476</v>
      </c>
      <c r="D453" s="381">
        <v>252269</v>
      </c>
      <c r="E453" s="381">
        <v>252090</v>
      </c>
      <c r="F453" s="381">
        <v>244097</v>
      </c>
    </row>
    <row r="454" spans="1:6" x14ac:dyDescent="0.25">
      <c r="A454" s="376">
        <v>9232</v>
      </c>
      <c r="B454" s="377" t="s">
        <v>731</v>
      </c>
      <c r="C454" s="378">
        <v>282895</v>
      </c>
      <c r="D454" s="378">
        <v>301587</v>
      </c>
      <c r="E454" s="378">
        <v>298720</v>
      </c>
      <c r="F454" s="378">
        <v>300320</v>
      </c>
    </row>
    <row r="455" spans="1:6" x14ac:dyDescent="0.25">
      <c r="A455" s="379">
        <v>9233</v>
      </c>
      <c r="B455" s="380" t="s">
        <v>732</v>
      </c>
      <c r="C455" s="381">
        <v>197795</v>
      </c>
      <c r="D455" s="381">
        <v>210717</v>
      </c>
      <c r="E455" s="381">
        <v>225382</v>
      </c>
      <c r="F455" s="381">
        <v>235571</v>
      </c>
    </row>
    <row r="456" spans="1:6" x14ac:dyDescent="0.25">
      <c r="A456" s="376">
        <v>9234</v>
      </c>
      <c r="B456" s="377" t="s">
        <v>733</v>
      </c>
      <c r="C456" s="378">
        <v>217411</v>
      </c>
      <c r="D456" s="378">
        <v>225239</v>
      </c>
      <c r="E456" s="378">
        <v>228633</v>
      </c>
      <c r="F456" s="378">
        <v>217106</v>
      </c>
    </row>
    <row r="457" spans="1:6" x14ac:dyDescent="0.25">
      <c r="A457" s="379">
        <v>9235</v>
      </c>
      <c r="B457" s="380" t="s">
        <v>734</v>
      </c>
      <c r="C457" s="381">
        <v>275096</v>
      </c>
      <c r="D457" s="381">
        <v>268311</v>
      </c>
      <c r="E457" s="381">
        <v>264306</v>
      </c>
      <c r="F457" s="381">
        <v>249710</v>
      </c>
    </row>
    <row r="458" spans="1:6" x14ac:dyDescent="0.25">
      <c r="A458" s="376">
        <v>9236</v>
      </c>
      <c r="B458" s="377" t="s">
        <v>735</v>
      </c>
      <c r="C458" s="378">
        <v>193332</v>
      </c>
      <c r="D458" s="378">
        <v>196791</v>
      </c>
      <c r="E458" s="378">
        <v>205691</v>
      </c>
      <c r="F458" s="378">
        <v>208223</v>
      </c>
    </row>
    <row r="459" spans="1:6" x14ac:dyDescent="0.25">
      <c r="A459" s="379">
        <v>9238</v>
      </c>
      <c r="B459" s="380" t="s">
        <v>736</v>
      </c>
      <c r="C459" s="381">
        <v>294249</v>
      </c>
      <c r="D459" s="381">
        <v>307574</v>
      </c>
      <c r="E459" s="381">
        <v>282953</v>
      </c>
      <c r="F459" s="381">
        <v>286107</v>
      </c>
    </row>
    <row r="460" spans="1:6" x14ac:dyDescent="0.25">
      <c r="A460" s="376">
        <v>9239</v>
      </c>
      <c r="B460" s="377" t="s">
        <v>737</v>
      </c>
      <c r="C460" s="378">
        <v>145832</v>
      </c>
      <c r="D460" s="378">
        <v>143041</v>
      </c>
      <c r="E460" s="378">
        <v>148138</v>
      </c>
      <c r="F460" s="378">
        <v>142509</v>
      </c>
    </row>
    <row r="461" spans="1:6" x14ac:dyDescent="0.25">
      <c r="A461" s="379">
        <v>9310</v>
      </c>
      <c r="B461" s="380" t="s">
        <v>738</v>
      </c>
      <c r="C461" s="381">
        <v>266713</v>
      </c>
      <c r="D461" s="381">
        <v>271801</v>
      </c>
      <c r="E461" s="381">
        <v>272159</v>
      </c>
      <c r="F461" s="381">
        <v>264399</v>
      </c>
    </row>
    <row r="462" spans="1:6" x14ac:dyDescent="0.25">
      <c r="A462" s="376">
        <v>9321</v>
      </c>
      <c r="B462" s="377" t="s">
        <v>739</v>
      </c>
      <c r="C462" s="378">
        <v>175372</v>
      </c>
      <c r="D462" s="378">
        <v>161910</v>
      </c>
      <c r="E462" s="378">
        <v>161322</v>
      </c>
      <c r="F462" s="378">
        <v>154845</v>
      </c>
    </row>
    <row r="463" spans="1:6" x14ac:dyDescent="0.25">
      <c r="A463" s="379">
        <v>9329</v>
      </c>
      <c r="B463" s="380" t="s">
        <v>740</v>
      </c>
      <c r="C463" s="381">
        <v>206570</v>
      </c>
      <c r="D463" s="381">
        <v>209626</v>
      </c>
      <c r="E463" s="381">
        <v>211950</v>
      </c>
      <c r="F463" s="381">
        <v>204805</v>
      </c>
    </row>
    <row r="464" spans="1:6" x14ac:dyDescent="0.25">
      <c r="A464" s="376">
        <v>9331</v>
      </c>
      <c r="B464" s="377" t="s">
        <v>741</v>
      </c>
      <c r="C464" s="378">
        <v>204467</v>
      </c>
      <c r="D464" s="378">
        <v>190448</v>
      </c>
      <c r="E464" s="378">
        <v>186066</v>
      </c>
      <c r="F464" s="378">
        <v>180420</v>
      </c>
    </row>
    <row r="465" spans="1:6" x14ac:dyDescent="0.25">
      <c r="A465" s="379">
        <v>9332</v>
      </c>
      <c r="B465" s="380" t="s">
        <v>742</v>
      </c>
      <c r="C465" s="381">
        <v>167751</v>
      </c>
      <c r="D465" s="381">
        <v>154744</v>
      </c>
      <c r="E465" s="381">
        <v>156526</v>
      </c>
      <c r="F465" s="381">
        <v>148494</v>
      </c>
    </row>
    <row r="466" spans="1:6" ht="15.75" thickBot="1" x14ac:dyDescent="0.3">
      <c r="A466" s="379"/>
      <c r="B466" s="386"/>
      <c r="C466" s="387"/>
      <c r="D466" s="387"/>
      <c r="E466" s="387"/>
      <c r="F466" s="387"/>
    </row>
    <row r="467" spans="1:6" ht="15.75" thickBot="1" x14ac:dyDescent="0.3">
      <c r="A467" s="950" t="s">
        <v>263</v>
      </c>
      <c r="B467" s="952"/>
    </row>
    <row r="468" spans="1:6" x14ac:dyDescent="0.25">
      <c r="A468" s="948" t="s">
        <v>269</v>
      </c>
      <c r="B468" s="948" t="s">
        <v>270</v>
      </c>
    </row>
    <row r="469" spans="1:6" ht="15.75" thickBot="1" x14ac:dyDescent="0.3">
      <c r="A469" s="949"/>
      <c r="B469" s="949"/>
    </row>
    <row r="470" spans="1:6" ht="15.75" thickBot="1" x14ac:dyDescent="0.3">
      <c r="A470" s="950" t="s">
        <v>263</v>
      </c>
      <c r="B470" s="952"/>
      <c r="C470" s="950" t="s">
        <v>265</v>
      </c>
      <c r="D470" s="951"/>
      <c r="E470" s="951"/>
      <c r="F470" s="952"/>
    </row>
    <row r="471" spans="1:6" ht="15.75" thickBot="1" x14ac:dyDescent="0.3">
      <c r="A471" s="948" t="s">
        <v>269</v>
      </c>
      <c r="B471" s="948" t="s">
        <v>270</v>
      </c>
      <c r="C471" s="372" t="s">
        <v>271</v>
      </c>
      <c r="D471" s="372" t="s">
        <v>272</v>
      </c>
      <c r="E471" s="372" t="s">
        <v>273</v>
      </c>
      <c r="F471" s="372" t="s">
        <v>274</v>
      </c>
    </row>
    <row r="472" spans="1:6" ht="15.75" thickBot="1" x14ac:dyDescent="0.3">
      <c r="A472" s="949"/>
      <c r="B472" s="949"/>
      <c r="C472" s="950">
        <v>2021</v>
      </c>
      <c r="D472" s="951"/>
      <c r="E472" s="951"/>
      <c r="F472" s="951"/>
    </row>
    <row r="473" spans="1:6" x14ac:dyDescent="0.25">
      <c r="A473" s="376">
        <v>110</v>
      </c>
      <c r="B473" s="377" t="s">
        <v>275</v>
      </c>
    </row>
    <row r="474" spans="1:6" x14ac:dyDescent="0.25">
      <c r="A474" s="379">
        <v>210</v>
      </c>
      <c r="B474" s="380" t="s">
        <v>276</v>
      </c>
    </row>
    <row r="475" spans="1:6" x14ac:dyDescent="0.25">
      <c r="A475" s="376">
        <v>310</v>
      </c>
      <c r="B475" s="377" t="s">
        <v>277</v>
      </c>
    </row>
    <row r="476" spans="1:6" x14ac:dyDescent="0.25">
      <c r="A476" s="379">
        <v>1110</v>
      </c>
      <c r="B476" s="380" t="s">
        <v>278</v>
      </c>
    </row>
    <row r="477" spans="1:6" x14ac:dyDescent="0.25">
      <c r="A477" s="376">
        <v>1121</v>
      </c>
      <c r="B477" s="377" t="s">
        <v>280</v>
      </c>
    </row>
    <row r="478" spans="1:6" x14ac:dyDescent="0.25">
      <c r="A478" s="379">
        <v>1122</v>
      </c>
      <c r="B478" s="380" t="s">
        <v>281</v>
      </c>
    </row>
    <row r="479" spans="1:6" x14ac:dyDescent="0.25">
      <c r="A479" s="376">
        <v>1123</v>
      </c>
      <c r="B479" s="377" t="s">
        <v>282</v>
      </c>
    </row>
    <row r="480" spans="1:6" x14ac:dyDescent="0.25">
      <c r="A480" s="379">
        <v>1131</v>
      </c>
      <c r="B480" s="380" t="s">
        <v>283</v>
      </c>
    </row>
    <row r="481" spans="1:2" x14ac:dyDescent="0.25">
      <c r="A481" s="376">
        <v>1210</v>
      </c>
      <c r="B481" s="377" t="s">
        <v>284</v>
      </c>
    </row>
    <row r="482" spans="1:2" x14ac:dyDescent="0.25">
      <c r="A482" s="379">
        <v>1311</v>
      </c>
      <c r="B482" s="380" t="s">
        <v>285</v>
      </c>
    </row>
    <row r="483" spans="1:2" x14ac:dyDescent="0.25">
      <c r="A483" s="376">
        <v>1312</v>
      </c>
      <c r="B483" s="377" t="s">
        <v>286</v>
      </c>
    </row>
    <row r="484" spans="1:2" x14ac:dyDescent="0.25">
      <c r="A484" s="379">
        <v>1313</v>
      </c>
      <c r="B484" s="380" t="s">
        <v>287</v>
      </c>
    </row>
    <row r="485" spans="1:2" x14ac:dyDescent="0.25">
      <c r="A485" s="376">
        <v>1321</v>
      </c>
      <c r="B485" s="377" t="s">
        <v>288</v>
      </c>
    </row>
    <row r="486" spans="1:2" x14ac:dyDescent="0.25">
      <c r="A486" s="379">
        <v>1322</v>
      </c>
      <c r="B486" s="380" t="s">
        <v>289</v>
      </c>
    </row>
    <row r="487" spans="1:2" x14ac:dyDescent="0.25">
      <c r="A487" s="376">
        <v>1323</v>
      </c>
      <c r="B487" s="377" t="s">
        <v>290</v>
      </c>
    </row>
    <row r="488" spans="1:2" x14ac:dyDescent="0.25">
      <c r="A488" s="379">
        <v>1324</v>
      </c>
      <c r="B488" s="380" t="s">
        <v>291</v>
      </c>
    </row>
    <row r="489" spans="1:2" x14ac:dyDescent="0.25">
      <c r="A489" s="376">
        <v>1325</v>
      </c>
      <c r="B489" s="377" t="s">
        <v>292</v>
      </c>
    </row>
    <row r="490" spans="1:2" x14ac:dyDescent="0.25">
      <c r="A490" s="379">
        <v>1326</v>
      </c>
      <c r="B490" s="380" t="s">
        <v>293</v>
      </c>
    </row>
    <row r="491" spans="1:2" x14ac:dyDescent="0.25">
      <c r="A491" s="376">
        <v>1327</v>
      </c>
      <c r="B491" s="377" t="s">
        <v>294</v>
      </c>
    </row>
    <row r="492" spans="1:2" x14ac:dyDescent="0.25">
      <c r="A492" s="379">
        <v>1328</v>
      </c>
      <c r="B492" s="380" t="s">
        <v>295</v>
      </c>
    </row>
    <row r="493" spans="1:2" x14ac:dyDescent="0.25">
      <c r="A493" s="376">
        <v>1329</v>
      </c>
      <c r="B493" s="377" t="s">
        <v>296</v>
      </c>
    </row>
    <row r="494" spans="1:2" x14ac:dyDescent="0.25">
      <c r="A494" s="379">
        <v>1331</v>
      </c>
      <c r="B494" s="380" t="s">
        <v>297</v>
      </c>
    </row>
    <row r="495" spans="1:2" x14ac:dyDescent="0.25">
      <c r="A495" s="376">
        <v>1332</v>
      </c>
      <c r="B495" s="377" t="s">
        <v>298</v>
      </c>
    </row>
    <row r="496" spans="1:2" x14ac:dyDescent="0.25">
      <c r="A496" s="379">
        <v>1333</v>
      </c>
      <c r="B496" s="380" t="s">
        <v>299</v>
      </c>
    </row>
    <row r="497" spans="1:2" x14ac:dyDescent="0.25">
      <c r="A497" s="376">
        <v>1334</v>
      </c>
      <c r="B497" s="377" t="s">
        <v>300</v>
      </c>
    </row>
    <row r="498" spans="1:2" x14ac:dyDescent="0.25">
      <c r="A498" s="379">
        <v>1335</v>
      </c>
      <c r="B498" s="380" t="s">
        <v>301</v>
      </c>
    </row>
    <row r="499" spans="1:2" x14ac:dyDescent="0.25">
      <c r="A499" s="376">
        <v>1336</v>
      </c>
      <c r="B499" s="377" t="s">
        <v>302</v>
      </c>
    </row>
    <row r="500" spans="1:2" x14ac:dyDescent="0.25">
      <c r="A500" s="379">
        <v>1339</v>
      </c>
      <c r="B500" s="380" t="s">
        <v>303</v>
      </c>
    </row>
    <row r="501" spans="1:2" x14ac:dyDescent="0.25">
      <c r="A501" s="376">
        <v>1411</v>
      </c>
      <c r="B501" s="377" t="s">
        <v>304</v>
      </c>
    </row>
    <row r="502" spans="1:2" x14ac:dyDescent="0.25">
      <c r="A502" s="379">
        <v>1412</v>
      </c>
      <c r="B502" s="380" t="s">
        <v>305</v>
      </c>
    </row>
    <row r="503" spans="1:2" x14ac:dyDescent="0.25">
      <c r="A503" s="376">
        <v>1413</v>
      </c>
      <c r="B503" s="377" t="s">
        <v>306</v>
      </c>
    </row>
    <row r="504" spans="1:2" x14ac:dyDescent="0.25">
      <c r="A504" s="379">
        <v>1414</v>
      </c>
      <c r="B504" s="380" t="s">
        <v>307</v>
      </c>
    </row>
    <row r="505" spans="1:2" x14ac:dyDescent="0.25">
      <c r="A505" s="376">
        <v>1415</v>
      </c>
      <c r="B505" s="377" t="s">
        <v>308</v>
      </c>
    </row>
    <row r="506" spans="1:2" x14ac:dyDescent="0.25">
      <c r="A506" s="379">
        <v>1416</v>
      </c>
      <c r="B506" s="380" t="s">
        <v>309</v>
      </c>
    </row>
    <row r="507" spans="1:2" x14ac:dyDescent="0.25">
      <c r="A507" s="376">
        <v>1419</v>
      </c>
      <c r="B507" s="377" t="s">
        <v>310</v>
      </c>
    </row>
    <row r="508" spans="1:2" x14ac:dyDescent="0.25">
      <c r="A508" s="379">
        <v>2111</v>
      </c>
      <c r="B508" s="380" t="s">
        <v>311</v>
      </c>
    </row>
    <row r="509" spans="1:2" x14ac:dyDescent="0.25">
      <c r="A509" s="376">
        <v>2112</v>
      </c>
      <c r="B509" s="377" t="s">
        <v>312</v>
      </c>
    </row>
    <row r="510" spans="1:2" x14ac:dyDescent="0.25">
      <c r="A510" s="379">
        <v>2113</v>
      </c>
      <c r="B510" s="380" t="s">
        <v>313</v>
      </c>
    </row>
    <row r="511" spans="1:2" x14ac:dyDescent="0.25">
      <c r="A511" s="376">
        <v>2114</v>
      </c>
      <c r="B511" s="377" t="s">
        <v>314</v>
      </c>
    </row>
    <row r="512" spans="1:2" x14ac:dyDescent="0.25">
      <c r="A512" s="379">
        <v>2115</v>
      </c>
      <c r="B512" s="380" t="s">
        <v>315</v>
      </c>
    </row>
    <row r="513" spans="1:2" x14ac:dyDescent="0.25">
      <c r="A513" s="376">
        <v>2116</v>
      </c>
      <c r="B513" s="377" t="s">
        <v>316</v>
      </c>
    </row>
    <row r="514" spans="1:2" x14ac:dyDescent="0.25">
      <c r="A514" s="379">
        <v>2117</v>
      </c>
      <c r="B514" s="380" t="s">
        <v>317</v>
      </c>
    </row>
    <row r="515" spans="1:2" x14ac:dyDescent="0.25">
      <c r="A515" s="376">
        <v>2118</v>
      </c>
      <c r="B515" s="377" t="s">
        <v>318</v>
      </c>
    </row>
    <row r="516" spans="1:2" x14ac:dyDescent="0.25">
      <c r="A516" s="379">
        <v>2121</v>
      </c>
      <c r="B516" s="380" t="s">
        <v>319</v>
      </c>
    </row>
    <row r="517" spans="1:2" x14ac:dyDescent="0.25">
      <c r="A517" s="376">
        <v>2122</v>
      </c>
      <c r="B517" s="377" t="s">
        <v>320</v>
      </c>
    </row>
    <row r="518" spans="1:2" x14ac:dyDescent="0.25">
      <c r="A518" s="379">
        <v>2123</v>
      </c>
      <c r="B518" s="380" t="s">
        <v>321</v>
      </c>
    </row>
    <row r="519" spans="1:2" x14ac:dyDescent="0.25">
      <c r="A519" s="376">
        <v>2131</v>
      </c>
      <c r="B519" s="377" t="s">
        <v>322</v>
      </c>
    </row>
    <row r="520" spans="1:2" x14ac:dyDescent="0.25">
      <c r="A520" s="379">
        <v>2132</v>
      </c>
      <c r="B520" s="380" t="s">
        <v>323</v>
      </c>
    </row>
    <row r="521" spans="1:2" x14ac:dyDescent="0.25">
      <c r="A521" s="376">
        <v>2133</v>
      </c>
      <c r="B521" s="377" t="s">
        <v>324</v>
      </c>
    </row>
    <row r="522" spans="1:2" x14ac:dyDescent="0.25">
      <c r="A522" s="379">
        <v>2134</v>
      </c>
      <c r="B522" s="380" t="s">
        <v>325</v>
      </c>
    </row>
    <row r="523" spans="1:2" x14ac:dyDescent="0.25">
      <c r="A523" s="376">
        <v>2135</v>
      </c>
      <c r="B523" s="377" t="s">
        <v>326</v>
      </c>
    </row>
    <row r="524" spans="1:2" x14ac:dyDescent="0.25">
      <c r="A524" s="379">
        <v>2136</v>
      </c>
      <c r="B524" s="380" t="s">
        <v>327</v>
      </c>
    </row>
    <row r="525" spans="1:2" x14ac:dyDescent="0.25">
      <c r="A525" s="376">
        <v>2137</v>
      </c>
      <c r="B525" s="377" t="s">
        <v>328</v>
      </c>
    </row>
    <row r="526" spans="1:2" x14ac:dyDescent="0.25">
      <c r="A526" s="379">
        <v>2139</v>
      </c>
      <c r="B526" s="380" t="s">
        <v>329</v>
      </c>
    </row>
    <row r="527" spans="1:2" x14ac:dyDescent="0.25">
      <c r="A527" s="376">
        <v>2141</v>
      </c>
      <c r="B527" s="377" t="s">
        <v>330</v>
      </c>
    </row>
    <row r="528" spans="1:2" x14ac:dyDescent="0.25">
      <c r="A528" s="379">
        <v>2142</v>
      </c>
      <c r="B528" s="380" t="s">
        <v>331</v>
      </c>
    </row>
    <row r="529" spans="1:2" x14ac:dyDescent="0.25">
      <c r="A529" s="376">
        <v>2143</v>
      </c>
      <c r="B529" s="377" t="s">
        <v>332</v>
      </c>
    </row>
    <row r="530" spans="1:2" x14ac:dyDescent="0.25">
      <c r="A530" s="379">
        <v>2144</v>
      </c>
      <c r="B530" s="380" t="s">
        <v>333</v>
      </c>
    </row>
    <row r="531" spans="1:2" x14ac:dyDescent="0.25">
      <c r="A531" s="376">
        <v>2149</v>
      </c>
      <c r="B531" s="377" t="s">
        <v>334</v>
      </c>
    </row>
    <row r="532" spans="1:2" x14ac:dyDescent="0.25">
      <c r="A532" s="379">
        <v>2151</v>
      </c>
      <c r="B532" s="380" t="s">
        <v>335</v>
      </c>
    </row>
    <row r="533" spans="1:2" x14ac:dyDescent="0.25">
      <c r="A533" s="376">
        <v>2152</v>
      </c>
      <c r="B533" s="377" t="s">
        <v>336</v>
      </c>
    </row>
    <row r="534" spans="1:2" x14ac:dyDescent="0.25">
      <c r="A534" s="379">
        <v>2153</v>
      </c>
      <c r="B534" s="380" t="s">
        <v>337</v>
      </c>
    </row>
    <row r="535" spans="1:2" x14ac:dyDescent="0.25">
      <c r="A535" s="376">
        <v>2159</v>
      </c>
      <c r="B535" s="377" t="s">
        <v>338</v>
      </c>
    </row>
    <row r="536" spans="1:2" x14ac:dyDescent="0.25">
      <c r="A536" s="379">
        <v>2161</v>
      </c>
      <c r="B536" s="380" t="s">
        <v>339</v>
      </c>
    </row>
    <row r="537" spans="1:2" x14ac:dyDescent="0.25">
      <c r="A537" s="376">
        <v>2163</v>
      </c>
      <c r="B537" s="377" t="s">
        <v>340</v>
      </c>
    </row>
    <row r="538" spans="1:2" x14ac:dyDescent="0.25">
      <c r="A538" s="379">
        <v>2164</v>
      </c>
      <c r="B538" s="380" t="s">
        <v>341</v>
      </c>
    </row>
    <row r="539" spans="1:2" x14ac:dyDescent="0.25">
      <c r="A539" s="376">
        <v>2165</v>
      </c>
      <c r="B539" s="377" t="s">
        <v>342</v>
      </c>
    </row>
    <row r="540" spans="1:2" x14ac:dyDescent="0.25">
      <c r="A540" s="379">
        <v>2166</v>
      </c>
      <c r="B540" s="380" t="s">
        <v>343</v>
      </c>
    </row>
    <row r="541" spans="1:2" x14ac:dyDescent="0.25">
      <c r="A541" s="376">
        <v>2167</v>
      </c>
      <c r="B541" s="377" t="s">
        <v>344</v>
      </c>
    </row>
    <row r="542" spans="1:2" x14ac:dyDescent="0.25">
      <c r="A542" s="379">
        <v>2168</v>
      </c>
      <c r="B542" s="380" t="s">
        <v>345</v>
      </c>
    </row>
    <row r="543" spans="1:2" x14ac:dyDescent="0.25">
      <c r="A543" s="376">
        <v>2169</v>
      </c>
      <c r="B543" s="377" t="s">
        <v>346</v>
      </c>
    </row>
    <row r="544" spans="1:2" x14ac:dyDescent="0.25">
      <c r="A544" s="379">
        <v>2211</v>
      </c>
      <c r="B544" s="380" t="s">
        <v>347</v>
      </c>
    </row>
    <row r="545" spans="1:2" x14ac:dyDescent="0.25">
      <c r="A545" s="376">
        <v>2212</v>
      </c>
      <c r="B545" s="377" t="s">
        <v>348</v>
      </c>
    </row>
    <row r="546" spans="1:2" x14ac:dyDescent="0.25">
      <c r="A546" s="379">
        <v>2213</v>
      </c>
      <c r="B546" s="380" t="s">
        <v>349</v>
      </c>
    </row>
    <row r="547" spans="1:2" x14ac:dyDescent="0.25">
      <c r="A547" s="376">
        <v>2214</v>
      </c>
      <c r="B547" s="377" t="s">
        <v>350</v>
      </c>
    </row>
    <row r="548" spans="1:2" x14ac:dyDescent="0.25">
      <c r="A548" s="379">
        <v>2221</v>
      </c>
      <c r="B548" s="380" t="s">
        <v>351</v>
      </c>
    </row>
    <row r="549" spans="1:2" x14ac:dyDescent="0.25">
      <c r="A549" s="376">
        <v>2222</v>
      </c>
      <c r="B549" s="377" t="s">
        <v>352</v>
      </c>
    </row>
    <row r="550" spans="1:2" x14ac:dyDescent="0.25">
      <c r="A550" s="379">
        <v>2223</v>
      </c>
      <c r="B550" s="380" t="s">
        <v>353</v>
      </c>
    </row>
    <row r="551" spans="1:2" x14ac:dyDescent="0.25">
      <c r="A551" s="376">
        <v>2224</v>
      </c>
      <c r="B551" s="377" t="s">
        <v>354</v>
      </c>
    </row>
    <row r="552" spans="1:2" x14ac:dyDescent="0.25">
      <c r="A552" s="379">
        <v>2225</v>
      </c>
      <c r="B552" s="380" t="s">
        <v>355</v>
      </c>
    </row>
    <row r="553" spans="1:2" x14ac:dyDescent="0.25">
      <c r="A553" s="376">
        <v>2226</v>
      </c>
      <c r="B553" s="377" t="s">
        <v>356</v>
      </c>
    </row>
    <row r="554" spans="1:2" x14ac:dyDescent="0.25">
      <c r="A554" s="379">
        <v>2227</v>
      </c>
      <c r="B554" s="380" t="s">
        <v>357</v>
      </c>
    </row>
    <row r="555" spans="1:2" x14ac:dyDescent="0.25">
      <c r="A555" s="376">
        <v>2228</v>
      </c>
      <c r="B555" s="377" t="s">
        <v>358</v>
      </c>
    </row>
    <row r="556" spans="1:2" x14ac:dyDescent="0.25">
      <c r="A556" s="379">
        <v>2229</v>
      </c>
      <c r="B556" s="380" t="s">
        <v>359</v>
      </c>
    </row>
    <row r="557" spans="1:2" x14ac:dyDescent="0.25">
      <c r="A557" s="376">
        <v>2231</v>
      </c>
      <c r="B557" s="377" t="s">
        <v>360</v>
      </c>
    </row>
    <row r="558" spans="1:2" x14ac:dyDescent="0.25">
      <c r="A558" s="379">
        <v>2232</v>
      </c>
      <c r="B558" s="380" t="s">
        <v>361</v>
      </c>
    </row>
    <row r="559" spans="1:2" x14ac:dyDescent="0.25">
      <c r="A559" s="376">
        <v>2241</v>
      </c>
      <c r="B559" s="377" t="s">
        <v>362</v>
      </c>
    </row>
    <row r="560" spans="1:2" x14ac:dyDescent="0.25">
      <c r="A560" s="379">
        <v>2242</v>
      </c>
      <c r="B560" s="380" t="s">
        <v>363</v>
      </c>
    </row>
    <row r="561" spans="1:2" x14ac:dyDescent="0.25">
      <c r="A561" s="376">
        <v>2311</v>
      </c>
      <c r="B561" s="377" t="s">
        <v>364</v>
      </c>
    </row>
    <row r="562" spans="1:2" x14ac:dyDescent="0.25">
      <c r="A562" s="379">
        <v>2312</v>
      </c>
      <c r="B562" s="380" t="s">
        <v>365</v>
      </c>
    </row>
    <row r="563" spans="1:2" x14ac:dyDescent="0.25">
      <c r="A563" s="376">
        <v>2410</v>
      </c>
      <c r="B563" s="377" t="s">
        <v>366</v>
      </c>
    </row>
    <row r="564" spans="1:2" x14ac:dyDescent="0.25">
      <c r="A564" s="379">
        <v>2421</v>
      </c>
      <c r="B564" s="380" t="s">
        <v>368</v>
      </c>
    </row>
    <row r="565" spans="1:2" x14ac:dyDescent="0.25">
      <c r="A565" s="376">
        <v>2422</v>
      </c>
      <c r="B565" s="377" t="s">
        <v>369</v>
      </c>
    </row>
    <row r="566" spans="1:2" x14ac:dyDescent="0.25">
      <c r="A566" s="379">
        <v>2431</v>
      </c>
      <c r="B566" s="380" t="s">
        <v>370</v>
      </c>
    </row>
    <row r="567" spans="1:2" x14ac:dyDescent="0.25">
      <c r="A567" s="376">
        <v>2432</v>
      </c>
      <c r="B567" s="377" t="s">
        <v>371</v>
      </c>
    </row>
    <row r="568" spans="1:2" x14ac:dyDescent="0.25">
      <c r="A568" s="379">
        <v>2441</v>
      </c>
      <c r="B568" s="380" t="s">
        <v>372</v>
      </c>
    </row>
    <row r="569" spans="1:2" x14ac:dyDescent="0.25">
      <c r="A569" s="376">
        <v>2442</v>
      </c>
      <c r="B569" s="377" t="s">
        <v>373</v>
      </c>
    </row>
    <row r="570" spans="1:2" x14ac:dyDescent="0.25">
      <c r="A570" s="379">
        <v>2491</v>
      </c>
      <c r="B570" s="380" t="s">
        <v>374</v>
      </c>
    </row>
    <row r="571" spans="1:2" x14ac:dyDescent="0.25">
      <c r="A571" s="376">
        <v>2492</v>
      </c>
      <c r="B571" s="377" t="s">
        <v>375</v>
      </c>
    </row>
    <row r="572" spans="1:2" x14ac:dyDescent="0.25">
      <c r="A572" s="379">
        <v>2493</v>
      </c>
      <c r="B572" s="380" t="s">
        <v>376</v>
      </c>
    </row>
    <row r="573" spans="1:2" x14ac:dyDescent="0.25">
      <c r="A573" s="376">
        <v>2494</v>
      </c>
      <c r="B573" s="377" t="s">
        <v>377</v>
      </c>
    </row>
    <row r="574" spans="1:2" x14ac:dyDescent="0.25">
      <c r="A574" s="379">
        <v>2495</v>
      </c>
      <c r="B574" s="380" t="s">
        <v>378</v>
      </c>
    </row>
    <row r="575" spans="1:2" x14ac:dyDescent="0.25">
      <c r="A575" s="376">
        <v>2499</v>
      </c>
      <c r="B575" s="377" t="s">
        <v>379</v>
      </c>
    </row>
    <row r="576" spans="1:2" x14ac:dyDescent="0.25">
      <c r="A576" s="379">
        <v>2511</v>
      </c>
      <c r="B576" s="380" t="s">
        <v>380</v>
      </c>
    </row>
    <row r="577" spans="1:2" x14ac:dyDescent="0.25">
      <c r="A577" s="376">
        <v>2512</v>
      </c>
      <c r="B577" s="377" t="s">
        <v>381</v>
      </c>
    </row>
    <row r="578" spans="1:2" x14ac:dyDescent="0.25">
      <c r="A578" s="379">
        <v>2513</v>
      </c>
      <c r="B578" s="380" t="s">
        <v>382</v>
      </c>
    </row>
    <row r="579" spans="1:2" x14ac:dyDescent="0.25">
      <c r="A579" s="376">
        <v>2514</v>
      </c>
      <c r="B579" s="377" t="s">
        <v>383</v>
      </c>
    </row>
    <row r="580" spans="1:2" x14ac:dyDescent="0.25">
      <c r="A580" s="379">
        <v>2521</v>
      </c>
      <c r="B580" s="380" t="s">
        <v>384</v>
      </c>
    </row>
    <row r="581" spans="1:2" x14ac:dyDescent="0.25">
      <c r="A581" s="376">
        <v>2522</v>
      </c>
      <c r="B581" s="377" t="s">
        <v>385</v>
      </c>
    </row>
    <row r="582" spans="1:2" x14ac:dyDescent="0.25">
      <c r="A582" s="379">
        <v>2523</v>
      </c>
      <c r="B582" s="380" t="s">
        <v>386</v>
      </c>
    </row>
    <row r="583" spans="1:2" x14ac:dyDescent="0.25">
      <c r="A583" s="376">
        <v>2524</v>
      </c>
      <c r="B583" s="377" t="s">
        <v>387</v>
      </c>
    </row>
    <row r="584" spans="1:2" x14ac:dyDescent="0.25">
      <c r="A584" s="379">
        <v>2531</v>
      </c>
      <c r="B584" s="380" t="s">
        <v>388</v>
      </c>
    </row>
    <row r="585" spans="1:2" x14ac:dyDescent="0.25">
      <c r="A585" s="376">
        <v>2532</v>
      </c>
      <c r="B585" s="377" t="s">
        <v>389</v>
      </c>
    </row>
    <row r="586" spans="1:2" x14ac:dyDescent="0.25">
      <c r="A586" s="379">
        <v>2533</v>
      </c>
      <c r="B586" s="380" t="s">
        <v>390</v>
      </c>
    </row>
    <row r="587" spans="1:2" x14ac:dyDescent="0.25">
      <c r="A587" s="376">
        <v>2534</v>
      </c>
      <c r="B587" s="377" t="s">
        <v>391</v>
      </c>
    </row>
    <row r="588" spans="1:2" x14ac:dyDescent="0.25">
      <c r="A588" s="379">
        <v>2611</v>
      </c>
      <c r="B588" s="380" t="s">
        <v>392</v>
      </c>
    </row>
    <row r="589" spans="1:2" x14ac:dyDescent="0.25">
      <c r="A589" s="376">
        <v>2612</v>
      </c>
      <c r="B589" s="377" t="s">
        <v>393</v>
      </c>
    </row>
    <row r="590" spans="1:2" x14ac:dyDescent="0.25">
      <c r="A590" s="379">
        <v>2613</v>
      </c>
      <c r="B590" s="380" t="s">
        <v>394</v>
      </c>
    </row>
    <row r="591" spans="1:2" x14ac:dyDescent="0.25">
      <c r="A591" s="376">
        <v>2614</v>
      </c>
      <c r="B591" s="377" t="s">
        <v>395</v>
      </c>
    </row>
    <row r="592" spans="1:2" x14ac:dyDescent="0.25">
      <c r="A592" s="379">
        <v>2615</v>
      </c>
      <c r="B592" s="380" t="s">
        <v>396</v>
      </c>
    </row>
    <row r="593" spans="1:2" x14ac:dyDescent="0.25">
      <c r="A593" s="376">
        <v>2619</v>
      </c>
      <c r="B593" s="377" t="s">
        <v>397</v>
      </c>
    </row>
    <row r="594" spans="1:2" x14ac:dyDescent="0.25">
      <c r="A594" s="379">
        <v>2621</v>
      </c>
      <c r="B594" s="380" t="s">
        <v>398</v>
      </c>
    </row>
    <row r="595" spans="1:2" x14ac:dyDescent="0.25">
      <c r="A595" s="376">
        <v>2622</v>
      </c>
      <c r="B595" s="377" t="s">
        <v>399</v>
      </c>
    </row>
    <row r="596" spans="1:2" x14ac:dyDescent="0.25">
      <c r="A596" s="379">
        <v>2623</v>
      </c>
      <c r="B596" s="380" t="s">
        <v>400</v>
      </c>
    </row>
    <row r="597" spans="1:2" x14ac:dyDescent="0.25">
      <c r="A597" s="376">
        <v>2624</v>
      </c>
      <c r="B597" s="377" t="s">
        <v>401</v>
      </c>
    </row>
    <row r="598" spans="1:2" x14ac:dyDescent="0.25">
      <c r="A598" s="379">
        <v>2625</v>
      </c>
      <c r="B598" s="380" t="s">
        <v>402</v>
      </c>
    </row>
    <row r="599" spans="1:2" x14ac:dyDescent="0.25">
      <c r="A599" s="376">
        <v>2626</v>
      </c>
      <c r="B599" s="377" t="s">
        <v>403</v>
      </c>
    </row>
    <row r="600" spans="1:2" x14ac:dyDescent="0.25">
      <c r="A600" s="379">
        <v>2627</v>
      </c>
      <c r="B600" s="380" t="s">
        <v>404</v>
      </c>
    </row>
    <row r="601" spans="1:2" x14ac:dyDescent="0.25">
      <c r="A601" s="376">
        <v>2628</v>
      </c>
      <c r="B601" s="377" t="s">
        <v>405</v>
      </c>
    </row>
    <row r="602" spans="1:2" x14ac:dyDescent="0.25">
      <c r="A602" s="379">
        <v>2629</v>
      </c>
      <c r="B602" s="380" t="s">
        <v>406</v>
      </c>
    </row>
    <row r="603" spans="1:2" x14ac:dyDescent="0.25">
      <c r="A603" s="376">
        <v>2711</v>
      </c>
      <c r="B603" s="377" t="s">
        <v>407</v>
      </c>
    </row>
    <row r="604" spans="1:2" x14ac:dyDescent="0.25">
      <c r="A604" s="379">
        <v>2712</v>
      </c>
      <c r="B604" s="380" t="s">
        <v>408</v>
      </c>
    </row>
    <row r="605" spans="1:2" x14ac:dyDescent="0.25">
      <c r="A605" s="376">
        <v>2713</v>
      </c>
      <c r="B605" s="377" t="s">
        <v>409</v>
      </c>
    </row>
    <row r="606" spans="1:2" x14ac:dyDescent="0.25">
      <c r="A606" s="379">
        <v>2714</v>
      </c>
      <c r="B606" s="380" t="s">
        <v>410</v>
      </c>
    </row>
    <row r="607" spans="1:2" x14ac:dyDescent="0.25">
      <c r="A607" s="376">
        <v>2715</v>
      </c>
      <c r="B607" s="377" t="s">
        <v>411</v>
      </c>
    </row>
    <row r="608" spans="1:2" x14ac:dyDescent="0.25">
      <c r="A608" s="379">
        <v>2716</v>
      </c>
      <c r="B608" s="380" t="s">
        <v>412</v>
      </c>
    </row>
    <row r="609" spans="1:2" x14ac:dyDescent="0.25">
      <c r="A609" s="376">
        <v>2717</v>
      </c>
      <c r="B609" s="377" t="s">
        <v>413</v>
      </c>
    </row>
    <row r="610" spans="1:2" x14ac:dyDescent="0.25">
      <c r="A610" s="379">
        <v>2719</v>
      </c>
      <c r="B610" s="380" t="s">
        <v>414</v>
      </c>
    </row>
    <row r="611" spans="1:2" x14ac:dyDescent="0.25">
      <c r="A611" s="376">
        <v>2721</v>
      </c>
      <c r="B611" s="377" t="s">
        <v>415</v>
      </c>
    </row>
    <row r="612" spans="1:2" x14ac:dyDescent="0.25">
      <c r="A612" s="379">
        <v>2723</v>
      </c>
      <c r="B612" s="380" t="s">
        <v>416</v>
      </c>
    </row>
    <row r="613" spans="1:2" x14ac:dyDescent="0.25">
      <c r="A613" s="376">
        <v>2724</v>
      </c>
      <c r="B613" s="377" t="s">
        <v>417</v>
      </c>
    </row>
    <row r="614" spans="1:2" x14ac:dyDescent="0.25">
      <c r="A614" s="379">
        <v>2725</v>
      </c>
      <c r="B614" s="380" t="s">
        <v>418</v>
      </c>
    </row>
    <row r="615" spans="1:2" x14ac:dyDescent="0.25">
      <c r="A615" s="376">
        <v>2726</v>
      </c>
      <c r="B615" s="377" t="s">
        <v>419</v>
      </c>
    </row>
    <row r="616" spans="1:2" x14ac:dyDescent="0.25">
      <c r="A616" s="379">
        <v>2727</v>
      </c>
      <c r="B616" s="380" t="s">
        <v>420</v>
      </c>
    </row>
    <row r="617" spans="1:2" x14ac:dyDescent="0.25">
      <c r="A617" s="376">
        <v>2729</v>
      </c>
      <c r="B617" s="377" t="s">
        <v>421</v>
      </c>
    </row>
    <row r="618" spans="1:2" x14ac:dyDescent="0.25">
      <c r="A618" s="379">
        <v>2910</v>
      </c>
      <c r="B618" s="380" t="s">
        <v>422</v>
      </c>
    </row>
    <row r="619" spans="1:2" x14ac:dyDescent="0.25">
      <c r="A619" s="376">
        <v>3111</v>
      </c>
      <c r="B619" s="377" t="s">
        <v>423</v>
      </c>
    </row>
    <row r="620" spans="1:2" x14ac:dyDescent="0.25">
      <c r="A620" s="379">
        <v>3112</v>
      </c>
      <c r="B620" s="380" t="s">
        <v>424</v>
      </c>
    </row>
    <row r="621" spans="1:2" x14ac:dyDescent="0.25">
      <c r="A621" s="376">
        <v>3113</v>
      </c>
      <c r="B621" s="377" t="s">
        <v>425</v>
      </c>
    </row>
    <row r="622" spans="1:2" x14ac:dyDescent="0.25">
      <c r="A622" s="379">
        <v>3114</v>
      </c>
      <c r="B622" s="380" t="s">
        <v>426</v>
      </c>
    </row>
    <row r="623" spans="1:2" x14ac:dyDescent="0.25">
      <c r="A623" s="376">
        <v>3115</v>
      </c>
      <c r="B623" s="377" t="s">
        <v>427</v>
      </c>
    </row>
    <row r="624" spans="1:2" x14ac:dyDescent="0.25">
      <c r="A624" s="379">
        <v>3116</v>
      </c>
      <c r="B624" s="380" t="s">
        <v>428</v>
      </c>
    </row>
    <row r="625" spans="1:2" x14ac:dyDescent="0.25">
      <c r="A625" s="376">
        <v>3117</v>
      </c>
      <c r="B625" s="377" t="s">
        <v>429</v>
      </c>
    </row>
    <row r="626" spans="1:2" x14ac:dyDescent="0.25">
      <c r="A626" s="379">
        <v>3121</v>
      </c>
      <c r="B626" s="380" t="s">
        <v>430</v>
      </c>
    </row>
    <row r="627" spans="1:2" x14ac:dyDescent="0.25">
      <c r="A627" s="376">
        <v>3122</v>
      </c>
      <c r="B627" s="377" t="s">
        <v>431</v>
      </c>
    </row>
    <row r="628" spans="1:2" x14ac:dyDescent="0.25">
      <c r="A628" s="379">
        <v>3131</v>
      </c>
      <c r="B628" s="380" t="s">
        <v>432</v>
      </c>
    </row>
    <row r="629" spans="1:2" x14ac:dyDescent="0.25">
      <c r="A629" s="376">
        <v>3132</v>
      </c>
      <c r="B629" s="377" t="s">
        <v>433</v>
      </c>
    </row>
    <row r="630" spans="1:2" x14ac:dyDescent="0.25">
      <c r="A630" s="379">
        <v>3133</v>
      </c>
      <c r="B630" s="380" t="s">
        <v>434</v>
      </c>
    </row>
    <row r="631" spans="1:2" x14ac:dyDescent="0.25">
      <c r="A631" s="376">
        <v>3134</v>
      </c>
      <c r="B631" s="377" t="s">
        <v>435</v>
      </c>
    </row>
    <row r="632" spans="1:2" x14ac:dyDescent="0.25">
      <c r="A632" s="379">
        <v>3135</v>
      </c>
      <c r="B632" s="380" t="s">
        <v>436</v>
      </c>
    </row>
    <row r="633" spans="1:2" x14ac:dyDescent="0.25">
      <c r="A633" s="376">
        <v>3136</v>
      </c>
      <c r="B633" s="377" t="s">
        <v>437</v>
      </c>
    </row>
    <row r="634" spans="1:2" x14ac:dyDescent="0.25">
      <c r="A634" s="379">
        <v>3139</v>
      </c>
      <c r="B634" s="380" t="s">
        <v>438</v>
      </c>
    </row>
    <row r="635" spans="1:2" x14ac:dyDescent="0.25">
      <c r="A635" s="376">
        <v>3141</v>
      </c>
      <c r="B635" s="377" t="s">
        <v>439</v>
      </c>
    </row>
    <row r="636" spans="1:2" x14ac:dyDescent="0.25">
      <c r="A636" s="379">
        <v>3142</v>
      </c>
      <c r="B636" s="380" t="s">
        <v>440</v>
      </c>
    </row>
    <row r="637" spans="1:2" x14ac:dyDescent="0.25">
      <c r="A637" s="376">
        <v>3143</v>
      </c>
      <c r="B637" s="377" t="s">
        <v>441</v>
      </c>
    </row>
    <row r="638" spans="1:2" x14ac:dyDescent="0.25">
      <c r="A638" s="379">
        <v>3144</v>
      </c>
      <c r="B638" s="380" t="s">
        <v>442</v>
      </c>
    </row>
    <row r="639" spans="1:2" x14ac:dyDescent="0.25">
      <c r="A639" s="376">
        <v>3145</v>
      </c>
      <c r="B639" s="377" t="s">
        <v>443</v>
      </c>
    </row>
    <row r="640" spans="1:2" x14ac:dyDescent="0.25">
      <c r="A640" s="379">
        <v>3146</v>
      </c>
      <c r="B640" s="380" t="s">
        <v>444</v>
      </c>
    </row>
    <row r="641" spans="1:2" x14ac:dyDescent="0.25">
      <c r="A641" s="376">
        <v>3151</v>
      </c>
      <c r="B641" s="377" t="s">
        <v>445</v>
      </c>
    </row>
    <row r="642" spans="1:2" x14ac:dyDescent="0.25">
      <c r="A642" s="379">
        <v>3152</v>
      </c>
      <c r="B642" s="380" t="s">
        <v>446</v>
      </c>
    </row>
    <row r="643" spans="1:2" x14ac:dyDescent="0.25">
      <c r="A643" s="376">
        <v>3153</v>
      </c>
      <c r="B643" s="377" t="s">
        <v>447</v>
      </c>
    </row>
    <row r="644" spans="1:2" x14ac:dyDescent="0.25">
      <c r="A644" s="379">
        <v>3155</v>
      </c>
      <c r="B644" s="380" t="s">
        <v>448</v>
      </c>
    </row>
    <row r="645" spans="1:2" x14ac:dyDescent="0.25">
      <c r="A645" s="376">
        <v>3159</v>
      </c>
      <c r="B645" s="377" t="s">
        <v>449</v>
      </c>
    </row>
    <row r="646" spans="1:2" x14ac:dyDescent="0.25">
      <c r="A646" s="379">
        <v>3161</v>
      </c>
      <c r="B646" s="380" t="s">
        <v>450</v>
      </c>
    </row>
    <row r="647" spans="1:2" x14ac:dyDescent="0.25">
      <c r="A647" s="376">
        <v>3162</v>
      </c>
      <c r="B647" s="377" t="s">
        <v>451</v>
      </c>
    </row>
    <row r="648" spans="1:2" x14ac:dyDescent="0.25">
      <c r="A648" s="379">
        <v>3163</v>
      </c>
      <c r="B648" s="380" t="s">
        <v>452</v>
      </c>
    </row>
    <row r="649" spans="1:2" x14ac:dyDescent="0.25">
      <c r="A649" s="376">
        <v>3171</v>
      </c>
      <c r="B649" s="377" t="s">
        <v>453</v>
      </c>
    </row>
    <row r="650" spans="1:2" x14ac:dyDescent="0.25">
      <c r="A650" s="379">
        <v>3172</v>
      </c>
      <c r="B650" s="380" t="s">
        <v>454</v>
      </c>
    </row>
    <row r="651" spans="1:2" x14ac:dyDescent="0.25">
      <c r="A651" s="376">
        <v>3173</v>
      </c>
      <c r="B651" s="377" t="s">
        <v>455</v>
      </c>
    </row>
    <row r="652" spans="1:2" x14ac:dyDescent="0.25">
      <c r="A652" s="379">
        <v>3190</v>
      </c>
      <c r="B652" s="380" t="s">
        <v>456</v>
      </c>
    </row>
    <row r="653" spans="1:2" x14ac:dyDescent="0.25">
      <c r="A653" s="376">
        <v>3211</v>
      </c>
      <c r="B653" s="377" t="s">
        <v>457</v>
      </c>
    </row>
    <row r="654" spans="1:2" x14ac:dyDescent="0.25">
      <c r="A654" s="379">
        <v>3212</v>
      </c>
      <c r="B654" s="380" t="s">
        <v>458</v>
      </c>
    </row>
    <row r="655" spans="1:2" x14ac:dyDescent="0.25">
      <c r="A655" s="376">
        <v>3213</v>
      </c>
      <c r="B655" s="377" t="s">
        <v>459</v>
      </c>
    </row>
    <row r="656" spans="1:2" x14ac:dyDescent="0.25">
      <c r="A656" s="379">
        <v>3221</v>
      </c>
      <c r="B656" s="380" t="s">
        <v>460</v>
      </c>
    </row>
    <row r="657" spans="1:2" x14ac:dyDescent="0.25">
      <c r="A657" s="376">
        <v>3222</v>
      </c>
      <c r="B657" s="377" t="s">
        <v>461</v>
      </c>
    </row>
    <row r="658" spans="1:2" x14ac:dyDescent="0.25">
      <c r="A658" s="379">
        <v>3311</v>
      </c>
      <c r="B658" s="380" t="s">
        <v>462</v>
      </c>
    </row>
    <row r="659" spans="1:2" x14ac:dyDescent="0.25">
      <c r="A659" s="376">
        <v>3312</v>
      </c>
      <c r="B659" s="377" t="s">
        <v>463</v>
      </c>
    </row>
    <row r="660" spans="1:2" x14ac:dyDescent="0.25">
      <c r="A660" s="379">
        <v>3321</v>
      </c>
      <c r="B660" s="380" t="s">
        <v>464</v>
      </c>
    </row>
    <row r="661" spans="1:2" x14ac:dyDescent="0.25">
      <c r="A661" s="376">
        <v>3322</v>
      </c>
      <c r="B661" s="377" t="s">
        <v>465</v>
      </c>
    </row>
    <row r="662" spans="1:2" x14ac:dyDescent="0.25">
      <c r="A662" s="379">
        <v>3323</v>
      </c>
      <c r="B662" s="380" t="s">
        <v>466</v>
      </c>
    </row>
    <row r="663" spans="1:2" x14ac:dyDescent="0.25">
      <c r="A663" s="376">
        <v>3324</v>
      </c>
      <c r="B663" s="377" t="s">
        <v>467</v>
      </c>
    </row>
    <row r="664" spans="1:2" x14ac:dyDescent="0.25">
      <c r="A664" s="379">
        <v>3325</v>
      </c>
      <c r="B664" s="380" t="s">
        <v>468</v>
      </c>
    </row>
    <row r="665" spans="1:2" x14ac:dyDescent="0.25">
      <c r="A665" s="376">
        <v>3326</v>
      </c>
      <c r="B665" s="377" t="s">
        <v>469</v>
      </c>
    </row>
    <row r="666" spans="1:2" x14ac:dyDescent="0.25">
      <c r="A666" s="379">
        <v>3331</v>
      </c>
      <c r="B666" s="380" t="s">
        <v>470</v>
      </c>
    </row>
    <row r="667" spans="1:2" x14ac:dyDescent="0.25">
      <c r="A667" s="376">
        <v>3332</v>
      </c>
      <c r="B667" s="377" t="s">
        <v>471</v>
      </c>
    </row>
    <row r="668" spans="1:2" x14ac:dyDescent="0.25">
      <c r="A668" s="379">
        <v>3333</v>
      </c>
      <c r="B668" s="380" t="s">
        <v>472</v>
      </c>
    </row>
    <row r="669" spans="1:2" x14ac:dyDescent="0.25">
      <c r="A669" s="376">
        <v>3334</v>
      </c>
      <c r="B669" s="377" t="s">
        <v>473</v>
      </c>
    </row>
    <row r="670" spans="1:2" x14ac:dyDescent="0.25">
      <c r="A670" s="379">
        <v>3335</v>
      </c>
      <c r="B670" s="380" t="s">
        <v>474</v>
      </c>
    </row>
    <row r="671" spans="1:2" x14ac:dyDescent="0.25">
      <c r="A671" s="376">
        <v>3339</v>
      </c>
      <c r="B671" s="377" t="s">
        <v>475</v>
      </c>
    </row>
    <row r="672" spans="1:2" x14ac:dyDescent="0.25">
      <c r="A672" s="379">
        <v>3341</v>
      </c>
      <c r="B672" s="380" t="s">
        <v>476</v>
      </c>
    </row>
    <row r="673" spans="1:2" x14ac:dyDescent="0.25">
      <c r="A673" s="376">
        <v>3342</v>
      </c>
      <c r="B673" s="377" t="s">
        <v>477</v>
      </c>
    </row>
    <row r="674" spans="1:2" x14ac:dyDescent="0.25">
      <c r="A674" s="379">
        <v>3410</v>
      </c>
      <c r="B674" s="380" t="s">
        <v>478</v>
      </c>
    </row>
    <row r="675" spans="1:2" x14ac:dyDescent="0.25">
      <c r="A675" s="376">
        <v>3511</v>
      </c>
      <c r="B675" s="377" t="s">
        <v>480</v>
      </c>
    </row>
    <row r="676" spans="1:2" x14ac:dyDescent="0.25">
      <c r="A676" s="379">
        <v>3513</v>
      </c>
      <c r="B676" s="380" t="s">
        <v>481</v>
      </c>
    </row>
    <row r="677" spans="1:2" x14ac:dyDescent="0.25">
      <c r="A677" s="376">
        <v>3514</v>
      </c>
      <c r="B677" s="377" t="s">
        <v>482</v>
      </c>
    </row>
    <row r="678" spans="1:2" x14ac:dyDescent="0.25">
      <c r="A678" s="379">
        <v>3515</v>
      </c>
      <c r="B678" s="380" t="s">
        <v>483</v>
      </c>
    </row>
    <row r="679" spans="1:2" x14ac:dyDescent="0.25">
      <c r="A679" s="376">
        <v>3520</v>
      </c>
      <c r="B679" s="377" t="s">
        <v>484</v>
      </c>
    </row>
    <row r="680" spans="1:2" x14ac:dyDescent="0.25">
      <c r="A680" s="379">
        <v>3611</v>
      </c>
      <c r="B680" s="380" t="s">
        <v>485</v>
      </c>
    </row>
    <row r="681" spans="1:2" x14ac:dyDescent="0.25">
      <c r="A681" s="376">
        <v>3612</v>
      </c>
      <c r="B681" s="377" t="s">
        <v>487</v>
      </c>
    </row>
    <row r="682" spans="1:2" x14ac:dyDescent="0.25">
      <c r="A682" s="379">
        <v>3613</v>
      </c>
      <c r="B682" s="380" t="s">
        <v>488</v>
      </c>
    </row>
    <row r="683" spans="1:2" x14ac:dyDescent="0.25">
      <c r="A683" s="376">
        <v>3614</v>
      </c>
      <c r="B683" s="377" t="s">
        <v>489</v>
      </c>
    </row>
    <row r="684" spans="1:2" x14ac:dyDescent="0.25">
      <c r="A684" s="379">
        <v>3615</v>
      </c>
      <c r="B684" s="380" t="s">
        <v>490</v>
      </c>
    </row>
    <row r="685" spans="1:2" x14ac:dyDescent="0.25">
      <c r="A685" s="376">
        <v>3616</v>
      </c>
      <c r="B685" s="377" t="s">
        <v>491</v>
      </c>
    </row>
    <row r="686" spans="1:2" x14ac:dyDescent="0.25">
      <c r="A686" s="379">
        <v>3621</v>
      </c>
      <c r="B686" s="380" t="s">
        <v>492</v>
      </c>
    </row>
    <row r="687" spans="1:2" x14ac:dyDescent="0.25">
      <c r="A687" s="376">
        <v>3622</v>
      </c>
      <c r="B687" s="377" t="s">
        <v>493</v>
      </c>
    </row>
    <row r="688" spans="1:2" x14ac:dyDescent="0.25">
      <c r="A688" s="379">
        <v>3623</v>
      </c>
      <c r="B688" s="380" t="s">
        <v>494</v>
      </c>
    </row>
    <row r="689" spans="1:2" x14ac:dyDescent="0.25">
      <c r="A689" s="376">
        <v>3624</v>
      </c>
      <c r="B689" s="377" t="s">
        <v>495</v>
      </c>
    </row>
    <row r="690" spans="1:2" x14ac:dyDescent="0.25">
      <c r="A690" s="379">
        <v>3631</v>
      </c>
      <c r="B690" s="380" t="s">
        <v>496</v>
      </c>
    </row>
    <row r="691" spans="1:2" x14ac:dyDescent="0.25">
      <c r="A691" s="376">
        <v>3632</v>
      </c>
      <c r="B691" s="377" t="s">
        <v>497</v>
      </c>
    </row>
    <row r="692" spans="1:2" x14ac:dyDescent="0.25">
      <c r="A692" s="379">
        <v>3633</v>
      </c>
      <c r="B692" s="380" t="s">
        <v>498</v>
      </c>
    </row>
    <row r="693" spans="1:2" x14ac:dyDescent="0.25">
      <c r="A693" s="376">
        <v>3639</v>
      </c>
      <c r="B693" s="377" t="s">
        <v>499</v>
      </c>
    </row>
    <row r="694" spans="1:2" x14ac:dyDescent="0.25">
      <c r="A694" s="379">
        <v>3641</v>
      </c>
      <c r="B694" s="380" t="s">
        <v>500</v>
      </c>
    </row>
    <row r="695" spans="1:2" x14ac:dyDescent="0.25">
      <c r="A695" s="376">
        <v>3642</v>
      </c>
      <c r="B695" s="377" t="s">
        <v>501</v>
      </c>
    </row>
    <row r="696" spans="1:2" x14ac:dyDescent="0.25">
      <c r="A696" s="379">
        <v>3649</v>
      </c>
      <c r="B696" s="380" t="s">
        <v>502</v>
      </c>
    </row>
    <row r="697" spans="1:2" x14ac:dyDescent="0.25">
      <c r="A697" s="376">
        <v>3651</v>
      </c>
      <c r="B697" s="377" t="s">
        <v>503</v>
      </c>
    </row>
    <row r="698" spans="1:2" x14ac:dyDescent="0.25">
      <c r="A698" s="379">
        <v>3652</v>
      </c>
      <c r="B698" s="380" t="s">
        <v>504</v>
      </c>
    </row>
    <row r="699" spans="1:2" x14ac:dyDescent="0.25">
      <c r="A699" s="376">
        <v>3653</v>
      </c>
      <c r="B699" s="377" t="s">
        <v>505</v>
      </c>
    </row>
    <row r="700" spans="1:2" x14ac:dyDescent="0.25">
      <c r="A700" s="379">
        <v>3654</v>
      </c>
      <c r="B700" s="380" t="s">
        <v>506</v>
      </c>
    </row>
    <row r="701" spans="1:2" x14ac:dyDescent="0.25">
      <c r="A701" s="376">
        <v>3655</v>
      </c>
      <c r="B701" s="377" t="s">
        <v>507</v>
      </c>
    </row>
    <row r="702" spans="1:2" x14ac:dyDescent="0.25">
      <c r="A702" s="379">
        <v>3656</v>
      </c>
      <c r="B702" s="380" t="s">
        <v>508</v>
      </c>
    </row>
    <row r="703" spans="1:2" x14ac:dyDescent="0.25">
      <c r="A703" s="376">
        <v>3659</v>
      </c>
      <c r="B703" s="377" t="s">
        <v>509</v>
      </c>
    </row>
    <row r="704" spans="1:2" x14ac:dyDescent="0.25">
      <c r="A704" s="379">
        <v>3711</v>
      </c>
      <c r="B704" s="380" t="s">
        <v>510</v>
      </c>
    </row>
    <row r="705" spans="1:2" x14ac:dyDescent="0.25">
      <c r="A705" s="376">
        <v>3712</v>
      </c>
      <c r="B705" s="377" t="s">
        <v>511</v>
      </c>
    </row>
    <row r="706" spans="1:2" x14ac:dyDescent="0.25">
      <c r="A706" s="379">
        <v>3713</v>
      </c>
      <c r="B706" s="380" t="s">
        <v>512</v>
      </c>
    </row>
    <row r="707" spans="1:2" x14ac:dyDescent="0.25">
      <c r="A707" s="376">
        <v>3714</v>
      </c>
      <c r="B707" s="377" t="s">
        <v>513</v>
      </c>
    </row>
    <row r="708" spans="1:2" x14ac:dyDescent="0.25">
      <c r="A708" s="379">
        <v>3715</v>
      </c>
      <c r="B708" s="380" t="s">
        <v>514</v>
      </c>
    </row>
    <row r="709" spans="1:2" x14ac:dyDescent="0.25">
      <c r="A709" s="376">
        <v>3716</v>
      </c>
      <c r="B709" s="377" t="s">
        <v>515</v>
      </c>
    </row>
    <row r="710" spans="1:2" x14ac:dyDescent="0.25">
      <c r="A710" s="379">
        <v>3717</v>
      </c>
      <c r="B710" s="380" t="s">
        <v>516</v>
      </c>
    </row>
    <row r="711" spans="1:2" x14ac:dyDescent="0.25">
      <c r="A711" s="376">
        <v>3719</v>
      </c>
      <c r="B711" s="377" t="s">
        <v>517</v>
      </c>
    </row>
    <row r="712" spans="1:2" x14ac:dyDescent="0.25">
      <c r="A712" s="379">
        <v>3721</v>
      </c>
      <c r="B712" s="380" t="s">
        <v>518</v>
      </c>
    </row>
    <row r="713" spans="1:2" x14ac:dyDescent="0.25">
      <c r="A713" s="376">
        <v>3722</v>
      </c>
      <c r="B713" s="377" t="s">
        <v>519</v>
      </c>
    </row>
    <row r="714" spans="1:2" x14ac:dyDescent="0.25">
      <c r="A714" s="379">
        <v>3910</v>
      </c>
      <c r="B714" s="380" t="s">
        <v>520</v>
      </c>
    </row>
    <row r="715" spans="1:2" x14ac:dyDescent="0.25">
      <c r="A715" s="376">
        <v>4111</v>
      </c>
      <c r="B715" s="377" t="s">
        <v>522</v>
      </c>
    </row>
    <row r="716" spans="1:2" x14ac:dyDescent="0.25">
      <c r="A716" s="379">
        <v>4112</v>
      </c>
      <c r="B716" s="380" t="s">
        <v>523</v>
      </c>
    </row>
    <row r="717" spans="1:2" x14ac:dyDescent="0.25">
      <c r="A717" s="376">
        <v>4113</v>
      </c>
      <c r="B717" s="377" t="s">
        <v>525</v>
      </c>
    </row>
    <row r="718" spans="1:2" x14ac:dyDescent="0.25">
      <c r="A718" s="379">
        <v>4114</v>
      </c>
      <c r="B718" s="380" t="s">
        <v>526</v>
      </c>
    </row>
    <row r="719" spans="1:2" x14ac:dyDescent="0.25">
      <c r="A719" s="376">
        <v>4121</v>
      </c>
      <c r="B719" s="377" t="s">
        <v>527</v>
      </c>
    </row>
    <row r="720" spans="1:2" x14ac:dyDescent="0.25">
      <c r="A720" s="379">
        <v>4122</v>
      </c>
      <c r="B720" s="380" t="s">
        <v>528</v>
      </c>
    </row>
    <row r="721" spans="1:2" x14ac:dyDescent="0.25">
      <c r="A721" s="376">
        <v>4123</v>
      </c>
      <c r="B721" s="377" t="s">
        <v>529</v>
      </c>
    </row>
    <row r="722" spans="1:2" x14ac:dyDescent="0.25">
      <c r="A722" s="379">
        <v>4129</v>
      </c>
      <c r="B722" s="380" t="s">
        <v>530</v>
      </c>
    </row>
    <row r="723" spans="1:2" x14ac:dyDescent="0.25">
      <c r="A723" s="376">
        <v>4131</v>
      </c>
      <c r="B723" s="377" t="s">
        <v>531</v>
      </c>
    </row>
    <row r="724" spans="1:2" x14ac:dyDescent="0.25">
      <c r="A724" s="379">
        <v>4132</v>
      </c>
      <c r="B724" s="380" t="s">
        <v>532</v>
      </c>
    </row>
    <row r="725" spans="1:2" x14ac:dyDescent="0.25">
      <c r="A725" s="376">
        <v>4133</v>
      </c>
      <c r="B725" s="377" t="s">
        <v>533</v>
      </c>
    </row>
    <row r="726" spans="1:2" x14ac:dyDescent="0.25">
      <c r="A726" s="379">
        <v>4134</v>
      </c>
      <c r="B726" s="380" t="s">
        <v>534</v>
      </c>
    </row>
    <row r="727" spans="1:2" x14ac:dyDescent="0.25">
      <c r="A727" s="376">
        <v>4136</v>
      </c>
      <c r="B727" s="377" t="s">
        <v>535</v>
      </c>
    </row>
    <row r="728" spans="1:2" x14ac:dyDescent="0.25">
      <c r="A728" s="379">
        <v>4190</v>
      </c>
      <c r="B728" s="380" t="s">
        <v>536</v>
      </c>
    </row>
    <row r="729" spans="1:2" x14ac:dyDescent="0.25">
      <c r="A729" s="376">
        <v>4211</v>
      </c>
      <c r="B729" s="377" t="s">
        <v>537</v>
      </c>
    </row>
    <row r="730" spans="1:2" x14ac:dyDescent="0.25">
      <c r="A730" s="379">
        <v>4212</v>
      </c>
      <c r="B730" s="380" t="s">
        <v>538</v>
      </c>
    </row>
    <row r="731" spans="1:2" x14ac:dyDescent="0.25">
      <c r="A731" s="376">
        <v>4221</v>
      </c>
      <c r="B731" s="377" t="s">
        <v>539</v>
      </c>
    </row>
    <row r="732" spans="1:2" x14ac:dyDescent="0.25">
      <c r="A732" s="379">
        <v>4222</v>
      </c>
      <c r="B732" s="380" t="s">
        <v>540</v>
      </c>
    </row>
    <row r="733" spans="1:2" x14ac:dyDescent="0.25">
      <c r="A733" s="376">
        <v>4223</v>
      </c>
      <c r="B733" s="377" t="s">
        <v>541</v>
      </c>
    </row>
    <row r="734" spans="1:2" x14ac:dyDescent="0.25">
      <c r="A734" s="379">
        <v>4224</v>
      </c>
      <c r="B734" s="380" t="s">
        <v>542</v>
      </c>
    </row>
    <row r="735" spans="1:2" x14ac:dyDescent="0.25">
      <c r="A735" s="376">
        <v>4225</v>
      </c>
      <c r="B735" s="377" t="s">
        <v>543</v>
      </c>
    </row>
    <row r="736" spans="1:2" x14ac:dyDescent="0.25">
      <c r="A736" s="379">
        <v>4226</v>
      </c>
      <c r="B736" s="380" t="s">
        <v>544</v>
      </c>
    </row>
    <row r="737" spans="1:2" x14ac:dyDescent="0.25">
      <c r="A737" s="376">
        <v>4229</v>
      </c>
      <c r="B737" s="377" t="s">
        <v>545</v>
      </c>
    </row>
    <row r="738" spans="1:2" x14ac:dyDescent="0.25">
      <c r="A738" s="379">
        <v>5111</v>
      </c>
      <c r="B738" s="380" t="s">
        <v>546</v>
      </c>
    </row>
    <row r="739" spans="1:2" x14ac:dyDescent="0.25">
      <c r="A739" s="376">
        <v>5112</v>
      </c>
      <c r="B739" s="377" t="s">
        <v>547</v>
      </c>
    </row>
    <row r="740" spans="1:2" x14ac:dyDescent="0.25">
      <c r="A740" s="379">
        <v>5113</v>
      </c>
      <c r="B740" s="380" t="s">
        <v>548</v>
      </c>
    </row>
    <row r="741" spans="1:2" x14ac:dyDescent="0.25">
      <c r="A741" s="376">
        <v>5114</v>
      </c>
      <c r="B741" s="377" t="s">
        <v>549</v>
      </c>
    </row>
    <row r="742" spans="1:2" x14ac:dyDescent="0.25">
      <c r="A742" s="379">
        <v>5115</v>
      </c>
      <c r="B742" s="380" t="s">
        <v>550</v>
      </c>
    </row>
    <row r="743" spans="1:2" x14ac:dyDescent="0.25">
      <c r="A743" s="376">
        <v>5116</v>
      </c>
      <c r="B743" s="377" t="s">
        <v>551</v>
      </c>
    </row>
    <row r="744" spans="1:2" x14ac:dyDescent="0.25">
      <c r="A744" s="379">
        <v>5117</v>
      </c>
      <c r="B744" s="380" t="s">
        <v>552</v>
      </c>
    </row>
    <row r="745" spans="1:2" x14ac:dyDescent="0.25">
      <c r="A745" s="376">
        <v>5121</v>
      </c>
      <c r="B745" s="377" t="s">
        <v>553</v>
      </c>
    </row>
    <row r="746" spans="1:2" x14ac:dyDescent="0.25">
      <c r="A746" s="379">
        <v>5122</v>
      </c>
      <c r="B746" s="380" t="s">
        <v>554</v>
      </c>
    </row>
    <row r="747" spans="1:2" x14ac:dyDescent="0.25">
      <c r="A747" s="376">
        <v>5123</v>
      </c>
      <c r="B747" s="377" t="s">
        <v>555</v>
      </c>
    </row>
    <row r="748" spans="1:2" x14ac:dyDescent="0.25">
      <c r="A748" s="379">
        <v>5129</v>
      </c>
      <c r="B748" s="380" t="s">
        <v>556</v>
      </c>
    </row>
    <row r="749" spans="1:2" x14ac:dyDescent="0.25">
      <c r="A749" s="376">
        <v>5131</v>
      </c>
      <c r="B749" s="377" t="s">
        <v>557</v>
      </c>
    </row>
    <row r="750" spans="1:2" x14ac:dyDescent="0.25">
      <c r="A750" s="379">
        <v>5132</v>
      </c>
      <c r="B750" s="380" t="s">
        <v>558</v>
      </c>
    </row>
    <row r="751" spans="1:2" x14ac:dyDescent="0.25">
      <c r="A751" s="376">
        <v>5133</v>
      </c>
      <c r="B751" s="377" t="s">
        <v>559</v>
      </c>
    </row>
    <row r="752" spans="1:2" x14ac:dyDescent="0.25">
      <c r="A752" s="379">
        <v>5134</v>
      </c>
      <c r="B752" s="380" t="s">
        <v>560</v>
      </c>
    </row>
    <row r="753" spans="1:2" x14ac:dyDescent="0.25">
      <c r="A753" s="376">
        <v>5135</v>
      </c>
      <c r="B753" s="377" t="s">
        <v>561</v>
      </c>
    </row>
    <row r="754" spans="1:2" x14ac:dyDescent="0.25">
      <c r="A754" s="379">
        <v>5211</v>
      </c>
      <c r="B754" s="380" t="s">
        <v>562</v>
      </c>
    </row>
    <row r="755" spans="1:2" x14ac:dyDescent="0.25">
      <c r="A755" s="376">
        <v>5212</v>
      </c>
      <c r="B755" s="377" t="s">
        <v>563</v>
      </c>
    </row>
    <row r="756" spans="1:2" x14ac:dyDescent="0.25">
      <c r="A756" s="379">
        <v>5213</v>
      </c>
      <c r="B756" s="380" t="s">
        <v>564</v>
      </c>
    </row>
    <row r="757" spans="1:2" x14ac:dyDescent="0.25">
      <c r="A757" s="376">
        <v>5219</v>
      </c>
      <c r="B757" s="377" t="s">
        <v>565</v>
      </c>
    </row>
    <row r="758" spans="1:2" x14ac:dyDescent="0.25">
      <c r="A758" s="379">
        <v>5221</v>
      </c>
      <c r="B758" s="380" t="s">
        <v>566</v>
      </c>
    </row>
    <row r="759" spans="1:2" x14ac:dyDescent="0.25">
      <c r="A759" s="376">
        <v>5222</v>
      </c>
      <c r="B759" s="377" t="s">
        <v>567</v>
      </c>
    </row>
    <row r="760" spans="1:2" x14ac:dyDescent="0.25">
      <c r="A760" s="379">
        <v>5223</v>
      </c>
      <c r="B760" s="380" t="s">
        <v>568</v>
      </c>
    </row>
    <row r="761" spans="1:2" x14ac:dyDescent="0.25">
      <c r="A761" s="376">
        <v>5229</v>
      </c>
      <c r="B761" s="377" t="s">
        <v>569</v>
      </c>
    </row>
    <row r="762" spans="1:2" x14ac:dyDescent="0.25">
      <c r="A762" s="379">
        <v>5231</v>
      </c>
      <c r="B762" s="380" t="s">
        <v>570</v>
      </c>
    </row>
    <row r="763" spans="1:2" x14ac:dyDescent="0.25">
      <c r="A763" s="376">
        <v>5232</v>
      </c>
      <c r="B763" s="377" t="s">
        <v>571</v>
      </c>
    </row>
    <row r="764" spans="1:2" x14ac:dyDescent="0.25">
      <c r="A764" s="379">
        <v>5233</v>
      </c>
      <c r="B764" s="380" t="s">
        <v>572</v>
      </c>
    </row>
    <row r="765" spans="1:2" x14ac:dyDescent="0.25">
      <c r="A765" s="376">
        <v>5241</v>
      </c>
      <c r="B765" s="377" t="s">
        <v>573</v>
      </c>
    </row>
    <row r="766" spans="1:2" x14ac:dyDescent="0.25">
      <c r="A766" s="379">
        <v>5242</v>
      </c>
      <c r="B766" s="380" t="s">
        <v>574</v>
      </c>
    </row>
    <row r="767" spans="1:2" x14ac:dyDescent="0.25">
      <c r="A767" s="376">
        <v>5243</v>
      </c>
      <c r="B767" s="377" t="s">
        <v>575</v>
      </c>
    </row>
    <row r="768" spans="1:2" x14ac:dyDescent="0.25">
      <c r="A768" s="379">
        <v>5251</v>
      </c>
      <c r="B768" s="380" t="s">
        <v>576</v>
      </c>
    </row>
    <row r="769" spans="1:2" x14ac:dyDescent="0.25">
      <c r="A769" s="376">
        <v>5252</v>
      </c>
      <c r="B769" s="377" t="s">
        <v>577</v>
      </c>
    </row>
    <row r="770" spans="1:2" x14ac:dyDescent="0.25">
      <c r="A770" s="379">
        <v>5253</v>
      </c>
      <c r="B770" s="380" t="s">
        <v>578</v>
      </c>
    </row>
    <row r="771" spans="1:2" x14ac:dyDescent="0.25">
      <c r="A771" s="376">
        <v>5254</v>
      </c>
      <c r="B771" s="377" t="s">
        <v>579</v>
      </c>
    </row>
    <row r="772" spans="1:2" x14ac:dyDescent="0.25">
      <c r="A772" s="379">
        <v>5255</v>
      </c>
      <c r="B772" s="380" t="s">
        <v>580</v>
      </c>
    </row>
    <row r="773" spans="1:2" x14ac:dyDescent="0.25">
      <c r="A773" s="376">
        <v>5256</v>
      </c>
      <c r="B773" s="377" t="s">
        <v>581</v>
      </c>
    </row>
    <row r="774" spans="1:2" x14ac:dyDescent="0.25">
      <c r="A774" s="379">
        <v>5259</v>
      </c>
      <c r="B774" s="380" t="s">
        <v>582</v>
      </c>
    </row>
    <row r="775" spans="1:2" x14ac:dyDescent="0.25">
      <c r="A775" s="376">
        <v>5291</v>
      </c>
      <c r="B775" s="377" t="s">
        <v>583</v>
      </c>
    </row>
    <row r="776" spans="1:2" x14ac:dyDescent="0.25">
      <c r="A776" s="379">
        <v>5292</v>
      </c>
      <c r="B776" s="380" t="s">
        <v>584</v>
      </c>
    </row>
    <row r="777" spans="1:2" x14ac:dyDescent="0.25">
      <c r="A777" s="376">
        <v>5293</v>
      </c>
      <c r="B777" s="377" t="s">
        <v>585</v>
      </c>
    </row>
    <row r="778" spans="1:2" x14ac:dyDescent="0.25">
      <c r="A778" s="379">
        <v>5299</v>
      </c>
      <c r="B778" s="380" t="s">
        <v>586</v>
      </c>
    </row>
    <row r="779" spans="1:2" x14ac:dyDescent="0.25">
      <c r="A779" s="376">
        <v>6111</v>
      </c>
      <c r="B779" s="377" t="s">
        <v>587</v>
      </c>
    </row>
    <row r="780" spans="1:2" x14ac:dyDescent="0.25">
      <c r="A780" s="379">
        <v>6113</v>
      </c>
      <c r="B780" s="380" t="s">
        <v>588</v>
      </c>
    </row>
    <row r="781" spans="1:2" x14ac:dyDescent="0.25">
      <c r="A781" s="376">
        <v>6114</v>
      </c>
      <c r="B781" s="377" t="s">
        <v>589</v>
      </c>
    </row>
    <row r="782" spans="1:2" x14ac:dyDescent="0.25">
      <c r="A782" s="379">
        <v>6115</v>
      </c>
      <c r="B782" s="380" t="s">
        <v>590</v>
      </c>
    </row>
    <row r="783" spans="1:2" x14ac:dyDescent="0.25">
      <c r="A783" s="376">
        <v>6116</v>
      </c>
      <c r="B783" s="377" t="s">
        <v>591</v>
      </c>
    </row>
    <row r="784" spans="1:2" x14ac:dyDescent="0.25">
      <c r="A784" s="379">
        <v>6119</v>
      </c>
      <c r="B784" s="380" t="s">
        <v>592</v>
      </c>
    </row>
    <row r="785" spans="1:2" x14ac:dyDescent="0.25">
      <c r="A785" s="376">
        <v>6121</v>
      </c>
      <c r="B785" s="377" t="s">
        <v>593</v>
      </c>
    </row>
    <row r="786" spans="1:2" x14ac:dyDescent="0.25">
      <c r="A786" s="379">
        <v>6122</v>
      </c>
      <c r="B786" s="380" t="s">
        <v>594</v>
      </c>
    </row>
    <row r="787" spans="1:2" x14ac:dyDescent="0.25">
      <c r="A787" s="376">
        <v>6124</v>
      </c>
      <c r="B787" s="377" t="s">
        <v>595</v>
      </c>
    </row>
    <row r="788" spans="1:2" x14ac:dyDescent="0.25">
      <c r="A788" s="379">
        <v>6130</v>
      </c>
      <c r="B788" s="380" t="s">
        <v>596</v>
      </c>
    </row>
    <row r="789" spans="1:2" x14ac:dyDescent="0.25">
      <c r="A789" s="376">
        <v>6211</v>
      </c>
      <c r="B789" s="377" t="s">
        <v>597</v>
      </c>
    </row>
    <row r="790" spans="1:2" x14ac:dyDescent="0.25">
      <c r="A790" s="379">
        <v>6212</v>
      </c>
      <c r="B790" s="380" t="s">
        <v>598</v>
      </c>
    </row>
    <row r="791" spans="1:2" x14ac:dyDescent="0.25">
      <c r="A791" s="376">
        <v>6220</v>
      </c>
      <c r="B791" s="377" t="s">
        <v>599</v>
      </c>
    </row>
    <row r="792" spans="1:2" x14ac:dyDescent="0.25">
      <c r="A792" s="379">
        <v>6230</v>
      </c>
      <c r="B792" s="380" t="s">
        <v>600</v>
      </c>
    </row>
    <row r="793" spans="1:2" x14ac:dyDescent="0.25">
      <c r="A793" s="376">
        <v>7111</v>
      </c>
      <c r="B793" s="377" t="s">
        <v>601</v>
      </c>
    </row>
    <row r="794" spans="1:2" x14ac:dyDescent="0.25">
      <c r="A794" s="379">
        <v>7112</v>
      </c>
      <c r="B794" s="380" t="s">
        <v>602</v>
      </c>
    </row>
    <row r="795" spans="1:2" x14ac:dyDescent="0.25">
      <c r="A795" s="376">
        <v>7113</v>
      </c>
      <c r="B795" s="377" t="s">
        <v>603</v>
      </c>
    </row>
    <row r="796" spans="1:2" x14ac:dyDescent="0.25">
      <c r="A796" s="379">
        <v>7114</v>
      </c>
      <c r="B796" s="380" t="s">
        <v>604</v>
      </c>
    </row>
    <row r="797" spans="1:2" x14ac:dyDescent="0.25">
      <c r="A797" s="376">
        <v>7115</v>
      </c>
      <c r="B797" s="377" t="s">
        <v>605</v>
      </c>
    </row>
    <row r="798" spans="1:2" x14ac:dyDescent="0.25">
      <c r="A798" s="379">
        <v>7211</v>
      </c>
      <c r="B798" s="380" t="s">
        <v>606</v>
      </c>
    </row>
    <row r="799" spans="1:2" x14ac:dyDescent="0.25">
      <c r="A799" s="376">
        <v>7212</v>
      </c>
      <c r="B799" s="377" t="s">
        <v>607</v>
      </c>
    </row>
    <row r="800" spans="1:2" x14ac:dyDescent="0.25">
      <c r="A800" s="379">
        <v>7213</v>
      </c>
      <c r="B800" s="380" t="s">
        <v>608</v>
      </c>
    </row>
    <row r="801" spans="1:2" x14ac:dyDescent="0.25">
      <c r="A801" s="376">
        <v>7216</v>
      </c>
      <c r="B801" s="377" t="s">
        <v>609</v>
      </c>
    </row>
    <row r="802" spans="1:2" x14ac:dyDescent="0.25">
      <c r="A802" s="379">
        <v>7217</v>
      </c>
      <c r="B802" s="380" t="s">
        <v>610</v>
      </c>
    </row>
    <row r="803" spans="1:2" x14ac:dyDescent="0.25">
      <c r="A803" s="376">
        <v>7221</v>
      </c>
      <c r="B803" s="377" t="s">
        <v>611</v>
      </c>
    </row>
    <row r="804" spans="1:2" x14ac:dyDescent="0.25">
      <c r="A804" s="379">
        <v>7222</v>
      </c>
      <c r="B804" s="380" t="s">
        <v>612</v>
      </c>
    </row>
    <row r="805" spans="1:2" x14ac:dyDescent="0.25">
      <c r="A805" s="376">
        <v>7223</v>
      </c>
      <c r="B805" s="377" t="s">
        <v>613</v>
      </c>
    </row>
    <row r="806" spans="1:2" x14ac:dyDescent="0.25">
      <c r="A806" s="379">
        <v>7224</v>
      </c>
      <c r="B806" s="380" t="s">
        <v>614</v>
      </c>
    </row>
    <row r="807" spans="1:2" x14ac:dyDescent="0.25">
      <c r="A807" s="376">
        <v>7225</v>
      </c>
      <c r="B807" s="377" t="s">
        <v>615</v>
      </c>
    </row>
    <row r="808" spans="1:2" x14ac:dyDescent="0.25">
      <c r="A808" s="379">
        <v>7231</v>
      </c>
      <c r="B808" s="380" t="s">
        <v>616</v>
      </c>
    </row>
    <row r="809" spans="1:2" x14ac:dyDescent="0.25">
      <c r="A809" s="376">
        <v>7232</v>
      </c>
      <c r="B809" s="377" t="s">
        <v>617</v>
      </c>
    </row>
    <row r="810" spans="1:2" x14ac:dyDescent="0.25">
      <c r="A810" s="379">
        <v>7233</v>
      </c>
      <c r="B810" s="380" t="s">
        <v>618</v>
      </c>
    </row>
    <row r="811" spans="1:2" x14ac:dyDescent="0.25">
      <c r="A811" s="376">
        <v>7310</v>
      </c>
      <c r="B811" s="377" t="s">
        <v>619</v>
      </c>
    </row>
    <row r="812" spans="1:2" x14ac:dyDescent="0.25">
      <c r="A812" s="379">
        <v>7321</v>
      </c>
      <c r="B812" s="380" t="s">
        <v>620</v>
      </c>
    </row>
    <row r="813" spans="1:2" x14ac:dyDescent="0.25">
      <c r="A813" s="376">
        <v>7322</v>
      </c>
      <c r="B813" s="377" t="s">
        <v>621</v>
      </c>
    </row>
    <row r="814" spans="1:2" x14ac:dyDescent="0.25">
      <c r="A814" s="379">
        <v>7323</v>
      </c>
      <c r="B814" s="380" t="s">
        <v>622</v>
      </c>
    </row>
    <row r="815" spans="1:2" x14ac:dyDescent="0.25">
      <c r="A815" s="376">
        <v>7324</v>
      </c>
      <c r="B815" s="377" t="s">
        <v>623</v>
      </c>
    </row>
    <row r="816" spans="1:2" x14ac:dyDescent="0.25">
      <c r="A816" s="379">
        <v>7325</v>
      </c>
      <c r="B816" s="380" t="s">
        <v>624</v>
      </c>
    </row>
    <row r="817" spans="1:2" x14ac:dyDescent="0.25">
      <c r="A817" s="376">
        <v>7326</v>
      </c>
      <c r="B817" s="377" t="s">
        <v>625</v>
      </c>
    </row>
    <row r="818" spans="1:2" x14ac:dyDescent="0.25">
      <c r="A818" s="379">
        <v>7327</v>
      </c>
      <c r="B818" s="380" t="s">
        <v>626</v>
      </c>
    </row>
    <row r="819" spans="1:2" x14ac:dyDescent="0.25">
      <c r="A819" s="376">
        <v>7328</v>
      </c>
      <c r="B819" s="377" t="s">
        <v>627</v>
      </c>
    </row>
    <row r="820" spans="1:2" x14ac:dyDescent="0.25">
      <c r="A820" s="379">
        <v>7331</v>
      </c>
      <c r="B820" s="380" t="s">
        <v>628</v>
      </c>
    </row>
    <row r="821" spans="1:2" x14ac:dyDescent="0.25">
      <c r="A821" s="376">
        <v>7332</v>
      </c>
      <c r="B821" s="377" t="s">
        <v>629</v>
      </c>
    </row>
    <row r="822" spans="1:2" x14ac:dyDescent="0.25">
      <c r="A822" s="379">
        <v>7333</v>
      </c>
      <c r="B822" s="380" t="s">
        <v>630</v>
      </c>
    </row>
    <row r="823" spans="1:2" x14ac:dyDescent="0.25">
      <c r="A823" s="376">
        <v>7334</v>
      </c>
      <c r="B823" s="377" t="s">
        <v>631</v>
      </c>
    </row>
    <row r="824" spans="1:2" x14ac:dyDescent="0.25">
      <c r="A824" s="379">
        <v>7335</v>
      </c>
      <c r="B824" s="380" t="s">
        <v>632</v>
      </c>
    </row>
    <row r="825" spans="1:2" x14ac:dyDescent="0.25">
      <c r="A825" s="376">
        <v>7341</v>
      </c>
      <c r="B825" s="377" t="s">
        <v>633</v>
      </c>
    </row>
    <row r="826" spans="1:2" x14ac:dyDescent="0.25">
      <c r="A826" s="379">
        <v>7342</v>
      </c>
      <c r="B826" s="380" t="s">
        <v>634</v>
      </c>
    </row>
    <row r="827" spans="1:2" x14ac:dyDescent="0.25">
      <c r="A827" s="376">
        <v>7343</v>
      </c>
      <c r="B827" s="377" t="s">
        <v>635</v>
      </c>
    </row>
    <row r="828" spans="1:2" x14ac:dyDescent="0.25">
      <c r="A828" s="379">
        <v>7411</v>
      </c>
      <c r="B828" s="380" t="s">
        <v>636</v>
      </c>
    </row>
    <row r="829" spans="1:2" x14ac:dyDescent="0.25">
      <c r="A829" s="376">
        <v>7412</v>
      </c>
      <c r="B829" s="377" t="s">
        <v>637</v>
      </c>
    </row>
    <row r="830" spans="1:2" x14ac:dyDescent="0.25">
      <c r="A830" s="379">
        <v>7413</v>
      </c>
      <c r="B830" s="380" t="s">
        <v>638</v>
      </c>
    </row>
    <row r="831" spans="1:2" x14ac:dyDescent="0.25">
      <c r="A831" s="376">
        <v>7414</v>
      </c>
      <c r="B831" s="377" t="s">
        <v>639</v>
      </c>
    </row>
    <row r="832" spans="1:2" x14ac:dyDescent="0.25">
      <c r="A832" s="379">
        <v>7415</v>
      </c>
      <c r="B832" s="380" t="s">
        <v>640</v>
      </c>
    </row>
    <row r="833" spans="1:2" x14ac:dyDescent="0.25">
      <c r="A833" s="376">
        <v>7416</v>
      </c>
      <c r="B833" s="377" t="s">
        <v>641</v>
      </c>
    </row>
    <row r="834" spans="1:2" x14ac:dyDescent="0.25">
      <c r="A834" s="379">
        <v>7417</v>
      </c>
      <c r="B834" s="380" t="s">
        <v>642</v>
      </c>
    </row>
    <row r="835" spans="1:2" x14ac:dyDescent="0.25">
      <c r="A835" s="376">
        <v>7418</v>
      </c>
      <c r="B835" s="377" t="s">
        <v>643</v>
      </c>
    </row>
    <row r="836" spans="1:2" x14ac:dyDescent="0.25">
      <c r="A836" s="379">
        <v>7419</v>
      </c>
      <c r="B836" s="380" t="s">
        <v>644</v>
      </c>
    </row>
    <row r="837" spans="1:2" x14ac:dyDescent="0.25">
      <c r="A837" s="376">
        <v>7420</v>
      </c>
      <c r="B837" s="377" t="s">
        <v>645</v>
      </c>
    </row>
    <row r="838" spans="1:2" x14ac:dyDescent="0.25">
      <c r="A838" s="379">
        <v>7511</v>
      </c>
      <c r="B838" s="380" t="s">
        <v>646</v>
      </c>
    </row>
    <row r="839" spans="1:2" x14ac:dyDescent="0.25">
      <c r="A839" s="376">
        <v>7512</v>
      </c>
      <c r="B839" s="377" t="s">
        <v>647</v>
      </c>
    </row>
    <row r="840" spans="1:2" x14ac:dyDescent="0.25">
      <c r="A840" s="379">
        <v>7513</v>
      </c>
      <c r="B840" s="380" t="s">
        <v>648</v>
      </c>
    </row>
    <row r="841" spans="1:2" x14ac:dyDescent="0.25">
      <c r="A841" s="376">
        <v>7514</v>
      </c>
      <c r="B841" s="377" t="s">
        <v>649</v>
      </c>
    </row>
    <row r="842" spans="1:2" x14ac:dyDescent="0.25">
      <c r="A842" s="379">
        <v>7515</v>
      </c>
      <c r="B842" s="380" t="s">
        <v>650</v>
      </c>
    </row>
    <row r="843" spans="1:2" x14ac:dyDescent="0.25">
      <c r="A843" s="376">
        <v>7519</v>
      </c>
      <c r="B843" s="377" t="s">
        <v>651</v>
      </c>
    </row>
    <row r="844" spans="1:2" x14ac:dyDescent="0.25">
      <c r="A844" s="379">
        <v>7521</v>
      </c>
      <c r="B844" s="380" t="s">
        <v>652</v>
      </c>
    </row>
    <row r="845" spans="1:2" x14ac:dyDescent="0.25">
      <c r="A845" s="376">
        <v>7522</v>
      </c>
      <c r="B845" s="377" t="s">
        <v>653</v>
      </c>
    </row>
    <row r="846" spans="1:2" x14ac:dyDescent="0.25">
      <c r="A846" s="379">
        <v>7523</v>
      </c>
      <c r="B846" s="380" t="s">
        <v>654</v>
      </c>
    </row>
    <row r="847" spans="1:2" x14ac:dyDescent="0.25">
      <c r="A847" s="376">
        <v>7524</v>
      </c>
      <c r="B847" s="377" t="s">
        <v>655</v>
      </c>
    </row>
    <row r="848" spans="1:2" x14ac:dyDescent="0.25">
      <c r="A848" s="379">
        <v>7529</v>
      </c>
      <c r="B848" s="380" t="s">
        <v>656</v>
      </c>
    </row>
    <row r="849" spans="1:2" x14ac:dyDescent="0.25">
      <c r="A849" s="376">
        <v>7531</v>
      </c>
      <c r="B849" s="377" t="s">
        <v>657</v>
      </c>
    </row>
    <row r="850" spans="1:2" x14ac:dyDescent="0.25">
      <c r="A850" s="379">
        <v>7532</v>
      </c>
      <c r="B850" s="380" t="s">
        <v>658</v>
      </c>
    </row>
    <row r="851" spans="1:2" x14ac:dyDescent="0.25">
      <c r="A851" s="376">
        <v>7533</v>
      </c>
      <c r="B851" s="377" t="s">
        <v>659</v>
      </c>
    </row>
    <row r="852" spans="1:2" x14ac:dyDescent="0.25">
      <c r="A852" s="379">
        <v>7534</v>
      </c>
      <c r="B852" s="380" t="s">
        <v>660</v>
      </c>
    </row>
    <row r="853" spans="1:2" x14ac:dyDescent="0.25">
      <c r="A853" s="376">
        <v>7535</v>
      </c>
      <c r="B853" s="377" t="s">
        <v>661</v>
      </c>
    </row>
    <row r="854" spans="1:2" x14ac:dyDescent="0.25">
      <c r="A854" s="379">
        <v>7536</v>
      </c>
      <c r="B854" s="380" t="s">
        <v>662</v>
      </c>
    </row>
    <row r="855" spans="1:2" x14ac:dyDescent="0.25">
      <c r="A855" s="376">
        <v>7538</v>
      </c>
      <c r="B855" s="377" t="s">
        <v>663</v>
      </c>
    </row>
    <row r="856" spans="1:2" x14ac:dyDescent="0.25">
      <c r="A856" s="379">
        <v>7539</v>
      </c>
      <c r="B856" s="380" t="s">
        <v>664</v>
      </c>
    </row>
    <row r="857" spans="1:2" x14ac:dyDescent="0.25">
      <c r="A857" s="376">
        <v>7911</v>
      </c>
      <c r="B857" s="377" t="s">
        <v>665</v>
      </c>
    </row>
    <row r="858" spans="1:2" x14ac:dyDescent="0.25">
      <c r="A858" s="379">
        <v>7914</v>
      </c>
      <c r="B858" s="380" t="s">
        <v>666</v>
      </c>
    </row>
    <row r="859" spans="1:2" x14ac:dyDescent="0.25">
      <c r="A859" s="376">
        <v>7915</v>
      </c>
      <c r="B859" s="377" t="s">
        <v>667</v>
      </c>
    </row>
    <row r="860" spans="1:2" x14ac:dyDescent="0.25">
      <c r="A860" s="379">
        <v>7919</v>
      </c>
      <c r="B860" s="380" t="s">
        <v>668</v>
      </c>
    </row>
    <row r="861" spans="1:2" x14ac:dyDescent="0.25">
      <c r="A861" s="376">
        <v>8111</v>
      </c>
      <c r="B861" s="377" t="s">
        <v>669</v>
      </c>
    </row>
    <row r="862" spans="1:2" x14ac:dyDescent="0.25">
      <c r="A862" s="379">
        <v>8112</v>
      </c>
      <c r="B862" s="380" t="s">
        <v>670</v>
      </c>
    </row>
    <row r="863" spans="1:2" x14ac:dyDescent="0.25">
      <c r="A863" s="376">
        <v>8121</v>
      </c>
      <c r="B863" s="377" t="s">
        <v>671</v>
      </c>
    </row>
    <row r="864" spans="1:2" x14ac:dyDescent="0.25">
      <c r="A864" s="379">
        <v>8122</v>
      </c>
      <c r="B864" s="380" t="s">
        <v>672</v>
      </c>
    </row>
    <row r="865" spans="1:2" x14ac:dyDescent="0.25">
      <c r="A865" s="376">
        <v>8123</v>
      </c>
      <c r="B865" s="377" t="s">
        <v>673</v>
      </c>
    </row>
    <row r="866" spans="1:2" x14ac:dyDescent="0.25">
      <c r="A866" s="379">
        <v>8124</v>
      </c>
      <c r="B866" s="380" t="s">
        <v>674</v>
      </c>
    </row>
    <row r="867" spans="1:2" x14ac:dyDescent="0.25">
      <c r="A867" s="376">
        <v>8125</v>
      </c>
      <c r="B867" s="377" t="s">
        <v>675</v>
      </c>
    </row>
    <row r="868" spans="1:2" x14ac:dyDescent="0.25">
      <c r="A868" s="379">
        <v>8126</v>
      </c>
      <c r="B868" s="380" t="s">
        <v>676</v>
      </c>
    </row>
    <row r="869" spans="1:2" x14ac:dyDescent="0.25">
      <c r="A869" s="376">
        <v>8131</v>
      </c>
      <c r="B869" s="377" t="s">
        <v>677</v>
      </c>
    </row>
    <row r="870" spans="1:2" x14ac:dyDescent="0.25">
      <c r="A870" s="379">
        <v>8132</v>
      </c>
      <c r="B870" s="380" t="s">
        <v>678</v>
      </c>
    </row>
    <row r="871" spans="1:2" x14ac:dyDescent="0.25">
      <c r="A871" s="376">
        <v>8133</v>
      </c>
      <c r="B871" s="377" t="s">
        <v>679</v>
      </c>
    </row>
    <row r="872" spans="1:2" x14ac:dyDescent="0.25">
      <c r="A872" s="379">
        <v>8134</v>
      </c>
      <c r="B872" s="380" t="s">
        <v>680</v>
      </c>
    </row>
    <row r="873" spans="1:2" x14ac:dyDescent="0.25">
      <c r="A873" s="376">
        <v>8135</v>
      </c>
      <c r="B873" s="377" t="s">
        <v>681</v>
      </c>
    </row>
    <row r="874" spans="1:2" x14ac:dyDescent="0.25">
      <c r="A874" s="379">
        <v>8136</v>
      </c>
      <c r="B874" s="380" t="s">
        <v>682</v>
      </c>
    </row>
    <row r="875" spans="1:2" x14ac:dyDescent="0.25">
      <c r="A875" s="376">
        <v>8137</v>
      </c>
      <c r="B875" s="377" t="s">
        <v>683</v>
      </c>
    </row>
    <row r="876" spans="1:2" x14ac:dyDescent="0.25">
      <c r="A876" s="379">
        <v>8141</v>
      </c>
      <c r="B876" s="380" t="s">
        <v>684</v>
      </c>
    </row>
    <row r="877" spans="1:2" x14ac:dyDescent="0.25">
      <c r="A877" s="376">
        <v>8142</v>
      </c>
      <c r="B877" s="377" t="s">
        <v>685</v>
      </c>
    </row>
    <row r="878" spans="1:2" x14ac:dyDescent="0.25">
      <c r="A878" s="379">
        <v>8143</v>
      </c>
      <c r="B878" s="380" t="s">
        <v>686</v>
      </c>
    </row>
    <row r="879" spans="1:2" x14ac:dyDescent="0.25">
      <c r="A879" s="376">
        <v>8144</v>
      </c>
      <c r="B879" s="377" t="s">
        <v>687</v>
      </c>
    </row>
    <row r="880" spans="1:2" x14ac:dyDescent="0.25">
      <c r="A880" s="379">
        <v>8151</v>
      </c>
      <c r="B880" s="380" t="s">
        <v>688</v>
      </c>
    </row>
    <row r="881" spans="1:2" x14ac:dyDescent="0.25">
      <c r="A881" s="376">
        <v>8152</v>
      </c>
      <c r="B881" s="377" t="s">
        <v>689</v>
      </c>
    </row>
    <row r="882" spans="1:2" x14ac:dyDescent="0.25">
      <c r="A882" s="379">
        <v>8190</v>
      </c>
      <c r="B882" s="380" t="s">
        <v>690</v>
      </c>
    </row>
    <row r="883" spans="1:2" x14ac:dyDescent="0.25">
      <c r="A883" s="376">
        <v>8211</v>
      </c>
      <c r="B883" s="377" t="s">
        <v>691</v>
      </c>
    </row>
    <row r="884" spans="1:2" x14ac:dyDescent="0.25">
      <c r="A884" s="379">
        <v>8212</v>
      </c>
      <c r="B884" s="380" t="s">
        <v>692</v>
      </c>
    </row>
    <row r="885" spans="1:2" x14ac:dyDescent="0.25">
      <c r="A885" s="376">
        <v>8219</v>
      </c>
      <c r="B885" s="377" t="s">
        <v>693</v>
      </c>
    </row>
    <row r="886" spans="1:2" x14ac:dyDescent="0.25">
      <c r="A886" s="379">
        <v>8311</v>
      </c>
      <c r="B886" s="380" t="s">
        <v>694</v>
      </c>
    </row>
    <row r="887" spans="1:2" x14ac:dyDescent="0.25">
      <c r="A887" s="376">
        <v>8312</v>
      </c>
      <c r="B887" s="377" t="s">
        <v>695</v>
      </c>
    </row>
    <row r="888" spans="1:2" x14ac:dyDescent="0.25">
      <c r="A888" s="379">
        <v>8321</v>
      </c>
      <c r="B888" s="380" t="s">
        <v>696</v>
      </c>
    </row>
    <row r="889" spans="1:2" x14ac:dyDescent="0.25">
      <c r="A889" s="376">
        <v>8322</v>
      </c>
      <c r="B889" s="377" t="s">
        <v>697</v>
      </c>
    </row>
    <row r="890" spans="1:2" x14ac:dyDescent="0.25">
      <c r="A890" s="379">
        <v>8323</v>
      </c>
      <c r="B890" s="380" t="s">
        <v>698</v>
      </c>
    </row>
    <row r="891" spans="1:2" x14ac:dyDescent="0.25">
      <c r="A891" s="376">
        <v>8324</v>
      </c>
      <c r="B891" s="377" t="s">
        <v>699</v>
      </c>
    </row>
    <row r="892" spans="1:2" x14ac:dyDescent="0.25">
      <c r="A892" s="379">
        <v>8325</v>
      </c>
      <c r="B892" s="380" t="s">
        <v>700</v>
      </c>
    </row>
    <row r="893" spans="1:2" x14ac:dyDescent="0.25">
      <c r="A893" s="376">
        <v>8326</v>
      </c>
      <c r="B893" s="377" t="s">
        <v>701</v>
      </c>
    </row>
    <row r="894" spans="1:2" x14ac:dyDescent="0.25">
      <c r="A894" s="379">
        <v>8327</v>
      </c>
      <c r="B894" s="380" t="s">
        <v>702</v>
      </c>
    </row>
    <row r="895" spans="1:2" x14ac:dyDescent="0.25">
      <c r="A895" s="376">
        <v>8329</v>
      </c>
      <c r="B895" s="377" t="s">
        <v>703</v>
      </c>
    </row>
    <row r="896" spans="1:2" x14ac:dyDescent="0.25">
      <c r="A896" s="379">
        <v>8411</v>
      </c>
      <c r="B896" s="380" t="s">
        <v>704</v>
      </c>
    </row>
    <row r="897" spans="1:2" x14ac:dyDescent="0.25">
      <c r="A897" s="376">
        <v>8412</v>
      </c>
      <c r="B897" s="377" t="s">
        <v>705</v>
      </c>
    </row>
    <row r="898" spans="1:2" x14ac:dyDescent="0.25">
      <c r="A898" s="379">
        <v>8413</v>
      </c>
      <c r="B898" s="380" t="s">
        <v>706</v>
      </c>
    </row>
    <row r="899" spans="1:2" x14ac:dyDescent="0.25">
      <c r="A899" s="376">
        <v>8415</v>
      </c>
      <c r="B899" s="377" t="s">
        <v>707</v>
      </c>
    </row>
    <row r="900" spans="1:2" x14ac:dyDescent="0.25">
      <c r="A900" s="379">
        <v>8416</v>
      </c>
      <c r="B900" s="380" t="s">
        <v>708</v>
      </c>
    </row>
    <row r="901" spans="1:2" x14ac:dyDescent="0.25">
      <c r="A901" s="376">
        <v>8417</v>
      </c>
      <c r="B901" s="377" t="s">
        <v>709</v>
      </c>
    </row>
    <row r="902" spans="1:2" x14ac:dyDescent="0.25">
      <c r="A902" s="379">
        <v>8418</v>
      </c>
      <c r="B902" s="380" t="s">
        <v>710</v>
      </c>
    </row>
    <row r="903" spans="1:2" x14ac:dyDescent="0.25">
      <c r="A903" s="376">
        <v>8419</v>
      </c>
      <c r="B903" s="377" t="s">
        <v>711</v>
      </c>
    </row>
    <row r="904" spans="1:2" x14ac:dyDescent="0.25">
      <c r="A904" s="379">
        <v>8421</v>
      </c>
      <c r="B904" s="380" t="s">
        <v>712</v>
      </c>
    </row>
    <row r="905" spans="1:2" x14ac:dyDescent="0.25">
      <c r="A905" s="376">
        <v>8422</v>
      </c>
      <c r="B905" s="377" t="s">
        <v>713</v>
      </c>
    </row>
    <row r="906" spans="1:2" x14ac:dyDescent="0.25">
      <c r="A906" s="379">
        <v>8423</v>
      </c>
      <c r="B906" s="380" t="s">
        <v>714</v>
      </c>
    </row>
    <row r="907" spans="1:2" x14ac:dyDescent="0.25">
      <c r="A907" s="376">
        <v>8424</v>
      </c>
      <c r="B907" s="377" t="s">
        <v>715</v>
      </c>
    </row>
    <row r="908" spans="1:2" x14ac:dyDescent="0.25">
      <c r="A908" s="379">
        <v>8425</v>
      </c>
      <c r="B908" s="380" t="s">
        <v>716</v>
      </c>
    </row>
    <row r="909" spans="1:2" x14ac:dyDescent="0.25">
      <c r="A909" s="376">
        <v>8430</v>
      </c>
      <c r="B909" s="377" t="s">
        <v>717</v>
      </c>
    </row>
    <row r="910" spans="1:2" x14ac:dyDescent="0.25">
      <c r="A910" s="379">
        <v>9111</v>
      </c>
      <c r="B910" s="380" t="s">
        <v>718</v>
      </c>
    </row>
    <row r="911" spans="1:2" x14ac:dyDescent="0.25">
      <c r="A911" s="376">
        <v>9112</v>
      </c>
      <c r="B911" s="377" t="s">
        <v>719</v>
      </c>
    </row>
    <row r="912" spans="1:2" x14ac:dyDescent="0.25">
      <c r="A912" s="379">
        <v>9113</v>
      </c>
      <c r="B912" s="380" t="s">
        <v>720</v>
      </c>
    </row>
    <row r="913" spans="1:2" x14ac:dyDescent="0.25">
      <c r="A913" s="376">
        <v>9114</v>
      </c>
      <c r="B913" s="377" t="s">
        <v>721</v>
      </c>
    </row>
    <row r="914" spans="1:2" x14ac:dyDescent="0.25">
      <c r="A914" s="379">
        <v>9115</v>
      </c>
      <c r="B914" s="380" t="s">
        <v>722</v>
      </c>
    </row>
    <row r="915" spans="1:2" x14ac:dyDescent="0.25">
      <c r="A915" s="376">
        <v>9119</v>
      </c>
      <c r="B915" s="377" t="s">
        <v>723</v>
      </c>
    </row>
    <row r="916" spans="1:2" x14ac:dyDescent="0.25">
      <c r="A916" s="379">
        <v>9211</v>
      </c>
      <c r="B916" s="380" t="s">
        <v>724</v>
      </c>
    </row>
    <row r="917" spans="1:2" x14ac:dyDescent="0.25">
      <c r="A917" s="376">
        <v>9212</v>
      </c>
      <c r="B917" s="377" t="s">
        <v>725</v>
      </c>
    </row>
    <row r="918" spans="1:2" x14ac:dyDescent="0.25">
      <c r="A918" s="379">
        <v>9221</v>
      </c>
      <c r="B918" s="380" t="s">
        <v>726</v>
      </c>
    </row>
    <row r="919" spans="1:2" x14ac:dyDescent="0.25">
      <c r="A919" s="376">
        <v>9223</v>
      </c>
      <c r="B919" s="377" t="s">
        <v>727</v>
      </c>
    </row>
    <row r="920" spans="1:2" x14ac:dyDescent="0.25">
      <c r="A920" s="379">
        <v>9224</v>
      </c>
      <c r="B920" s="380" t="s">
        <v>728</v>
      </c>
    </row>
    <row r="921" spans="1:2" x14ac:dyDescent="0.25">
      <c r="A921" s="376">
        <v>9225</v>
      </c>
      <c r="B921" s="377" t="s">
        <v>729</v>
      </c>
    </row>
    <row r="922" spans="1:2" x14ac:dyDescent="0.25">
      <c r="A922" s="379">
        <v>9231</v>
      </c>
      <c r="B922" s="380" t="s">
        <v>730</v>
      </c>
    </row>
    <row r="923" spans="1:2" x14ac:dyDescent="0.25">
      <c r="A923" s="376">
        <v>9232</v>
      </c>
      <c r="B923" s="377" t="s">
        <v>731</v>
      </c>
    </row>
    <row r="924" spans="1:2" x14ac:dyDescent="0.25">
      <c r="A924" s="379">
        <v>9233</v>
      </c>
      <c r="B924" s="380" t="s">
        <v>732</v>
      </c>
    </row>
    <row r="925" spans="1:2" x14ac:dyDescent="0.25">
      <c r="A925" s="376">
        <v>9234</v>
      </c>
      <c r="B925" s="377" t="s">
        <v>733</v>
      </c>
    </row>
    <row r="926" spans="1:2" x14ac:dyDescent="0.25">
      <c r="A926" s="379">
        <v>9235</v>
      </c>
      <c r="B926" s="380" t="s">
        <v>734</v>
      </c>
    </row>
    <row r="927" spans="1:2" x14ac:dyDescent="0.25">
      <c r="A927" s="376">
        <v>9236</v>
      </c>
      <c r="B927" s="377" t="s">
        <v>735</v>
      </c>
    </row>
    <row r="928" spans="1:2" x14ac:dyDescent="0.25">
      <c r="A928" s="379">
        <v>9238</v>
      </c>
      <c r="B928" s="380" t="s">
        <v>736</v>
      </c>
    </row>
    <row r="929" spans="1:2" x14ac:dyDescent="0.25">
      <c r="A929" s="376">
        <v>9239</v>
      </c>
      <c r="B929" s="377" t="s">
        <v>737</v>
      </c>
    </row>
    <row r="930" spans="1:2" x14ac:dyDescent="0.25">
      <c r="A930" s="379">
        <v>9310</v>
      </c>
      <c r="B930" s="380" t="s">
        <v>738</v>
      </c>
    </row>
    <row r="931" spans="1:2" x14ac:dyDescent="0.25">
      <c r="A931" s="376">
        <v>9321</v>
      </c>
      <c r="B931" s="377" t="s">
        <v>739</v>
      </c>
    </row>
    <row r="932" spans="1:2" x14ac:dyDescent="0.25">
      <c r="A932" s="379">
        <v>9329</v>
      </c>
      <c r="B932" s="380" t="s">
        <v>740</v>
      </c>
    </row>
    <row r="933" spans="1:2" x14ac:dyDescent="0.25">
      <c r="A933" s="376">
        <v>9331</v>
      </c>
      <c r="B933" s="377" t="s">
        <v>741</v>
      </c>
    </row>
    <row r="934" spans="1:2" x14ac:dyDescent="0.25">
      <c r="A934" s="379">
        <v>9332</v>
      </c>
      <c r="B934" s="380" t="s">
        <v>742</v>
      </c>
    </row>
    <row r="935" spans="1:2" ht="18" x14ac:dyDescent="0.25">
      <c r="A935" s="388" t="s">
        <v>743</v>
      </c>
    </row>
    <row r="936" spans="1:2" x14ac:dyDescent="0.25">
      <c r="A936" s="389"/>
    </row>
    <row r="937" spans="1:2" x14ac:dyDescent="0.25">
      <c r="A937" s="390" t="s">
        <v>744</v>
      </c>
    </row>
    <row r="938" spans="1:2" x14ac:dyDescent="0.25">
      <c r="A938" s="391" t="s">
        <v>745</v>
      </c>
    </row>
    <row r="939" spans="1:2" x14ac:dyDescent="0.25">
      <c r="A939" s="389"/>
    </row>
    <row r="940" spans="1:2" ht="18" x14ac:dyDescent="0.25">
      <c r="A940" s="388" t="s">
        <v>746</v>
      </c>
    </row>
    <row r="941" spans="1:2" x14ac:dyDescent="0.25">
      <c r="A941" s="389"/>
    </row>
    <row r="942" spans="1:2" x14ac:dyDescent="0.25">
      <c r="A942" s="390" t="s">
        <v>747</v>
      </c>
    </row>
    <row r="943" spans="1:2" x14ac:dyDescent="0.25">
      <c r="A943" s="391" t="s">
        <v>748</v>
      </c>
    </row>
    <row r="944" spans="1:2" x14ac:dyDescent="0.25">
      <c r="A944" s="392" t="s">
        <v>749</v>
      </c>
    </row>
    <row r="945" spans="1:1" x14ac:dyDescent="0.25">
      <c r="A945" s="391" t="s">
        <v>750</v>
      </c>
    </row>
    <row r="947" spans="1:1" x14ac:dyDescent="0.25">
      <c r="A947" s="391" t="s">
        <v>751</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FF21F-22C1-45EF-AF25-EC3ED544A625}">
  <sheetPr codeName="Munka12"/>
  <dimension ref="A1:C908"/>
  <sheetViews>
    <sheetView topLeftCell="A888" workbookViewId="0">
      <selection activeCell="A907" sqref="A907"/>
    </sheetView>
  </sheetViews>
  <sheetFormatPr defaultRowHeight="15" x14ac:dyDescent="0.25"/>
  <cols>
    <col min="1" max="1" width="14.7109375" bestFit="1" customWidth="1"/>
    <col min="2" max="2" width="17.7109375" bestFit="1" customWidth="1"/>
    <col min="3" max="3" width="30.28515625" bestFit="1" customWidth="1"/>
  </cols>
  <sheetData>
    <row r="1" spans="1:3" ht="15.75" thickBot="1" x14ac:dyDescent="0.3">
      <c r="A1" s="562" t="s">
        <v>2520</v>
      </c>
      <c r="B1" s="563" t="s">
        <v>2015</v>
      </c>
      <c r="C1" s="564" t="s">
        <v>2521</v>
      </c>
    </row>
    <row r="2" spans="1:3" x14ac:dyDescent="0.25">
      <c r="A2" t="s">
        <v>2522</v>
      </c>
      <c r="B2" t="s">
        <v>2523</v>
      </c>
      <c r="C2" t="s">
        <v>172</v>
      </c>
    </row>
    <row r="3" spans="1:3" x14ac:dyDescent="0.25">
      <c r="A3" t="s">
        <v>2524</v>
      </c>
      <c r="B3" t="s">
        <v>2525</v>
      </c>
      <c r="C3" t="s">
        <v>2526</v>
      </c>
    </row>
    <row r="4" spans="1:3" x14ac:dyDescent="0.25">
      <c r="A4" t="s">
        <v>2527</v>
      </c>
      <c r="B4" t="s">
        <v>2528</v>
      </c>
      <c r="C4" t="s">
        <v>2529</v>
      </c>
    </row>
    <row r="5" spans="1:3" x14ac:dyDescent="0.25">
      <c r="A5" t="s">
        <v>2530</v>
      </c>
      <c r="B5" t="s">
        <v>2531</v>
      </c>
      <c r="C5" t="s">
        <v>777</v>
      </c>
    </row>
    <row r="6" spans="1:3" x14ac:dyDescent="0.25">
      <c r="A6" t="s">
        <v>2532</v>
      </c>
      <c r="B6" t="s">
        <v>2533</v>
      </c>
      <c r="C6" t="s">
        <v>780</v>
      </c>
    </row>
    <row r="7" spans="1:3" x14ac:dyDescent="0.25">
      <c r="A7" t="s">
        <v>2534</v>
      </c>
      <c r="B7" t="s">
        <v>2535</v>
      </c>
      <c r="C7" t="s">
        <v>2536</v>
      </c>
    </row>
    <row r="8" spans="1:3" x14ac:dyDescent="0.25">
      <c r="A8" t="s">
        <v>2537</v>
      </c>
      <c r="B8" t="s">
        <v>2538</v>
      </c>
      <c r="C8" t="s">
        <v>786</v>
      </c>
    </row>
    <row r="9" spans="1:3" x14ac:dyDescent="0.25">
      <c r="A9" t="s">
        <v>2539</v>
      </c>
      <c r="B9" t="s">
        <v>2540</v>
      </c>
      <c r="C9" t="s">
        <v>2541</v>
      </c>
    </row>
    <row r="10" spans="1:3" x14ac:dyDescent="0.25">
      <c r="A10" t="s">
        <v>2542</v>
      </c>
      <c r="B10" t="s">
        <v>2543</v>
      </c>
      <c r="C10" t="s">
        <v>2544</v>
      </c>
    </row>
    <row r="11" spans="1:3" x14ac:dyDescent="0.25">
      <c r="A11" t="s">
        <v>2545</v>
      </c>
      <c r="B11" t="s">
        <v>2546</v>
      </c>
      <c r="C11" t="s">
        <v>2547</v>
      </c>
    </row>
    <row r="12" spans="1:3" x14ac:dyDescent="0.25">
      <c r="A12" t="s">
        <v>2548</v>
      </c>
      <c r="B12" t="s">
        <v>2549</v>
      </c>
      <c r="C12" t="s">
        <v>2550</v>
      </c>
    </row>
    <row r="13" spans="1:3" x14ac:dyDescent="0.25">
      <c r="A13" t="s">
        <v>2551</v>
      </c>
      <c r="B13" t="s">
        <v>2552</v>
      </c>
      <c r="C13" t="s">
        <v>797</v>
      </c>
    </row>
    <row r="14" spans="1:3" x14ac:dyDescent="0.25">
      <c r="A14" t="s">
        <v>2553</v>
      </c>
      <c r="B14" t="s">
        <v>2554</v>
      </c>
      <c r="C14" t="s">
        <v>2555</v>
      </c>
    </row>
    <row r="15" spans="1:3" x14ac:dyDescent="0.25">
      <c r="A15" t="s">
        <v>2556</v>
      </c>
      <c r="B15" t="s">
        <v>2557</v>
      </c>
      <c r="C15" t="s">
        <v>2558</v>
      </c>
    </row>
    <row r="16" spans="1:3" x14ac:dyDescent="0.25">
      <c r="A16" t="s">
        <v>2559</v>
      </c>
      <c r="B16" t="s">
        <v>2560</v>
      </c>
      <c r="C16" t="s">
        <v>2561</v>
      </c>
    </row>
    <row r="17" spans="1:3" x14ac:dyDescent="0.25">
      <c r="A17" t="s">
        <v>2562</v>
      </c>
      <c r="B17" t="s">
        <v>2563</v>
      </c>
      <c r="C17" t="s">
        <v>2564</v>
      </c>
    </row>
    <row r="18" spans="1:3" x14ac:dyDescent="0.25">
      <c r="A18" t="s">
        <v>2565</v>
      </c>
      <c r="B18" t="s">
        <v>2566</v>
      </c>
      <c r="C18" t="s">
        <v>2567</v>
      </c>
    </row>
    <row r="19" spans="1:3" x14ac:dyDescent="0.25">
      <c r="A19" t="s">
        <v>2568</v>
      </c>
      <c r="B19" t="s">
        <v>2569</v>
      </c>
      <c r="C19" t="s">
        <v>813</v>
      </c>
    </row>
    <row r="20" spans="1:3" x14ac:dyDescent="0.25">
      <c r="A20" t="s">
        <v>2570</v>
      </c>
      <c r="B20" t="s">
        <v>2571</v>
      </c>
      <c r="C20" t="s">
        <v>2572</v>
      </c>
    </row>
    <row r="21" spans="1:3" x14ac:dyDescent="0.25">
      <c r="A21" t="s">
        <v>2573</v>
      </c>
      <c r="B21" t="s">
        <v>2574</v>
      </c>
      <c r="C21" t="s">
        <v>815</v>
      </c>
    </row>
    <row r="22" spans="1:3" x14ac:dyDescent="0.25">
      <c r="A22" t="s">
        <v>2575</v>
      </c>
      <c r="B22" t="s">
        <v>2576</v>
      </c>
      <c r="C22" t="s">
        <v>2577</v>
      </c>
    </row>
    <row r="23" spans="1:3" x14ac:dyDescent="0.25">
      <c r="A23" t="s">
        <v>2578</v>
      </c>
      <c r="B23" t="s">
        <v>2579</v>
      </c>
      <c r="C23" t="s">
        <v>817</v>
      </c>
    </row>
    <row r="24" spans="1:3" x14ac:dyDescent="0.25">
      <c r="A24" t="s">
        <v>2580</v>
      </c>
      <c r="B24" t="s">
        <v>2581</v>
      </c>
      <c r="C24" t="s">
        <v>2582</v>
      </c>
    </row>
    <row r="25" spans="1:3" x14ac:dyDescent="0.25">
      <c r="A25" t="s">
        <v>2583</v>
      </c>
      <c r="B25" t="s">
        <v>2584</v>
      </c>
      <c r="C25" t="s">
        <v>2585</v>
      </c>
    </row>
    <row r="26" spans="1:3" x14ac:dyDescent="0.25">
      <c r="A26" t="s">
        <v>2586</v>
      </c>
      <c r="B26" t="s">
        <v>2587</v>
      </c>
      <c r="C26" t="s">
        <v>2588</v>
      </c>
    </row>
    <row r="27" spans="1:3" x14ac:dyDescent="0.25">
      <c r="A27" t="s">
        <v>2589</v>
      </c>
      <c r="B27" t="s">
        <v>2590</v>
      </c>
      <c r="C27" t="s">
        <v>821</v>
      </c>
    </row>
    <row r="28" spans="1:3" x14ac:dyDescent="0.25">
      <c r="A28" t="s">
        <v>2591</v>
      </c>
      <c r="B28" t="s">
        <v>2592</v>
      </c>
      <c r="C28" t="s">
        <v>823</v>
      </c>
    </row>
    <row r="29" spans="1:3" x14ac:dyDescent="0.25">
      <c r="A29" t="s">
        <v>2593</v>
      </c>
      <c r="B29" t="s">
        <v>2594</v>
      </c>
      <c r="C29" t="s">
        <v>2595</v>
      </c>
    </row>
    <row r="30" spans="1:3" x14ac:dyDescent="0.25">
      <c r="A30" t="s">
        <v>2596</v>
      </c>
      <c r="B30" t="s">
        <v>2597</v>
      </c>
      <c r="C30" t="s">
        <v>2598</v>
      </c>
    </row>
    <row r="31" spans="1:3" x14ac:dyDescent="0.25">
      <c r="A31" t="s">
        <v>2599</v>
      </c>
      <c r="B31" t="s">
        <v>2600</v>
      </c>
      <c r="C31" t="s">
        <v>2601</v>
      </c>
    </row>
    <row r="32" spans="1:3" x14ac:dyDescent="0.25">
      <c r="A32" t="s">
        <v>2602</v>
      </c>
      <c r="B32" t="s">
        <v>2603</v>
      </c>
      <c r="C32" t="s">
        <v>2604</v>
      </c>
    </row>
    <row r="33" spans="1:3" x14ac:dyDescent="0.25">
      <c r="A33" t="s">
        <v>2605</v>
      </c>
      <c r="B33" t="s">
        <v>2606</v>
      </c>
      <c r="C33" t="s">
        <v>2607</v>
      </c>
    </row>
    <row r="34" spans="1:3" x14ac:dyDescent="0.25">
      <c r="A34" t="s">
        <v>2608</v>
      </c>
      <c r="B34" t="s">
        <v>2609</v>
      </c>
      <c r="C34" t="s">
        <v>2610</v>
      </c>
    </row>
    <row r="35" spans="1:3" x14ac:dyDescent="0.25">
      <c r="A35" t="s">
        <v>2611</v>
      </c>
      <c r="B35" t="s">
        <v>2612</v>
      </c>
      <c r="C35" t="s">
        <v>836</v>
      </c>
    </row>
    <row r="36" spans="1:3" x14ac:dyDescent="0.25">
      <c r="A36" t="s">
        <v>2613</v>
      </c>
      <c r="B36" t="s">
        <v>2614</v>
      </c>
      <c r="C36" t="s">
        <v>2615</v>
      </c>
    </row>
    <row r="37" spans="1:3" x14ac:dyDescent="0.25">
      <c r="A37" t="s">
        <v>2616</v>
      </c>
      <c r="B37" t="s">
        <v>2617</v>
      </c>
      <c r="C37" t="s">
        <v>2618</v>
      </c>
    </row>
    <row r="38" spans="1:3" x14ac:dyDescent="0.25">
      <c r="A38" t="s">
        <v>2619</v>
      </c>
      <c r="B38" t="s">
        <v>2620</v>
      </c>
      <c r="C38" t="s">
        <v>842</v>
      </c>
    </row>
    <row r="39" spans="1:3" x14ac:dyDescent="0.25">
      <c r="A39" t="s">
        <v>2621</v>
      </c>
      <c r="B39" t="s">
        <v>2622</v>
      </c>
      <c r="C39" t="s">
        <v>2623</v>
      </c>
    </row>
    <row r="40" spans="1:3" x14ac:dyDescent="0.25">
      <c r="A40" t="s">
        <v>2624</v>
      </c>
      <c r="B40" t="s">
        <v>2625</v>
      </c>
      <c r="C40" t="s">
        <v>2626</v>
      </c>
    </row>
    <row r="41" spans="1:3" x14ac:dyDescent="0.25">
      <c r="A41" t="s">
        <v>2627</v>
      </c>
      <c r="B41" t="s">
        <v>2628</v>
      </c>
      <c r="C41" t="s">
        <v>2629</v>
      </c>
    </row>
    <row r="42" spans="1:3" x14ac:dyDescent="0.25">
      <c r="A42" t="s">
        <v>2630</v>
      </c>
      <c r="B42" t="s">
        <v>2631</v>
      </c>
      <c r="C42" t="s">
        <v>2632</v>
      </c>
    </row>
    <row r="43" spans="1:3" x14ac:dyDescent="0.25">
      <c r="A43" t="s">
        <v>2633</v>
      </c>
      <c r="B43" t="s">
        <v>2634</v>
      </c>
      <c r="C43" t="s">
        <v>2635</v>
      </c>
    </row>
    <row r="44" spans="1:3" x14ac:dyDescent="0.25">
      <c r="A44" t="s">
        <v>2636</v>
      </c>
      <c r="B44" t="s">
        <v>2637</v>
      </c>
      <c r="C44" t="s">
        <v>2638</v>
      </c>
    </row>
    <row r="45" spans="1:3" x14ac:dyDescent="0.25">
      <c r="A45" t="s">
        <v>2639</v>
      </c>
      <c r="B45" t="s">
        <v>2640</v>
      </c>
      <c r="C45" t="s">
        <v>2641</v>
      </c>
    </row>
    <row r="46" spans="1:3" x14ac:dyDescent="0.25">
      <c r="A46" t="s">
        <v>2642</v>
      </c>
      <c r="B46" t="s">
        <v>2643</v>
      </c>
      <c r="C46" t="s">
        <v>854</v>
      </c>
    </row>
    <row r="47" spans="1:3" x14ac:dyDescent="0.25">
      <c r="A47" t="s">
        <v>2644</v>
      </c>
      <c r="B47" t="s">
        <v>2645</v>
      </c>
      <c r="C47" t="s">
        <v>855</v>
      </c>
    </row>
    <row r="48" spans="1:3" x14ac:dyDescent="0.25">
      <c r="A48" t="s">
        <v>2646</v>
      </c>
      <c r="B48" t="s">
        <v>2647</v>
      </c>
      <c r="C48" t="s">
        <v>2648</v>
      </c>
    </row>
    <row r="49" spans="1:3" x14ac:dyDescent="0.25">
      <c r="A49" t="s">
        <v>2649</v>
      </c>
      <c r="B49" t="s">
        <v>2650</v>
      </c>
      <c r="C49" t="s">
        <v>2651</v>
      </c>
    </row>
    <row r="50" spans="1:3" x14ac:dyDescent="0.25">
      <c r="A50" t="s">
        <v>2652</v>
      </c>
      <c r="B50" t="s">
        <v>2653</v>
      </c>
      <c r="C50" t="s">
        <v>860</v>
      </c>
    </row>
    <row r="51" spans="1:3" x14ac:dyDescent="0.25">
      <c r="A51" t="s">
        <v>2654</v>
      </c>
      <c r="B51" t="s">
        <v>2655</v>
      </c>
      <c r="C51" t="s">
        <v>2656</v>
      </c>
    </row>
    <row r="52" spans="1:3" x14ac:dyDescent="0.25">
      <c r="A52" t="s">
        <v>2657</v>
      </c>
      <c r="B52" t="s">
        <v>2658</v>
      </c>
      <c r="C52" t="s">
        <v>2659</v>
      </c>
    </row>
    <row r="53" spans="1:3" x14ac:dyDescent="0.25">
      <c r="A53" t="s">
        <v>2660</v>
      </c>
      <c r="B53" t="s">
        <v>2661</v>
      </c>
      <c r="C53" t="s">
        <v>2662</v>
      </c>
    </row>
    <row r="54" spans="1:3" x14ac:dyDescent="0.25">
      <c r="A54" t="s">
        <v>2663</v>
      </c>
      <c r="B54" t="s">
        <v>2664</v>
      </c>
      <c r="C54" t="s">
        <v>866</v>
      </c>
    </row>
    <row r="55" spans="1:3" x14ac:dyDescent="0.25">
      <c r="A55" t="s">
        <v>2665</v>
      </c>
      <c r="B55" t="s">
        <v>2666</v>
      </c>
      <c r="C55" t="s">
        <v>867</v>
      </c>
    </row>
    <row r="56" spans="1:3" x14ac:dyDescent="0.25">
      <c r="A56" t="s">
        <v>2667</v>
      </c>
      <c r="B56" t="s">
        <v>2668</v>
      </c>
      <c r="C56" t="s">
        <v>2669</v>
      </c>
    </row>
    <row r="57" spans="1:3" x14ac:dyDescent="0.25">
      <c r="A57" t="s">
        <v>2670</v>
      </c>
      <c r="B57" t="s">
        <v>2671</v>
      </c>
      <c r="C57" t="s">
        <v>871</v>
      </c>
    </row>
    <row r="58" spans="1:3" x14ac:dyDescent="0.25">
      <c r="A58" t="s">
        <v>2672</v>
      </c>
      <c r="B58" t="s">
        <v>2673</v>
      </c>
      <c r="C58" t="s">
        <v>2674</v>
      </c>
    </row>
    <row r="59" spans="1:3" x14ac:dyDescent="0.25">
      <c r="A59" t="s">
        <v>2675</v>
      </c>
      <c r="B59" t="s">
        <v>2676</v>
      </c>
      <c r="C59" t="s">
        <v>874</v>
      </c>
    </row>
    <row r="60" spans="1:3" x14ac:dyDescent="0.25">
      <c r="A60" t="s">
        <v>2677</v>
      </c>
      <c r="B60" t="s">
        <v>2678</v>
      </c>
      <c r="C60" t="s">
        <v>1527</v>
      </c>
    </row>
    <row r="61" spans="1:3" x14ac:dyDescent="0.25">
      <c r="A61" t="s">
        <v>2679</v>
      </c>
      <c r="B61" t="s">
        <v>2680</v>
      </c>
      <c r="C61" t="s">
        <v>2681</v>
      </c>
    </row>
    <row r="62" spans="1:3" x14ac:dyDescent="0.25">
      <c r="A62" t="s">
        <v>2682</v>
      </c>
      <c r="B62" t="s">
        <v>2683</v>
      </c>
      <c r="C62" t="s">
        <v>127</v>
      </c>
    </row>
    <row r="63" spans="1:3" x14ac:dyDescent="0.25">
      <c r="A63" t="s">
        <v>2684</v>
      </c>
      <c r="B63" t="s">
        <v>2685</v>
      </c>
      <c r="C63" t="s">
        <v>879</v>
      </c>
    </row>
    <row r="64" spans="1:3" x14ac:dyDescent="0.25">
      <c r="A64" t="s">
        <v>2686</v>
      </c>
      <c r="B64" t="s">
        <v>2687</v>
      </c>
      <c r="C64" t="s">
        <v>2688</v>
      </c>
    </row>
    <row r="65" spans="1:3" x14ac:dyDescent="0.25">
      <c r="A65" t="s">
        <v>2689</v>
      </c>
      <c r="B65" t="s">
        <v>2690</v>
      </c>
      <c r="C65" t="s">
        <v>882</v>
      </c>
    </row>
    <row r="66" spans="1:3" x14ac:dyDescent="0.25">
      <c r="A66" t="s">
        <v>2691</v>
      </c>
      <c r="B66" t="s">
        <v>2692</v>
      </c>
      <c r="C66" t="s">
        <v>2693</v>
      </c>
    </row>
    <row r="67" spans="1:3" x14ac:dyDescent="0.25">
      <c r="A67" t="s">
        <v>2694</v>
      </c>
      <c r="B67" t="s">
        <v>2695</v>
      </c>
      <c r="C67" t="s">
        <v>2696</v>
      </c>
    </row>
    <row r="68" spans="1:3" x14ac:dyDescent="0.25">
      <c r="A68" t="s">
        <v>2697</v>
      </c>
      <c r="B68" t="s">
        <v>2698</v>
      </c>
      <c r="C68" t="s">
        <v>258</v>
      </c>
    </row>
    <row r="69" spans="1:3" x14ac:dyDescent="0.25">
      <c r="A69" t="s">
        <v>2699</v>
      </c>
      <c r="B69" t="s">
        <v>2700</v>
      </c>
      <c r="C69" t="s">
        <v>2701</v>
      </c>
    </row>
    <row r="70" spans="1:3" x14ac:dyDescent="0.25">
      <c r="A70" t="s">
        <v>2702</v>
      </c>
      <c r="B70" t="s">
        <v>2703</v>
      </c>
      <c r="C70" t="s">
        <v>2704</v>
      </c>
    </row>
    <row r="71" spans="1:3" x14ac:dyDescent="0.25">
      <c r="A71" t="s">
        <v>2705</v>
      </c>
      <c r="B71" t="s">
        <v>2706</v>
      </c>
      <c r="C71" t="s">
        <v>890</v>
      </c>
    </row>
    <row r="72" spans="1:3" x14ac:dyDescent="0.25">
      <c r="A72" t="s">
        <v>2707</v>
      </c>
      <c r="B72" t="s">
        <v>2708</v>
      </c>
      <c r="C72" t="s">
        <v>2709</v>
      </c>
    </row>
    <row r="73" spans="1:3" x14ac:dyDescent="0.25">
      <c r="A73" t="s">
        <v>2710</v>
      </c>
      <c r="B73" t="s">
        <v>2711</v>
      </c>
      <c r="C73" t="s">
        <v>893</v>
      </c>
    </row>
    <row r="74" spans="1:3" x14ac:dyDescent="0.25">
      <c r="A74" t="s">
        <v>2712</v>
      </c>
      <c r="B74" t="s">
        <v>2713</v>
      </c>
      <c r="C74" t="s">
        <v>894</v>
      </c>
    </row>
    <row r="75" spans="1:3" x14ac:dyDescent="0.25">
      <c r="A75" t="s">
        <v>2714</v>
      </c>
      <c r="B75" t="s">
        <v>2715</v>
      </c>
      <c r="C75" t="s">
        <v>895</v>
      </c>
    </row>
    <row r="76" spans="1:3" x14ac:dyDescent="0.25">
      <c r="A76" t="s">
        <v>2716</v>
      </c>
      <c r="B76" t="s">
        <v>2717</v>
      </c>
      <c r="C76" t="s">
        <v>2718</v>
      </c>
    </row>
    <row r="77" spans="1:3" x14ac:dyDescent="0.25">
      <c r="A77" t="s">
        <v>2719</v>
      </c>
      <c r="B77" t="s">
        <v>2720</v>
      </c>
      <c r="C77" t="s">
        <v>2721</v>
      </c>
    </row>
    <row r="78" spans="1:3" x14ac:dyDescent="0.25">
      <c r="A78" t="s">
        <v>2722</v>
      </c>
      <c r="B78" t="s">
        <v>2723</v>
      </c>
      <c r="C78" t="s">
        <v>1607</v>
      </c>
    </row>
    <row r="79" spans="1:3" x14ac:dyDescent="0.25">
      <c r="A79" t="s">
        <v>2724</v>
      </c>
      <c r="B79" t="s">
        <v>2725</v>
      </c>
      <c r="C79" t="s">
        <v>2726</v>
      </c>
    </row>
    <row r="80" spans="1:3" x14ac:dyDescent="0.25">
      <c r="A80" t="s">
        <v>2727</v>
      </c>
      <c r="B80" t="s">
        <v>2728</v>
      </c>
      <c r="C80" t="s">
        <v>2729</v>
      </c>
    </row>
    <row r="81" spans="1:3" x14ac:dyDescent="0.25">
      <c r="A81" t="s">
        <v>2730</v>
      </c>
      <c r="B81" t="s">
        <v>2731</v>
      </c>
      <c r="C81" t="s">
        <v>1178</v>
      </c>
    </row>
    <row r="82" spans="1:3" x14ac:dyDescent="0.25">
      <c r="A82" t="s">
        <v>2732</v>
      </c>
      <c r="B82" t="s">
        <v>2733</v>
      </c>
      <c r="C82" t="s">
        <v>156</v>
      </c>
    </row>
    <row r="83" spans="1:3" x14ac:dyDescent="0.25">
      <c r="A83" t="s">
        <v>2734</v>
      </c>
      <c r="B83" t="s">
        <v>2735</v>
      </c>
      <c r="C83" t="s">
        <v>2736</v>
      </c>
    </row>
    <row r="84" spans="1:3" x14ac:dyDescent="0.25">
      <c r="A84" t="s">
        <v>2737</v>
      </c>
      <c r="B84" t="s">
        <v>2738</v>
      </c>
      <c r="C84" t="s">
        <v>2739</v>
      </c>
    </row>
    <row r="85" spans="1:3" x14ac:dyDescent="0.25">
      <c r="A85" t="s">
        <v>2740</v>
      </c>
      <c r="B85" t="s">
        <v>2741</v>
      </c>
      <c r="C85" t="s">
        <v>2742</v>
      </c>
    </row>
    <row r="86" spans="1:3" x14ac:dyDescent="0.25">
      <c r="A86" t="s">
        <v>2743</v>
      </c>
      <c r="B86" t="s">
        <v>2744</v>
      </c>
      <c r="C86" t="s">
        <v>2745</v>
      </c>
    </row>
    <row r="87" spans="1:3" x14ac:dyDescent="0.25">
      <c r="A87" t="s">
        <v>2746</v>
      </c>
      <c r="B87" t="s">
        <v>2747</v>
      </c>
      <c r="C87" t="s">
        <v>2748</v>
      </c>
    </row>
    <row r="88" spans="1:3" x14ac:dyDescent="0.25">
      <c r="A88" t="s">
        <v>2749</v>
      </c>
      <c r="B88" t="s">
        <v>2750</v>
      </c>
      <c r="C88" t="s">
        <v>2751</v>
      </c>
    </row>
    <row r="89" spans="1:3" x14ac:dyDescent="0.25">
      <c r="A89" t="s">
        <v>2752</v>
      </c>
      <c r="B89" t="s">
        <v>2753</v>
      </c>
      <c r="C89" t="s">
        <v>909</v>
      </c>
    </row>
    <row r="90" spans="1:3" x14ac:dyDescent="0.25">
      <c r="A90" t="s">
        <v>2754</v>
      </c>
      <c r="B90" t="s">
        <v>2755</v>
      </c>
      <c r="C90" t="s">
        <v>2756</v>
      </c>
    </row>
    <row r="91" spans="1:3" x14ac:dyDescent="0.25">
      <c r="A91" t="s">
        <v>2757</v>
      </c>
      <c r="B91" t="s">
        <v>2758</v>
      </c>
      <c r="C91" t="s">
        <v>2759</v>
      </c>
    </row>
    <row r="92" spans="1:3" x14ac:dyDescent="0.25">
      <c r="A92" t="s">
        <v>2760</v>
      </c>
      <c r="B92" t="s">
        <v>2761</v>
      </c>
      <c r="C92" t="s">
        <v>2762</v>
      </c>
    </row>
    <row r="93" spans="1:3" x14ac:dyDescent="0.25">
      <c r="A93" t="s">
        <v>2763</v>
      </c>
      <c r="B93" t="s">
        <v>2764</v>
      </c>
      <c r="C93" t="s">
        <v>2765</v>
      </c>
    </row>
    <row r="94" spans="1:3" x14ac:dyDescent="0.25">
      <c r="A94" t="s">
        <v>2766</v>
      </c>
      <c r="B94" t="s">
        <v>2767</v>
      </c>
      <c r="C94" t="s">
        <v>2768</v>
      </c>
    </row>
    <row r="95" spans="1:3" x14ac:dyDescent="0.25">
      <c r="A95" t="s">
        <v>2769</v>
      </c>
      <c r="B95" t="s">
        <v>2770</v>
      </c>
      <c r="C95" t="s">
        <v>2771</v>
      </c>
    </row>
    <row r="96" spans="1:3" x14ac:dyDescent="0.25">
      <c r="A96" t="s">
        <v>2772</v>
      </c>
      <c r="B96" t="s">
        <v>2773</v>
      </c>
      <c r="C96" t="s">
        <v>2774</v>
      </c>
    </row>
    <row r="97" spans="1:3" x14ac:dyDescent="0.25">
      <c r="A97" t="s">
        <v>2775</v>
      </c>
      <c r="B97" t="s">
        <v>2776</v>
      </c>
      <c r="C97" t="s">
        <v>2777</v>
      </c>
    </row>
    <row r="98" spans="1:3" x14ac:dyDescent="0.25">
      <c r="A98" t="s">
        <v>2778</v>
      </c>
      <c r="B98" t="s">
        <v>2779</v>
      </c>
      <c r="C98" t="s">
        <v>2780</v>
      </c>
    </row>
    <row r="99" spans="1:3" x14ac:dyDescent="0.25">
      <c r="A99" t="s">
        <v>2781</v>
      </c>
      <c r="B99" t="s">
        <v>2782</v>
      </c>
      <c r="C99" t="s">
        <v>2783</v>
      </c>
    </row>
    <row r="100" spans="1:3" x14ac:dyDescent="0.25">
      <c r="A100" t="s">
        <v>2784</v>
      </c>
      <c r="B100" t="s">
        <v>2785</v>
      </c>
      <c r="C100" t="s">
        <v>2786</v>
      </c>
    </row>
    <row r="101" spans="1:3" x14ac:dyDescent="0.25">
      <c r="A101" t="s">
        <v>2787</v>
      </c>
      <c r="B101" t="s">
        <v>2788</v>
      </c>
      <c r="C101" t="s">
        <v>924</v>
      </c>
    </row>
    <row r="102" spans="1:3" x14ac:dyDescent="0.25">
      <c r="A102" t="s">
        <v>2789</v>
      </c>
      <c r="B102" t="s">
        <v>2790</v>
      </c>
      <c r="C102" t="s">
        <v>2791</v>
      </c>
    </row>
    <row r="103" spans="1:3" x14ac:dyDescent="0.25">
      <c r="A103" t="s">
        <v>2792</v>
      </c>
      <c r="B103" t="s">
        <v>2793</v>
      </c>
      <c r="C103" t="s">
        <v>2794</v>
      </c>
    </row>
    <row r="104" spans="1:3" x14ac:dyDescent="0.25">
      <c r="A104" t="s">
        <v>2795</v>
      </c>
      <c r="B104" t="s">
        <v>2796</v>
      </c>
      <c r="C104" t="s">
        <v>2797</v>
      </c>
    </row>
    <row r="105" spans="1:3" x14ac:dyDescent="0.25">
      <c r="A105" t="s">
        <v>2798</v>
      </c>
      <c r="B105" t="s">
        <v>2799</v>
      </c>
      <c r="C105" t="s">
        <v>2800</v>
      </c>
    </row>
    <row r="106" spans="1:3" x14ac:dyDescent="0.25">
      <c r="A106" t="s">
        <v>2801</v>
      </c>
      <c r="B106" t="s">
        <v>2802</v>
      </c>
      <c r="C106" t="s">
        <v>2803</v>
      </c>
    </row>
    <row r="107" spans="1:3" x14ac:dyDescent="0.25">
      <c r="A107" t="s">
        <v>2804</v>
      </c>
      <c r="B107" t="s">
        <v>2805</v>
      </c>
      <c r="C107" t="s">
        <v>2806</v>
      </c>
    </row>
    <row r="108" spans="1:3" x14ac:dyDescent="0.25">
      <c r="A108" t="s">
        <v>2807</v>
      </c>
      <c r="B108" t="s">
        <v>2808</v>
      </c>
      <c r="C108" t="s">
        <v>2809</v>
      </c>
    </row>
    <row r="109" spans="1:3" x14ac:dyDescent="0.25">
      <c r="A109" t="s">
        <v>2810</v>
      </c>
      <c r="B109" t="s">
        <v>2811</v>
      </c>
      <c r="C109" t="s">
        <v>2812</v>
      </c>
    </row>
    <row r="110" spans="1:3" x14ac:dyDescent="0.25">
      <c r="A110" t="s">
        <v>2813</v>
      </c>
      <c r="B110" t="s">
        <v>2814</v>
      </c>
      <c r="C110" t="s">
        <v>934</v>
      </c>
    </row>
    <row r="111" spans="1:3" x14ac:dyDescent="0.25">
      <c r="A111" t="s">
        <v>2815</v>
      </c>
      <c r="B111" t="s">
        <v>2816</v>
      </c>
      <c r="C111" t="s">
        <v>2817</v>
      </c>
    </row>
    <row r="112" spans="1:3" x14ac:dyDescent="0.25">
      <c r="A112" t="s">
        <v>2818</v>
      </c>
      <c r="B112" t="s">
        <v>2819</v>
      </c>
      <c r="C112" t="s">
        <v>2820</v>
      </c>
    </row>
    <row r="113" spans="1:3" x14ac:dyDescent="0.25">
      <c r="A113" t="s">
        <v>2821</v>
      </c>
      <c r="B113" t="s">
        <v>2822</v>
      </c>
      <c r="C113" t="s">
        <v>2823</v>
      </c>
    </row>
    <row r="114" spans="1:3" x14ac:dyDescent="0.25">
      <c r="A114" t="s">
        <v>2824</v>
      </c>
      <c r="B114" t="s">
        <v>2825</v>
      </c>
      <c r="C114" t="s">
        <v>2826</v>
      </c>
    </row>
    <row r="115" spans="1:3" x14ac:dyDescent="0.25">
      <c r="A115" t="s">
        <v>2827</v>
      </c>
      <c r="B115" t="s">
        <v>2828</v>
      </c>
      <c r="C115" t="s">
        <v>2829</v>
      </c>
    </row>
    <row r="116" spans="1:3" x14ac:dyDescent="0.25">
      <c r="A116" t="s">
        <v>2830</v>
      </c>
      <c r="B116" t="s">
        <v>2831</v>
      </c>
      <c r="C116" t="s">
        <v>939</v>
      </c>
    </row>
    <row r="117" spans="1:3" x14ac:dyDescent="0.25">
      <c r="A117" t="s">
        <v>2832</v>
      </c>
      <c r="B117" t="s">
        <v>2833</v>
      </c>
      <c r="C117" t="s">
        <v>2834</v>
      </c>
    </row>
    <row r="118" spans="1:3" x14ac:dyDescent="0.25">
      <c r="A118" t="s">
        <v>2835</v>
      </c>
      <c r="B118" t="s">
        <v>2836</v>
      </c>
      <c r="C118" t="s">
        <v>2837</v>
      </c>
    </row>
    <row r="119" spans="1:3" x14ac:dyDescent="0.25">
      <c r="A119" t="s">
        <v>2838</v>
      </c>
      <c r="B119" t="s">
        <v>2839</v>
      </c>
      <c r="C119" t="s">
        <v>140</v>
      </c>
    </row>
    <row r="120" spans="1:3" x14ac:dyDescent="0.25">
      <c r="A120" t="s">
        <v>2840</v>
      </c>
      <c r="B120" t="s">
        <v>2841</v>
      </c>
      <c r="C120" t="s">
        <v>2842</v>
      </c>
    </row>
    <row r="121" spans="1:3" x14ac:dyDescent="0.25">
      <c r="A121" t="s">
        <v>2843</v>
      </c>
      <c r="B121" t="s">
        <v>2844</v>
      </c>
      <c r="C121" t="s">
        <v>2845</v>
      </c>
    </row>
    <row r="122" spans="1:3" x14ac:dyDescent="0.25">
      <c r="A122" t="s">
        <v>2846</v>
      </c>
      <c r="B122" t="s">
        <v>2847</v>
      </c>
      <c r="C122" t="s">
        <v>2848</v>
      </c>
    </row>
    <row r="123" spans="1:3" x14ac:dyDescent="0.25">
      <c r="A123" t="s">
        <v>2849</v>
      </c>
      <c r="B123" t="s">
        <v>2850</v>
      </c>
      <c r="C123" t="s">
        <v>2851</v>
      </c>
    </row>
    <row r="124" spans="1:3" x14ac:dyDescent="0.25">
      <c r="A124" t="s">
        <v>2852</v>
      </c>
      <c r="B124" t="s">
        <v>2853</v>
      </c>
      <c r="C124" t="s">
        <v>947</v>
      </c>
    </row>
    <row r="125" spans="1:3" x14ac:dyDescent="0.25">
      <c r="A125" t="s">
        <v>2854</v>
      </c>
      <c r="B125" t="s">
        <v>2855</v>
      </c>
      <c r="C125" t="s">
        <v>948</v>
      </c>
    </row>
    <row r="126" spans="1:3" x14ac:dyDescent="0.25">
      <c r="A126" t="s">
        <v>2856</v>
      </c>
      <c r="B126" t="s">
        <v>2857</v>
      </c>
      <c r="C126" t="s">
        <v>950</v>
      </c>
    </row>
    <row r="127" spans="1:3" x14ac:dyDescent="0.25">
      <c r="A127" t="s">
        <v>2858</v>
      </c>
      <c r="B127" t="s">
        <v>2859</v>
      </c>
      <c r="C127" t="s">
        <v>2860</v>
      </c>
    </row>
    <row r="128" spans="1:3" x14ac:dyDescent="0.25">
      <c r="A128" t="s">
        <v>2861</v>
      </c>
      <c r="B128" t="s">
        <v>2862</v>
      </c>
      <c r="C128" t="s">
        <v>2863</v>
      </c>
    </row>
    <row r="129" spans="1:3" x14ac:dyDescent="0.25">
      <c r="A129" t="s">
        <v>2864</v>
      </c>
      <c r="B129" t="s">
        <v>2865</v>
      </c>
      <c r="C129" t="s">
        <v>953</v>
      </c>
    </row>
    <row r="130" spans="1:3" x14ac:dyDescent="0.25">
      <c r="A130" t="s">
        <v>2866</v>
      </c>
      <c r="B130" t="s">
        <v>2867</v>
      </c>
      <c r="C130" t="s">
        <v>954</v>
      </c>
    </row>
    <row r="131" spans="1:3" x14ac:dyDescent="0.25">
      <c r="A131" t="s">
        <v>2868</v>
      </c>
      <c r="B131" t="s">
        <v>2869</v>
      </c>
      <c r="C131" t="s">
        <v>2870</v>
      </c>
    </row>
    <row r="132" spans="1:3" x14ac:dyDescent="0.25">
      <c r="A132" t="s">
        <v>2871</v>
      </c>
      <c r="B132" t="s">
        <v>2872</v>
      </c>
      <c r="C132" t="s">
        <v>956</v>
      </c>
    </row>
    <row r="133" spans="1:3" x14ac:dyDescent="0.25">
      <c r="A133" t="s">
        <v>2873</v>
      </c>
      <c r="B133" t="s">
        <v>2874</v>
      </c>
      <c r="C133" t="s">
        <v>957</v>
      </c>
    </row>
    <row r="134" spans="1:3" x14ac:dyDescent="0.25">
      <c r="A134" t="s">
        <v>2875</v>
      </c>
      <c r="B134" t="s">
        <v>2876</v>
      </c>
      <c r="C134" t="s">
        <v>159</v>
      </c>
    </row>
    <row r="135" spans="1:3" x14ac:dyDescent="0.25">
      <c r="A135" t="s">
        <v>2877</v>
      </c>
      <c r="B135" t="s">
        <v>2878</v>
      </c>
      <c r="C135" t="s">
        <v>959</v>
      </c>
    </row>
    <row r="136" spans="1:3" x14ac:dyDescent="0.25">
      <c r="A136" t="s">
        <v>2879</v>
      </c>
      <c r="B136" t="s">
        <v>2880</v>
      </c>
      <c r="C136" t="s">
        <v>960</v>
      </c>
    </row>
    <row r="137" spans="1:3" x14ac:dyDescent="0.25">
      <c r="A137" t="s">
        <v>2881</v>
      </c>
      <c r="B137" t="s">
        <v>2882</v>
      </c>
      <c r="C137" t="s">
        <v>207</v>
      </c>
    </row>
    <row r="138" spans="1:3" x14ac:dyDescent="0.25">
      <c r="A138" t="s">
        <v>2883</v>
      </c>
      <c r="B138" t="s">
        <v>2884</v>
      </c>
      <c r="C138" t="s">
        <v>962</v>
      </c>
    </row>
    <row r="139" spans="1:3" x14ac:dyDescent="0.25">
      <c r="A139" t="s">
        <v>2885</v>
      </c>
      <c r="B139" t="s">
        <v>2886</v>
      </c>
      <c r="C139" t="s">
        <v>964</v>
      </c>
    </row>
    <row r="140" spans="1:3" x14ac:dyDescent="0.25">
      <c r="A140" t="s">
        <v>2887</v>
      </c>
      <c r="B140" t="s">
        <v>2888</v>
      </c>
      <c r="C140" t="s">
        <v>143</v>
      </c>
    </row>
    <row r="141" spans="1:3" x14ac:dyDescent="0.25">
      <c r="A141" t="s">
        <v>2889</v>
      </c>
      <c r="B141" t="s">
        <v>2890</v>
      </c>
      <c r="C141" t="s">
        <v>2891</v>
      </c>
    </row>
    <row r="142" spans="1:3" x14ac:dyDescent="0.25">
      <c r="A142" t="s">
        <v>2892</v>
      </c>
      <c r="B142" t="s">
        <v>2893</v>
      </c>
      <c r="C142" t="s">
        <v>2894</v>
      </c>
    </row>
    <row r="143" spans="1:3" x14ac:dyDescent="0.25">
      <c r="A143" t="s">
        <v>2895</v>
      </c>
      <c r="B143" t="s">
        <v>2896</v>
      </c>
      <c r="C143" t="s">
        <v>2897</v>
      </c>
    </row>
    <row r="144" spans="1:3" x14ac:dyDescent="0.25">
      <c r="A144" t="s">
        <v>2898</v>
      </c>
      <c r="B144" t="s">
        <v>2899</v>
      </c>
      <c r="C144" t="s">
        <v>972</v>
      </c>
    </row>
    <row r="145" spans="1:3" x14ac:dyDescent="0.25">
      <c r="A145" t="s">
        <v>2900</v>
      </c>
      <c r="B145" t="s">
        <v>2901</v>
      </c>
      <c r="C145" t="s">
        <v>2902</v>
      </c>
    </row>
    <row r="146" spans="1:3" x14ac:dyDescent="0.25">
      <c r="A146" t="s">
        <v>2903</v>
      </c>
      <c r="B146" t="s">
        <v>2904</v>
      </c>
      <c r="C146" t="s">
        <v>2905</v>
      </c>
    </row>
    <row r="147" spans="1:3" x14ac:dyDescent="0.25">
      <c r="A147" t="s">
        <v>2906</v>
      </c>
      <c r="B147" t="s">
        <v>2907</v>
      </c>
      <c r="C147" t="s">
        <v>2908</v>
      </c>
    </row>
    <row r="148" spans="1:3" x14ac:dyDescent="0.25">
      <c r="A148" t="s">
        <v>2909</v>
      </c>
      <c r="B148" t="s">
        <v>2910</v>
      </c>
      <c r="C148" t="s">
        <v>2911</v>
      </c>
    </row>
    <row r="149" spans="1:3" x14ac:dyDescent="0.25">
      <c r="A149" t="s">
        <v>2912</v>
      </c>
      <c r="B149" t="s">
        <v>2913</v>
      </c>
      <c r="C149" t="s">
        <v>2914</v>
      </c>
    </row>
    <row r="150" spans="1:3" x14ac:dyDescent="0.25">
      <c r="A150" t="s">
        <v>2915</v>
      </c>
      <c r="B150" t="s">
        <v>2916</v>
      </c>
      <c r="C150" t="s">
        <v>2917</v>
      </c>
    </row>
    <row r="151" spans="1:3" x14ac:dyDescent="0.25">
      <c r="A151" t="s">
        <v>2918</v>
      </c>
      <c r="B151" t="s">
        <v>2919</v>
      </c>
      <c r="C151" t="s">
        <v>2920</v>
      </c>
    </row>
    <row r="152" spans="1:3" x14ac:dyDescent="0.25">
      <c r="A152" t="s">
        <v>2921</v>
      </c>
      <c r="B152" t="s">
        <v>2922</v>
      </c>
      <c r="C152" t="s">
        <v>2923</v>
      </c>
    </row>
    <row r="153" spans="1:3" x14ac:dyDescent="0.25">
      <c r="A153" t="s">
        <v>2924</v>
      </c>
      <c r="B153" t="s">
        <v>2925</v>
      </c>
      <c r="C153" t="s">
        <v>2926</v>
      </c>
    </row>
    <row r="154" spans="1:3" x14ac:dyDescent="0.25">
      <c r="A154" t="s">
        <v>2927</v>
      </c>
      <c r="B154" t="s">
        <v>2928</v>
      </c>
      <c r="C154" t="s">
        <v>2929</v>
      </c>
    </row>
    <row r="155" spans="1:3" x14ac:dyDescent="0.25">
      <c r="A155" t="s">
        <v>2930</v>
      </c>
      <c r="B155" t="s">
        <v>2931</v>
      </c>
      <c r="C155" t="s">
        <v>2932</v>
      </c>
    </row>
    <row r="156" spans="1:3" x14ac:dyDescent="0.25">
      <c r="A156" t="s">
        <v>2933</v>
      </c>
      <c r="B156" t="s">
        <v>2934</v>
      </c>
      <c r="C156" t="s">
        <v>2935</v>
      </c>
    </row>
    <row r="157" spans="1:3" x14ac:dyDescent="0.25">
      <c r="A157" t="s">
        <v>2936</v>
      </c>
      <c r="B157" t="s">
        <v>2937</v>
      </c>
      <c r="C157" t="s">
        <v>2938</v>
      </c>
    </row>
    <row r="158" spans="1:3" x14ac:dyDescent="0.25">
      <c r="A158" t="s">
        <v>2939</v>
      </c>
      <c r="B158" t="s">
        <v>2940</v>
      </c>
      <c r="C158" t="s">
        <v>2941</v>
      </c>
    </row>
    <row r="159" spans="1:3" x14ac:dyDescent="0.25">
      <c r="A159" t="s">
        <v>2942</v>
      </c>
      <c r="B159" t="s">
        <v>2943</v>
      </c>
      <c r="C159" t="s">
        <v>2944</v>
      </c>
    </row>
    <row r="160" spans="1:3" x14ac:dyDescent="0.25">
      <c r="A160" t="s">
        <v>2945</v>
      </c>
      <c r="B160" t="s">
        <v>2946</v>
      </c>
      <c r="C160" t="s">
        <v>2947</v>
      </c>
    </row>
    <row r="161" spans="1:3" x14ac:dyDescent="0.25">
      <c r="A161" t="s">
        <v>2948</v>
      </c>
      <c r="B161" t="s">
        <v>2949</v>
      </c>
      <c r="C161" t="s">
        <v>994</v>
      </c>
    </row>
    <row r="162" spans="1:3" x14ac:dyDescent="0.25">
      <c r="A162" t="s">
        <v>2950</v>
      </c>
      <c r="B162" t="s">
        <v>2951</v>
      </c>
      <c r="C162" t="s">
        <v>2952</v>
      </c>
    </row>
    <row r="163" spans="1:3" x14ac:dyDescent="0.25">
      <c r="A163" t="s">
        <v>2953</v>
      </c>
      <c r="B163" t="s">
        <v>2954</v>
      </c>
      <c r="C163" t="s">
        <v>2955</v>
      </c>
    </row>
    <row r="164" spans="1:3" x14ac:dyDescent="0.25">
      <c r="A164" t="s">
        <v>2956</v>
      </c>
      <c r="B164" t="s">
        <v>2957</v>
      </c>
      <c r="C164" t="s">
        <v>2958</v>
      </c>
    </row>
    <row r="165" spans="1:3" x14ac:dyDescent="0.25">
      <c r="A165" t="s">
        <v>2959</v>
      </c>
      <c r="B165" t="s">
        <v>2960</v>
      </c>
      <c r="C165" t="s">
        <v>998</v>
      </c>
    </row>
    <row r="166" spans="1:3" x14ac:dyDescent="0.25">
      <c r="A166" t="s">
        <v>2961</v>
      </c>
      <c r="B166" t="s">
        <v>2962</v>
      </c>
      <c r="C166" t="s">
        <v>999</v>
      </c>
    </row>
    <row r="167" spans="1:3" x14ac:dyDescent="0.25">
      <c r="A167" t="s">
        <v>2963</v>
      </c>
      <c r="B167" t="s">
        <v>2964</v>
      </c>
      <c r="C167" t="s">
        <v>2965</v>
      </c>
    </row>
    <row r="168" spans="1:3" x14ac:dyDescent="0.25">
      <c r="A168" t="s">
        <v>2966</v>
      </c>
      <c r="B168" t="s">
        <v>2967</v>
      </c>
      <c r="C168" t="s">
        <v>2968</v>
      </c>
    </row>
    <row r="169" spans="1:3" x14ac:dyDescent="0.25">
      <c r="A169" t="s">
        <v>2969</v>
      </c>
      <c r="B169" t="s">
        <v>2970</v>
      </c>
      <c r="C169" t="s">
        <v>2971</v>
      </c>
    </row>
    <row r="170" spans="1:3" x14ac:dyDescent="0.25">
      <c r="A170" t="s">
        <v>2972</v>
      </c>
      <c r="B170" t="s">
        <v>2973</v>
      </c>
      <c r="C170" t="s">
        <v>2974</v>
      </c>
    </row>
    <row r="171" spans="1:3" x14ac:dyDescent="0.25">
      <c r="A171" t="s">
        <v>2975</v>
      </c>
      <c r="B171" t="s">
        <v>2976</v>
      </c>
      <c r="C171" t="s">
        <v>2977</v>
      </c>
    </row>
    <row r="172" spans="1:3" x14ac:dyDescent="0.25">
      <c r="A172" t="s">
        <v>2978</v>
      </c>
      <c r="B172" t="s">
        <v>2979</v>
      </c>
      <c r="C172" t="s">
        <v>2980</v>
      </c>
    </row>
    <row r="173" spans="1:3" x14ac:dyDescent="0.25">
      <c r="A173" t="s">
        <v>2981</v>
      </c>
      <c r="B173" t="s">
        <v>2982</v>
      </c>
      <c r="C173" t="s">
        <v>1006</v>
      </c>
    </row>
    <row r="174" spans="1:3" x14ac:dyDescent="0.25">
      <c r="A174" t="s">
        <v>2983</v>
      </c>
      <c r="B174" t="s">
        <v>2984</v>
      </c>
      <c r="C174" t="s">
        <v>2985</v>
      </c>
    </row>
    <row r="175" spans="1:3" x14ac:dyDescent="0.25">
      <c r="A175" t="s">
        <v>2986</v>
      </c>
      <c r="B175" t="s">
        <v>2987</v>
      </c>
      <c r="C175" t="s">
        <v>2988</v>
      </c>
    </row>
    <row r="176" spans="1:3" x14ac:dyDescent="0.25">
      <c r="A176" t="s">
        <v>2989</v>
      </c>
      <c r="B176" t="s">
        <v>2990</v>
      </c>
      <c r="C176" t="s">
        <v>2991</v>
      </c>
    </row>
    <row r="177" spans="1:3" x14ac:dyDescent="0.25">
      <c r="A177" t="s">
        <v>2992</v>
      </c>
      <c r="B177" t="s">
        <v>2993</v>
      </c>
      <c r="C177" t="s">
        <v>150</v>
      </c>
    </row>
    <row r="178" spans="1:3" x14ac:dyDescent="0.25">
      <c r="A178" t="s">
        <v>2994</v>
      </c>
      <c r="B178" t="s">
        <v>2995</v>
      </c>
      <c r="C178" t="s">
        <v>2996</v>
      </c>
    </row>
    <row r="179" spans="1:3" x14ac:dyDescent="0.25">
      <c r="A179" t="s">
        <v>2997</v>
      </c>
      <c r="B179" t="s">
        <v>2998</v>
      </c>
      <c r="C179" t="s">
        <v>1013</v>
      </c>
    </row>
    <row r="180" spans="1:3" x14ac:dyDescent="0.25">
      <c r="A180" t="s">
        <v>2999</v>
      </c>
      <c r="B180" t="s">
        <v>3000</v>
      </c>
      <c r="C180" t="s">
        <v>1015</v>
      </c>
    </row>
    <row r="181" spans="1:3" x14ac:dyDescent="0.25">
      <c r="A181" t="s">
        <v>3001</v>
      </c>
      <c r="B181" t="s">
        <v>3002</v>
      </c>
      <c r="C181" t="s">
        <v>1016</v>
      </c>
    </row>
    <row r="182" spans="1:3" x14ac:dyDescent="0.25">
      <c r="A182" t="s">
        <v>3003</v>
      </c>
      <c r="B182" t="s">
        <v>3004</v>
      </c>
      <c r="C182" t="s">
        <v>3005</v>
      </c>
    </row>
    <row r="183" spans="1:3" x14ac:dyDescent="0.25">
      <c r="A183" t="s">
        <v>3006</v>
      </c>
      <c r="B183" t="s">
        <v>3007</v>
      </c>
      <c r="C183" t="s">
        <v>1018</v>
      </c>
    </row>
    <row r="184" spans="1:3" x14ac:dyDescent="0.25">
      <c r="A184" t="s">
        <v>3008</v>
      </c>
      <c r="B184" t="s">
        <v>3009</v>
      </c>
      <c r="C184" t="s">
        <v>1471</v>
      </c>
    </row>
    <row r="185" spans="1:3" x14ac:dyDescent="0.25">
      <c r="A185" t="s">
        <v>3010</v>
      </c>
      <c r="B185" t="s">
        <v>3011</v>
      </c>
      <c r="C185" t="s">
        <v>3012</v>
      </c>
    </row>
    <row r="186" spans="1:3" x14ac:dyDescent="0.25">
      <c r="A186" t="s">
        <v>3013</v>
      </c>
      <c r="B186" t="s">
        <v>3014</v>
      </c>
      <c r="C186" t="s">
        <v>177</v>
      </c>
    </row>
    <row r="187" spans="1:3" x14ac:dyDescent="0.25">
      <c r="A187" t="s">
        <v>3015</v>
      </c>
      <c r="B187" t="s">
        <v>3016</v>
      </c>
      <c r="C187" t="s">
        <v>1021</v>
      </c>
    </row>
    <row r="188" spans="1:3" x14ac:dyDescent="0.25">
      <c r="A188" t="s">
        <v>3017</v>
      </c>
      <c r="B188" t="s">
        <v>3018</v>
      </c>
      <c r="C188" t="s">
        <v>1246</v>
      </c>
    </row>
    <row r="189" spans="1:3" x14ac:dyDescent="0.25">
      <c r="A189" t="s">
        <v>3019</v>
      </c>
      <c r="B189" t="s">
        <v>3020</v>
      </c>
      <c r="C189" t="s">
        <v>1024</v>
      </c>
    </row>
    <row r="190" spans="1:3" x14ac:dyDescent="0.25">
      <c r="A190" t="s">
        <v>3021</v>
      </c>
      <c r="B190" t="s">
        <v>3022</v>
      </c>
      <c r="C190" t="s">
        <v>3023</v>
      </c>
    </row>
    <row r="191" spans="1:3" x14ac:dyDescent="0.25">
      <c r="A191" t="s">
        <v>3024</v>
      </c>
      <c r="B191" t="s">
        <v>3025</v>
      </c>
      <c r="C191" t="s">
        <v>1029</v>
      </c>
    </row>
    <row r="192" spans="1:3" x14ac:dyDescent="0.25">
      <c r="A192" t="s">
        <v>3026</v>
      </c>
      <c r="B192" t="s">
        <v>3027</v>
      </c>
      <c r="C192" t="s">
        <v>1034</v>
      </c>
    </row>
    <row r="193" spans="1:3" x14ac:dyDescent="0.25">
      <c r="A193" t="s">
        <v>3028</v>
      </c>
      <c r="B193" t="s">
        <v>3029</v>
      </c>
      <c r="C193" t="s">
        <v>1035</v>
      </c>
    </row>
    <row r="194" spans="1:3" x14ac:dyDescent="0.25">
      <c r="A194" t="s">
        <v>3030</v>
      </c>
      <c r="B194" t="s">
        <v>3031</v>
      </c>
      <c r="C194" t="s">
        <v>1036</v>
      </c>
    </row>
    <row r="195" spans="1:3" x14ac:dyDescent="0.25">
      <c r="A195" t="s">
        <v>3032</v>
      </c>
      <c r="B195" t="s">
        <v>3033</v>
      </c>
      <c r="C195" t="s">
        <v>3034</v>
      </c>
    </row>
    <row r="196" spans="1:3" x14ac:dyDescent="0.25">
      <c r="A196" t="s">
        <v>3035</v>
      </c>
      <c r="B196" t="s">
        <v>3036</v>
      </c>
      <c r="C196" t="s">
        <v>1038</v>
      </c>
    </row>
    <row r="197" spans="1:3" x14ac:dyDescent="0.25">
      <c r="A197" t="s">
        <v>3037</v>
      </c>
      <c r="B197" t="s">
        <v>3038</v>
      </c>
      <c r="C197" t="s">
        <v>1041</v>
      </c>
    </row>
    <row r="198" spans="1:3" x14ac:dyDescent="0.25">
      <c r="A198" t="s">
        <v>3039</v>
      </c>
      <c r="B198" t="s">
        <v>3040</v>
      </c>
      <c r="C198" t="s">
        <v>1044</v>
      </c>
    </row>
    <row r="199" spans="1:3" x14ac:dyDescent="0.25">
      <c r="A199" t="s">
        <v>3041</v>
      </c>
      <c r="B199" t="s">
        <v>3042</v>
      </c>
      <c r="C199" t="s">
        <v>1047</v>
      </c>
    </row>
    <row r="200" spans="1:3" x14ac:dyDescent="0.25">
      <c r="A200" t="s">
        <v>3043</v>
      </c>
      <c r="B200" t="s">
        <v>3044</v>
      </c>
      <c r="C200" t="s">
        <v>1048</v>
      </c>
    </row>
    <row r="201" spans="1:3" x14ac:dyDescent="0.25">
      <c r="A201" t="s">
        <v>3045</v>
      </c>
      <c r="B201" t="s">
        <v>3046</v>
      </c>
      <c r="C201" t="s">
        <v>1050</v>
      </c>
    </row>
    <row r="202" spans="1:3" x14ac:dyDescent="0.25">
      <c r="A202" t="s">
        <v>3047</v>
      </c>
      <c r="B202" t="s">
        <v>3048</v>
      </c>
      <c r="C202" t="s">
        <v>1053</v>
      </c>
    </row>
    <row r="203" spans="1:3" x14ac:dyDescent="0.25">
      <c r="A203" t="s">
        <v>3049</v>
      </c>
      <c r="B203" t="s">
        <v>3050</v>
      </c>
      <c r="C203" t="s">
        <v>1056</v>
      </c>
    </row>
    <row r="204" spans="1:3" x14ac:dyDescent="0.25">
      <c r="A204" t="s">
        <v>3051</v>
      </c>
      <c r="B204" t="s">
        <v>3052</v>
      </c>
      <c r="C204" t="s">
        <v>1057</v>
      </c>
    </row>
    <row r="205" spans="1:3" x14ac:dyDescent="0.25">
      <c r="A205" t="s">
        <v>3053</v>
      </c>
      <c r="B205" t="s">
        <v>3054</v>
      </c>
      <c r="C205" t="s">
        <v>1058</v>
      </c>
    </row>
    <row r="206" spans="1:3" x14ac:dyDescent="0.25">
      <c r="A206" t="s">
        <v>3055</v>
      </c>
      <c r="B206" t="s">
        <v>3056</v>
      </c>
      <c r="C206" t="s">
        <v>1059</v>
      </c>
    </row>
    <row r="207" spans="1:3" x14ac:dyDescent="0.25">
      <c r="A207" t="s">
        <v>3057</v>
      </c>
      <c r="B207" t="s">
        <v>3058</v>
      </c>
      <c r="C207" t="s">
        <v>3059</v>
      </c>
    </row>
    <row r="208" spans="1:3" x14ac:dyDescent="0.25">
      <c r="A208" t="s">
        <v>3060</v>
      </c>
      <c r="B208" t="s">
        <v>3061</v>
      </c>
      <c r="C208" t="s">
        <v>1063</v>
      </c>
    </row>
    <row r="209" spans="1:3" x14ac:dyDescent="0.25">
      <c r="A209" t="s">
        <v>3062</v>
      </c>
      <c r="B209" t="s">
        <v>3063</v>
      </c>
      <c r="C209" t="s">
        <v>1067</v>
      </c>
    </row>
    <row r="210" spans="1:3" x14ac:dyDescent="0.25">
      <c r="A210" t="s">
        <v>3064</v>
      </c>
      <c r="B210" t="s">
        <v>3065</v>
      </c>
      <c r="C210" t="s">
        <v>3066</v>
      </c>
    </row>
    <row r="211" spans="1:3" x14ac:dyDescent="0.25">
      <c r="A211" t="s">
        <v>3067</v>
      </c>
      <c r="B211" t="s">
        <v>3068</v>
      </c>
      <c r="C211" t="s">
        <v>1070</v>
      </c>
    </row>
    <row r="212" spans="1:3" x14ac:dyDescent="0.25">
      <c r="A212" t="s">
        <v>3069</v>
      </c>
      <c r="B212" t="s">
        <v>3070</v>
      </c>
      <c r="C212" t="s">
        <v>1073</v>
      </c>
    </row>
    <row r="213" spans="1:3" x14ac:dyDescent="0.25">
      <c r="A213" t="s">
        <v>3071</v>
      </c>
      <c r="B213" t="s">
        <v>3072</v>
      </c>
      <c r="C213" t="s">
        <v>226</v>
      </c>
    </row>
    <row r="214" spans="1:3" x14ac:dyDescent="0.25">
      <c r="A214" t="s">
        <v>3073</v>
      </c>
      <c r="B214" t="s">
        <v>3074</v>
      </c>
      <c r="C214" t="s">
        <v>3075</v>
      </c>
    </row>
    <row r="215" spans="1:3" x14ac:dyDescent="0.25">
      <c r="A215" t="s">
        <v>3076</v>
      </c>
      <c r="B215" t="s">
        <v>3077</v>
      </c>
      <c r="C215" t="s">
        <v>1078</v>
      </c>
    </row>
    <row r="216" spans="1:3" x14ac:dyDescent="0.25">
      <c r="A216" t="s">
        <v>3078</v>
      </c>
      <c r="B216" t="s">
        <v>3079</v>
      </c>
      <c r="C216" t="s">
        <v>1079</v>
      </c>
    </row>
    <row r="217" spans="1:3" x14ac:dyDescent="0.25">
      <c r="A217" t="s">
        <v>3080</v>
      </c>
      <c r="B217" t="s">
        <v>3081</v>
      </c>
      <c r="C217" t="s">
        <v>1080</v>
      </c>
    </row>
    <row r="218" spans="1:3" x14ac:dyDescent="0.25">
      <c r="A218" t="s">
        <v>3082</v>
      </c>
      <c r="B218" t="s">
        <v>3083</v>
      </c>
      <c r="C218" t="s">
        <v>1081</v>
      </c>
    </row>
    <row r="219" spans="1:3" x14ac:dyDescent="0.25">
      <c r="A219" t="s">
        <v>3084</v>
      </c>
      <c r="B219" t="s">
        <v>3085</v>
      </c>
      <c r="C219" t="s">
        <v>1083</v>
      </c>
    </row>
    <row r="220" spans="1:3" x14ac:dyDescent="0.25">
      <c r="A220" t="s">
        <v>3086</v>
      </c>
      <c r="B220" t="s">
        <v>3087</v>
      </c>
      <c r="C220" t="s">
        <v>1085</v>
      </c>
    </row>
    <row r="221" spans="1:3" x14ac:dyDescent="0.25">
      <c r="A221" t="s">
        <v>3088</v>
      </c>
      <c r="B221" t="s">
        <v>3089</v>
      </c>
      <c r="C221" t="s">
        <v>1086</v>
      </c>
    </row>
    <row r="222" spans="1:3" x14ac:dyDescent="0.25">
      <c r="A222" t="s">
        <v>3090</v>
      </c>
      <c r="B222" t="s">
        <v>3091</v>
      </c>
      <c r="C222" t="s">
        <v>1088</v>
      </c>
    </row>
    <row r="223" spans="1:3" x14ac:dyDescent="0.25">
      <c r="A223" t="s">
        <v>3092</v>
      </c>
      <c r="B223" t="s">
        <v>3093</v>
      </c>
      <c r="C223" t="s">
        <v>1089</v>
      </c>
    </row>
    <row r="224" spans="1:3" x14ac:dyDescent="0.25">
      <c r="A224" t="s">
        <v>3094</v>
      </c>
      <c r="B224" t="s">
        <v>3095</v>
      </c>
      <c r="C224" t="s">
        <v>1090</v>
      </c>
    </row>
    <row r="225" spans="1:3" x14ac:dyDescent="0.25">
      <c r="A225" t="s">
        <v>3096</v>
      </c>
      <c r="B225" t="s">
        <v>3097</v>
      </c>
      <c r="C225" t="s">
        <v>1092</v>
      </c>
    </row>
    <row r="226" spans="1:3" x14ac:dyDescent="0.25">
      <c r="A226" t="s">
        <v>3098</v>
      </c>
      <c r="B226" t="s">
        <v>3099</v>
      </c>
      <c r="C226" t="s">
        <v>1093</v>
      </c>
    </row>
    <row r="227" spans="1:3" x14ac:dyDescent="0.25">
      <c r="A227" t="s">
        <v>3100</v>
      </c>
      <c r="B227" t="s">
        <v>3101</v>
      </c>
      <c r="C227" t="s">
        <v>1094</v>
      </c>
    </row>
    <row r="228" spans="1:3" x14ac:dyDescent="0.25">
      <c r="A228" t="s">
        <v>3102</v>
      </c>
      <c r="B228" t="s">
        <v>3103</v>
      </c>
      <c r="C228" t="s">
        <v>1095</v>
      </c>
    </row>
    <row r="229" spans="1:3" x14ac:dyDescent="0.25">
      <c r="A229" t="s">
        <v>3104</v>
      </c>
      <c r="B229" t="s">
        <v>3105</v>
      </c>
      <c r="C229" t="s">
        <v>1098</v>
      </c>
    </row>
    <row r="230" spans="1:3" x14ac:dyDescent="0.25">
      <c r="A230" t="s">
        <v>3106</v>
      </c>
      <c r="B230" t="s">
        <v>3107</v>
      </c>
      <c r="C230" t="s">
        <v>1099</v>
      </c>
    </row>
    <row r="231" spans="1:3" x14ac:dyDescent="0.25">
      <c r="A231" t="s">
        <v>3108</v>
      </c>
      <c r="B231" t="s">
        <v>3109</v>
      </c>
      <c r="C231" t="s">
        <v>1100</v>
      </c>
    </row>
    <row r="232" spans="1:3" x14ac:dyDescent="0.25">
      <c r="A232" t="s">
        <v>3110</v>
      </c>
      <c r="B232" t="s">
        <v>3111</v>
      </c>
      <c r="C232" t="s">
        <v>3112</v>
      </c>
    </row>
    <row r="233" spans="1:3" x14ac:dyDescent="0.25">
      <c r="A233" t="s">
        <v>3113</v>
      </c>
      <c r="B233" t="s">
        <v>3114</v>
      </c>
      <c r="C233" t="s">
        <v>1102</v>
      </c>
    </row>
    <row r="234" spans="1:3" x14ac:dyDescent="0.25">
      <c r="A234" t="s">
        <v>3115</v>
      </c>
      <c r="B234" t="s">
        <v>3116</v>
      </c>
      <c r="C234" t="s">
        <v>1105</v>
      </c>
    </row>
    <row r="235" spans="1:3" x14ac:dyDescent="0.25">
      <c r="A235" t="s">
        <v>3117</v>
      </c>
      <c r="B235" t="s">
        <v>3118</v>
      </c>
      <c r="C235" t="s">
        <v>1106</v>
      </c>
    </row>
    <row r="236" spans="1:3" x14ac:dyDescent="0.25">
      <c r="A236" t="s">
        <v>3119</v>
      </c>
      <c r="B236" t="s">
        <v>3120</v>
      </c>
      <c r="C236" t="s">
        <v>1109</v>
      </c>
    </row>
    <row r="237" spans="1:3" x14ac:dyDescent="0.25">
      <c r="A237" t="s">
        <v>3121</v>
      </c>
      <c r="B237" t="s">
        <v>3122</v>
      </c>
      <c r="C237" t="s">
        <v>1110</v>
      </c>
    </row>
    <row r="238" spans="1:3" x14ac:dyDescent="0.25">
      <c r="A238" t="s">
        <v>3123</v>
      </c>
      <c r="B238" t="s">
        <v>3124</v>
      </c>
      <c r="C238" t="s">
        <v>1113</v>
      </c>
    </row>
    <row r="239" spans="1:3" x14ac:dyDescent="0.25">
      <c r="A239" t="s">
        <v>3125</v>
      </c>
      <c r="B239" t="s">
        <v>3126</v>
      </c>
      <c r="C239" t="s">
        <v>1114</v>
      </c>
    </row>
    <row r="240" spans="1:3" x14ac:dyDescent="0.25">
      <c r="A240" t="s">
        <v>3127</v>
      </c>
      <c r="B240" t="s">
        <v>3128</v>
      </c>
      <c r="C240" t="s">
        <v>1115</v>
      </c>
    </row>
    <row r="241" spans="1:3" x14ac:dyDescent="0.25">
      <c r="A241" t="s">
        <v>3129</v>
      </c>
      <c r="B241" t="s">
        <v>3130</v>
      </c>
      <c r="C241" t="s">
        <v>1116</v>
      </c>
    </row>
    <row r="242" spans="1:3" x14ac:dyDescent="0.25">
      <c r="A242" t="s">
        <v>3131</v>
      </c>
      <c r="B242" t="s">
        <v>3132</v>
      </c>
      <c r="C242" t="s">
        <v>1117</v>
      </c>
    </row>
    <row r="243" spans="1:3" x14ac:dyDescent="0.25">
      <c r="A243" t="s">
        <v>3133</v>
      </c>
      <c r="B243" t="s">
        <v>3134</v>
      </c>
      <c r="C243" t="s">
        <v>1118</v>
      </c>
    </row>
    <row r="244" spans="1:3" x14ac:dyDescent="0.25">
      <c r="A244" t="s">
        <v>3135</v>
      </c>
      <c r="B244" t="s">
        <v>3136</v>
      </c>
      <c r="C244" t="s">
        <v>1120</v>
      </c>
    </row>
    <row r="245" spans="1:3" x14ac:dyDescent="0.25">
      <c r="A245" t="s">
        <v>3137</v>
      </c>
      <c r="B245" t="s">
        <v>3138</v>
      </c>
      <c r="C245" t="s">
        <v>1121</v>
      </c>
    </row>
    <row r="246" spans="1:3" x14ac:dyDescent="0.25">
      <c r="A246" t="s">
        <v>3139</v>
      </c>
      <c r="B246" t="s">
        <v>3140</v>
      </c>
      <c r="C246" t="s">
        <v>1122</v>
      </c>
    </row>
    <row r="247" spans="1:3" x14ac:dyDescent="0.25">
      <c r="A247" t="s">
        <v>3141</v>
      </c>
      <c r="B247" t="s">
        <v>3142</v>
      </c>
      <c r="C247" t="s">
        <v>1123</v>
      </c>
    </row>
    <row r="248" spans="1:3" x14ac:dyDescent="0.25">
      <c r="A248" t="s">
        <v>3143</v>
      </c>
      <c r="B248" t="s">
        <v>3144</v>
      </c>
      <c r="C248" t="s">
        <v>1124</v>
      </c>
    </row>
    <row r="249" spans="1:3" x14ac:dyDescent="0.25">
      <c r="A249" t="s">
        <v>3145</v>
      </c>
      <c r="B249" t="s">
        <v>3146</v>
      </c>
      <c r="C249" t="s">
        <v>1125</v>
      </c>
    </row>
    <row r="250" spans="1:3" x14ac:dyDescent="0.25">
      <c r="A250" t="s">
        <v>3147</v>
      </c>
      <c r="B250" t="s">
        <v>3148</v>
      </c>
      <c r="C250" t="s">
        <v>3149</v>
      </c>
    </row>
    <row r="251" spans="1:3" x14ac:dyDescent="0.25">
      <c r="A251" t="s">
        <v>3150</v>
      </c>
      <c r="B251" t="s">
        <v>3151</v>
      </c>
      <c r="C251" t="s">
        <v>1130</v>
      </c>
    </row>
    <row r="252" spans="1:3" x14ac:dyDescent="0.25">
      <c r="A252" t="s">
        <v>3152</v>
      </c>
      <c r="B252" t="s">
        <v>3153</v>
      </c>
      <c r="C252" t="s">
        <v>1131</v>
      </c>
    </row>
    <row r="253" spans="1:3" x14ac:dyDescent="0.25">
      <c r="A253" t="s">
        <v>3154</v>
      </c>
      <c r="B253" t="s">
        <v>3155</v>
      </c>
      <c r="C253" t="s">
        <v>3156</v>
      </c>
    </row>
    <row r="254" spans="1:3" x14ac:dyDescent="0.25">
      <c r="A254" t="s">
        <v>3157</v>
      </c>
      <c r="B254" t="s">
        <v>3158</v>
      </c>
      <c r="C254" t="s">
        <v>1133</v>
      </c>
    </row>
    <row r="255" spans="1:3" x14ac:dyDescent="0.25">
      <c r="A255" t="s">
        <v>3159</v>
      </c>
      <c r="B255" t="s">
        <v>3160</v>
      </c>
      <c r="C255" t="s">
        <v>1134</v>
      </c>
    </row>
    <row r="256" spans="1:3" x14ac:dyDescent="0.25">
      <c r="A256" t="s">
        <v>3161</v>
      </c>
      <c r="B256" t="s">
        <v>3162</v>
      </c>
      <c r="C256" t="s">
        <v>1136</v>
      </c>
    </row>
    <row r="257" spans="1:3" x14ac:dyDescent="0.25">
      <c r="A257" t="s">
        <v>3163</v>
      </c>
      <c r="B257" t="s">
        <v>3164</v>
      </c>
      <c r="C257" t="s">
        <v>1137</v>
      </c>
    </row>
    <row r="258" spans="1:3" x14ac:dyDescent="0.25">
      <c r="A258" t="s">
        <v>3165</v>
      </c>
      <c r="B258" t="s">
        <v>3166</v>
      </c>
      <c r="C258" t="s">
        <v>1138</v>
      </c>
    </row>
    <row r="259" spans="1:3" x14ac:dyDescent="0.25">
      <c r="A259" t="s">
        <v>3167</v>
      </c>
      <c r="B259" t="s">
        <v>3168</v>
      </c>
      <c r="C259" t="s">
        <v>1139</v>
      </c>
    </row>
    <row r="260" spans="1:3" x14ac:dyDescent="0.25">
      <c r="A260" t="s">
        <v>3169</v>
      </c>
      <c r="B260" t="s">
        <v>3170</v>
      </c>
      <c r="C260" t="s">
        <v>1140</v>
      </c>
    </row>
    <row r="261" spans="1:3" x14ac:dyDescent="0.25">
      <c r="A261" t="s">
        <v>3171</v>
      </c>
      <c r="B261" t="s">
        <v>3172</v>
      </c>
      <c r="C261" t="s">
        <v>1142</v>
      </c>
    </row>
    <row r="262" spans="1:3" x14ac:dyDescent="0.25">
      <c r="A262" t="s">
        <v>3173</v>
      </c>
      <c r="B262" t="s">
        <v>3174</v>
      </c>
      <c r="C262" t="s">
        <v>1143</v>
      </c>
    </row>
    <row r="263" spans="1:3" x14ac:dyDescent="0.25">
      <c r="A263" t="s">
        <v>3175</v>
      </c>
      <c r="B263" t="s">
        <v>3176</v>
      </c>
      <c r="C263" t="s">
        <v>1144</v>
      </c>
    </row>
    <row r="264" spans="1:3" x14ac:dyDescent="0.25">
      <c r="A264" t="s">
        <v>3177</v>
      </c>
      <c r="B264" t="s">
        <v>3178</v>
      </c>
      <c r="C264" t="s">
        <v>1145</v>
      </c>
    </row>
    <row r="265" spans="1:3" x14ac:dyDescent="0.25">
      <c r="A265" t="s">
        <v>3179</v>
      </c>
      <c r="B265" t="s">
        <v>3180</v>
      </c>
      <c r="C265" t="s">
        <v>1146</v>
      </c>
    </row>
    <row r="266" spans="1:3" x14ac:dyDescent="0.25">
      <c r="A266" t="s">
        <v>3181</v>
      </c>
      <c r="B266" t="s">
        <v>3182</v>
      </c>
      <c r="C266" t="s">
        <v>1147</v>
      </c>
    </row>
    <row r="267" spans="1:3" x14ac:dyDescent="0.25">
      <c r="A267" t="s">
        <v>3183</v>
      </c>
      <c r="B267" t="s">
        <v>3184</v>
      </c>
      <c r="C267" t="s">
        <v>1148</v>
      </c>
    </row>
    <row r="268" spans="1:3" x14ac:dyDescent="0.25">
      <c r="A268" t="s">
        <v>3185</v>
      </c>
      <c r="B268" t="s">
        <v>3186</v>
      </c>
      <c r="C268" t="s">
        <v>1151</v>
      </c>
    </row>
    <row r="269" spans="1:3" x14ac:dyDescent="0.25">
      <c r="A269" t="s">
        <v>3187</v>
      </c>
      <c r="B269" t="s">
        <v>3188</v>
      </c>
      <c r="C269" t="s">
        <v>3189</v>
      </c>
    </row>
    <row r="270" spans="1:3" x14ac:dyDescent="0.25">
      <c r="A270" t="s">
        <v>3190</v>
      </c>
      <c r="B270" t="s">
        <v>3191</v>
      </c>
      <c r="C270" t="s">
        <v>3192</v>
      </c>
    </row>
    <row r="271" spans="1:3" x14ac:dyDescent="0.25">
      <c r="A271" t="s">
        <v>3193</v>
      </c>
      <c r="B271" t="s">
        <v>3194</v>
      </c>
      <c r="C271" t="s">
        <v>1153</v>
      </c>
    </row>
    <row r="272" spans="1:3" x14ac:dyDescent="0.25">
      <c r="A272" t="s">
        <v>3195</v>
      </c>
      <c r="B272" t="s">
        <v>3196</v>
      </c>
      <c r="C272" t="s">
        <v>1157</v>
      </c>
    </row>
    <row r="273" spans="1:3" x14ac:dyDescent="0.25">
      <c r="A273" t="s">
        <v>3197</v>
      </c>
      <c r="B273" t="s">
        <v>3198</v>
      </c>
      <c r="C273" t="s">
        <v>1158</v>
      </c>
    </row>
    <row r="274" spans="1:3" x14ac:dyDescent="0.25">
      <c r="A274" t="s">
        <v>3199</v>
      </c>
      <c r="B274" t="s">
        <v>3200</v>
      </c>
      <c r="C274" t="s">
        <v>1159</v>
      </c>
    </row>
    <row r="275" spans="1:3" x14ac:dyDescent="0.25">
      <c r="A275" t="s">
        <v>3201</v>
      </c>
      <c r="B275" t="s">
        <v>3202</v>
      </c>
      <c r="C275" t="s">
        <v>1160</v>
      </c>
    </row>
    <row r="276" spans="1:3" x14ac:dyDescent="0.25">
      <c r="A276" t="s">
        <v>3203</v>
      </c>
      <c r="B276" t="s">
        <v>3204</v>
      </c>
      <c r="C276" t="s">
        <v>1161</v>
      </c>
    </row>
    <row r="277" spans="1:3" x14ac:dyDescent="0.25">
      <c r="A277" t="s">
        <v>3205</v>
      </c>
      <c r="B277" t="s">
        <v>3206</v>
      </c>
      <c r="C277" t="s">
        <v>1162</v>
      </c>
    </row>
    <row r="278" spans="1:3" x14ac:dyDescent="0.25">
      <c r="A278" t="s">
        <v>3207</v>
      </c>
      <c r="B278" t="s">
        <v>3208</v>
      </c>
      <c r="C278" t="s">
        <v>1166</v>
      </c>
    </row>
    <row r="279" spans="1:3" x14ac:dyDescent="0.25">
      <c r="A279" t="s">
        <v>3209</v>
      </c>
      <c r="B279" t="s">
        <v>3210</v>
      </c>
      <c r="C279" t="s">
        <v>1167</v>
      </c>
    </row>
    <row r="280" spans="1:3" x14ac:dyDescent="0.25">
      <c r="A280" t="s">
        <v>3211</v>
      </c>
      <c r="B280" t="s">
        <v>3212</v>
      </c>
      <c r="C280" t="s">
        <v>1168</v>
      </c>
    </row>
    <row r="281" spans="1:3" x14ac:dyDescent="0.25">
      <c r="A281" t="s">
        <v>3213</v>
      </c>
      <c r="B281" t="s">
        <v>3214</v>
      </c>
      <c r="C281" t="s">
        <v>1169</v>
      </c>
    </row>
    <row r="282" spans="1:3" x14ac:dyDescent="0.25">
      <c r="A282" t="s">
        <v>3215</v>
      </c>
      <c r="B282" t="s">
        <v>3216</v>
      </c>
      <c r="C282" t="s">
        <v>1171</v>
      </c>
    </row>
    <row r="283" spans="1:3" x14ac:dyDescent="0.25">
      <c r="A283" t="s">
        <v>3217</v>
      </c>
      <c r="B283" t="s">
        <v>3218</v>
      </c>
      <c r="C283" t="s">
        <v>1174</v>
      </c>
    </row>
    <row r="284" spans="1:3" x14ac:dyDescent="0.25">
      <c r="A284" t="s">
        <v>3219</v>
      </c>
      <c r="B284" t="s">
        <v>3220</v>
      </c>
      <c r="C284" t="s">
        <v>1177</v>
      </c>
    </row>
    <row r="285" spans="1:3" x14ac:dyDescent="0.25">
      <c r="A285" t="s">
        <v>3221</v>
      </c>
      <c r="B285" t="s">
        <v>3222</v>
      </c>
      <c r="C285" t="s">
        <v>1178</v>
      </c>
    </row>
    <row r="286" spans="1:3" x14ac:dyDescent="0.25">
      <c r="A286" t="s">
        <v>3223</v>
      </c>
      <c r="B286" t="s">
        <v>3224</v>
      </c>
      <c r="C286" t="s">
        <v>1179</v>
      </c>
    </row>
    <row r="287" spans="1:3" x14ac:dyDescent="0.25">
      <c r="A287" t="s">
        <v>3225</v>
      </c>
      <c r="B287" t="s">
        <v>3226</v>
      </c>
      <c r="C287" t="s">
        <v>3227</v>
      </c>
    </row>
    <row r="288" spans="1:3" x14ac:dyDescent="0.25">
      <c r="A288" t="s">
        <v>3228</v>
      </c>
      <c r="B288" t="s">
        <v>3229</v>
      </c>
      <c r="C288" t="s">
        <v>1181</v>
      </c>
    </row>
    <row r="289" spans="1:3" x14ac:dyDescent="0.25">
      <c r="A289" t="s">
        <v>3230</v>
      </c>
      <c r="B289" t="s">
        <v>3231</v>
      </c>
      <c r="C289" t="s">
        <v>1182</v>
      </c>
    </row>
    <row r="290" spans="1:3" x14ac:dyDescent="0.25">
      <c r="A290" t="s">
        <v>3232</v>
      </c>
      <c r="B290" t="s">
        <v>3233</v>
      </c>
      <c r="C290" t="s">
        <v>1183</v>
      </c>
    </row>
    <row r="291" spans="1:3" x14ac:dyDescent="0.25">
      <c r="A291" t="s">
        <v>3234</v>
      </c>
      <c r="B291" t="s">
        <v>3235</v>
      </c>
      <c r="C291" t="s">
        <v>1186</v>
      </c>
    </row>
    <row r="292" spans="1:3" x14ac:dyDescent="0.25">
      <c r="A292" t="s">
        <v>3236</v>
      </c>
      <c r="B292" t="s">
        <v>3237</v>
      </c>
      <c r="C292" t="s">
        <v>1188</v>
      </c>
    </row>
    <row r="293" spans="1:3" x14ac:dyDescent="0.25">
      <c r="A293" t="s">
        <v>3238</v>
      </c>
      <c r="B293" t="s">
        <v>3239</v>
      </c>
      <c r="C293" t="s">
        <v>1189</v>
      </c>
    </row>
    <row r="294" spans="1:3" x14ac:dyDescent="0.25">
      <c r="A294" t="s">
        <v>3240</v>
      </c>
      <c r="B294" t="s">
        <v>3241</v>
      </c>
      <c r="C294" t="s">
        <v>1190</v>
      </c>
    </row>
    <row r="295" spans="1:3" x14ac:dyDescent="0.25">
      <c r="A295" t="s">
        <v>3242</v>
      </c>
      <c r="B295" t="s">
        <v>3243</v>
      </c>
      <c r="C295" t="s">
        <v>1191</v>
      </c>
    </row>
    <row r="296" spans="1:3" x14ac:dyDescent="0.25">
      <c r="A296" t="s">
        <v>3244</v>
      </c>
      <c r="B296" t="s">
        <v>3245</v>
      </c>
      <c r="C296" t="s">
        <v>1192</v>
      </c>
    </row>
    <row r="297" spans="1:3" x14ac:dyDescent="0.25">
      <c r="A297" t="s">
        <v>3246</v>
      </c>
      <c r="B297" t="s">
        <v>3247</v>
      </c>
      <c r="C297" t="s">
        <v>1193</v>
      </c>
    </row>
    <row r="298" spans="1:3" x14ac:dyDescent="0.25">
      <c r="A298" t="s">
        <v>3248</v>
      </c>
      <c r="B298" t="s">
        <v>3249</v>
      </c>
      <c r="C298" t="s">
        <v>1194</v>
      </c>
    </row>
    <row r="299" spans="1:3" x14ac:dyDescent="0.25">
      <c r="A299" t="s">
        <v>3250</v>
      </c>
      <c r="B299" t="s">
        <v>3251</v>
      </c>
      <c r="C299" t="s">
        <v>1195</v>
      </c>
    </row>
    <row r="300" spans="1:3" x14ac:dyDescent="0.25">
      <c r="A300" t="s">
        <v>3252</v>
      </c>
      <c r="B300" t="s">
        <v>3253</v>
      </c>
      <c r="C300" t="s">
        <v>1196</v>
      </c>
    </row>
    <row r="301" spans="1:3" x14ac:dyDescent="0.25">
      <c r="A301" t="s">
        <v>3254</v>
      </c>
      <c r="B301" t="s">
        <v>3255</v>
      </c>
      <c r="C301" t="s">
        <v>1197</v>
      </c>
    </row>
    <row r="302" spans="1:3" x14ac:dyDescent="0.25">
      <c r="A302" t="s">
        <v>3256</v>
      </c>
      <c r="B302" t="s">
        <v>3257</v>
      </c>
      <c r="C302" t="s">
        <v>1198</v>
      </c>
    </row>
    <row r="303" spans="1:3" x14ac:dyDescent="0.25">
      <c r="A303" t="s">
        <v>3258</v>
      </c>
      <c r="B303" t="s">
        <v>3259</v>
      </c>
      <c r="C303" t="s">
        <v>1200</v>
      </c>
    </row>
    <row r="304" spans="1:3" x14ac:dyDescent="0.25">
      <c r="A304" t="s">
        <v>3260</v>
      </c>
      <c r="B304" t="s">
        <v>3261</v>
      </c>
      <c r="C304" t="s">
        <v>1201</v>
      </c>
    </row>
    <row r="305" spans="1:3" x14ac:dyDescent="0.25">
      <c r="A305" t="s">
        <v>3262</v>
      </c>
      <c r="B305" t="s">
        <v>3263</v>
      </c>
      <c r="C305" t="s">
        <v>1202</v>
      </c>
    </row>
    <row r="306" spans="1:3" x14ac:dyDescent="0.25">
      <c r="A306" t="s">
        <v>3264</v>
      </c>
      <c r="B306" t="s">
        <v>3265</v>
      </c>
      <c r="C306" t="s">
        <v>1203</v>
      </c>
    </row>
    <row r="307" spans="1:3" x14ac:dyDescent="0.25">
      <c r="A307" t="s">
        <v>3266</v>
      </c>
      <c r="B307" t="s">
        <v>3267</v>
      </c>
      <c r="C307" t="s">
        <v>1204</v>
      </c>
    </row>
    <row r="308" spans="1:3" x14ac:dyDescent="0.25">
      <c r="A308" t="s">
        <v>3268</v>
      </c>
      <c r="B308" t="s">
        <v>3269</v>
      </c>
      <c r="C308" t="s">
        <v>1206</v>
      </c>
    </row>
    <row r="309" spans="1:3" x14ac:dyDescent="0.25">
      <c r="A309" t="s">
        <v>3270</v>
      </c>
      <c r="B309" t="s">
        <v>3271</v>
      </c>
      <c r="C309" t="s">
        <v>1207</v>
      </c>
    </row>
    <row r="310" spans="1:3" x14ac:dyDescent="0.25">
      <c r="A310" t="s">
        <v>3272</v>
      </c>
      <c r="B310" t="s">
        <v>3273</v>
      </c>
      <c r="C310" t="s">
        <v>1208</v>
      </c>
    </row>
    <row r="311" spans="1:3" x14ac:dyDescent="0.25">
      <c r="A311" t="s">
        <v>3274</v>
      </c>
      <c r="B311" t="s">
        <v>3275</v>
      </c>
      <c r="C311" t="s">
        <v>1210</v>
      </c>
    </row>
    <row r="312" spans="1:3" x14ac:dyDescent="0.25">
      <c r="A312" t="s">
        <v>3276</v>
      </c>
      <c r="B312" t="s">
        <v>3277</v>
      </c>
      <c r="C312" t="s">
        <v>1211</v>
      </c>
    </row>
    <row r="313" spans="1:3" x14ac:dyDescent="0.25">
      <c r="A313" t="s">
        <v>3278</v>
      </c>
      <c r="B313" t="s">
        <v>3279</v>
      </c>
      <c r="C313" t="s">
        <v>1212</v>
      </c>
    </row>
    <row r="314" spans="1:3" x14ac:dyDescent="0.25">
      <c r="A314" t="s">
        <v>3280</v>
      </c>
      <c r="B314" t="s">
        <v>3281</v>
      </c>
      <c r="C314" t="s">
        <v>1213</v>
      </c>
    </row>
    <row r="315" spans="1:3" x14ac:dyDescent="0.25">
      <c r="A315" t="s">
        <v>3282</v>
      </c>
      <c r="B315" t="s">
        <v>3283</v>
      </c>
      <c r="C315" t="s">
        <v>1214</v>
      </c>
    </row>
    <row r="316" spans="1:3" x14ac:dyDescent="0.25">
      <c r="A316" t="s">
        <v>3284</v>
      </c>
      <c r="B316" t="s">
        <v>3285</v>
      </c>
      <c r="C316" t="s">
        <v>1215</v>
      </c>
    </row>
    <row r="317" spans="1:3" x14ac:dyDescent="0.25">
      <c r="A317" t="s">
        <v>3286</v>
      </c>
      <c r="B317" t="s">
        <v>3287</v>
      </c>
      <c r="C317" t="s">
        <v>1216</v>
      </c>
    </row>
    <row r="318" spans="1:3" x14ac:dyDescent="0.25">
      <c r="A318" t="s">
        <v>3288</v>
      </c>
      <c r="B318" t="s">
        <v>3289</v>
      </c>
      <c r="C318" t="s">
        <v>1217</v>
      </c>
    </row>
    <row r="319" spans="1:3" x14ac:dyDescent="0.25">
      <c r="A319" t="s">
        <v>3290</v>
      </c>
      <c r="B319" t="s">
        <v>3291</v>
      </c>
      <c r="C319" t="s">
        <v>1218</v>
      </c>
    </row>
    <row r="320" spans="1:3" x14ac:dyDescent="0.25">
      <c r="A320" t="s">
        <v>3292</v>
      </c>
      <c r="B320" t="s">
        <v>3293</v>
      </c>
      <c r="C320" t="s">
        <v>1219</v>
      </c>
    </row>
    <row r="321" spans="1:3" x14ac:dyDescent="0.25">
      <c r="A321" t="s">
        <v>3294</v>
      </c>
      <c r="B321" t="s">
        <v>3295</v>
      </c>
      <c r="C321" t="s">
        <v>1220</v>
      </c>
    </row>
    <row r="322" spans="1:3" x14ac:dyDescent="0.25">
      <c r="A322" t="s">
        <v>3296</v>
      </c>
      <c r="B322" t="s">
        <v>3297</v>
      </c>
      <c r="C322" t="s">
        <v>1221</v>
      </c>
    </row>
    <row r="323" spans="1:3" x14ac:dyDescent="0.25">
      <c r="A323" t="s">
        <v>3298</v>
      </c>
      <c r="B323" t="s">
        <v>3299</v>
      </c>
      <c r="C323" t="s">
        <v>1222</v>
      </c>
    </row>
    <row r="324" spans="1:3" x14ac:dyDescent="0.25">
      <c r="A324" t="s">
        <v>3300</v>
      </c>
      <c r="B324" t="s">
        <v>3301</v>
      </c>
      <c r="C324" t="s">
        <v>1223</v>
      </c>
    </row>
    <row r="325" spans="1:3" x14ac:dyDescent="0.25">
      <c r="A325" t="s">
        <v>3302</v>
      </c>
      <c r="B325" t="s">
        <v>3303</v>
      </c>
      <c r="C325" t="s">
        <v>1225</v>
      </c>
    </row>
    <row r="326" spans="1:3" x14ac:dyDescent="0.25">
      <c r="A326" t="s">
        <v>3304</v>
      </c>
      <c r="B326" t="s">
        <v>3305</v>
      </c>
      <c r="C326" t="s">
        <v>1226</v>
      </c>
    </row>
    <row r="327" spans="1:3" x14ac:dyDescent="0.25">
      <c r="A327" t="s">
        <v>3306</v>
      </c>
      <c r="B327" t="s">
        <v>3307</v>
      </c>
      <c r="C327" t="s">
        <v>1227</v>
      </c>
    </row>
    <row r="328" spans="1:3" x14ac:dyDescent="0.25">
      <c r="A328" t="s">
        <v>3308</v>
      </c>
      <c r="B328" t="s">
        <v>3309</v>
      </c>
      <c r="C328" t="s">
        <v>1228</v>
      </c>
    </row>
    <row r="329" spans="1:3" x14ac:dyDescent="0.25">
      <c r="A329" t="s">
        <v>3310</v>
      </c>
      <c r="B329" t="s">
        <v>3311</v>
      </c>
      <c r="C329" t="s">
        <v>1229</v>
      </c>
    </row>
    <row r="330" spans="1:3" x14ac:dyDescent="0.25">
      <c r="A330" t="s">
        <v>3312</v>
      </c>
      <c r="B330" t="s">
        <v>3313</v>
      </c>
      <c r="C330" t="s">
        <v>1230</v>
      </c>
    </row>
    <row r="331" spans="1:3" x14ac:dyDescent="0.25">
      <c r="A331" t="s">
        <v>3314</v>
      </c>
      <c r="B331" t="s">
        <v>3315</v>
      </c>
      <c r="C331" t="s">
        <v>1231</v>
      </c>
    </row>
    <row r="332" spans="1:3" x14ac:dyDescent="0.25">
      <c r="A332" t="s">
        <v>3316</v>
      </c>
      <c r="B332" t="s">
        <v>3317</v>
      </c>
      <c r="C332" t="s">
        <v>1233</v>
      </c>
    </row>
    <row r="333" spans="1:3" x14ac:dyDescent="0.25">
      <c r="A333" t="s">
        <v>3318</v>
      </c>
      <c r="B333" t="s">
        <v>3319</v>
      </c>
      <c r="C333" t="s">
        <v>1234</v>
      </c>
    </row>
    <row r="334" spans="1:3" x14ac:dyDescent="0.25">
      <c r="A334" t="s">
        <v>3320</v>
      </c>
      <c r="B334" t="s">
        <v>3321</v>
      </c>
      <c r="C334" t="s">
        <v>1235</v>
      </c>
    </row>
    <row r="335" spans="1:3" x14ac:dyDescent="0.25">
      <c r="A335" t="s">
        <v>3322</v>
      </c>
      <c r="B335" t="s">
        <v>3323</v>
      </c>
      <c r="C335" t="s">
        <v>1237</v>
      </c>
    </row>
    <row r="336" spans="1:3" x14ac:dyDescent="0.25">
      <c r="A336" t="s">
        <v>3324</v>
      </c>
      <c r="B336" t="s">
        <v>3325</v>
      </c>
      <c r="C336" t="s">
        <v>1238</v>
      </c>
    </row>
    <row r="337" spans="1:3" x14ac:dyDescent="0.25">
      <c r="A337" t="s">
        <v>3326</v>
      </c>
      <c r="B337" t="s">
        <v>3327</v>
      </c>
      <c r="C337" t="s">
        <v>1239</v>
      </c>
    </row>
    <row r="338" spans="1:3" x14ac:dyDescent="0.25">
      <c r="A338" t="s">
        <v>3328</v>
      </c>
      <c r="B338" t="s">
        <v>3329</v>
      </c>
      <c r="C338" t="s">
        <v>1240</v>
      </c>
    </row>
    <row r="339" spans="1:3" x14ac:dyDescent="0.25">
      <c r="A339" t="s">
        <v>3330</v>
      </c>
      <c r="B339" t="s">
        <v>3331</v>
      </c>
      <c r="C339" t="s">
        <v>1241</v>
      </c>
    </row>
    <row r="340" spans="1:3" x14ac:dyDescent="0.25">
      <c r="A340" t="s">
        <v>3332</v>
      </c>
      <c r="B340" t="s">
        <v>3333</v>
      </c>
      <c r="C340" t="s">
        <v>1242</v>
      </c>
    </row>
    <row r="341" spans="1:3" x14ac:dyDescent="0.25">
      <c r="A341" t="s">
        <v>3334</v>
      </c>
      <c r="B341" t="s">
        <v>3335</v>
      </c>
      <c r="C341" t="s">
        <v>1243</v>
      </c>
    </row>
    <row r="342" spans="1:3" x14ac:dyDescent="0.25">
      <c r="A342" t="s">
        <v>3336</v>
      </c>
      <c r="B342" t="s">
        <v>3337</v>
      </c>
      <c r="C342" t="s">
        <v>1244</v>
      </c>
    </row>
    <row r="343" spans="1:3" x14ac:dyDescent="0.25">
      <c r="A343" t="s">
        <v>3338</v>
      </c>
      <c r="B343" t="s">
        <v>3339</v>
      </c>
      <c r="C343" t="s">
        <v>1245</v>
      </c>
    </row>
    <row r="344" spans="1:3" x14ac:dyDescent="0.25">
      <c r="A344" t="s">
        <v>3340</v>
      </c>
      <c r="B344" t="s">
        <v>3341</v>
      </c>
      <c r="C344" t="s">
        <v>1246</v>
      </c>
    </row>
    <row r="345" spans="1:3" x14ac:dyDescent="0.25">
      <c r="A345" t="s">
        <v>3342</v>
      </c>
      <c r="B345" t="s">
        <v>3343</v>
      </c>
      <c r="C345" t="s">
        <v>1247</v>
      </c>
    </row>
    <row r="346" spans="1:3" x14ac:dyDescent="0.25">
      <c r="A346" t="s">
        <v>3344</v>
      </c>
      <c r="B346" t="s">
        <v>3345</v>
      </c>
      <c r="C346" t="s">
        <v>1248</v>
      </c>
    </row>
    <row r="347" spans="1:3" x14ac:dyDescent="0.25">
      <c r="A347" t="s">
        <v>3346</v>
      </c>
      <c r="B347" t="s">
        <v>3347</v>
      </c>
      <c r="C347" t="s">
        <v>1249</v>
      </c>
    </row>
    <row r="348" spans="1:3" x14ac:dyDescent="0.25">
      <c r="A348" t="s">
        <v>3348</v>
      </c>
      <c r="B348" t="s">
        <v>3349</v>
      </c>
      <c r="C348" t="s">
        <v>1250</v>
      </c>
    </row>
    <row r="349" spans="1:3" x14ac:dyDescent="0.25">
      <c r="A349" t="s">
        <v>3350</v>
      </c>
      <c r="B349" t="s">
        <v>3351</v>
      </c>
      <c r="C349" t="s">
        <v>1251</v>
      </c>
    </row>
    <row r="350" spans="1:3" x14ac:dyDescent="0.25">
      <c r="A350" t="s">
        <v>3352</v>
      </c>
      <c r="B350" t="s">
        <v>3353</v>
      </c>
      <c r="C350" t="s">
        <v>1252</v>
      </c>
    </row>
    <row r="351" spans="1:3" x14ac:dyDescent="0.25">
      <c r="A351" t="s">
        <v>3354</v>
      </c>
      <c r="B351" t="s">
        <v>3355</v>
      </c>
      <c r="C351" t="s">
        <v>1253</v>
      </c>
    </row>
    <row r="352" spans="1:3" x14ac:dyDescent="0.25">
      <c r="A352" t="s">
        <v>3356</v>
      </c>
      <c r="B352" t="s">
        <v>3357</v>
      </c>
      <c r="C352" t="s">
        <v>1254</v>
      </c>
    </row>
    <row r="353" spans="1:3" x14ac:dyDescent="0.25">
      <c r="A353" t="s">
        <v>3358</v>
      </c>
      <c r="B353" t="s">
        <v>3359</v>
      </c>
      <c r="C353" t="s">
        <v>1255</v>
      </c>
    </row>
    <row r="354" spans="1:3" x14ac:dyDescent="0.25">
      <c r="A354" t="s">
        <v>3360</v>
      </c>
      <c r="B354" t="s">
        <v>3361</v>
      </c>
      <c r="C354" t="s">
        <v>1256</v>
      </c>
    </row>
    <row r="355" spans="1:3" x14ac:dyDescent="0.25">
      <c r="A355" t="s">
        <v>3362</v>
      </c>
      <c r="B355" t="s">
        <v>3363</v>
      </c>
      <c r="C355" t="s">
        <v>1257</v>
      </c>
    </row>
    <row r="356" spans="1:3" x14ac:dyDescent="0.25">
      <c r="A356" t="s">
        <v>3364</v>
      </c>
      <c r="B356" t="s">
        <v>3365</v>
      </c>
      <c r="C356" t="s">
        <v>1259</v>
      </c>
    </row>
    <row r="357" spans="1:3" x14ac:dyDescent="0.25">
      <c r="A357" t="s">
        <v>3366</v>
      </c>
      <c r="B357" t="s">
        <v>3367</v>
      </c>
      <c r="C357" t="s">
        <v>1260</v>
      </c>
    </row>
    <row r="358" spans="1:3" x14ac:dyDescent="0.25">
      <c r="A358" t="s">
        <v>3368</v>
      </c>
      <c r="B358" t="s">
        <v>3369</v>
      </c>
      <c r="C358" t="s">
        <v>1261</v>
      </c>
    </row>
    <row r="359" spans="1:3" x14ac:dyDescent="0.25">
      <c r="A359" t="s">
        <v>3370</v>
      </c>
      <c r="B359" t="s">
        <v>3371</v>
      </c>
      <c r="C359" t="s">
        <v>3372</v>
      </c>
    </row>
    <row r="360" spans="1:3" x14ac:dyDescent="0.25">
      <c r="A360" t="s">
        <v>3373</v>
      </c>
      <c r="B360" t="s">
        <v>3374</v>
      </c>
      <c r="C360" t="s">
        <v>3375</v>
      </c>
    </row>
    <row r="361" spans="1:3" x14ac:dyDescent="0.25">
      <c r="A361" t="s">
        <v>3376</v>
      </c>
      <c r="B361" t="s">
        <v>3377</v>
      </c>
      <c r="C361" t="s">
        <v>3378</v>
      </c>
    </row>
    <row r="362" spans="1:3" x14ac:dyDescent="0.25">
      <c r="A362" t="s">
        <v>3379</v>
      </c>
      <c r="B362" t="s">
        <v>3380</v>
      </c>
      <c r="C362" t="s">
        <v>1265</v>
      </c>
    </row>
    <row r="363" spans="1:3" x14ac:dyDescent="0.25">
      <c r="A363" t="s">
        <v>3381</v>
      </c>
      <c r="B363" t="s">
        <v>3382</v>
      </c>
      <c r="C363" t="s">
        <v>3383</v>
      </c>
    </row>
    <row r="364" spans="1:3" x14ac:dyDescent="0.25">
      <c r="A364" t="s">
        <v>3384</v>
      </c>
      <c r="B364" t="s">
        <v>3385</v>
      </c>
      <c r="C364" t="s">
        <v>1267</v>
      </c>
    </row>
    <row r="365" spans="1:3" x14ac:dyDescent="0.25">
      <c r="A365" t="s">
        <v>3386</v>
      </c>
      <c r="B365" t="s">
        <v>3387</v>
      </c>
      <c r="C365" t="s">
        <v>1268</v>
      </c>
    </row>
    <row r="366" spans="1:3" x14ac:dyDescent="0.25">
      <c r="A366" t="s">
        <v>3388</v>
      </c>
      <c r="B366" t="s">
        <v>3389</v>
      </c>
      <c r="C366" t="s">
        <v>3390</v>
      </c>
    </row>
    <row r="367" spans="1:3" x14ac:dyDescent="0.25">
      <c r="A367" t="s">
        <v>3391</v>
      </c>
      <c r="B367" t="s">
        <v>3392</v>
      </c>
      <c r="C367" t="s">
        <v>1272</v>
      </c>
    </row>
    <row r="368" spans="1:3" x14ac:dyDescent="0.25">
      <c r="A368" t="s">
        <v>3393</v>
      </c>
      <c r="B368" t="s">
        <v>3394</v>
      </c>
      <c r="C368" t="s">
        <v>3395</v>
      </c>
    </row>
    <row r="369" spans="1:3" x14ac:dyDescent="0.25">
      <c r="A369" t="s">
        <v>3396</v>
      </c>
      <c r="B369" t="s">
        <v>3397</v>
      </c>
      <c r="C369" t="s">
        <v>152</v>
      </c>
    </row>
    <row r="370" spans="1:3" x14ac:dyDescent="0.25">
      <c r="A370" t="s">
        <v>3398</v>
      </c>
      <c r="B370" t="s">
        <v>3399</v>
      </c>
      <c r="C370" t="s">
        <v>1276</v>
      </c>
    </row>
    <row r="371" spans="1:3" x14ac:dyDescent="0.25">
      <c r="A371" t="s">
        <v>3400</v>
      </c>
      <c r="B371" t="s">
        <v>3401</v>
      </c>
      <c r="C371" t="s">
        <v>1277</v>
      </c>
    </row>
    <row r="372" spans="1:3" x14ac:dyDescent="0.25">
      <c r="A372" t="s">
        <v>3402</v>
      </c>
      <c r="B372" t="s">
        <v>3403</v>
      </c>
      <c r="C372" t="s">
        <v>1278</v>
      </c>
    </row>
    <row r="373" spans="1:3" x14ac:dyDescent="0.25">
      <c r="A373" t="s">
        <v>3404</v>
      </c>
      <c r="B373" t="s">
        <v>3405</v>
      </c>
      <c r="C373" t="s">
        <v>1281</v>
      </c>
    </row>
    <row r="374" spans="1:3" x14ac:dyDescent="0.25">
      <c r="A374" t="s">
        <v>3406</v>
      </c>
      <c r="B374" t="s">
        <v>3407</v>
      </c>
      <c r="C374" t="s">
        <v>3408</v>
      </c>
    </row>
    <row r="375" spans="1:3" x14ac:dyDescent="0.25">
      <c r="A375" t="s">
        <v>3409</v>
      </c>
      <c r="B375" t="s">
        <v>3410</v>
      </c>
      <c r="C375" t="s">
        <v>1283</v>
      </c>
    </row>
    <row r="376" spans="1:3" x14ac:dyDescent="0.25">
      <c r="A376" t="s">
        <v>3411</v>
      </c>
      <c r="B376" t="s">
        <v>3412</v>
      </c>
      <c r="C376" t="s">
        <v>1285</v>
      </c>
    </row>
    <row r="377" spans="1:3" x14ac:dyDescent="0.25">
      <c r="A377" t="s">
        <v>3413</v>
      </c>
      <c r="B377" t="s">
        <v>3414</v>
      </c>
      <c r="C377" t="s">
        <v>1286</v>
      </c>
    </row>
    <row r="378" spans="1:3" x14ac:dyDescent="0.25">
      <c r="A378" t="s">
        <v>3415</v>
      </c>
      <c r="B378" t="s">
        <v>3416</v>
      </c>
      <c r="C378" t="s">
        <v>1287</v>
      </c>
    </row>
    <row r="379" spans="1:3" x14ac:dyDescent="0.25">
      <c r="A379" t="s">
        <v>3417</v>
      </c>
      <c r="B379" t="s">
        <v>3418</v>
      </c>
      <c r="C379" t="s">
        <v>1289</v>
      </c>
    </row>
    <row r="380" spans="1:3" x14ac:dyDescent="0.25">
      <c r="A380" t="s">
        <v>3419</v>
      </c>
      <c r="B380" t="s">
        <v>3420</v>
      </c>
      <c r="C380" t="s">
        <v>1291</v>
      </c>
    </row>
    <row r="381" spans="1:3" x14ac:dyDescent="0.25">
      <c r="A381" t="s">
        <v>3421</v>
      </c>
      <c r="B381" t="s">
        <v>3422</v>
      </c>
      <c r="C381" t="s">
        <v>1292</v>
      </c>
    </row>
    <row r="382" spans="1:3" x14ac:dyDescent="0.25">
      <c r="A382" t="s">
        <v>3423</v>
      </c>
      <c r="B382" t="s">
        <v>3424</v>
      </c>
      <c r="C382" t="s">
        <v>261</v>
      </c>
    </row>
    <row r="383" spans="1:3" x14ac:dyDescent="0.25">
      <c r="A383" t="s">
        <v>3425</v>
      </c>
      <c r="B383" t="s">
        <v>3426</v>
      </c>
      <c r="C383" t="s">
        <v>1294</v>
      </c>
    </row>
    <row r="384" spans="1:3" x14ac:dyDescent="0.25">
      <c r="A384" t="s">
        <v>3427</v>
      </c>
      <c r="B384" t="s">
        <v>3428</v>
      </c>
      <c r="C384" t="s">
        <v>1297</v>
      </c>
    </row>
    <row r="385" spans="1:3" x14ac:dyDescent="0.25">
      <c r="A385" t="s">
        <v>3429</v>
      </c>
      <c r="B385" t="s">
        <v>3430</v>
      </c>
      <c r="C385" t="s">
        <v>1298</v>
      </c>
    </row>
    <row r="386" spans="1:3" x14ac:dyDescent="0.25">
      <c r="A386" t="s">
        <v>3431</v>
      </c>
      <c r="B386" t="s">
        <v>3432</v>
      </c>
      <c r="C386" t="s">
        <v>1299</v>
      </c>
    </row>
    <row r="387" spans="1:3" x14ac:dyDescent="0.25">
      <c r="A387" t="s">
        <v>3433</v>
      </c>
      <c r="B387" t="s">
        <v>3434</v>
      </c>
      <c r="C387" t="s">
        <v>1301</v>
      </c>
    </row>
    <row r="388" spans="1:3" x14ac:dyDescent="0.25">
      <c r="A388" t="s">
        <v>3435</v>
      </c>
      <c r="B388" t="s">
        <v>3436</v>
      </c>
      <c r="C388" t="s">
        <v>1302</v>
      </c>
    </row>
    <row r="389" spans="1:3" x14ac:dyDescent="0.25">
      <c r="A389" t="s">
        <v>3437</v>
      </c>
      <c r="B389" t="s">
        <v>3438</v>
      </c>
      <c r="C389" t="s">
        <v>1305</v>
      </c>
    </row>
    <row r="390" spans="1:3" x14ac:dyDescent="0.25">
      <c r="A390" t="s">
        <v>3439</v>
      </c>
      <c r="B390" t="s">
        <v>3440</v>
      </c>
      <c r="C390" t="s">
        <v>1306</v>
      </c>
    </row>
    <row r="391" spans="1:3" x14ac:dyDescent="0.25">
      <c r="A391" t="s">
        <v>3441</v>
      </c>
      <c r="B391" t="s">
        <v>3442</v>
      </c>
      <c r="C391" t="s">
        <v>1307</v>
      </c>
    </row>
    <row r="392" spans="1:3" x14ac:dyDescent="0.25">
      <c r="A392" t="s">
        <v>3443</v>
      </c>
      <c r="B392" t="s">
        <v>3444</v>
      </c>
      <c r="C392" t="s">
        <v>1308</v>
      </c>
    </row>
    <row r="393" spans="1:3" x14ac:dyDescent="0.25">
      <c r="A393" t="s">
        <v>3445</v>
      </c>
      <c r="B393" t="s">
        <v>3446</v>
      </c>
      <c r="C393" t="s">
        <v>1309</v>
      </c>
    </row>
    <row r="394" spans="1:3" x14ac:dyDescent="0.25">
      <c r="A394" t="s">
        <v>3447</v>
      </c>
      <c r="B394" t="s">
        <v>3448</v>
      </c>
      <c r="C394" t="s">
        <v>1310</v>
      </c>
    </row>
    <row r="395" spans="1:3" x14ac:dyDescent="0.25">
      <c r="A395" t="s">
        <v>3449</v>
      </c>
      <c r="B395" t="s">
        <v>3450</v>
      </c>
      <c r="C395" t="s">
        <v>1311</v>
      </c>
    </row>
    <row r="396" spans="1:3" x14ac:dyDescent="0.25">
      <c r="A396" t="s">
        <v>3451</v>
      </c>
      <c r="B396" t="s">
        <v>3452</v>
      </c>
      <c r="C396" t="s">
        <v>1312</v>
      </c>
    </row>
    <row r="397" spans="1:3" x14ac:dyDescent="0.25">
      <c r="A397" t="s">
        <v>3453</v>
      </c>
      <c r="B397" t="s">
        <v>3454</v>
      </c>
      <c r="C397" t="s">
        <v>1313</v>
      </c>
    </row>
    <row r="398" spans="1:3" x14ac:dyDescent="0.25">
      <c r="A398" t="s">
        <v>3455</v>
      </c>
      <c r="B398" t="s">
        <v>3456</v>
      </c>
      <c r="C398" t="s">
        <v>1314</v>
      </c>
    </row>
    <row r="399" spans="1:3" x14ac:dyDescent="0.25">
      <c r="A399" t="s">
        <v>3457</v>
      </c>
      <c r="B399" t="s">
        <v>3458</v>
      </c>
      <c r="C399" t="s">
        <v>1315</v>
      </c>
    </row>
    <row r="400" spans="1:3" x14ac:dyDescent="0.25">
      <c r="A400" t="s">
        <v>3459</v>
      </c>
      <c r="B400" t="s">
        <v>3460</v>
      </c>
      <c r="C400" t="s">
        <v>1316</v>
      </c>
    </row>
    <row r="401" spans="1:3" x14ac:dyDescent="0.25">
      <c r="A401" t="s">
        <v>3461</v>
      </c>
      <c r="B401" t="s">
        <v>3462</v>
      </c>
      <c r="C401" t="s">
        <v>1317</v>
      </c>
    </row>
    <row r="402" spans="1:3" x14ac:dyDescent="0.25">
      <c r="A402" t="s">
        <v>3463</v>
      </c>
      <c r="B402" t="s">
        <v>3464</v>
      </c>
      <c r="C402" t="s">
        <v>1318</v>
      </c>
    </row>
    <row r="403" spans="1:3" x14ac:dyDescent="0.25">
      <c r="A403" t="s">
        <v>3465</v>
      </c>
      <c r="B403" t="s">
        <v>3466</v>
      </c>
      <c r="C403" t="s">
        <v>1320</v>
      </c>
    </row>
    <row r="404" spans="1:3" x14ac:dyDescent="0.25">
      <c r="A404" t="s">
        <v>3467</v>
      </c>
      <c r="B404" t="s">
        <v>3468</v>
      </c>
      <c r="C404" t="s">
        <v>3469</v>
      </c>
    </row>
    <row r="405" spans="1:3" x14ac:dyDescent="0.25">
      <c r="A405" t="s">
        <v>3470</v>
      </c>
      <c r="B405" t="s">
        <v>3471</v>
      </c>
      <c r="C405" t="s">
        <v>1322</v>
      </c>
    </row>
    <row r="406" spans="1:3" x14ac:dyDescent="0.25">
      <c r="A406" t="s">
        <v>3472</v>
      </c>
      <c r="B406" t="s">
        <v>3473</v>
      </c>
      <c r="C406" t="s">
        <v>1323</v>
      </c>
    </row>
    <row r="407" spans="1:3" x14ac:dyDescent="0.25">
      <c r="A407" t="s">
        <v>3474</v>
      </c>
      <c r="B407" t="s">
        <v>3475</v>
      </c>
      <c r="C407" t="s">
        <v>3476</v>
      </c>
    </row>
    <row r="408" spans="1:3" x14ac:dyDescent="0.25">
      <c r="A408" t="s">
        <v>3477</v>
      </c>
      <c r="B408" t="s">
        <v>3478</v>
      </c>
      <c r="C408" t="s">
        <v>3479</v>
      </c>
    </row>
    <row r="409" spans="1:3" x14ac:dyDescent="0.25">
      <c r="A409" t="s">
        <v>3480</v>
      </c>
      <c r="B409" t="s">
        <v>3481</v>
      </c>
      <c r="C409" t="s">
        <v>3482</v>
      </c>
    </row>
    <row r="410" spans="1:3" x14ac:dyDescent="0.25">
      <c r="A410" t="s">
        <v>3483</v>
      </c>
      <c r="B410" t="s">
        <v>3484</v>
      </c>
      <c r="C410" t="s">
        <v>1200</v>
      </c>
    </row>
    <row r="411" spans="1:3" x14ac:dyDescent="0.25">
      <c r="A411" t="s">
        <v>3485</v>
      </c>
      <c r="B411" t="s">
        <v>3486</v>
      </c>
      <c r="C411" t="s">
        <v>1327</v>
      </c>
    </row>
    <row r="412" spans="1:3" x14ac:dyDescent="0.25">
      <c r="A412" t="s">
        <v>3487</v>
      </c>
      <c r="B412" t="s">
        <v>3488</v>
      </c>
      <c r="C412" t="s">
        <v>222</v>
      </c>
    </row>
    <row r="413" spans="1:3" x14ac:dyDescent="0.25">
      <c r="A413" t="s">
        <v>3489</v>
      </c>
      <c r="B413" t="s">
        <v>3490</v>
      </c>
      <c r="C413" t="s">
        <v>1328</v>
      </c>
    </row>
    <row r="414" spans="1:3" x14ac:dyDescent="0.25">
      <c r="A414" t="s">
        <v>3491</v>
      </c>
      <c r="B414" t="s">
        <v>3492</v>
      </c>
      <c r="C414" t="s">
        <v>3493</v>
      </c>
    </row>
    <row r="415" spans="1:3" x14ac:dyDescent="0.25">
      <c r="A415" t="s">
        <v>3494</v>
      </c>
      <c r="B415" t="s">
        <v>3495</v>
      </c>
      <c r="C415" t="s">
        <v>3496</v>
      </c>
    </row>
    <row r="416" spans="1:3" x14ac:dyDescent="0.25">
      <c r="A416" t="s">
        <v>3497</v>
      </c>
      <c r="B416" t="s">
        <v>3498</v>
      </c>
      <c r="C416" t="s">
        <v>1331</v>
      </c>
    </row>
    <row r="417" spans="1:3" x14ac:dyDescent="0.25">
      <c r="A417" t="s">
        <v>3499</v>
      </c>
      <c r="B417" t="s">
        <v>3500</v>
      </c>
      <c r="C417" t="s">
        <v>1332</v>
      </c>
    </row>
    <row r="418" spans="1:3" x14ac:dyDescent="0.25">
      <c r="A418" t="s">
        <v>3501</v>
      </c>
      <c r="B418" t="s">
        <v>3502</v>
      </c>
      <c r="C418" t="s">
        <v>1333</v>
      </c>
    </row>
    <row r="419" spans="1:3" x14ac:dyDescent="0.25">
      <c r="A419" t="s">
        <v>3503</v>
      </c>
      <c r="B419" t="s">
        <v>3504</v>
      </c>
      <c r="C419" t="s">
        <v>1658</v>
      </c>
    </row>
    <row r="420" spans="1:3" x14ac:dyDescent="0.25">
      <c r="A420" t="s">
        <v>3505</v>
      </c>
      <c r="B420" t="s">
        <v>3506</v>
      </c>
      <c r="C420" t="s">
        <v>3507</v>
      </c>
    </row>
    <row r="421" spans="1:3" x14ac:dyDescent="0.25">
      <c r="A421" t="s">
        <v>3508</v>
      </c>
      <c r="B421" t="s">
        <v>3509</v>
      </c>
      <c r="C421" t="s">
        <v>234</v>
      </c>
    </row>
    <row r="422" spans="1:3" x14ac:dyDescent="0.25">
      <c r="A422" t="s">
        <v>3510</v>
      </c>
      <c r="B422" t="s">
        <v>3511</v>
      </c>
      <c r="C422" t="s">
        <v>1338</v>
      </c>
    </row>
    <row r="423" spans="1:3" x14ac:dyDescent="0.25">
      <c r="A423" t="s">
        <v>3512</v>
      </c>
      <c r="B423" t="s">
        <v>3513</v>
      </c>
      <c r="C423" t="s">
        <v>1341</v>
      </c>
    </row>
    <row r="424" spans="1:3" x14ac:dyDescent="0.25">
      <c r="A424" t="s">
        <v>3514</v>
      </c>
      <c r="B424" t="s">
        <v>3515</v>
      </c>
      <c r="C424" t="s">
        <v>1342</v>
      </c>
    </row>
    <row r="425" spans="1:3" x14ac:dyDescent="0.25">
      <c r="A425" t="s">
        <v>3516</v>
      </c>
      <c r="B425" t="s">
        <v>3517</v>
      </c>
      <c r="C425" t="s">
        <v>1343</v>
      </c>
    </row>
    <row r="426" spans="1:3" x14ac:dyDescent="0.25">
      <c r="A426" t="s">
        <v>3518</v>
      </c>
      <c r="B426" t="s">
        <v>3519</v>
      </c>
      <c r="C426" t="s">
        <v>1345</v>
      </c>
    </row>
    <row r="427" spans="1:3" x14ac:dyDescent="0.25">
      <c r="A427" t="s">
        <v>3520</v>
      </c>
      <c r="B427" t="s">
        <v>3521</v>
      </c>
      <c r="C427" t="s">
        <v>3522</v>
      </c>
    </row>
    <row r="428" spans="1:3" x14ac:dyDescent="0.25">
      <c r="A428" t="s">
        <v>3523</v>
      </c>
      <c r="B428" t="s">
        <v>3524</v>
      </c>
      <c r="C428" t="s">
        <v>1348</v>
      </c>
    </row>
    <row r="429" spans="1:3" x14ac:dyDescent="0.25">
      <c r="A429" t="s">
        <v>3525</v>
      </c>
      <c r="B429" t="s">
        <v>3526</v>
      </c>
      <c r="C429" t="s">
        <v>1349</v>
      </c>
    </row>
    <row r="430" spans="1:3" x14ac:dyDescent="0.25">
      <c r="A430" t="s">
        <v>3527</v>
      </c>
      <c r="B430" t="s">
        <v>3528</v>
      </c>
      <c r="C430" t="s">
        <v>1352</v>
      </c>
    </row>
    <row r="431" spans="1:3" x14ac:dyDescent="0.25">
      <c r="A431" t="s">
        <v>3529</v>
      </c>
      <c r="B431" t="s">
        <v>3530</v>
      </c>
      <c r="C431" t="s">
        <v>3531</v>
      </c>
    </row>
    <row r="432" spans="1:3" x14ac:dyDescent="0.25">
      <c r="A432" t="s">
        <v>3532</v>
      </c>
      <c r="B432" t="s">
        <v>3533</v>
      </c>
      <c r="C432" t="s">
        <v>190</v>
      </c>
    </row>
    <row r="433" spans="1:3" x14ac:dyDescent="0.25">
      <c r="A433" t="s">
        <v>3534</v>
      </c>
      <c r="B433" t="s">
        <v>3535</v>
      </c>
      <c r="C433" t="s">
        <v>3536</v>
      </c>
    </row>
    <row r="434" spans="1:3" x14ac:dyDescent="0.25">
      <c r="A434" t="s">
        <v>3537</v>
      </c>
      <c r="B434" t="s">
        <v>3538</v>
      </c>
      <c r="C434" t="s">
        <v>1355</v>
      </c>
    </row>
    <row r="435" spans="1:3" x14ac:dyDescent="0.25">
      <c r="A435" t="s">
        <v>3539</v>
      </c>
      <c r="B435" t="s">
        <v>3540</v>
      </c>
      <c r="C435" t="s">
        <v>3541</v>
      </c>
    </row>
    <row r="436" spans="1:3" x14ac:dyDescent="0.25">
      <c r="A436" t="s">
        <v>3542</v>
      </c>
      <c r="B436" t="s">
        <v>3543</v>
      </c>
      <c r="C436" t="s">
        <v>1357</v>
      </c>
    </row>
    <row r="437" spans="1:3" x14ac:dyDescent="0.25">
      <c r="A437" t="s">
        <v>3544</v>
      </c>
      <c r="B437" t="s">
        <v>3545</v>
      </c>
      <c r="C437" t="s">
        <v>1358</v>
      </c>
    </row>
    <row r="438" spans="1:3" x14ac:dyDescent="0.25">
      <c r="A438" t="s">
        <v>3546</v>
      </c>
      <c r="B438" t="s">
        <v>3547</v>
      </c>
      <c r="C438" t="s">
        <v>3548</v>
      </c>
    </row>
    <row r="439" spans="1:3" x14ac:dyDescent="0.25">
      <c r="A439" t="s">
        <v>3549</v>
      </c>
      <c r="B439" t="s">
        <v>3550</v>
      </c>
      <c r="C439" t="s">
        <v>1360</v>
      </c>
    </row>
    <row r="440" spans="1:3" x14ac:dyDescent="0.25">
      <c r="A440" t="s">
        <v>3551</v>
      </c>
      <c r="B440" t="s">
        <v>3552</v>
      </c>
      <c r="C440" t="s">
        <v>1361</v>
      </c>
    </row>
    <row r="441" spans="1:3" x14ac:dyDescent="0.25">
      <c r="A441" t="s">
        <v>3553</v>
      </c>
      <c r="B441" t="s">
        <v>3554</v>
      </c>
      <c r="C441" t="s">
        <v>3555</v>
      </c>
    </row>
    <row r="442" spans="1:3" x14ac:dyDescent="0.25">
      <c r="A442" t="s">
        <v>3556</v>
      </c>
      <c r="B442" t="s">
        <v>3557</v>
      </c>
      <c r="C442" t="s">
        <v>1363</v>
      </c>
    </row>
    <row r="443" spans="1:3" x14ac:dyDescent="0.25">
      <c r="A443" t="s">
        <v>3558</v>
      </c>
      <c r="B443" t="s">
        <v>3559</v>
      </c>
      <c r="C443" t="s">
        <v>3560</v>
      </c>
    </row>
    <row r="444" spans="1:3" x14ac:dyDescent="0.25">
      <c r="A444" t="s">
        <v>3561</v>
      </c>
      <c r="B444" t="s">
        <v>3562</v>
      </c>
      <c r="C444" t="s">
        <v>1365</v>
      </c>
    </row>
    <row r="445" spans="1:3" x14ac:dyDescent="0.25">
      <c r="A445" t="s">
        <v>3563</v>
      </c>
      <c r="B445" t="s">
        <v>3564</v>
      </c>
      <c r="C445" t="s">
        <v>1366</v>
      </c>
    </row>
    <row r="446" spans="1:3" x14ac:dyDescent="0.25">
      <c r="A446" t="s">
        <v>3565</v>
      </c>
      <c r="B446" t="s">
        <v>3566</v>
      </c>
      <c r="C446" t="s">
        <v>1367</v>
      </c>
    </row>
    <row r="447" spans="1:3" x14ac:dyDescent="0.25">
      <c r="A447" t="s">
        <v>3567</v>
      </c>
      <c r="B447" t="s">
        <v>3568</v>
      </c>
      <c r="C447" t="s">
        <v>1368</v>
      </c>
    </row>
    <row r="448" spans="1:3" x14ac:dyDescent="0.25">
      <c r="A448" t="s">
        <v>3569</v>
      </c>
      <c r="B448" t="s">
        <v>3570</v>
      </c>
      <c r="C448" t="s">
        <v>1369</v>
      </c>
    </row>
    <row r="449" spans="1:3" x14ac:dyDescent="0.25">
      <c r="A449" t="s">
        <v>3571</v>
      </c>
      <c r="B449" t="s">
        <v>3572</v>
      </c>
      <c r="C449" t="s">
        <v>1371</v>
      </c>
    </row>
    <row r="450" spans="1:3" x14ac:dyDescent="0.25">
      <c r="A450" t="s">
        <v>3573</v>
      </c>
      <c r="B450" t="s">
        <v>3574</v>
      </c>
      <c r="C450" t="s">
        <v>1372</v>
      </c>
    </row>
    <row r="451" spans="1:3" x14ac:dyDescent="0.25">
      <c r="A451" t="s">
        <v>3575</v>
      </c>
      <c r="B451" t="s">
        <v>3576</v>
      </c>
      <c r="C451" t="s">
        <v>1373</v>
      </c>
    </row>
    <row r="452" spans="1:3" x14ac:dyDescent="0.25">
      <c r="A452" t="s">
        <v>3577</v>
      </c>
      <c r="B452" t="s">
        <v>3578</v>
      </c>
      <c r="C452" t="s">
        <v>1374</v>
      </c>
    </row>
    <row r="453" spans="1:3" x14ac:dyDescent="0.25">
      <c r="A453" t="s">
        <v>3579</v>
      </c>
      <c r="B453" t="s">
        <v>3580</v>
      </c>
      <c r="C453" t="s">
        <v>1375</v>
      </c>
    </row>
    <row r="454" spans="1:3" x14ac:dyDescent="0.25">
      <c r="A454" t="s">
        <v>3581</v>
      </c>
      <c r="B454" t="s">
        <v>3582</v>
      </c>
      <c r="C454" t="s">
        <v>1377</v>
      </c>
    </row>
    <row r="455" spans="1:3" x14ac:dyDescent="0.25">
      <c r="A455" t="s">
        <v>3583</v>
      </c>
      <c r="B455" t="s">
        <v>3584</v>
      </c>
      <c r="C455" t="s">
        <v>1378</v>
      </c>
    </row>
    <row r="456" spans="1:3" x14ac:dyDescent="0.25">
      <c r="A456" t="s">
        <v>3585</v>
      </c>
      <c r="B456" t="s">
        <v>3586</v>
      </c>
      <c r="C456" t="s">
        <v>1379</v>
      </c>
    </row>
    <row r="457" spans="1:3" x14ac:dyDescent="0.25">
      <c r="A457" t="s">
        <v>3587</v>
      </c>
      <c r="B457" t="s">
        <v>3588</v>
      </c>
      <c r="C457" t="s">
        <v>1387</v>
      </c>
    </row>
    <row r="458" spans="1:3" x14ac:dyDescent="0.25">
      <c r="A458" t="s">
        <v>3589</v>
      </c>
      <c r="B458" t="s">
        <v>3590</v>
      </c>
      <c r="C458" t="s">
        <v>1388</v>
      </c>
    </row>
    <row r="459" spans="1:3" x14ac:dyDescent="0.25">
      <c r="A459" t="s">
        <v>3591</v>
      </c>
      <c r="B459" t="s">
        <v>3592</v>
      </c>
      <c r="C459" t="s">
        <v>1389</v>
      </c>
    </row>
    <row r="460" spans="1:3" x14ac:dyDescent="0.25">
      <c r="A460" t="s">
        <v>3593</v>
      </c>
      <c r="B460" t="s">
        <v>3594</v>
      </c>
      <c r="C460" t="s">
        <v>3595</v>
      </c>
    </row>
    <row r="461" spans="1:3" x14ac:dyDescent="0.25">
      <c r="A461" t="s">
        <v>3596</v>
      </c>
      <c r="B461" t="s">
        <v>3597</v>
      </c>
      <c r="C461" t="s">
        <v>1392</v>
      </c>
    </row>
    <row r="462" spans="1:3" x14ac:dyDescent="0.25">
      <c r="A462" t="s">
        <v>3598</v>
      </c>
      <c r="B462" t="s">
        <v>3599</v>
      </c>
      <c r="C462" t="s">
        <v>1393</v>
      </c>
    </row>
    <row r="463" spans="1:3" x14ac:dyDescent="0.25">
      <c r="A463" t="s">
        <v>3600</v>
      </c>
      <c r="B463" t="s">
        <v>3601</v>
      </c>
      <c r="C463" t="s">
        <v>1394</v>
      </c>
    </row>
    <row r="464" spans="1:3" x14ac:dyDescent="0.25">
      <c r="A464" t="s">
        <v>3602</v>
      </c>
      <c r="B464" t="s">
        <v>3603</v>
      </c>
      <c r="C464" t="s">
        <v>1396</v>
      </c>
    </row>
    <row r="465" spans="1:3" x14ac:dyDescent="0.25">
      <c r="A465" t="s">
        <v>3604</v>
      </c>
      <c r="B465" t="s">
        <v>3605</v>
      </c>
      <c r="C465" t="s">
        <v>1397</v>
      </c>
    </row>
    <row r="466" spans="1:3" x14ac:dyDescent="0.25">
      <c r="A466" t="s">
        <v>3606</v>
      </c>
      <c r="B466" t="s">
        <v>3607</v>
      </c>
      <c r="C466" t="s">
        <v>1398</v>
      </c>
    </row>
    <row r="467" spans="1:3" x14ac:dyDescent="0.25">
      <c r="A467" t="s">
        <v>3608</v>
      </c>
      <c r="B467" t="s">
        <v>3609</v>
      </c>
      <c r="C467" t="s">
        <v>149</v>
      </c>
    </row>
    <row r="468" spans="1:3" x14ac:dyDescent="0.25">
      <c r="A468" t="s">
        <v>3610</v>
      </c>
      <c r="B468" t="s">
        <v>3611</v>
      </c>
      <c r="C468" t="s">
        <v>1399</v>
      </c>
    </row>
    <row r="469" spans="1:3" x14ac:dyDescent="0.25">
      <c r="A469" t="s">
        <v>3612</v>
      </c>
      <c r="B469" t="s">
        <v>3613</v>
      </c>
      <c r="C469" t="s">
        <v>1400</v>
      </c>
    </row>
    <row r="470" spans="1:3" x14ac:dyDescent="0.25">
      <c r="A470" t="s">
        <v>3614</v>
      </c>
      <c r="B470" t="s">
        <v>3615</v>
      </c>
      <c r="C470" t="s">
        <v>1401</v>
      </c>
    </row>
    <row r="471" spans="1:3" x14ac:dyDescent="0.25">
      <c r="A471" t="s">
        <v>3616</v>
      </c>
      <c r="B471" t="s">
        <v>3617</v>
      </c>
      <c r="C471" t="s">
        <v>1402</v>
      </c>
    </row>
    <row r="472" spans="1:3" x14ac:dyDescent="0.25">
      <c r="A472" t="s">
        <v>3618</v>
      </c>
      <c r="B472" t="s">
        <v>3619</v>
      </c>
      <c r="C472" t="s">
        <v>3620</v>
      </c>
    </row>
    <row r="473" spans="1:3" x14ac:dyDescent="0.25">
      <c r="A473" t="s">
        <v>3621</v>
      </c>
      <c r="B473" t="s">
        <v>3622</v>
      </c>
      <c r="C473" t="s">
        <v>3623</v>
      </c>
    </row>
    <row r="474" spans="1:3" x14ac:dyDescent="0.25">
      <c r="A474" t="s">
        <v>3624</v>
      </c>
      <c r="B474" t="s">
        <v>3625</v>
      </c>
      <c r="C474" t="s">
        <v>1406</v>
      </c>
    </row>
    <row r="475" spans="1:3" x14ac:dyDescent="0.25">
      <c r="A475" t="s">
        <v>3626</v>
      </c>
      <c r="B475" t="s">
        <v>3627</v>
      </c>
      <c r="C475" t="s">
        <v>1407</v>
      </c>
    </row>
    <row r="476" spans="1:3" x14ac:dyDescent="0.25">
      <c r="A476" t="s">
        <v>3628</v>
      </c>
      <c r="B476" t="s">
        <v>3629</v>
      </c>
      <c r="C476" t="s">
        <v>3630</v>
      </c>
    </row>
    <row r="477" spans="1:3" x14ac:dyDescent="0.25">
      <c r="A477" t="s">
        <v>3631</v>
      </c>
      <c r="B477" t="s">
        <v>3632</v>
      </c>
      <c r="C477" t="s">
        <v>1410</v>
      </c>
    </row>
    <row r="478" spans="1:3" x14ac:dyDescent="0.25">
      <c r="A478" t="s">
        <v>3633</v>
      </c>
      <c r="B478" t="s">
        <v>3634</v>
      </c>
      <c r="C478" t="s">
        <v>1411</v>
      </c>
    </row>
    <row r="479" spans="1:3" x14ac:dyDescent="0.25">
      <c r="A479" t="s">
        <v>3635</v>
      </c>
      <c r="B479" t="s">
        <v>3636</v>
      </c>
      <c r="C479" t="s">
        <v>1412</v>
      </c>
    </row>
    <row r="480" spans="1:3" x14ac:dyDescent="0.25">
      <c r="A480" t="s">
        <v>3637</v>
      </c>
      <c r="B480" t="s">
        <v>3638</v>
      </c>
      <c r="C480" t="s">
        <v>160</v>
      </c>
    </row>
    <row r="481" spans="1:3" x14ac:dyDescent="0.25">
      <c r="A481" t="s">
        <v>3639</v>
      </c>
      <c r="B481" t="s">
        <v>3640</v>
      </c>
      <c r="C481" t="s">
        <v>1415</v>
      </c>
    </row>
    <row r="482" spans="1:3" x14ac:dyDescent="0.25">
      <c r="A482" t="s">
        <v>3641</v>
      </c>
      <c r="B482" t="s">
        <v>3642</v>
      </c>
      <c r="C482" t="s">
        <v>1416</v>
      </c>
    </row>
    <row r="483" spans="1:3" x14ac:dyDescent="0.25">
      <c r="A483" t="s">
        <v>3643</v>
      </c>
      <c r="B483" t="s">
        <v>3644</v>
      </c>
      <c r="C483" t="s">
        <v>1417</v>
      </c>
    </row>
    <row r="484" spans="1:3" x14ac:dyDescent="0.25">
      <c r="A484" t="s">
        <v>3645</v>
      </c>
      <c r="B484" t="s">
        <v>3646</v>
      </c>
      <c r="C484" t="s">
        <v>1418</v>
      </c>
    </row>
    <row r="485" spans="1:3" x14ac:dyDescent="0.25">
      <c r="A485" t="s">
        <v>3647</v>
      </c>
      <c r="B485" t="s">
        <v>3648</v>
      </c>
      <c r="C485" t="s">
        <v>3649</v>
      </c>
    </row>
    <row r="486" spans="1:3" x14ac:dyDescent="0.25">
      <c r="A486" t="s">
        <v>3650</v>
      </c>
      <c r="B486" t="s">
        <v>3651</v>
      </c>
      <c r="C486" t="s">
        <v>1420</v>
      </c>
    </row>
    <row r="487" spans="1:3" x14ac:dyDescent="0.25">
      <c r="A487" t="s">
        <v>3652</v>
      </c>
      <c r="B487" t="s">
        <v>3653</v>
      </c>
      <c r="C487" t="s">
        <v>1423</v>
      </c>
    </row>
    <row r="488" spans="1:3" x14ac:dyDescent="0.25">
      <c r="A488" t="s">
        <v>3654</v>
      </c>
      <c r="B488" t="s">
        <v>3655</v>
      </c>
      <c r="C488" t="s">
        <v>3656</v>
      </c>
    </row>
    <row r="489" spans="1:3" x14ac:dyDescent="0.25">
      <c r="A489" t="s">
        <v>3657</v>
      </c>
      <c r="B489" t="s">
        <v>3658</v>
      </c>
      <c r="C489" t="s">
        <v>1425</v>
      </c>
    </row>
    <row r="490" spans="1:3" x14ac:dyDescent="0.25">
      <c r="A490" t="s">
        <v>3659</v>
      </c>
      <c r="B490" t="s">
        <v>3660</v>
      </c>
      <c r="C490" t="s">
        <v>1426</v>
      </c>
    </row>
    <row r="491" spans="1:3" x14ac:dyDescent="0.25">
      <c r="A491" t="s">
        <v>3661</v>
      </c>
      <c r="B491" t="s">
        <v>3662</v>
      </c>
      <c r="C491" t="s">
        <v>138</v>
      </c>
    </row>
    <row r="492" spans="1:3" x14ac:dyDescent="0.25">
      <c r="A492" t="s">
        <v>3663</v>
      </c>
      <c r="B492" t="s">
        <v>3664</v>
      </c>
      <c r="C492" t="s">
        <v>1428</v>
      </c>
    </row>
    <row r="493" spans="1:3" x14ac:dyDescent="0.25">
      <c r="A493" t="s">
        <v>3665</v>
      </c>
      <c r="B493" t="s">
        <v>3666</v>
      </c>
      <c r="C493" t="s">
        <v>1429</v>
      </c>
    </row>
    <row r="494" spans="1:3" x14ac:dyDescent="0.25">
      <c r="A494" t="s">
        <v>3667</v>
      </c>
      <c r="B494" t="s">
        <v>3668</v>
      </c>
      <c r="C494" t="s">
        <v>1430</v>
      </c>
    </row>
    <row r="495" spans="1:3" x14ac:dyDescent="0.25">
      <c r="A495" t="s">
        <v>3669</v>
      </c>
      <c r="B495" t="s">
        <v>3670</v>
      </c>
      <c r="C495" t="s">
        <v>1431</v>
      </c>
    </row>
    <row r="496" spans="1:3" x14ac:dyDescent="0.25">
      <c r="A496" t="s">
        <v>3671</v>
      </c>
      <c r="B496" t="s">
        <v>3672</v>
      </c>
      <c r="C496" t="s">
        <v>1432</v>
      </c>
    </row>
    <row r="497" spans="1:3" x14ac:dyDescent="0.25">
      <c r="A497" t="s">
        <v>3673</v>
      </c>
      <c r="B497" t="s">
        <v>3674</v>
      </c>
      <c r="C497" t="s">
        <v>1433</v>
      </c>
    </row>
    <row r="498" spans="1:3" x14ac:dyDescent="0.25">
      <c r="A498" t="s">
        <v>3675</v>
      </c>
      <c r="B498" t="s">
        <v>3676</v>
      </c>
      <c r="C498" t="s">
        <v>1434</v>
      </c>
    </row>
    <row r="499" spans="1:3" x14ac:dyDescent="0.25">
      <c r="A499" t="s">
        <v>3677</v>
      </c>
      <c r="B499" t="s">
        <v>3678</v>
      </c>
      <c r="C499" t="s">
        <v>1435</v>
      </c>
    </row>
    <row r="500" spans="1:3" x14ac:dyDescent="0.25">
      <c r="A500" t="s">
        <v>3679</v>
      </c>
      <c r="B500" t="s">
        <v>3680</v>
      </c>
      <c r="C500" t="s">
        <v>245</v>
      </c>
    </row>
    <row r="501" spans="1:3" x14ac:dyDescent="0.25">
      <c r="A501" t="s">
        <v>3681</v>
      </c>
      <c r="B501" t="s">
        <v>3682</v>
      </c>
      <c r="C501" t="s">
        <v>1438</v>
      </c>
    </row>
    <row r="502" spans="1:3" x14ac:dyDescent="0.25">
      <c r="A502" t="s">
        <v>3683</v>
      </c>
      <c r="B502" t="s">
        <v>3684</v>
      </c>
      <c r="C502" t="s">
        <v>1439</v>
      </c>
    </row>
    <row r="503" spans="1:3" x14ac:dyDescent="0.25">
      <c r="A503" t="s">
        <v>3685</v>
      </c>
      <c r="B503" t="s">
        <v>3686</v>
      </c>
      <c r="C503" t="s">
        <v>1440</v>
      </c>
    </row>
    <row r="504" spans="1:3" x14ac:dyDescent="0.25">
      <c r="A504" t="s">
        <v>3687</v>
      </c>
      <c r="B504" t="s">
        <v>3688</v>
      </c>
      <c r="C504" t="s">
        <v>1441</v>
      </c>
    </row>
    <row r="505" spans="1:3" x14ac:dyDescent="0.25">
      <c r="A505" t="s">
        <v>3689</v>
      </c>
      <c r="B505" t="s">
        <v>3690</v>
      </c>
      <c r="C505" t="s">
        <v>1442</v>
      </c>
    </row>
    <row r="506" spans="1:3" x14ac:dyDescent="0.25">
      <c r="A506" t="s">
        <v>3691</v>
      </c>
      <c r="B506" t="s">
        <v>3692</v>
      </c>
      <c r="C506" t="s">
        <v>1443</v>
      </c>
    </row>
    <row r="507" spans="1:3" x14ac:dyDescent="0.25">
      <c r="A507" t="s">
        <v>3693</v>
      </c>
      <c r="B507" t="s">
        <v>3694</v>
      </c>
      <c r="C507" t="s">
        <v>1444</v>
      </c>
    </row>
    <row r="508" spans="1:3" x14ac:dyDescent="0.25">
      <c r="A508" t="s">
        <v>3695</v>
      </c>
      <c r="B508" t="s">
        <v>3696</v>
      </c>
      <c r="C508" t="s">
        <v>1445</v>
      </c>
    </row>
    <row r="509" spans="1:3" x14ac:dyDescent="0.25">
      <c r="A509" t="s">
        <v>3697</v>
      </c>
      <c r="B509" t="s">
        <v>3698</v>
      </c>
      <c r="C509" t="s">
        <v>1446</v>
      </c>
    </row>
    <row r="510" spans="1:3" x14ac:dyDescent="0.25">
      <c r="A510" t="s">
        <v>3699</v>
      </c>
      <c r="B510" t="s">
        <v>3700</v>
      </c>
      <c r="C510" t="s">
        <v>1447</v>
      </c>
    </row>
    <row r="511" spans="1:3" x14ac:dyDescent="0.25">
      <c r="A511" t="s">
        <v>3701</v>
      </c>
      <c r="B511" t="s">
        <v>3702</v>
      </c>
      <c r="C511" t="s">
        <v>1448</v>
      </c>
    </row>
    <row r="512" spans="1:3" x14ac:dyDescent="0.25">
      <c r="A512" t="s">
        <v>3703</v>
      </c>
      <c r="B512" t="s">
        <v>3704</v>
      </c>
      <c r="C512" t="s">
        <v>3705</v>
      </c>
    </row>
    <row r="513" spans="1:3" x14ac:dyDescent="0.25">
      <c r="A513" t="s">
        <v>3706</v>
      </c>
      <c r="B513" t="s">
        <v>3707</v>
      </c>
      <c r="C513" t="s">
        <v>3708</v>
      </c>
    </row>
    <row r="514" spans="1:3" x14ac:dyDescent="0.25">
      <c r="A514" t="s">
        <v>3709</v>
      </c>
      <c r="B514" t="s">
        <v>3710</v>
      </c>
      <c r="C514" t="s">
        <v>1451</v>
      </c>
    </row>
    <row r="515" spans="1:3" x14ac:dyDescent="0.25">
      <c r="A515" t="s">
        <v>3711</v>
      </c>
      <c r="B515" t="s">
        <v>3712</v>
      </c>
      <c r="C515" t="s">
        <v>1452</v>
      </c>
    </row>
    <row r="516" spans="1:3" x14ac:dyDescent="0.25">
      <c r="A516" t="s">
        <v>3713</v>
      </c>
      <c r="B516" t="s">
        <v>3714</v>
      </c>
      <c r="C516" t="s">
        <v>1453</v>
      </c>
    </row>
    <row r="517" spans="1:3" x14ac:dyDescent="0.25">
      <c r="A517" t="s">
        <v>3715</v>
      </c>
      <c r="B517" t="s">
        <v>3716</v>
      </c>
      <c r="C517" t="s">
        <v>1454</v>
      </c>
    </row>
    <row r="518" spans="1:3" x14ac:dyDescent="0.25">
      <c r="A518" t="s">
        <v>3717</v>
      </c>
      <c r="B518" t="s">
        <v>3718</v>
      </c>
      <c r="C518" t="s">
        <v>3719</v>
      </c>
    </row>
    <row r="519" spans="1:3" x14ac:dyDescent="0.25">
      <c r="A519" t="s">
        <v>3720</v>
      </c>
      <c r="B519" t="s">
        <v>3721</v>
      </c>
      <c r="C519" t="s">
        <v>1456</v>
      </c>
    </row>
    <row r="520" spans="1:3" x14ac:dyDescent="0.25">
      <c r="A520" t="s">
        <v>3722</v>
      </c>
      <c r="B520" t="s">
        <v>3723</v>
      </c>
      <c r="C520" t="s">
        <v>203</v>
      </c>
    </row>
    <row r="521" spans="1:3" x14ac:dyDescent="0.25">
      <c r="A521" t="s">
        <v>3724</v>
      </c>
      <c r="B521" t="s">
        <v>3725</v>
      </c>
      <c r="C521" t="s">
        <v>1457</v>
      </c>
    </row>
    <row r="522" spans="1:3" x14ac:dyDescent="0.25">
      <c r="A522" t="s">
        <v>3726</v>
      </c>
      <c r="B522" t="s">
        <v>3727</v>
      </c>
      <c r="C522" t="s">
        <v>1458</v>
      </c>
    </row>
    <row r="523" spans="1:3" x14ac:dyDescent="0.25">
      <c r="A523" t="s">
        <v>3728</v>
      </c>
      <c r="B523" t="s">
        <v>3729</v>
      </c>
      <c r="C523" t="s">
        <v>1459</v>
      </c>
    </row>
    <row r="524" spans="1:3" x14ac:dyDescent="0.25">
      <c r="A524" t="s">
        <v>3730</v>
      </c>
      <c r="B524" t="s">
        <v>3731</v>
      </c>
      <c r="C524" t="s">
        <v>1460</v>
      </c>
    </row>
    <row r="525" spans="1:3" x14ac:dyDescent="0.25">
      <c r="A525" t="s">
        <v>3732</v>
      </c>
      <c r="B525" t="s">
        <v>3733</v>
      </c>
      <c r="C525" t="s">
        <v>1461</v>
      </c>
    </row>
    <row r="526" spans="1:3" x14ac:dyDescent="0.25">
      <c r="A526" t="s">
        <v>3734</v>
      </c>
      <c r="B526" t="s">
        <v>3735</v>
      </c>
      <c r="C526" t="s">
        <v>1462</v>
      </c>
    </row>
    <row r="527" spans="1:3" x14ac:dyDescent="0.25">
      <c r="A527" t="s">
        <v>3736</v>
      </c>
      <c r="B527" t="s">
        <v>3737</v>
      </c>
      <c r="C527" t="s">
        <v>1467</v>
      </c>
    </row>
    <row r="528" spans="1:3" x14ac:dyDescent="0.25">
      <c r="A528" t="s">
        <v>3738</v>
      </c>
      <c r="B528" t="s">
        <v>3739</v>
      </c>
      <c r="C528" t="s">
        <v>1468</v>
      </c>
    </row>
    <row r="529" spans="1:3" x14ac:dyDescent="0.25">
      <c r="A529" t="s">
        <v>3740</v>
      </c>
      <c r="B529" t="s">
        <v>3741</v>
      </c>
      <c r="C529" t="s">
        <v>3742</v>
      </c>
    </row>
    <row r="530" spans="1:3" x14ac:dyDescent="0.25">
      <c r="A530" t="s">
        <v>3743</v>
      </c>
      <c r="B530" t="s">
        <v>3744</v>
      </c>
      <c r="C530" t="s">
        <v>1470</v>
      </c>
    </row>
    <row r="531" spans="1:3" x14ac:dyDescent="0.25">
      <c r="A531" t="s">
        <v>3745</v>
      </c>
      <c r="B531" t="s">
        <v>3746</v>
      </c>
      <c r="C531" t="s">
        <v>1471</v>
      </c>
    </row>
    <row r="532" spans="1:3" x14ac:dyDescent="0.25">
      <c r="A532" t="s">
        <v>3747</v>
      </c>
      <c r="B532" t="s">
        <v>3748</v>
      </c>
      <c r="C532" t="s">
        <v>1472</v>
      </c>
    </row>
    <row r="533" spans="1:3" x14ac:dyDescent="0.25">
      <c r="A533" t="s">
        <v>3749</v>
      </c>
      <c r="B533" t="s">
        <v>3750</v>
      </c>
      <c r="C533" t="s">
        <v>1476</v>
      </c>
    </row>
    <row r="534" spans="1:3" x14ac:dyDescent="0.25">
      <c r="A534" t="s">
        <v>3751</v>
      </c>
      <c r="B534" t="s">
        <v>3752</v>
      </c>
      <c r="C534" t="s">
        <v>1477</v>
      </c>
    </row>
    <row r="535" spans="1:3" x14ac:dyDescent="0.25">
      <c r="A535" t="s">
        <v>3753</v>
      </c>
      <c r="B535" t="s">
        <v>3754</v>
      </c>
      <c r="C535" t="s">
        <v>1478</v>
      </c>
    </row>
    <row r="536" spans="1:3" x14ac:dyDescent="0.25">
      <c r="A536" t="s">
        <v>3755</v>
      </c>
      <c r="B536" t="s">
        <v>3756</v>
      </c>
      <c r="C536" t="s">
        <v>3757</v>
      </c>
    </row>
    <row r="537" spans="1:3" x14ac:dyDescent="0.25">
      <c r="A537" t="s">
        <v>3758</v>
      </c>
      <c r="B537" t="s">
        <v>3759</v>
      </c>
      <c r="C537" t="s">
        <v>1480</v>
      </c>
    </row>
    <row r="538" spans="1:3" x14ac:dyDescent="0.25">
      <c r="A538" t="s">
        <v>3760</v>
      </c>
      <c r="B538" t="s">
        <v>3761</v>
      </c>
      <c r="C538" t="s">
        <v>1482</v>
      </c>
    </row>
    <row r="539" spans="1:3" x14ac:dyDescent="0.25">
      <c r="A539" t="s">
        <v>3762</v>
      </c>
      <c r="B539" t="s">
        <v>3763</v>
      </c>
      <c r="C539" t="s">
        <v>3764</v>
      </c>
    </row>
    <row r="540" spans="1:3" x14ac:dyDescent="0.25">
      <c r="A540" t="s">
        <v>3765</v>
      </c>
      <c r="B540" t="s">
        <v>3766</v>
      </c>
      <c r="C540" t="s">
        <v>1484</v>
      </c>
    </row>
    <row r="541" spans="1:3" x14ac:dyDescent="0.25">
      <c r="A541" t="s">
        <v>3767</v>
      </c>
      <c r="B541" t="s">
        <v>3768</v>
      </c>
      <c r="C541" t="s">
        <v>1486</v>
      </c>
    </row>
    <row r="542" spans="1:3" x14ac:dyDescent="0.25">
      <c r="A542" t="s">
        <v>3769</v>
      </c>
      <c r="B542" t="s">
        <v>3770</v>
      </c>
      <c r="C542" t="s">
        <v>1487</v>
      </c>
    </row>
    <row r="543" spans="1:3" x14ac:dyDescent="0.25">
      <c r="A543" t="s">
        <v>3771</v>
      </c>
      <c r="B543" t="s">
        <v>3772</v>
      </c>
      <c r="C543" t="s">
        <v>1488</v>
      </c>
    </row>
    <row r="544" spans="1:3" x14ac:dyDescent="0.25">
      <c r="A544" t="s">
        <v>3773</v>
      </c>
      <c r="B544" t="s">
        <v>3774</v>
      </c>
      <c r="C544" t="s">
        <v>1489</v>
      </c>
    </row>
    <row r="545" spans="1:3" x14ac:dyDescent="0.25">
      <c r="A545" t="s">
        <v>3775</v>
      </c>
      <c r="B545" t="s">
        <v>3776</v>
      </c>
      <c r="C545" t="s">
        <v>1490</v>
      </c>
    </row>
    <row r="546" spans="1:3" x14ac:dyDescent="0.25">
      <c r="A546" t="s">
        <v>3777</v>
      </c>
      <c r="B546" t="s">
        <v>3778</v>
      </c>
      <c r="C546" t="s">
        <v>1491</v>
      </c>
    </row>
    <row r="547" spans="1:3" x14ac:dyDescent="0.25">
      <c r="A547" t="s">
        <v>3779</v>
      </c>
      <c r="B547" t="s">
        <v>3780</v>
      </c>
      <c r="C547" t="s">
        <v>1493</v>
      </c>
    </row>
    <row r="548" spans="1:3" x14ac:dyDescent="0.25">
      <c r="A548" t="s">
        <v>3781</v>
      </c>
      <c r="B548" t="s">
        <v>3782</v>
      </c>
      <c r="C548" t="s">
        <v>1494</v>
      </c>
    </row>
    <row r="549" spans="1:3" x14ac:dyDescent="0.25">
      <c r="A549" t="s">
        <v>3783</v>
      </c>
      <c r="B549" t="s">
        <v>3784</v>
      </c>
      <c r="C549" t="s">
        <v>1495</v>
      </c>
    </row>
    <row r="550" spans="1:3" x14ac:dyDescent="0.25">
      <c r="A550" t="s">
        <v>3785</v>
      </c>
      <c r="B550" t="s">
        <v>3786</v>
      </c>
      <c r="C550" t="s">
        <v>1496</v>
      </c>
    </row>
    <row r="551" spans="1:3" x14ac:dyDescent="0.25">
      <c r="A551" t="s">
        <v>3787</v>
      </c>
      <c r="B551" t="s">
        <v>3788</v>
      </c>
      <c r="C551" t="s">
        <v>193</v>
      </c>
    </row>
    <row r="552" spans="1:3" x14ac:dyDescent="0.25">
      <c r="A552" t="s">
        <v>3789</v>
      </c>
      <c r="B552" t="s">
        <v>3790</v>
      </c>
      <c r="C552" t="s">
        <v>1497</v>
      </c>
    </row>
    <row r="553" spans="1:3" x14ac:dyDescent="0.25">
      <c r="A553" t="s">
        <v>3791</v>
      </c>
      <c r="B553" t="s">
        <v>3792</v>
      </c>
      <c r="C553" t="s">
        <v>1498</v>
      </c>
    </row>
    <row r="554" spans="1:3" x14ac:dyDescent="0.25">
      <c r="A554" t="s">
        <v>3793</v>
      </c>
      <c r="B554" t="s">
        <v>3794</v>
      </c>
      <c r="C554" t="s">
        <v>1500</v>
      </c>
    </row>
    <row r="555" spans="1:3" x14ac:dyDescent="0.25">
      <c r="A555" t="s">
        <v>3795</v>
      </c>
      <c r="B555" t="s">
        <v>3796</v>
      </c>
      <c r="C555" t="s">
        <v>1503</v>
      </c>
    </row>
    <row r="556" spans="1:3" x14ac:dyDescent="0.25">
      <c r="A556" t="s">
        <v>3797</v>
      </c>
      <c r="B556" t="s">
        <v>3798</v>
      </c>
      <c r="C556" t="s">
        <v>1504</v>
      </c>
    </row>
    <row r="557" spans="1:3" x14ac:dyDescent="0.25">
      <c r="A557" t="s">
        <v>3799</v>
      </c>
      <c r="B557" t="s">
        <v>3800</v>
      </c>
      <c r="C557" t="s">
        <v>3801</v>
      </c>
    </row>
    <row r="558" spans="1:3" x14ac:dyDescent="0.25">
      <c r="A558" t="s">
        <v>3802</v>
      </c>
      <c r="B558" t="s">
        <v>3803</v>
      </c>
      <c r="C558" t="s">
        <v>1506</v>
      </c>
    </row>
    <row r="559" spans="1:3" x14ac:dyDescent="0.25">
      <c r="A559" t="s">
        <v>3804</v>
      </c>
      <c r="B559" t="s">
        <v>3805</v>
      </c>
      <c r="C559" t="s">
        <v>1507</v>
      </c>
    </row>
    <row r="560" spans="1:3" x14ac:dyDescent="0.25">
      <c r="A560" t="s">
        <v>3806</v>
      </c>
      <c r="B560" t="s">
        <v>3807</v>
      </c>
      <c r="C560" t="s">
        <v>1509</v>
      </c>
    </row>
    <row r="561" spans="1:3" x14ac:dyDescent="0.25">
      <c r="A561" t="s">
        <v>3808</v>
      </c>
      <c r="B561" t="s">
        <v>3809</v>
      </c>
      <c r="C561" t="s">
        <v>1510</v>
      </c>
    </row>
    <row r="562" spans="1:3" x14ac:dyDescent="0.25">
      <c r="A562" t="s">
        <v>3810</v>
      </c>
      <c r="B562" t="s">
        <v>3811</v>
      </c>
      <c r="C562" t="s">
        <v>1511</v>
      </c>
    </row>
    <row r="563" spans="1:3" x14ac:dyDescent="0.25">
      <c r="A563" t="s">
        <v>3812</v>
      </c>
      <c r="B563" t="s">
        <v>3813</v>
      </c>
      <c r="C563" t="s">
        <v>1512</v>
      </c>
    </row>
    <row r="564" spans="1:3" x14ac:dyDescent="0.25">
      <c r="A564" t="s">
        <v>3814</v>
      </c>
      <c r="B564" t="s">
        <v>3815</v>
      </c>
      <c r="C564" t="s">
        <v>1513</v>
      </c>
    </row>
    <row r="565" spans="1:3" x14ac:dyDescent="0.25">
      <c r="A565" t="s">
        <v>3816</v>
      </c>
      <c r="B565" t="s">
        <v>3817</v>
      </c>
      <c r="C565" t="s">
        <v>1514</v>
      </c>
    </row>
    <row r="566" spans="1:3" x14ac:dyDescent="0.25">
      <c r="A566" t="s">
        <v>3818</v>
      </c>
      <c r="B566" t="s">
        <v>3819</v>
      </c>
      <c r="C566" t="s">
        <v>1515</v>
      </c>
    </row>
    <row r="567" spans="1:3" x14ac:dyDescent="0.25">
      <c r="A567" t="s">
        <v>3820</v>
      </c>
      <c r="B567" t="s">
        <v>3821</v>
      </c>
      <c r="C567" t="s">
        <v>1517</v>
      </c>
    </row>
    <row r="568" spans="1:3" x14ac:dyDescent="0.25">
      <c r="A568" t="s">
        <v>3822</v>
      </c>
      <c r="B568" t="s">
        <v>3823</v>
      </c>
      <c r="C568" t="s">
        <v>1518</v>
      </c>
    </row>
    <row r="569" spans="1:3" x14ac:dyDescent="0.25">
      <c r="A569" t="s">
        <v>3824</v>
      </c>
      <c r="B569" t="s">
        <v>3825</v>
      </c>
      <c r="C569" t="s">
        <v>1519</v>
      </c>
    </row>
    <row r="570" spans="1:3" x14ac:dyDescent="0.25">
      <c r="A570" t="s">
        <v>3826</v>
      </c>
      <c r="B570" t="s">
        <v>3827</v>
      </c>
      <c r="C570" t="s">
        <v>1520</v>
      </c>
    </row>
    <row r="571" spans="1:3" x14ac:dyDescent="0.25">
      <c r="A571" t="s">
        <v>3828</v>
      </c>
      <c r="B571" t="s">
        <v>3829</v>
      </c>
      <c r="C571" t="s">
        <v>3830</v>
      </c>
    </row>
    <row r="572" spans="1:3" x14ac:dyDescent="0.25">
      <c r="A572" t="s">
        <v>3831</v>
      </c>
      <c r="B572" t="s">
        <v>3832</v>
      </c>
      <c r="C572" t="s">
        <v>1530</v>
      </c>
    </row>
    <row r="573" spans="1:3" x14ac:dyDescent="0.25">
      <c r="A573" t="s">
        <v>3833</v>
      </c>
      <c r="B573" t="s">
        <v>3834</v>
      </c>
      <c r="C573" t="s">
        <v>1536</v>
      </c>
    </row>
    <row r="574" spans="1:3" x14ac:dyDescent="0.25">
      <c r="A574" t="s">
        <v>3835</v>
      </c>
      <c r="B574" t="s">
        <v>3836</v>
      </c>
      <c r="C574" t="s">
        <v>1539</v>
      </c>
    </row>
    <row r="575" spans="1:3" x14ac:dyDescent="0.25">
      <c r="A575" t="s">
        <v>3837</v>
      </c>
      <c r="B575" t="s">
        <v>3838</v>
      </c>
      <c r="C575" t="s">
        <v>1540</v>
      </c>
    </row>
    <row r="576" spans="1:3" x14ac:dyDescent="0.25">
      <c r="A576" t="s">
        <v>3839</v>
      </c>
      <c r="B576" t="s">
        <v>3840</v>
      </c>
      <c r="C576" t="s">
        <v>1542</v>
      </c>
    </row>
    <row r="577" spans="1:3" x14ac:dyDescent="0.25">
      <c r="A577" t="s">
        <v>3841</v>
      </c>
      <c r="B577" t="s">
        <v>3842</v>
      </c>
      <c r="C577" t="s">
        <v>1543</v>
      </c>
    </row>
    <row r="578" spans="1:3" x14ac:dyDescent="0.25">
      <c r="A578" t="s">
        <v>3843</v>
      </c>
      <c r="B578" t="s">
        <v>3844</v>
      </c>
      <c r="C578" t="s">
        <v>1547</v>
      </c>
    </row>
    <row r="579" spans="1:3" x14ac:dyDescent="0.25">
      <c r="A579" t="s">
        <v>3845</v>
      </c>
      <c r="B579" t="s">
        <v>3846</v>
      </c>
      <c r="C579" t="s">
        <v>1549</v>
      </c>
    </row>
    <row r="580" spans="1:3" x14ac:dyDescent="0.25">
      <c r="A580" t="s">
        <v>3847</v>
      </c>
      <c r="B580" t="s">
        <v>3848</v>
      </c>
      <c r="C580" t="s">
        <v>3849</v>
      </c>
    </row>
    <row r="581" spans="1:3" x14ac:dyDescent="0.25">
      <c r="A581" t="s">
        <v>3850</v>
      </c>
      <c r="B581" t="s">
        <v>3851</v>
      </c>
      <c r="C581" t="s">
        <v>3852</v>
      </c>
    </row>
    <row r="582" spans="1:3" x14ac:dyDescent="0.25">
      <c r="A582" t="s">
        <v>3853</v>
      </c>
      <c r="B582" t="s">
        <v>3854</v>
      </c>
      <c r="C582" t="s">
        <v>3855</v>
      </c>
    </row>
    <row r="583" spans="1:3" x14ac:dyDescent="0.25">
      <c r="A583" t="s">
        <v>3856</v>
      </c>
      <c r="B583" t="s">
        <v>3857</v>
      </c>
      <c r="C583" t="s">
        <v>1557</v>
      </c>
    </row>
    <row r="584" spans="1:3" x14ac:dyDescent="0.25">
      <c r="A584" t="s">
        <v>3858</v>
      </c>
      <c r="B584" t="s">
        <v>3859</v>
      </c>
      <c r="C584" t="s">
        <v>1558</v>
      </c>
    </row>
    <row r="585" spans="1:3" x14ac:dyDescent="0.25">
      <c r="A585" t="s">
        <v>3860</v>
      </c>
      <c r="B585" t="s">
        <v>3861</v>
      </c>
      <c r="C585" t="s">
        <v>1562</v>
      </c>
    </row>
    <row r="586" spans="1:3" x14ac:dyDescent="0.25">
      <c r="A586" t="s">
        <v>3862</v>
      </c>
      <c r="B586" t="s">
        <v>3863</v>
      </c>
      <c r="C586" t="s">
        <v>1563</v>
      </c>
    </row>
    <row r="587" spans="1:3" x14ac:dyDescent="0.25">
      <c r="A587" t="s">
        <v>3864</v>
      </c>
      <c r="B587" t="s">
        <v>3865</v>
      </c>
      <c r="C587" t="s">
        <v>1564</v>
      </c>
    </row>
    <row r="588" spans="1:3" x14ac:dyDescent="0.25">
      <c r="A588" t="s">
        <v>3866</v>
      </c>
      <c r="B588" t="s">
        <v>3867</v>
      </c>
      <c r="C588" t="s">
        <v>1565</v>
      </c>
    </row>
    <row r="589" spans="1:3" x14ac:dyDescent="0.25">
      <c r="A589" t="s">
        <v>3868</v>
      </c>
      <c r="B589" t="s">
        <v>3869</v>
      </c>
      <c r="C589" t="s">
        <v>1566</v>
      </c>
    </row>
    <row r="590" spans="1:3" x14ac:dyDescent="0.25">
      <c r="A590" t="s">
        <v>3870</v>
      </c>
      <c r="B590" t="s">
        <v>3871</v>
      </c>
      <c r="C590" t="s">
        <v>1567</v>
      </c>
    </row>
    <row r="591" spans="1:3" x14ac:dyDescent="0.25">
      <c r="A591" t="s">
        <v>3872</v>
      </c>
      <c r="B591" t="s">
        <v>3873</v>
      </c>
      <c r="C591" t="s">
        <v>3874</v>
      </c>
    </row>
    <row r="592" spans="1:3" x14ac:dyDescent="0.25">
      <c r="A592" t="s">
        <v>3875</v>
      </c>
      <c r="B592" t="s">
        <v>3876</v>
      </c>
      <c r="C592" t="s">
        <v>1242</v>
      </c>
    </row>
    <row r="593" spans="1:3" x14ac:dyDescent="0.25">
      <c r="A593" t="s">
        <v>3877</v>
      </c>
      <c r="B593" t="s">
        <v>3878</v>
      </c>
      <c r="C593" t="s">
        <v>1571</v>
      </c>
    </row>
    <row r="594" spans="1:3" x14ac:dyDescent="0.25">
      <c r="A594" t="s">
        <v>3879</v>
      </c>
      <c r="B594" t="s">
        <v>3880</v>
      </c>
      <c r="C594" t="s">
        <v>1574</v>
      </c>
    </row>
    <row r="595" spans="1:3" x14ac:dyDescent="0.25">
      <c r="A595" t="s">
        <v>3881</v>
      </c>
      <c r="B595" t="s">
        <v>3882</v>
      </c>
      <c r="C595" t="s">
        <v>1575</v>
      </c>
    </row>
    <row r="596" spans="1:3" x14ac:dyDescent="0.25">
      <c r="A596" t="s">
        <v>3883</v>
      </c>
      <c r="B596" t="s">
        <v>3884</v>
      </c>
      <c r="C596" t="s">
        <v>1577</v>
      </c>
    </row>
    <row r="597" spans="1:3" x14ac:dyDescent="0.25">
      <c r="A597" t="s">
        <v>3885</v>
      </c>
      <c r="B597" t="s">
        <v>3886</v>
      </c>
      <c r="C597" t="s">
        <v>1580</v>
      </c>
    </row>
    <row r="598" spans="1:3" x14ac:dyDescent="0.25">
      <c r="A598" t="s">
        <v>3887</v>
      </c>
      <c r="B598" t="s">
        <v>3888</v>
      </c>
      <c r="C598" t="s">
        <v>1581</v>
      </c>
    </row>
    <row r="599" spans="1:3" x14ac:dyDescent="0.25">
      <c r="A599" t="s">
        <v>3889</v>
      </c>
      <c r="B599" t="s">
        <v>3890</v>
      </c>
      <c r="C599" t="s">
        <v>1582</v>
      </c>
    </row>
    <row r="600" spans="1:3" x14ac:dyDescent="0.25">
      <c r="A600" t="s">
        <v>3891</v>
      </c>
      <c r="B600" t="s">
        <v>3892</v>
      </c>
      <c r="C600" t="s">
        <v>1583</v>
      </c>
    </row>
    <row r="601" spans="1:3" x14ac:dyDescent="0.25">
      <c r="A601" t="s">
        <v>3893</v>
      </c>
      <c r="B601" t="s">
        <v>3894</v>
      </c>
      <c r="C601" t="s">
        <v>1586</v>
      </c>
    </row>
    <row r="602" spans="1:3" x14ac:dyDescent="0.25">
      <c r="A602" t="s">
        <v>3895</v>
      </c>
      <c r="B602" t="s">
        <v>3896</v>
      </c>
      <c r="C602" t="s">
        <v>1587</v>
      </c>
    </row>
    <row r="603" spans="1:3" x14ac:dyDescent="0.25">
      <c r="A603" t="s">
        <v>3897</v>
      </c>
      <c r="B603" t="s">
        <v>3898</v>
      </c>
      <c r="C603" t="s">
        <v>1591</v>
      </c>
    </row>
    <row r="604" spans="1:3" x14ac:dyDescent="0.25">
      <c r="A604" t="s">
        <v>3899</v>
      </c>
      <c r="B604" t="s">
        <v>3900</v>
      </c>
      <c r="C604" t="s">
        <v>1592</v>
      </c>
    </row>
    <row r="605" spans="1:3" x14ac:dyDescent="0.25">
      <c r="A605" t="s">
        <v>3901</v>
      </c>
      <c r="B605" t="s">
        <v>3902</v>
      </c>
      <c r="C605" t="s">
        <v>1593</v>
      </c>
    </row>
    <row r="606" spans="1:3" x14ac:dyDescent="0.25">
      <c r="A606" t="s">
        <v>3903</v>
      </c>
      <c r="B606" t="s">
        <v>3904</v>
      </c>
      <c r="C606" t="s">
        <v>1594</v>
      </c>
    </row>
    <row r="607" spans="1:3" x14ac:dyDescent="0.25">
      <c r="A607" t="s">
        <v>3905</v>
      </c>
      <c r="B607" t="s">
        <v>3906</v>
      </c>
      <c r="C607" t="s">
        <v>1595</v>
      </c>
    </row>
    <row r="608" spans="1:3" x14ac:dyDescent="0.25">
      <c r="A608" t="s">
        <v>3907</v>
      </c>
      <c r="B608" t="s">
        <v>3908</v>
      </c>
      <c r="C608" t="s">
        <v>1596</v>
      </c>
    </row>
    <row r="609" spans="1:3" x14ac:dyDescent="0.25">
      <c r="A609" t="s">
        <v>3909</v>
      </c>
      <c r="B609" t="s">
        <v>3910</v>
      </c>
      <c r="C609" t="s">
        <v>1597</v>
      </c>
    </row>
    <row r="610" spans="1:3" x14ac:dyDescent="0.25">
      <c r="A610" t="s">
        <v>3911</v>
      </c>
      <c r="B610" t="s">
        <v>3912</v>
      </c>
      <c r="C610" t="s">
        <v>1598</v>
      </c>
    </row>
    <row r="611" spans="1:3" x14ac:dyDescent="0.25">
      <c r="A611" t="s">
        <v>3913</v>
      </c>
      <c r="B611" t="s">
        <v>3914</v>
      </c>
      <c r="C611" t="s">
        <v>1599</v>
      </c>
    </row>
    <row r="612" spans="1:3" x14ac:dyDescent="0.25">
      <c r="A612" t="s">
        <v>3915</v>
      </c>
      <c r="B612" t="s">
        <v>3916</v>
      </c>
      <c r="C612" t="s">
        <v>1600</v>
      </c>
    </row>
    <row r="613" spans="1:3" x14ac:dyDescent="0.25">
      <c r="A613" t="s">
        <v>3917</v>
      </c>
      <c r="B613" t="s">
        <v>3918</v>
      </c>
      <c r="C613" t="s">
        <v>1601</v>
      </c>
    </row>
    <row r="614" spans="1:3" x14ac:dyDescent="0.25">
      <c r="A614" t="s">
        <v>3919</v>
      </c>
      <c r="B614" t="s">
        <v>3920</v>
      </c>
      <c r="C614" t="s">
        <v>1603</v>
      </c>
    </row>
    <row r="615" spans="1:3" x14ac:dyDescent="0.25">
      <c r="A615" t="s">
        <v>3921</v>
      </c>
      <c r="B615" t="s">
        <v>3922</v>
      </c>
      <c r="C615" t="s">
        <v>3923</v>
      </c>
    </row>
    <row r="616" spans="1:3" x14ac:dyDescent="0.25">
      <c r="A616" t="s">
        <v>3924</v>
      </c>
      <c r="B616" t="s">
        <v>3925</v>
      </c>
      <c r="C616" t="s">
        <v>1607</v>
      </c>
    </row>
    <row r="617" spans="1:3" x14ac:dyDescent="0.25">
      <c r="A617" t="s">
        <v>3926</v>
      </c>
      <c r="B617" t="s">
        <v>3927</v>
      </c>
      <c r="C617" t="s">
        <v>1609</v>
      </c>
    </row>
    <row r="618" spans="1:3" x14ac:dyDescent="0.25">
      <c r="A618" t="s">
        <v>3928</v>
      </c>
      <c r="B618" t="s">
        <v>3929</v>
      </c>
      <c r="C618" t="s">
        <v>3930</v>
      </c>
    </row>
    <row r="619" spans="1:3" x14ac:dyDescent="0.25">
      <c r="A619" t="s">
        <v>3931</v>
      </c>
      <c r="B619" t="s">
        <v>3932</v>
      </c>
      <c r="C619" t="s">
        <v>3933</v>
      </c>
    </row>
    <row r="620" spans="1:3" x14ac:dyDescent="0.25">
      <c r="A620" t="s">
        <v>3934</v>
      </c>
      <c r="B620" t="s">
        <v>3935</v>
      </c>
      <c r="C620" t="s">
        <v>3936</v>
      </c>
    </row>
    <row r="621" spans="1:3" x14ac:dyDescent="0.25">
      <c r="A621" t="s">
        <v>3937</v>
      </c>
      <c r="B621" t="s">
        <v>3938</v>
      </c>
      <c r="C621" t="s">
        <v>1616</v>
      </c>
    </row>
    <row r="622" spans="1:3" x14ac:dyDescent="0.25">
      <c r="A622" t="s">
        <v>3939</v>
      </c>
      <c r="B622" t="s">
        <v>3940</v>
      </c>
      <c r="C622" t="s">
        <v>3941</v>
      </c>
    </row>
    <row r="623" spans="1:3" x14ac:dyDescent="0.25">
      <c r="A623" t="s">
        <v>3942</v>
      </c>
      <c r="B623" t="s">
        <v>3943</v>
      </c>
      <c r="C623" t="s">
        <v>3944</v>
      </c>
    </row>
    <row r="624" spans="1:3" x14ac:dyDescent="0.25">
      <c r="A624" t="s">
        <v>3945</v>
      </c>
      <c r="B624" t="s">
        <v>3946</v>
      </c>
      <c r="C624" t="s">
        <v>3947</v>
      </c>
    </row>
    <row r="625" spans="1:3" x14ac:dyDescent="0.25">
      <c r="A625" t="s">
        <v>3948</v>
      </c>
      <c r="B625" t="s">
        <v>3949</v>
      </c>
      <c r="C625" t="s">
        <v>1621</v>
      </c>
    </row>
    <row r="626" spans="1:3" x14ac:dyDescent="0.25">
      <c r="A626" t="s">
        <v>3950</v>
      </c>
      <c r="B626" t="s">
        <v>3951</v>
      </c>
      <c r="C626" t="s">
        <v>3952</v>
      </c>
    </row>
    <row r="627" spans="1:3" x14ac:dyDescent="0.25">
      <c r="A627" t="s">
        <v>3953</v>
      </c>
      <c r="B627" t="s">
        <v>3954</v>
      </c>
      <c r="C627" t="s">
        <v>1623</v>
      </c>
    </row>
    <row r="628" spans="1:3" x14ac:dyDescent="0.25">
      <c r="A628" t="s">
        <v>3955</v>
      </c>
      <c r="B628" t="s">
        <v>3956</v>
      </c>
      <c r="C628" t="s">
        <v>1624</v>
      </c>
    </row>
    <row r="629" spans="1:3" x14ac:dyDescent="0.25">
      <c r="A629" t="s">
        <v>3957</v>
      </c>
      <c r="B629" t="s">
        <v>3958</v>
      </c>
      <c r="C629" t="s">
        <v>1625</v>
      </c>
    </row>
    <row r="630" spans="1:3" x14ac:dyDescent="0.25">
      <c r="A630" t="s">
        <v>3959</v>
      </c>
      <c r="B630" t="s">
        <v>3960</v>
      </c>
      <c r="C630" t="s">
        <v>1627</v>
      </c>
    </row>
    <row r="631" spans="1:3" x14ac:dyDescent="0.25">
      <c r="A631" t="s">
        <v>3961</v>
      </c>
      <c r="B631" t="s">
        <v>3962</v>
      </c>
      <c r="C631" t="s">
        <v>1629</v>
      </c>
    </row>
    <row r="632" spans="1:3" x14ac:dyDescent="0.25">
      <c r="A632" t="s">
        <v>3963</v>
      </c>
      <c r="B632" t="s">
        <v>3964</v>
      </c>
      <c r="C632" t="s">
        <v>3965</v>
      </c>
    </row>
    <row r="633" spans="1:3" x14ac:dyDescent="0.25">
      <c r="A633" t="s">
        <v>3966</v>
      </c>
      <c r="B633" t="s">
        <v>3967</v>
      </c>
      <c r="C633" t="s">
        <v>1631</v>
      </c>
    </row>
    <row r="634" spans="1:3" x14ac:dyDescent="0.25">
      <c r="A634" t="s">
        <v>3968</v>
      </c>
      <c r="B634" t="s">
        <v>3969</v>
      </c>
      <c r="C634" t="s">
        <v>166</v>
      </c>
    </row>
    <row r="635" spans="1:3" x14ac:dyDescent="0.25">
      <c r="A635" t="s">
        <v>3970</v>
      </c>
      <c r="B635" t="s">
        <v>3971</v>
      </c>
      <c r="C635" t="s">
        <v>1632</v>
      </c>
    </row>
    <row r="636" spans="1:3" x14ac:dyDescent="0.25">
      <c r="A636" t="s">
        <v>3972</v>
      </c>
      <c r="B636" t="s">
        <v>3973</v>
      </c>
      <c r="C636" t="s">
        <v>1633</v>
      </c>
    </row>
    <row r="637" spans="1:3" x14ac:dyDescent="0.25">
      <c r="A637" t="s">
        <v>3974</v>
      </c>
      <c r="B637" t="s">
        <v>3975</v>
      </c>
      <c r="C637" t="s">
        <v>1634</v>
      </c>
    </row>
    <row r="638" spans="1:3" x14ac:dyDescent="0.25">
      <c r="A638" t="s">
        <v>3976</v>
      </c>
      <c r="B638" t="s">
        <v>3977</v>
      </c>
      <c r="C638" t="s">
        <v>3978</v>
      </c>
    </row>
    <row r="639" spans="1:3" x14ac:dyDescent="0.25">
      <c r="A639" t="s">
        <v>3979</v>
      </c>
      <c r="B639" t="s">
        <v>3980</v>
      </c>
      <c r="C639" t="s">
        <v>1636</v>
      </c>
    </row>
    <row r="640" spans="1:3" x14ac:dyDescent="0.25">
      <c r="A640" t="s">
        <v>3981</v>
      </c>
      <c r="B640" t="s">
        <v>3982</v>
      </c>
      <c r="C640" t="s">
        <v>1637</v>
      </c>
    </row>
    <row r="641" spans="1:3" x14ac:dyDescent="0.25">
      <c r="A641" t="s">
        <v>3983</v>
      </c>
      <c r="B641" t="s">
        <v>3984</v>
      </c>
      <c r="C641" t="s">
        <v>1638</v>
      </c>
    </row>
    <row r="642" spans="1:3" x14ac:dyDescent="0.25">
      <c r="A642" t="s">
        <v>3985</v>
      </c>
      <c r="B642" t="s">
        <v>3986</v>
      </c>
      <c r="C642" t="s">
        <v>1231</v>
      </c>
    </row>
    <row r="643" spans="1:3" x14ac:dyDescent="0.25">
      <c r="A643" t="s">
        <v>3987</v>
      </c>
      <c r="B643" t="s">
        <v>3988</v>
      </c>
      <c r="C643" t="s">
        <v>1641</v>
      </c>
    </row>
    <row r="644" spans="1:3" x14ac:dyDescent="0.25">
      <c r="A644" t="s">
        <v>3989</v>
      </c>
      <c r="B644" t="s">
        <v>3990</v>
      </c>
      <c r="C644" t="s">
        <v>1642</v>
      </c>
    </row>
    <row r="645" spans="1:3" x14ac:dyDescent="0.25">
      <c r="A645" t="s">
        <v>3991</v>
      </c>
      <c r="B645" t="s">
        <v>3992</v>
      </c>
      <c r="C645" t="s">
        <v>3993</v>
      </c>
    </row>
    <row r="646" spans="1:3" x14ac:dyDescent="0.25">
      <c r="A646" t="s">
        <v>3994</v>
      </c>
      <c r="B646" t="s">
        <v>3995</v>
      </c>
      <c r="C646" t="s">
        <v>1644</v>
      </c>
    </row>
    <row r="647" spans="1:3" x14ac:dyDescent="0.25">
      <c r="A647" t="s">
        <v>3996</v>
      </c>
      <c r="B647" t="s">
        <v>3997</v>
      </c>
      <c r="C647" t="s">
        <v>1645</v>
      </c>
    </row>
    <row r="648" spans="1:3" x14ac:dyDescent="0.25">
      <c r="A648" t="s">
        <v>3998</v>
      </c>
      <c r="B648" t="s">
        <v>3999</v>
      </c>
      <c r="C648" t="s">
        <v>1646</v>
      </c>
    </row>
    <row r="649" spans="1:3" x14ac:dyDescent="0.25">
      <c r="A649" t="s">
        <v>4000</v>
      </c>
      <c r="B649" t="s">
        <v>4001</v>
      </c>
      <c r="C649" t="s">
        <v>1647</v>
      </c>
    </row>
    <row r="650" spans="1:3" x14ac:dyDescent="0.25">
      <c r="A650" t="s">
        <v>4002</v>
      </c>
      <c r="B650" t="s">
        <v>4003</v>
      </c>
      <c r="C650" t="s">
        <v>1648</v>
      </c>
    </row>
    <row r="651" spans="1:3" x14ac:dyDescent="0.25">
      <c r="A651" t="s">
        <v>4004</v>
      </c>
      <c r="B651" t="s">
        <v>4005</v>
      </c>
      <c r="C651" t="s">
        <v>1649</v>
      </c>
    </row>
    <row r="652" spans="1:3" x14ac:dyDescent="0.25">
      <c r="A652" t="s">
        <v>4006</v>
      </c>
      <c r="B652" t="s">
        <v>4007</v>
      </c>
      <c r="C652" t="s">
        <v>4008</v>
      </c>
    </row>
    <row r="653" spans="1:3" x14ac:dyDescent="0.25">
      <c r="A653" t="s">
        <v>4009</v>
      </c>
      <c r="B653" t="s">
        <v>4010</v>
      </c>
      <c r="C653" t="s">
        <v>1651</v>
      </c>
    </row>
    <row r="654" spans="1:3" x14ac:dyDescent="0.25">
      <c r="A654" t="s">
        <v>4011</v>
      </c>
      <c r="B654" t="s">
        <v>4012</v>
      </c>
      <c r="C654" t="s">
        <v>1652</v>
      </c>
    </row>
    <row r="655" spans="1:3" x14ac:dyDescent="0.25">
      <c r="A655" t="s">
        <v>4013</v>
      </c>
      <c r="B655" t="s">
        <v>4014</v>
      </c>
      <c r="C655" t="s">
        <v>1653</v>
      </c>
    </row>
    <row r="656" spans="1:3" x14ac:dyDescent="0.25">
      <c r="A656" t="s">
        <v>4015</v>
      </c>
      <c r="B656" t="s">
        <v>4016</v>
      </c>
      <c r="C656" t="s">
        <v>1655</v>
      </c>
    </row>
    <row r="657" spans="1:3" x14ac:dyDescent="0.25">
      <c r="A657" t="s">
        <v>4017</v>
      </c>
      <c r="B657" t="s">
        <v>4018</v>
      </c>
      <c r="C657" t="s">
        <v>1658</v>
      </c>
    </row>
    <row r="658" spans="1:3" x14ac:dyDescent="0.25">
      <c r="A658" t="s">
        <v>4019</v>
      </c>
      <c r="B658" t="s">
        <v>4020</v>
      </c>
      <c r="C658" t="s">
        <v>1659</v>
      </c>
    </row>
    <row r="659" spans="1:3" x14ac:dyDescent="0.25">
      <c r="A659" t="s">
        <v>4021</v>
      </c>
      <c r="B659" t="s">
        <v>4022</v>
      </c>
      <c r="C659" t="s">
        <v>4023</v>
      </c>
    </row>
    <row r="660" spans="1:3" x14ac:dyDescent="0.25">
      <c r="A660" t="s">
        <v>4024</v>
      </c>
      <c r="B660" t="s">
        <v>4025</v>
      </c>
      <c r="C660" t="s">
        <v>2408</v>
      </c>
    </row>
    <row r="661" spans="1:3" x14ac:dyDescent="0.25">
      <c r="A661" t="s">
        <v>4026</v>
      </c>
      <c r="B661" t="s">
        <v>4027</v>
      </c>
      <c r="C661" t="s">
        <v>2413</v>
      </c>
    </row>
    <row r="662" spans="1:3" x14ac:dyDescent="0.25">
      <c r="A662" t="s">
        <v>4028</v>
      </c>
      <c r="B662" t="s">
        <v>4029</v>
      </c>
      <c r="C662" t="s">
        <v>1664</v>
      </c>
    </row>
    <row r="663" spans="1:3" x14ac:dyDescent="0.25">
      <c r="A663" t="s">
        <v>4030</v>
      </c>
      <c r="B663" t="s">
        <v>4031</v>
      </c>
      <c r="C663" t="s">
        <v>196</v>
      </c>
    </row>
    <row r="664" spans="1:3" x14ac:dyDescent="0.25">
      <c r="A664" t="s">
        <v>4032</v>
      </c>
      <c r="B664" t="s">
        <v>4033</v>
      </c>
      <c r="C664" t="s">
        <v>1667</v>
      </c>
    </row>
    <row r="665" spans="1:3" x14ac:dyDescent="0.25">
      <c r="A665" t="s">
        <v>4034</v>
      </c>
      <c r="B665" t="s">
        <v>4035</v>
      </c>
      <c r="C665" t="s">
        <v>1673</v>
      </c>
    </row>
    <row r="666" spans="1:3" x14ac:dyDescent="0.25">
      <c r="A666" t="s">
        <v>4036</v>
      </c>
      <c r="B666" t="s">
        <v>4037</v>
      </c>
      <c r="C666" t="s">
        <v>1675</v>
      </c>
    </row>
    <row r="667" spans="1:3" x14ac:dyDescent="0.25">
      <c r="A667" t="s">
        <v>4038</v>
      </c>
      <c r="B667" t="s">
        <v>4039</v>
      </c>
      <c r="C667" t="s">
        <v>1676</v>
      </c>
    </row>
    <row r="668" spans="1:3" x14ac:dyDescent="0.25">
      <c r="A668" t="s">
        <v>4040</v>
      </c>
      <c r="B668" t="s">
        <v>4041</v>
      </c>
      <c r="C668" t="s">
        <v>4042</v>
      </c>
    </row>
    <row r="669" spans="1:3" x14ac:dyDescent="0.25">
      <c r="A669" t="s">
        <v>4043</v>
      </c>
      <c r="B669" t="s">
        <v>4044</v>
      </c>
      <c r="C669" t="s">
        <v>1678</v>
      </c>
    </row>
    <row r="670" spans="1:3" x14ac:dyDescent="0.25">
      <c r="A670" t="s">
        <v>4045</v>
      </c>
      <c r="B670" t="s">
        <v>4046</v>
      </c>
      <c r="C670" t="s">
        <v>1679</v>
      </c>
    </row>
    <row r="671" spans="1:3" x14ac:dyDescent="0.25">
      <c r="A671" t="s">
        <v>4047</v>
      </c>
      <c r="B671" t="s">
        <v>4048</v>
      </c>
      <c r="C671" t="s">
        <v>1683</v>
      </c>
    </row>
    <row r="672" spans="1:3" x14ac:dyDescent="0.25">
      <c r="A672" t="s">
        <v>4049</v>
      </c>
      <c r="B672" t="s">
        <v>4050</v>
      </c>
      <c r="C672" t="s">
        <v>1684</v>
      </c>
    </row>
    <row r="673" spans="1:3" x14ac:dyDescent="0.25">
      <c r="A673" t="s">
        <v>4051</v>
      </c>
      <c r="B673" t="s">
        <v>4052</v>
      </c>
      <c r="C673" t="s">
        <v>1685</v>
      </c>
    </row>
    <row r="674" spans="1:3" x14ac:dyDescent="0.25">
      <c r="A674" t="s">
        <v>4053</v>
      </c>
      <c r="B674" t="s">
        <v>4054</v>
      </c>
      <c r="C674" t="s">
        <v>1686</v>
      </c>
    </row>
    <row r="675" spans="1:3" x14ac:dyDescent="0.25">
      <c r="A675" t="s">
        <v>4055</v>
      </c>
      <c r="B675" t="s">
        <v>4056</v>
      </c>
      <c r="C675" t="s">
        <v>1689</v>
      </c>
    </row>
    <row r="676" spans="1:3" x14ac:dyDescent="0.25">
      <c r="A676" t="s">
        <v>4057</v>
      </c>
      <c r="B676" t="s">
        <v>4058</v>
      </c>
      <c r="C676" t="s">
        <v>1690</v>
      </c>
    </row>
    <row r="677" spans="1:3" x14ac:dyDescent="0.25">
      <c r="A677" t="s">
        <v>4059</v>
      </c>
      <c r="B677" t="s">
        <v>4060</v>
      </c>
      <c r="C677" t="s">
        <v>1691</v>
      </c>
    </row>
    <row r="678" spans="1:3" x14ac:dyDescent="0.25">
      <c r="A678" t="s">
        <v>4061</v>
      </c>
      <c r="B678" t="s">
        <v>4062</v>
      </c>
      <c r="C678" t="s">
        <v>4063</v>
      </c>
    </row>
    <row r="679" spans="1:3" x14ac:dyDescent="0.25">
      <c r="A679" t="s">
        <v>4064</v>
      </c>
      <c r="B679" t="s">
        <v>4065</v>
      </c>
      <c r="C679" t="s">
        <v>1694</v>
      </c>
    </row>
    <row r="680" spans="1:3" x14ac:dyDescent="0.25">
      <c r="A680" t="s">
        <v>4066</v>
      </c>
      <c r="B680" t="s">
        <v>4067</v>
      </c>
      <c r="C680" t="s">
        <v>1695</v>
      </c>
    </row>
    <row r="681" spans="1:3" x14ac:dyDescent="0.25">
      <c r="A681" t="s">
        <v>4068</v>
      </c>
      <c r="B681" t="s">
        <v>4069</v>
      </c>
      <c r="C681" t="s">
        <v>1696</v>
      </c>
    </row>
    <row r="682" spans="1:3" x14ac:dyDescent="0.25">
      <c r="A682" t="s">
        <v>4070</v>
      </c>
      <c r="B682" t="s">
        <v>4071</v>
      </c>
      <c r="C682" t="s">
        <v>1697</v>
      </c>
    </row>
    <row r="683" spans="1:3" x14ac:dyDescent="0.25">
      <c r="A683" t="s">
        <v>4072</v>
      </c>
      <c r="B683" t="s">
        <v>4073</v>
      </c>
      <c r="C683" t="s">
        <v>1698</v>
      </c>
    </row>
    <row r="684" spans="1:3" x14ac:dyDescent="0.25">
      <c r="A684" t="s">
        <v>4074</v>
      </c>
      <c r="B684" t="s">
        <v>4075</v>
      </c>
      <c r="C684" t="s">
        <v>1699</v>
      </c>
    </row>
    <row r="685" spans="1:3" x14ac:dyDescent="0.25">
      <c r="A685" t="s">
        <v>4076</v>
      </c>
      <c r="B685" t="s">
        <v>4077</v>
      </c>
      <c r="C685" t="s">
        <v>1700</v>
      </c>
    </row>
    <row r="686" spans="1:3" x14ac:dyDescent="0.25">
      <c r="A686" t="s">
        <v>4078</v>
      </c>
      <c r="B686" t="s">
        <v>4079</v>
      </c>
      <c r="C686" t="s">
        <v>1702</v>
      </c>
    </row>
    <row r="687" spans="1:3" x14ac:dyDescent="0.25">
      <c r="A687" t="s">
        <v>4080</v>
      </c>
      <c r="B687" t="s">
        <v>4081</v>
      </c>
      <c r="C687" t="s">
        <v>1703</v>
      </c>
    </row>
    <row r="688" spans="1:3" x14ac:dyDescent="0.25">
      <c r="A688" t="s">
        <v>4082</v>
      </c>
      <c r="B688" t="s">
        <v>4083</v>
      </c>
      <c r="C688" t="s">
        <v>4084</v>
      </c>
    </row>
    <row r="689" spans="1:3" x14ac:dyDescent="0.25">
      <c r="A689" t="s">
        <v>4085</v>
      </c>
      <c r="B689" t="s">
        <v>4086</v>
      </c>
      <c r="C689" t="s">
        <v>1705</v>
      </c>
    </row>
    <row r="690" spans="1:3" x14ac:dyDescent="0.25">
      <c r="A690" t="s">
        <v>4087</v>
      </c>
      <c r="B690" t="s">
        <v>4088</v>
      </c>
      <c r="C690" t="s">
        <v>1706</v>
      </c>
    </row>
    <row r="691" spans="1:3" x14ac:dyDescent="0.25">
      <c r="A691" t="s">
        <v>4089</v>
      </c>
      <c r="B691" t="s">
        <v>4090</v>
      </c>
      <c r="C691" t="s">
        <v>1707</v>
      </c>
    </row>
    <row r="692" spans="1:3" x14ac:dyDescent="0.25">
      <c r="A692" t="s">
        <v>4091</v>
      </c>
      <c r="B692" t="s">
        <v>4092</v>
      </c>
      <c r="C692" t="s">
        <v>1708</v>
      </c>
    </row>
    <row r="693" spans="1:3" x14ac:dyDescent="0.25">
      <c r="A693" t="s">
        <v>4093</v>
      </c>
      <c r="B693" t="s">
        <v>4094</v>
      </c>
      <c r="C693" t="s">
        <v>1712</v>
      </c>
    </row>
    <row r="694" spans="1:3" x14ac:dyDescent="0.25">
      <c r="A694" t="s">
        <v>4095</v>
      </c>
      <c r="B694" t="s">
        <v>4096</v>
      </c>
      <c r="C694" t="s">
        <v>1713</v>
      </c>
    </row>
    <row r="695" spans="1:3" x14ac:dyDescent="0.25">
      <c r="A695" t="s">
        <v>4097</v>
      </c>
      <c r="B695" t="s">
        <v>4098</v>
      </c>
      <c r="C695" t="s">
        <v>1718</v>
      </c>
    </row>
    <row r="696" spans="1:3" x14ac:dyDescent="0.25">
      <c r="A696" t="s">
        <v>4099</v>
      </c>
      <c r="B696" t="s">
        <v>4100</v>
      </c>
      <c r="C696" t="s">
        <v>1719</v>
      </c>
    </row>
    <row r="697" spans="1:3" x14ac:dyDescent="0.25">
      <c r="A697" t="s">
        <v>4101</v>
      </c>
      <c r="B697" t="s">
        <v>4102</v>
      </c>
      <c r="C697" t="s">
        <v>1720</v>
      </c>
    </row>
    <row r="698" spans="1:3" x14ac:dyDescent="0.25">
      <c r="A698" t="s">
        <v>4103</v>
      </c>
      <c r="B698" t="s">
        <v>4104</v>
      </c>
      <c r="C698" t="s">
        <v>4105</v>
      </c>
    </row>
    <row r="699" spans="1:3" x14ac:dyDescent="0.25">
      <c r="A699" t="s">
        <v>4106</v>
      </c>
      <c r="B699" t="s">
        <v>4107</v>
      </c>
      <c r="C699" t="s">
        <v>4108</v>
      </c>
    </row>
    <row r="700" spans="1:3" x14ac:dyDescent="0.25">
      <c r="A700" t="s">
        <v>4109</v>
      </c>
      <c r="B700" t="s">
        <v>4110</v>
      </c>
      <c r="C700" t="s">
        <v>1725</v>
      </c>
    </row>
    <row r="701" spans="1:3" x14ac:dyDescent="0.25">
      <c r="A701" t="s">
        <v>4111</v>
      </c>
      <c r="B701" t="s">
        <v>4112</v>
      </c>
      <c r="C701" t="s">
        <v>1726</v>
      </c>
    </row>
    <row r="702" spans="1:3" x14ac:dyDescent="0.25">
      <c r="A702" t="s">
        <v>4113</v>
      </c>
      <c r="B702" t="s">
        <v>4114</v>
      </c>
      <c r="C702" t="s">
        <v>4115</v>
      </c>
    </row>
    <row r="703" spans="1:3" x14ac:dyDescent="0.25">
      <c r="A703" t="s">
        <v>4116</v>
      </c>
      <c r="B703" t="s">
        <v>4117</v>
      </c>
      <c r="C703" t="s">
        <v>1729</v>
      </c>
    </row>
    <row r="704" spans="1:3" x14ac:dyDescent="0.25">
      <c r="A704" t="s">
        <v>4118</v>
      </c>
      <c r="B704" t="s">
        <v>4119</v>
      </c>
      <c r="C704" t="s">
        <v>4120</v>
      </c>
    </row>
    <row r="705" spans="1:3" x14ac:dyDescent="0.25">
      <c r="A705" t="s">
        <v>4121</v>
      </c>
      <c r="B705" t="s">
        <v>4122</v>
      </c>
      <c r="C705" t="s">
        <v>4123</v>
      </c>
    </row>
    <row r="706" spans="1:3" x14ac:dyDescent="0.25">
      <c r="A706" t="s">
        <v>4124</v>
      </c>
      <c r="B706" t="s">
        <v>4125</v>
      </c>
      <c r="C706" t="s">
        <v>1735</v>
      </c>
    </row>
    <row r="707" spans="1:3" x14ac:dyDescent="0.25">
      <c r="A707" t="s">
        <v>4126</v>
      </c>
      <c r="B707" t="s">
        <v>4127</v>
      </c>
      <c r="C707" t="s">
        <v>1736</v>
      </c>
    </row>
    <row r="708" spans="1:3" x14ac:dyDescent="0.25">
      <c r="A708" t="s">
        <v>4128</v>
      </c>
      <c r="B708" t="s">
        <v>4129</v>
      </c>
      <c r="C708" t="s">
        <v>1737</v>
      </c>
    </row>
    <row r="709" spans="1:3" x14ac:dyDescent="0.25">
      <c r="A709" t="s">
        <v>4130</v>
      </c>
      <c r="B709" t="s">
        <v>4131</v>
      </c>
      <c r="C709" t="s">
        <v>1738</v>
      </c>
    </row>
    <row r="710" spans="1:3" x14ac:dyDescent="0.25">
      <c r="A710" t="s">
        <v>4132</v>
      </c>
      <c r="B710" t="s">
        <v>4133</v>
      </c>
      <c r="C710" t="s">
        <v>1739</v>
      </c>
    </row>
    <row r="711" spans="1:3" x14ac:dyDescent="0.25">
      <c r="A711" t="s">
        <v>4134</v>
      </c>
      <c r="B711" t="s">
        <v>4135</v>
      </c>
      <c r="C711" t="s">
        <v>1740</v>
      </c>
    </row>
    <row r="712" spans="1:3" x14ac:dyDescent="0.25">
      <c r="A712" t="s">
        <v>4136</v>
      </c>
      <c r="B712" t="s">
        <v>4137</v>
      </c>
      <c r="C712" t="s">
        <v>1744</v>
      </c>
    </row>
    <row r="713" spans="1:3" x14ac:dyDescent="0.25">
      <c r="A713" t="s">
        <v>4138</v>
      </c>
      <c r="B713" t="s">
        <v>4139</v>
      </c>
      <c r="C713" t="s">
        <v>1745</v>
      </c>
    </row>
    <row r="714" spans="1:3" x14ac:dyDescent="0.25">
      <c r="A714" t="s">
        <v>4140</v>
      </c>
      <c r="B714" t="s">
        <v>4141</v>
      </c>
      <c r="C714" t="s">
        <v>1746</v>
      </c>
    </row>
    <row r="715" spans="1:3" x14ac:dyDescent="0.25">
      <c r="A715" t="s">
        <v>4142</v>
      </c>
      <c r="B715" t="s">
        <v>4143</v>
      </c>
      <c r="C715" t="s">
        <v>1747</v>
      </c>
    </row>
    <row r="716" spans="1:3" x14ac:dyDescent="0.25">
      <c r="A716" t="s">
        <v>4144</v>
      </c>
      <c r="B716" t="s">
        <v>4145</v>
      </c>
      <c r="C716" t="s">
        <v>1748</v>
      </c>
    </row>
    <row r="717" spans="1:3" x14ac:dyDescent="0.25">
      <c r="A717" t="s">
        <v>4146</v>
      </c>
      <c r="B717" t="s">
        <v>4147</v>
      </c>
      <c r="C717" t="s">
        <v>1749</v>
      </c>
    </row>
    <row r="718" spans="1:3" x14ac:dyDescent="0.25">
      <c r="A718" t="s">
        <v>4148</v>
      </c>
      <c r="B718" t="s">
        <v>4149</v>
      </c>
      <c r="C718" t="s">
        <v>1750</v>
      </c>
    </row>
    <row r="719" spans="1:3" x14ac:dyDescent="0.25">
      <c r="A719" t="s">
        <v>4150</v>
      </c>
      <c r="B719" t="s">
        <v>4151</v>
      </c>
      <c r="C719" t="s">
        <v>1751</v>
      </c>
    </row>
    <row r="720" spans="1:3" x14ac:dyDescent="0.25">
      <c r="A720" t="s">
        <v>4152</v>
      </c>
      <c r="B720" t="s">
        <v>4153</v>
      </c>
      <c r="C720" t="s">
        <v>1752</v>
      </c>
    </row>
    <row r="721" spans="1:3" x14ac:dyDescent="0.25">
      <c r="A721" t="s">
        <v>4154</v>
      </c>
      <c r="B721" t="s">
        <v>4155</v>
      </c>
      <c r="C721" t="s">
        <v>1753</v>
      </c>
    </row>
    <row r="722" spans="1:3" x14ac:dyDescent="0.25">
      <c r="A722" t="s">
        <v>4156</v>
      </c>
      <c r="B722" t="s">
        <v>4157</v>
      </c>
      <c r="C722" t="s">
        <v>1754</v>
      </c>
    </row>
    <row r="723" spans="1:3" x14ac:dyDescent="0.25">
      <c r="A723" t="s">
        <v>4158</v>
      </c>
      <c r="B723" t="s">
        <v>4159</v>
      </c>
      <c r="C723" t="s">
        <v>1757</v>
      </c>
    </row>
    <row r="724" spans="1:3" x14ac:dyDescent="0.25">
      <c r="A724" t="s">
        <v>4160</v>
      </c>
      <c r="B724" t="s">
        <v>4161</v>
      </c>
      <c r="C724" t="s">
        <v>1758</v>
      </c>
    </row>
    <row r="725" spans="1:3" x14ac:dyDescent="0.25">
      <c r="A725" t="s">
        <v>4162</v>
      </c>
      <c r="B725" t="s">
        <v>4163</v>
      </c>
      <c r="C725" t="s">
        <v>1759</v>
      </c>
    </row>
    <row r="726" spans="1:3" x14ac:dyDescent="0.25">
      <c r="A726" t="s">
        <v>4164</v>
      </c>
      <c r="B726" t="s">
        <v>4165</v>
      </c>
      <c r="C726" t="s">
        <v>1760</v>
      </c>
    </row>
    <row r="727" spans="1:3" x14ac:dyDescent="0.25">
      <c r="A727" t="s">
        <v>4166</v>
      </c>
      <c r="B727" t="s">
        <v>4167</v>
      </c>
      <c r="C727" t="s">
        <v>1761</v>
      </c>
    </row>
    <row r="728" spans="1:3" x14ac:dyDescent="0.25">
      <c r="A728" t="s">
        <v>4168</v>
      </c>
      <c r="B728" t="s">
        <v>4169</v>
      </c>
      <c r="C728" t="s">
        <v>1762</v>
      </c>
    </row>
    <row r="729" spans="1:3" x14ac:dyDescent="0.25">
      <c r="A729" t="s">
        <v>4170</v>
      </c>
      <c r="B729" t="s">
        <v>4171</v>
      </c>
      <c r="C729" t="s">
        <v>1763</v>
      </c>
    </row>
    <row r="730" spans="1:3" x14ac:dyDescent="0.25">
      <c r="A730" t="s">
        <v>4172</v>
      </c>
      <c r="B730" t="s">
        <v>4173</v>
      </c>
      <c r="C730" t="s">
        <v>4174</v>
      </c>
    </row>
    <row r="731" spans="1:3" x14ac:dyDescent="0.25">
      <c r="A731" t="s">
        <v>4175</v>
      </c>
      <c r="B731" t="s">
        <v>4176</v>
      </c>
      <c r="C731" t="s">
        <v>1767</v>
      </c>
    </row>
    <row r="732" spans="1:3" x14ac:dyDescent="0.25">
      <c r="A732" t="s">
        <v>4177</v>
      </c>
      <c r="B732" t="s">
        <v>4178</v>
      </c>
      <c r="C732" t="s">
        <v>1768</v>
      </c>
    </row>
    <row r="733" spans="1:3" x14ac:dyDescent="0.25">
      <c r="A733" t="s">
        <v>4179</v>
      </c>
      <c r="B733" t="s">
        <v>4180</v>
      </c>
      <c r="C733" t="s">
        <v>1769</v>
      </c>
    </row>
    <row r="734" spans="1:3" x14ac:dyDescent="0.25">
      <c r="A734" t="s">
        <v>4181</v>
      </c>
      <c r="B734" t="s">
        <v>4182</v>
      </c>
      <c r="C734" t="s">
        <v>1770</v>
      </c>
    </row>
    <row r="735" spans="1:3" x14ac:dyDescent="0.25">
      <c r="A735" t="s">
        <v>4183</v>
      </c>
      <c r="B735" t="s">
        <v>4184</v>
      </c>
      <c r="C735" t="s">
        <v>1381</v>
      </c>
    </row>
    <row r="736" spans="1:3" x14ac:dyDescent="0.25">
      <c r="A736" t="s">
        <v>4185</v>
      </c>
      <c r="B736" t="s">
        <v>4186</v>
      </c>
      <c r="C736" t="s">
        <v>1773</v>
      </c>
    </row>
    <row r="737" spans="1:3" x14ac:dyDescent="0.25">
      <c r="A737" t="s">
        <v>4187</v>
      </c>
      <c r="B737" t="s">
        <v>4188</v>
      </c>
      <c r="C737" t="s">
        <v>1473</v>
      </c>
    </row>
    <row r="738" spans="1:3" x14ac:dyDescent="0.25">
      <c r="A738" t="s">
        <v>4189</v>
      </c>
      <c r="B738" t="s">
        <v>4190</v>
      </c>
      <c r="C738" t="s">
        <v>1774</v>
      </c>
    </row>
    <row r="739" spans="1:3" x14ac:dyDescent="0.25">
      <c r="A739" t="s">
        <v>4191</v>
      </c>
      <c r="B739" t="s">
        <v>4192</v>
      </c>
      <c r="C739" t="s">
        <v>1776</v>
      </c>
    </row>
    <row r="740" spans="1:3" x14ac:dyDescent="0.25">
      <c r="A740" t="s">
        <v>4193</v>
      </c>
      <c r="B740" t="s">
        <v>4194</v>
      </c>
      <c r="C740" t="s">
        <v>1778</v>
      </c>
    </row>
    <row r="741" spans="1:3" x14ac:dyDescent="0.25">
      <c r="A741" t="s">
        <v>4195</v>
      </c>
      <c r="B741" t="s">
        <v>4196</v>
      </c>
      <c r="C741" t="s">
        <v>1779</v>
      </c>
    </row>
    <row r="742" spans="1:3" x14ac:dyDescent="0.25">
      <c r="A742" t="s">
        <v>4197</v>
      </c>
      <c r="B742" t="s">
        <v>4198</v>
      </c>
      <c r="C742" t="s">
        <v>1780</v>
      </c>
    </row>
    <row r="743" spans="1:3" x14ac:dyDescent="0.25">
      <c r="A743" t="s">
        <v>4199</v>
      </c>
      <c r="B743" t="s">
        <v>4200</v>
      </c>
      <c r="C743" t="s">
        <v>1781</v>
      </c>
    </row>
    <row r="744" spans="1:3" x14ac:dyDescent="0.25">
      <c r="A744" t="s">
        <v>4201</v>
      </c>
      <c r="B744" t="s">
        <v>4202</v>
      </c>
      <c r="C744" t="s">
        <v>1783</v>
      </c>
    </row>
    <row r="745" spans="1:3" x14ac:dyDescent="0.25">
      <c r="A745" t="s">
        <v>4203</v>
      </c>
      <c r="B745" t="s">
        <v>4204</v>
      </c>
      <c r="C745" t="s">
        <v>1784</v>
      </c>
    </row>
    <row r="746" spans="1:3" x14ac:dyDescent="0.25">
      <c r="A746" t="s">
        <v>4205</v>
      </c>
      <c r="B746" t="s">
        <v>4206</v>
      </c>
      <c r="C746" t="s">
        <v>1785</v>
      </c>
    </row>
    <row r="747" spans="1:3" x14ac:dyDescent="0.25">
      <c r="A747" t="s">
        <v>4207</v>
      </c>
      <c r="B747" t="s">
        <v>4208</v>
      </c>
      <c r="C747" t="s">
        <v>1786</v>
      </c>
    </row>
    <row r="748" spans="1:3" x14ac:dyDescent="0.25">
      <c r="A748" t="s">
        <v>4209</v>
      </c>
      <c r="B748" t="s">
        <v>4210</v>
      </c>
      <c r="C748" t="s">
        <v>1787</v>
      </c>
    </row>
    <row r="749" spans="1:3" x14ac:dyDescent="0.25">
      <c r="A749" t="s">
        <v>4211</v>
      </c>
      <c r="B749" t="s">
        <v>4212</v>
      </c>
      <c r="C749" t="s">
        <v>1788</v>
      </c>
    </row>
    <row r="750" spans="1:3" x14ac:dyDescent="0.25">
      <c r="A750" t="s">
        <v>4213</v>
      </c>
      <c r="B750" t="s">
        <v>4214</v>
      </c>
      <c r="C750" t="s">
        <v>1789</v>
      </c>
    </row>
    <row r="751" spans="1:3" x14ac:dyDescent="0.25">
      <c r="A751" t="s">
        <v>4215</v>
      </c>
      <c r="B751" t="s">
        <v>4216</v>
      </c>
      <c r="C751" t="s">
        <v>1790</v>
      </c>
    </row>
    <row r="752" spans="1:3" x14ac:dyDescent="0.25">
      <c r="A752" t="s">
        <v>4217</v>
      </c>
      <c r="B752" t="s">
        <v>4218</v>
      </c>
      <c r="C752" t="s">
        <v>1791</v>
      </c>
    </row>
    <row r="753" spans="1:3" x14ac:dyDescent="0.25">
      <c r="A753" t="s">
        <v>4219</v>
      </c>
      <c r="B753" t="s">
        <v>4220</v>
      </c>
      <c r="C753" t="s">
        <v>1792</v>
      </c>
    </row>
    <row r="754" spans="1:3" x14ac:dyDescent="0.25">
      <c r="A754" t="s">
        <v>4221</v>
      </c>
      <c r="B754" t="s">
        <v>4222</v>
      </c>
      <c r="C754" t="s">
        <v>1793</v>
      </c>
    </row>
    <row r="755" spans="1:3" x14ac:dyDescent="0.25">
      <c r="A755" t="s">
        <v>4223</v>
      </c>
      <c r="B755" t="s">
        <v>4224</v>
      </c>
      <c r="C755" t="s">
        <v>1794</v>
      </c>
    </row>
    <row r="756" spans="1:3" x14ac:dyDescent="0.25">
      <c r="A756" t="s">
        <v>4225</v>
      </c>
      <c r="B756" t="s">
        <v>4226</v>
      </c>
      <c r="C756" t="s">
        <v>1795</v>
      </c>
    </row>
    <row r="757" spans="1:3" x14ac:dyDescent="0.25">
      <c r="A757" t="s">
        <v>4227</v>
      </c>
      <c r="B757" t="s">
        <v>4228</v>
      </c>
      <c r="C757" t="s">
        <v>167</v>
      </c>
    </row>
    <row r="758" spans="1:3" x14ac:dyDescent="0.25">
      <c r="A758" t="s">
        <v>4229</v>
      </c>
      <c r="B758" t="s">
        <v>4230</v>
      </c>
      <c r="C758" t="s">
        <v>4231</v>
      </c>
    </row>
    <row r="759" spans="1:3" x14ac:dyDescent="0.25">
      <c r="A759" t="s">
        <v>4232</v>
      </c>
      <c r="B759" t="s">
        <v>4233</v>
      </c>
      <c r="C759" t="s">
        <v>1797</v>
      </c>
    </row>
    <row r="760" spans="1:3" x14ac:dyDescent="0.25">
      <c r="A760" t="s">
        <v>4234</v>
      </c>
      <c r="B760" t="s">
        <v>4235</v>
      </c>
      <c r="C760" t="s">
        <v>1798</v>
      </c>
    </row>
    <row r="761" spans="1:3" x14ac:dyDescent="0.25">
      <c r="A761" t="s">
        <v>4236</v>
      </c>
      <c r="B761" t="s">
        <v>4237</v>
      </c>
      <c r="C761" t="s">
        <v>1799</v>
      </c>
    </row>
    <row r="762" spans="1:3" x14ac:dyDescent="0.25">
      <c r="A762" t="s">
        <v>4238</v>
      </c>
      <c r="B762" t="s">
        <v>4239</v>
      </c>
      <c r="C762" t="s">
        <v>1800</v>
      </c>
    </row>
    <row r="763" spans="1:3" x14ac:dyDescent="0.25">
      <c r="A763" t="s">
        <v>4240</v>
      </c>
      <c r="B763" t="s">
        <v>4241</v>
      </c>
      <c r="C763" t="s">
        <v>1802</v>
      </c>
    </row>
    <row r="764" spans="1:3" x14ac:dyDescent="0.25">
      <c r="A764" t="s">
        <v>4242</v>
      </c>
      <c r="B764" t="s">
        <v>4243</v>
      </c>
      <c r="C764" t="s">
        <v>1803</v>
      </c>
    </row>
    <row r="765" spans="1:3" x14ac:dyDescent="0.25">
      <c r="A765" t="s">
        <v>4244</v>
      </c>
      <c r="B765" t="s">
        <v>4245</v>
      </c>
      <c r="C765" t="s">
        <v>1805</v>
      </c>
    </row>
    <row r="766" spans="1:3" x14ac:dyDescent="0.25">
      <c r="A766" t="s">
        <v>4246</v>
      </c>
      <c r="B766" t="s">
        <v>4247</v>
      </c>
      <c r="C766" t="s">
        <v>1806</v>
      </c>
    </row>
    <row r="767" spans="1:3" x14ac:dyDescent="0.25">
      <c r="A767" t="s">
        <v>4248</v>
      </c>
      <c r="B767" t="s">
        <v>4249</v>
      </c>
      <c r="C767" t="s">
        <v>1807</v>
      </c>
    </row>
    <row r="768" spans="1:3" x14ac:dyDescent="0.25">
      <c r="A768" t="s">
        <v>4250</v>
      </c>
      <c r="B768" t="s">
        <v>4251</v>
      </c>
      <c r="C768" t="s">
        <v>1809</v>
      </c>
    </row>
    <row r="769" spans="1:3" x14ac:dyDescent="0.25">
      <c r="A769" t="s">
        <v>4252</v>
      </c>
      <c r="B769" t="s">
        <v>4253</v>
      </c>
      <c r="C769" t="s">
        <v>4254</v>
      </c>
    </row>
    <row r="770" spans="1:3" x14ac:dyDescent="0.25">
      <c r="A770" t="s">
        <v>4255</v>
      </c>
      <c r="B770" t="s">
        <v>4256</v>
      </c>
      <c r="C770" t="s">
        <v>4257</v>
      </c>
    </row>
    <row r="771" spans="1:3" x14ac:dyDescent="0.25">
      <c r="A771" t="s">
        <v>4258</v>
      </c>
      <c r="B771" t="s">
        <v>4259</v>
      </c>
      <c r="C771" t="s">
        <v>1812</v>
      </c>
    </row>
    <row r="772" spans="1:3" x14ac:dyDescent="0.25">
      <c r="A772" t="s">
        <v>4260</v>
      </c>
      <c r="B772" t="s">
        <v>4261</v>
      </c>
      <c r="C772" t="s">
        <v>4262</v>
      </c>
    </row>
    <row r="773" spans="1:3" x14ac:dyDescent="0.25">
      <c r="A773" t="s">
        <v>4263</v>
      </c>
      <c r="B773" t="s">
        <v>4264</v>
      </c>
      <c r="C773" t="s">
        <v>1814</v>
      </c>
    </row>
    <row r="774" spans="1:3" x14ac:dyDescent="0.25">
      <c r="A774" t="s">
        <v>4265</v>
      </c>
      <c r="B774" t="s">
        <v>4266</v>
      </c>
      <c r="C774" t="s">
        <v>1815</v>
      </c>
    </row>
    <row r="775" spans="1:3" x14ac:dyDescent="0.25">
      <c r="A775" t="s">
        <v>4267</v>
      </c>
      <c r="B775" t="s">
        <v>4268</v>
      </c>
      <c r="C775" t="s">
        <v>1819</v>
      </c>
    </row>
    <row r="776" spans="1:3" x14ac:dyDescent="0.25">
      <c r="A776" t="s">
        <v>4269</v>
      </c>
      <c r="B776" t="s">
        <v>4270</v>
      </c>
      <c r="C776" t="s">
        <v>1823</v>
      </c>
    </row>
    <row r="777" spans="1:3" x14ac:dyDescent="0.25">
      <c r="A777" t="s">
        <v>4271</v>
      </c>
      <c r="B777" t="s">
        <v>4272</v>
      </c>
      <c r="C777" t="s">
        <v>1824</v>
      </c>
    </row>
    <row r="778" spans="1:3" x14ac:dyDescent="0.25">
      <c r="A778" t="s">
        <v>4273</v>
      </c>
      <c r="B778" t="s">
        <v>4274</v>
      </c>
      <c r="C778" t="s">
        <v>1668</v>
      </c>
    </row>
    <row r="779" spans="1:3" x14ac:dyDescent="0.25">
      <c r="A779" t="s">
        <v>4275</v>
      </c>
      <c r="B779" t="s">
        <v>4276</v>
      </c>
      <c r="C779" t="s">
        <v>1826</v>
      </c>
    </row>
    <row r="780" spans="1:3" x14ac:dyDescent="0.25">
      <c r="A780" t="s">
        <v>4277</v>
      </c>
      <c r="B780" t="s">
        <v>4278</v>
      </c>
      <c r="C780" t="s">
        <v>1687</v>
      </c>
    </row>
    <row r="781" spans="1:3" x14ac:dyDescent="0.25">
      <c r="A781" t="s">
        <v>4279</v>
      </c>
      <c r="B781" t="s">
        <v>4280</v>
      </c>
      <c r="C781" t="s">
        <v>1830</v>
      </c>
    </row>
    <row r="782" spans="1:3" x14ac:dyDescent="0.25">
      <c r="A782" t="s">
        <v>4281</v>
      </c>
      <c r="B782" t="s">
        <v>4282</v>
      </c>
      <c r="C782" t="s">
        <v>4283</v>
      </c>
    </row>
    <row r="783" spans="1:3" x14ac:dyDescent="0.25">
      <c r="A783" t="s">
        <v>4284</v>
      </c>
      <c r="B783" t="s">
        <v>4285</v>
      </c>
      <c r="C783" t="s">
        <v>1833</v>
      </c>
    </row>
    <row r="784" spans="1:3" x14ac:dyDescent="0.25">
      <c r="A784" t="s">
        <v>4286</v>
      </c>
      <c r="B784" t="s">
        <v>4287</v>
      </c>
      <c r="C784" t="s">
        <v>1834</v>
      </c>
    </row>
    <row r="785" spans="1:3" x14ac:dyDescent="0.25">
      <c r="A785" t="s">
        <v>4288</v>
      </c>
      <c r="B785" t="s">
        <v>4289</v>
      </c>
      <c r="C785" t="s">
        <v>1835</v>
      </c>
    </row>
    <row r="786" spans="1:3" x14ac:dyDescent="0.25">
      <c r="A786" t="s">
        <v>4290</v>
      </c>
      <c r="B786" t="s">
        <v>4291</v>
      </c>
      <c r="C786" t="s">
        <v>1836</v>
      </c>
    </row>
    <row r="787" spans="1:3" x14ac:dyDescent="0.25">
      <c r="A787" t="s">
        <v>4292</v>
      </c>
      <c r="B787" t="s">
        <v>4293</v>
      </c>
      <c r="C787" t="s">
        <v>1837</v>
      </c>
    </row>
    <row r="788" spans="1:3" x14ac:dyDescent="0.25">
      <c r="A788" t="s">
        <v>4294</v>
      </c>
      <c r="B788" t="s">
        <v>4295</v>
      </c>
      <c r="C788" t="s">
        <v>1838</v>
      </c>
    </row>
    <row r="789" spans="1:3" x14ac:dyDescent="0.25">
      <c r="A789" t="s">
        <v>4296</v>
      </c>
      <c r="B789" t="s">
        <v>4297</v>
      </c>
      <c r="C789" t="s">
        <v>1839</v>
      </c>
    </row>
    <row r="790" spans="1:3" x14ac:dyDescent="0.25">
      <c r="A790" t="s">
        <v>4298</v>
      </c>
      <c r="B790" t="s">
        <v>4299</v>
      </c>
      <c r="C790" t="s">
        <v>1840</v>
      </c>
    </row>
    <row r="791" spans="1:3" x14ac:dyDescent="0.25">
      <c r="A791" t="s">
        <v>4300</v>
      </c>
      <c r="B791" t="s">
        <v>4301</v>
      </c>
      <c r="C791" t="s">
        <v>1842</v>
      </c>
    </row>
    <row r="792" spans="1:3" x14ac:dyDescent="0.25">
      <c r="A792" t="s">
        <v>4302</v>
      </c>
      <c r="B792" t="s">
        <v>4303</v>
      </c>
      <c r="C792" t="s">
        <v>1843</v>
      </c>
    </row>
    <row r="793" spans="1:3" x14ac:dyDescent="0.25">
      <c r="A793" t="s">
        <v>4304</v>
      </c>
      <c r="B793" t="s">
        <v>4305</v>
      </c>
      <c r="C793" t="s">
        <v>1844</v>
      </c>
    </row>
    <row r="794" spans="1:3" x14ac:dyDescent="0.25">
      <c r="A794" t="s">
        <v>4306</v>
      </c>
      <c r="B794" t="s">
        <v>4307</v>
      </c>
      <c r="C794" t="s">
        <v>1845</v>
      </c>
    </row>
    <row r="795" spans="1:3" x14ac:dyDescent="0.25">
      <c r="A795" t="s">
        <v>4308</v>
      </c>
      <c r="B795" t="s">
        <v>4309</v>
      </c>
      <c r="C795" t="s">
        <v>4310</v>
      </c>
    </row>
    <row r="796" spans="1:3" x14ac:dyDescent="0.25">
      <c r="A796" t="s">
        <v>4311</v>
      </c>
      <c r="B796" t="s">
        <v>4312</v>
      </c>
      <c r="C796" t="s">
        <v>1851</v>
      </c>
    </row>
    <row r="797" spans="1:3" x14ac:dyDescent="0.25">
      <c r="A797" t="s">
        <v>4313</v>
      </c>
      <c r="B797" t="s">
        <v>4314</v>
      </c>
      <c r="C797" t="s">
        <v>1852</v>
      </c>
    </row>
    <row r="798" spans="1:3" x14ac:dyDescent="0.25">
      <c r="A798" t="s">
        <v>4315</v>
      </c>
      <c r="B798" t="s">
        <v>4316</v>
      </c>
      <c r="C798" t="s">
        <v>1853</v>
      </c>
    </row>
    <row r="799" spans="1:3" x14ac:dyDescent="0.25">
      <c r="A799" t="s">
        <v>4317</v>
      </c>
      <c r="B799" t="s">
        <v>4318</v>
      </c>
      <c r="C799" t="s">
        <v>1854</v>
      </c>
    </row>
    <row r="800" spans="1:3" x14ac:dyDescent="0.25">
      <c r="A800" t="s">
        <v>4319</v>
      </c>
      <c r="B800" t="s">
        <v>4320</v>
      </c>
      <c r="C800" t="s">
        <v>1855</v>
      </c>
    </row>
    <row r="801" spans="1:3" x14ac:dyDescent="0.25">
      <c r="A801" t="s">
        <v>4321</v>
      </c>
      <c r="B801" t="s">
        <v>4322</v>
      </c>
      <c r="C801" t="s">
        <v>1857</v>
      </c>
    </row>
    <row r="802" spans="1:3" x14ac:dyDescent="0.25">
      <c r="A802" t="s">
        <v>4323</v>
      </c>
      <c r="B802" t="s">
        <v>4324</v>
      </c>
      <c r="C802" t="s">
        <v>1859</v>
      </c>
    </row>
    <row r="803" spans="1:3" x14ac:dyDescent="0.25">
      <c r="A803" t="s">
        <v>4325</v>
      </c>
      <c r="B803" t="s">
        <v>4326</v>
      </c>
      <c r="C803" t="s">
        <v>1860</v>
      </c>
    </row>
    <row r="804" spans="1:3" x14ac:dyDescent="0.25">
      <c r="A804" t="s">
        <v>4327</v>
      </c>
      <c r="B804" t="s">
        <v>4328</v>
      </c>
      <c r="C804" t="s">
        <v>1861</v>
      </c>
    </row>
    <row r="805" spans="1:3" x14ac:dyDescent="0.25">
      <c r="A805" t="s">
        <v>4329</v>
      </c>
      <c r="B805" t="s">
        <v>4330</v>
      </c>
      <c r="C805" t="s">
        <v>1863</v>
      </c>
    </row>
    <row r="806" spans="1:3" x14ac:dyDescent="0.25">
      <c r="A806" t="s">
        <v>4331</v>
      </c>
      <c r="B806" t="s">
        <v>4332</v>
      </c>
      <c r="C806" t="s">
        <v>1866</v>
      </c>
    </row>
    <row r="807" spans="1:3" x14ac:dyDescent="0.25">
      <c r="A807" t="s">
        <v>4333</v>
      </c>
      <c r="B807" t="s">
        <v>4334</v>
      </c>
      <c r="C807" t="s">
        <v>1867</v>
      </c>
    </row>
    <row r="808" spans="1:3" x14ac:dyDescent="0.25">
      <c r="A808" t="s">
        <v>4335</v>
      </c>
      <c r="B808" t="s">
        <v>4336</v>
      </c>
      <c r="C808" t="s">
        <v>1868</v>
      </c>
    </row>
    <row r="809" spans="1:3" x14ac:dyDescent="0.25">
      <c r="A809" t="s">
        <v>4337</v>
      </c>
      <c r="B809" t="s">
        <v>4338</v>
      </c>
      <c r="C809" t="s">
        <v>1869</v>
      </c>
    </row>
    <row r="810" spans="1:3" x14ac:dyDescent="0.25">
      <c r="A810" t="s">
        <v>4339</v>
      </c>
      <c r="B810" t="s">
        <v>4340</v>
      </c>
      <c r="C810" t="s">
        <v>1870</v>
      </c>
    </row>
    <row r="811" spans="1:3" x14ac:dyDescent="0.25">
      <c r="A811" t="s">
        <v>4341</v>
      </c>
      <c r="B811" t="s">
        <v>4342</v>
      </c>
      <c r="C811" t="s">
        <v>1871</v>
      </c>
    </row>
    <row r="812" spans="1:3" x14ac:dyDescent="0.25">
      <c r="A812" t="s">
        <v>4343</v>
      </c>
      <c r="B812" t="s">
        <v>4344</v>
      </c>
      <c r="C812" t="s">
        <v>1873</v>
      </c>
    </row>
    <row r="813" spans="1:3" x14ac:dyDescent="0.25">
      <c r="A813" t="s">
        <v>4345</v>
      </c>
      <c r="B813" t="s">
        <v>4346</v>
      </c>
      <c r="C813" t="s">
        <v>1874</v>
      </c>
    </row>
    <row r="814" spans="1:3" x14ac:dyDescent="0.25">
      <c r="A814" t="s">
        <v>4347</v>
      </c>
      <c r="B814" t="s">
        <v>4348</v>
      </c>
      <c r="C814" t="s">
        <v>1875</v>
      </c>
    </row>
    <row r="815" spans="1:3" x14ac:dyDescent="0.25">
      <c r="A815" t="s">
        <v>4349</v>
      </c>
      <c r="B815" t="s">
        <v>4350</v>
      </c>
      <c r="C815" t="s">
        <v>1876</v>
      </c>
    </row>
    <row r="816" spans="1:3" x14ac:dyDescent="0.25">
      <c r="A816" t="s">
        <v>4351</v>
      </c>
      <c r="B816" t="s">
        <v>4352</v>
      </c>
      <c r="C816" t="s">
        <v>1877</v>
      </c>
    </row>
    <row r="817" spans="1:3" x14ac:dyDescent="0.25">
      <c r="A817" t="s">
        <v>4353</v>
      </c>
      <c r="B817" t="s">
        <v>4354</v>
      </c>
      <c r="C817" t="s">
        <v>1878</v>
      </c>
    </row>
    <row r="818" spans="1:3" x14ac:dyDescent="0.25">
      <c r="A818" t="s">
        <v>4355</v>
      </c>
      <c r="B818" t="s">
        <v>4356</v>
      </c>
      <c r="C818" t="s">
        <v>1879</v>
      </c>
    </row>
    <row r="819" spans="1:3" x14ac:dyDescent="0.25">
      <c r="A819" t="s">
        <v>4357</v>
      </c>
      <c r="B819" t="s">
        <v>4358</v>
      </c>
      <c r="C819" t="s">
        <v>1880</v>
      </c>
    </row>
    <row r="820" spans="1:3" x14ac:dyDescent="0.25">
      <c r="A820" t="s">
        <v>4359</v>
      </c>
      <c r="B820" t="s">
        <v>4360</v>
      </c>
      <c r="C820" t="s">
        <v>1882</v>
      </c>
    </row>
    <row r="821" spans="1:3" x14ac:dyDescent="0.25">
      <c r="A821" t="s">
        <v>4361</v>
      </c>
      <c r="B821" t="s">
        <v>4362</v>
      </c>
      <c r="C821" t="s">
        <v>1883</v>
      </c>
    </row>
    <row r="822" spans="1:3" x14ac:dyDescent="0.25">
      <c r="A822" t="s">
        <v>4363</v>
      </c>
      <c r="B822" t="s">
        <v>4364</v>
      </c>
      <c r="C822" t="s">
        <v>147</v>
      </c>
    </row>
    <row r="823" spans="1:3" x14ac:dyDescent="0.25">
      <c r="A823" t="s">
        <v>4365</v>
      </c>
      <c r="B823" t="s">
        <v>4366</v>
      </c>
      <c r="C823" t="s">
        <v>1884</v>
      </c>
    </row>
    <row r="824" spans="1:3" x14ac:dyDescent="0.25">
      <c r="A824" t="s">
        <v>4367</v>
      </c>
      <c r="B824" t="s">
        <v>4368</v>
      </c>
      <c r="C824" t="s">
        <v>164</v>
      </c>
    </row>
    <row r="825" spans="1:3" x14ac:dyDescent="0.25">
      <c r="A825" t="s">
        <v>4369</v>
      </c>
      <c r="B825" t="s">
        <v>4370</v>
      </c>
      <c r="C825" t="s">
        <v>1885</v>
      </c>
    </row>
    <row r="826" spans="1:3" x14ac:dyDescent="0.25">
      <c r="A826" t="s">
        <v>4371</v>
      </c>
      <c r="B826" t="s">
        <v>4372</v>
      </c>
      <c r="C826" t="s">
        <v>1886</v>
      </c>
    </row>
    <row r="827" spans="1:3" x14ac:dyDescent="0.25">
      <c r="A827" t="s">
        <v>4373</v>
      </c>
      <c r="B827" t="s">
        <v>4374</v>
      </c>
      <c r="C827" t="s">
        <v>4375</v>
      </c>
    </row>
    <row r="828" spans="1:3" x14ac:dyDescent="0.25">
      <c r="A828" t="s">
        <v>4376</v>
      </c>
      <c r="B828" t="s">
        <v>4377</v>
      </c>
      <c r="C828" t="s">
        <v>1888</v>
      </c>
    </row>
    <row r="829" spans="1:3" x14ac:dyDescent="0.25">
      <c r="A829" t="s">
        <v>4378</v>
      </c>
      <c r="B829" t="s">
        <v>4379</v>
      </c>
      <c r="C829" t="s">
        <v>4380</v>
      </c>
    </row>
    <row r="830" spans="1:3" x14ac:dyDescent="0.25">
      <c r="A830" t="s">
        <v>4381</v>
      </c>
      <c r="B830" t="s">
        <v>4382</v>
      </c>
      <c r="C830" t="s">
        <v>4383</v>
      </c>
    </row>
    <row r="831" spans="1:3" x14ac:dyDescent="0.25">
      <c r="A831" t="s">
        <v>4384</v>
      </c>
      <c r="B831" t="s">
        <v>4385</v>
      </c>
      <c r="C831" t="s">
        <v>1891</v>
      </c>
    </row>
    <row r="832" spans="1:3" x14ac:dyDescent="0.25">
      <c r="A832" t="s">
        <v>4386</v>
      </c>
      <c r="B832" t="s">
        <v>4387</v>
      </c>
      <c r="C832" t="s">
        <v>1892</v>
      </c>
    </row>
    <row r="833" spans="1:3" x14ac:dyDescent="0.25">
      <c r="A833" t="s">
        <v>4388</v>
      </c>
      <c r="B833" t="s">
        <v>4389</v>
      </c>
      <c r="C833" t="s">
        <v>1893</v>
      </c>
    </row>
    <row r="834" spans="1:3" x14ac:dyDescent="0.25">
      <c r="A834" t="s">
        <v>4390</v>
      </c>
      <c r="B834" t="s">
        <v>4391</v>
      </c>
      <c r="C834" t="s">
        <v>1894</v>
      </c>
    </row>
    <row r="835" spans="1:3" x14ac:dyDescent="0.25">
      <c r="A835" t="s">
        <v>4392</v>
      </c>
      <c r="B835" t="s">
        <v>4393</v>
      </c>
      <c r="C835" t="s">
        <v>1895</v>
      </c>
    </row>
    <row r="836" spans="1:3" x14ac:dyDescent="0.25">
      <c r="A836" t="s">
        <v>4394</v>
      </c>
      <c r="B836" t="s">
        <v>4395</v>
      </c>
      <c r="C836" t="s">
        <v>1896</v>
      </c>
    </row>
    <row r="837" spans="1:3" x14ac:dyDescent="0.25">
      <c r="A837" t="s">
        <v>4396</v>
      </c>
      <c r="B837" t="s">
        <v>4397</v>
      </c>
      <c r="C837" t="s">
        <v>1897</v>
      </c>
    </row>
    <row r="838" spans="1:3" x14ac:dyDescent="0.25">
      <c r="A838" t="s">
        <v>4398</v>
      </c>
      <c r="B838" t="s">
        <v>4399</v>
      </c>
      <c r="C838" t="s">
        <v>4400</v>
      </c>
    </row>
    <row r="839" spans="1:3" x14ac:dyDescent="0.25">
      <c r="A839" t="s">
        <v>4401</v>
      </c>
      <c r="B839" t="s">
        <v>4402</v>
      </c>
      <c r="C839" t="s">
        <v>1901</v>
      </c>
    </row>
    <row r="840" spans="1:3" x14ac:dyDescent="0.25">
      <c r="A840" t="s">
        <v>4403</v>
      </c>
      <c r="B840" t="s">
        <v>4404</v>
      </c>
      <c r="C840" t="s">
        <v>1902</v>
      </c>
    </row>
    <row r="841" spans="1:3" x14ac:dyDescent="0.25">
      <c r="A841" t="s">
        <v>4405</v>
      </c>
      <c r="B841" t="s">
        <v>4406</v>
      </c>
      <c r="C841" t="s">
        <v>1903</v>
      </c>
    </row>
    <row r="842" spans="1:3" x14ac:dyDescent="0.25">
      <c r="A842" t="s">
        <v>4407</v>
      </c>
      <c r="B842" t="s">
        <v>4408</v>
      </c>
      <c r="C842" t="s">
        <v>1904</v>
      </c>
    </row>
    <row r="843" spans="1:3" x14ac:dyDescent="0.25">
      <c r="A843" t="s">
        <v>4409</v>
      </c>
      <c r="B843" t="s">
        <v>4410</v>
      </c>
      <c r="C843" t="s">
        <v>4411</v>
      </c>
    </row>
    <row r="844" spans="1:3" x14ac:dyDescent="0.25">
      <c r="A844" t="s">
        <v>4412</v>
      </c>
      <c r="B844" t="s">
        <v>4413</v>
      </c>
      <c r="C844" t="s">
        <v>1907</v>
      </c>
    </row>
    <row r="845" spans="1:3" x14ac:dyDescent="0.25">
      <c r="A845" t="s">
        <v>4414</v>
      </c>
      <c r="B845" t="s">
        <v>4415</v>
      </c>
      <c r="C845" t="s">
        <v>200</v>
      </c>
    </row>
    <row r="846" spans="1:3" x14ac:dyDescent="0.25">
      <c r="A846" t="s">
        <v>4416</v>
      </c>
      <c r="B846" t="s">
        <v>4417</v>
      </c>
      <c r="C846" t="s">
        <v>1908</v>
      </c>
    </row>
    <row r="847" spans="1:3" x14ac:dyDescent="0.25">
      <c r="A847" t="s">
        <v>4418</v>
      </c>
      <c r="B847" t="s">
        <v>4419</v>
      </c>
      <c r="C847" t="s">
        <v>4420</v>
      </c>
    </row>
    <row r="848" spans="1:3" x14ac:dyDescent="0.25">
      <c r="A848" t="s">
        <v>4421</v>
      </c>
      <c r="B848" t="s">
        <v>4422</v>
      </c>
      <c r="C848" t="s">
        <v>1910</v>
      </c>
    </row>
    <row r="849" spans="1:3" x14ac:dyDescent="0.25">
      <c r="A849" t="s">
        <v>4423</v>
      </c>
      <c r="B849" t="s">
        <v>4424</v>
      </c>
      <c r="C849" t="s">
        <v>1911</v>
      </c>
    </row>
    <row r="850" spans="1:3" x14ac:dyDescent="0.25">
      <c r="A850" t="s">
        <v>4425</v>
      </c>
      <c r="B850" t="s">
        <v>4426</v>
      </c>
      <c r="C850" t="s">
        <v>1912</v>
      </c>
    </row>
    <row r="851" spans="1:3" x14ac:dyDescent="0.25">
      <c r="A851" t="s">
        <v>4427</v>
      </c>
      <c r="B851" t="s">
        <v>4428</v>
      </c>
      <c r="C851" t="s">
        <v>1913</v>
      </c>
    </row>
    <row r="852" spans="1:3" x14ac:dyDescent="0.25">
      <c r="A852" t="s">
        <v>4429</v>
      </c>
      <c r="B852" t="s">
        <v>4430</v>
      </c>
      <c r="C852" t="s">
        <v>1914</v>
      </c>
    </row>
    <row r="853" spans="1:3" x14ac:dyDescent="0.25">
      <c r="A853" t="s">
        <v>4431</v>
      </c>
      <c r="B853" t="s">
        <v>4432</v>
      </c>
      <c r="C853" t="s">
        <v>1614</v>
      </c>
    </row>
    <row r="854" spans="1:3" x14ac:dyDescent="0.25">
      <c r="A854" t="s">
        <v>4433</v>
      </c>
      <c r="B854" t="s">
        <v>4434</v>
      </c>
      <c r="C854" t="s">
        <v>1915</v>
      </c>
    </row>
    <row r="855" spans="1:3" x14ac:dyDescent="0.25">
      <c r="A855" t="s">
        <v>4435</v>
      </c>
      <c r="B855" t="s">
        <v>4436</v>
      </c>
      <c r="C855" t="s">
        <v>1717</v>
      </c>
    </row>
    <row r="856" spans="1:3" x14ac:dyDescent="0.25">
      <c r="A856" t="s">
        <v>4437</v>
      </c>
      <c r="B856" t="s">
        <v>4438</v>
      </c>
      <c r="C856" t="s">
        <v>1916</v>
      </c>
    </row>
    <row r="857" spans="1:3" x14ac:dyDescent="0.25">
      <c r="A857" t="s">
        <v>4439</v>
      </c>
      <c r="B857" t="s">
        <v>4440</v>
      </c>
      <c r="C857" t="s">
        <v>1917</v>
      </c>
    </row>
    <row r="858" spans="1:3" x14ac:dyDescent="0.25">
      <c r="A858" t="s">
        <v>4441</v>
      </c>
      <c r="B858" t="s">
        <v>4442</v>
      </c>
      <c r="C858" t="s">
        <v>1918</v>
      </c>
    </row>
    <row r="859" spans="1:3" x14ac:dyDescent="0.25">
      <c r="A859" t="s">
        <v>4443</v>
      </c>
      <c r="B859" t="s">
        <v>4444</v>
      </c>
      <c r="C859" t="s">
        <v>1919</v>
      </c>
    </row>
    <row r="860" spans="1:3" x14ac:dyDescent="0.25">
      <c r="A860" t="s">
        <v>4445</v>
      </c>
      <c r="B860" t="s">
        <v>4446</v>
      </c>
      <c r="C860" t="s">
        <v>1920</v>
      </c>
    </row>
    <row r="861" spans="1:3" x14ac:dyDescent="0.25">
      <c r="A861" t="s">
        <v>4447</v>
      </c>
      <c r="B861" t="s">
        <v>4448</v>
      </c>
      <c r="C861" t="s">
        <v>202</v>
      </c>
    </row>
    <row r="862" spans="1:3" x14ac:dyDescent="0.25">
      <c r="A862" t="s">
        <v>4449</v>
      </c>
      <c r="B862" t="s">
        <v>4450</v>
      </c>
      <c r="C862" t="s">
        <v>1921</v>
      </c>
    </row>
    <row r="863" spans="1:3" x14ac:dyDescent="0.25">
      <c r="A863" t="s">
        <v>4451</v>
      </c>
      <c r="B863" t="s">
        <v>4452</v>
      </c>
      <c r="C863" t="s">
        <v>1922</v>
      </c>
    </row>
    <row r="864" spans="1:3" x14ac:dyDescent="0.25">
      <c r="A864" t="s">
        <v>4453</v>
      </c>
      <c r="B864" t="s">
        <v>4454</v>
      </c>
      <c r="C864" t="s">
        <v>1924</v>
      </c>
    </row>
    <row r="865" spans="1:3" x14ac:dyDescent="0.25">
      <c r="A865" t="s">
        <v>4455</v>
      </c>
      <c r="B865" t="s">
        <v>4456</v>
      </c>
      <c r="C865" t="s">
        <v>4457</v>
      </c>
    </row>
    <row r="866" spans="1:3" x14ac:dyDescent="0.25">
      <c r="A866" t="s">
        <v>4458</v>
      </c>
      <c r="B866" t="s">
        <v>4459</v>
      </c>
      <c r="C866" t="s">
        <v>1926</v>
      </c>
    </row>
    <row r="867" spans="1:3" x14ac:dyDescent="0.25">
      <c r="A867" t="s">
        <v>4460</v>
      </c>
      <c r="B867" t="s">
        <v>4461</v>
      </c>
      <c r="C867" t="s">
        <v>1927</v>
      </c>
    </row>
    <row r="868" spans="1:3" x14ac:dyDescent="0.25">
      <c r="A868" t="s">
        <v>4462</v>
      </c>
      <c r="B868" t="s">
        <v>4463</v>
      </c>
      <c r="C868" t="s">
        <v>1928</v>
      </c>
    </row>
    <row r="869" spans="1:3" x14ac:dyDescent="0.25">
      <c r="A869" t="s">
        <v>4464</v>
      </c>
      <c r="B869" t="s">
        <v>4465</v>
      </c>
      <c r="C869" t="s">
        <v>1929</v>
      </c>
    </row>
    <row r="870" spans="1:3" x14ac:dyDescent="0.25">
      <c r="A870" t="s">
        <v>4466</v>
      </c>
      <c r="B870" t="s">
        <v>4467</v>
      </c>
      <c r="C870" t="s">
        <v>1930</v>
      </c>
    </row>
    <row r="871" spans="1:3" x14ac:dyDescent="0.25">
      <c r="A871" t="s">
        <v>4468</v>
      </c>
      <c r="B871" t="s">
        <v>4469</v>
      </c>
      <c r="C871" t="s">
        <v>1931</v>
      </c>
    </row>
    <row r="872" spans="1:3" x14ac:dyDescent="0.25">
      <c r="A872" t="s">
        <v>4470</v>
      </c>
      <c r="B872" t="s">
        <v>4471</v>
      </c>
      <c r="C872" t="s">
        <v>1932</v>
      </c>
    </row>
    <row r="873" spans="1:3" x14ac:dyDescent="0.25">
      <c r="A873" t="s">
        <v>4472</v>
      </c>
      <c r="B873" t="s">
        <v>4473</v>
      </c>
      <c r="C873" t="s">
        <v>1933</v>
      </c>
    </row>
    <row r="874" spans="1:3" x14ac:dyDescent="0.25">
      <c r="A874" t="s">
        <v>4474</v>
      </c>
      <c r="B874" t="s">
        <v>4475</v>
      </c>
      <c r="C874" t="s">
        <v>1743</v>
      </c>
    </row>
    <row r="875" spans="1:3" x14ac:dyDescent="0.25">
      <c r="A875" t="s">
        <v>4476</v>
      </c>
      <c r="B875" t="s">
        <v>4477</v>
      </c>
      <c r="C875" t="s">
        <v>1934</v>
      </c>
    </row>
    <row r="876" spans="1:3" x14ac:dyDescent="0.25">
      <c r="A876" t="s">
        <v>4478</v>
      </c>
      <c r="B876" t="s">
        <v>4479</v>
      </c>
      <c r="C876" t="s">
        <v>1935</v>
      </c>
    </row>
    <row r="877" spans="1:3" x14ac:dyDescent="0.25">
      <c r="A877" t="s">
        <v>4480</v>
      </c>
      <c r="B877" t="s">
        <v>4481</v>
      </c>
      <c r="C877" t="s">
        <v>1936</v>
      </c>
    </row>
    <row r="878" spans="1:3" x14ac:dyDescent="0.25">
      <c r="A878" t="s">
        <v>4482</v>
      </c>
      <c r="B878" t="s">
        <v>4483</v>
      </c>
      <c r="C878" t="s">
        <v>1937</v>
      </c>
    </row>
    <row r="879" spans="1:3" x14ac:dyDescent="0.25">
      <c r="A879" t="s">
        <v>4484</v>
      </c>
      <c r="B879" t="s">
        <v>4485</v>
      </c>
      <c r="C879" t="s">
        <v>1938</v>
      </c>
    </row>
    <row r="880" spans="1:3" x14ac:dyDescent="0.25">
      <c r="A880" t="s">
        <v>4486</v>
      </c>
      <c r="B880" t="s">
        <v>4487</v>
      </c>
      <c r="C880" t="s">
        <v>1939</v>
      </c>
    </row>
    <row r="881" spans="1:3" x14ac:dyDescent="0.25">
      <c r="A881" t="s">
        <v>4488</v>
      </c>
      <c r="B881" t="s">
        <v>4489</v>
      </c>
      <c r="C881" t="s">
        <v>4490</v>
      </c>
    </row>
    <row r="882" spans="1:3" x14ac:dyDescent="0.25">
      <c r="A882" t="s">
        <v>4491</v>
      </c>
      <c r="B882" t="s">
        <v>4492</v>
      </c>
      <c r="C882" t="s">
        <v>1940</v>
      </c>
    </row>
    <row r="883" spans="1:3" x14ac:dyDescent="0.25">
      <c r="A883" t="s">
        <v>4493</v>
      </c>
      <c r="B883" t="s">
        <v>4494</v>
      </c>
      <c r="C883" t="s">
        <v>1941</v>
      </c>
    </row>
    <row r="884" spans="1:3" x14ac:dyDescent="0.25">
      <c r="A884" t="s">
        <v>4495</v>
      </c>
      <c r="B884" t="s">
        <v>4496</v>
      </c>
      <c r="C884" t="s">
        <v>4497</v>
      </c>
    </row>
    <row r="885" spans="1:3" x14ac:dyDescent="0.25">
      <c r="A885" t="s">
        <v>4498</v>
      </c>
      <c r="B885" t="s">
        <v>4499</v>
      </c>
      <c r="C885" t="s">
        <v>1527</v>
      </c>
    </row>
    <row r="886" spans="1:3" x14ac:dyDescent="0.25">
      <c r="A886" t="s">
        <v>4500</v>
      </c>
      <c r="B886" t="s">
        <v>4501</v>
      </c>
      <c r="C886" t="s">
        <v>1943</v>
      </c>
    </row>
    <row r="887" spans="1:3" x14ac:dyDescent="0.25">
      <c r="A887" t="s">
        <v>4502</v>
      </c>
      <c r="B887" t="s">
        <v>4503</v>
      </c>
      <c r="C887" t="s">
        <v>1944</v>
      </c>
    </row>
    <row r="888" spans="1:3" x14ac:dyDescent="0.25">
      <c r="A888" t="s">
        <v>4504</v>
      </c>
      <c r="B888" t="s">
        <v>4505</v>
      </c>
      <c r="C888" t="s">
        <v>1945</v>
      </c>
    </row>
    <row r="889" spans="1:3" x14ac:dyDescent="0.25">
      <c r="A889" t="s">
        <v>4506</v>
      </c>
      <c r="B889" t="s">
        <v>4507</v>
      </c>
      <c r="C889" t="s">
        <v>1946</v>
      </c>
    </row>
    <row r="890" spans="1:3" x14ac:dyDescent="0.25">
      <c r="A890" t="s">
        <v>4508</v>
      </c>
      <c r="B890" t="s">
        <v>4509</v>
      </c>
      <c r="C890" t="s">
        <v>1948</v>
      </c>
    </row>
    <row r="891" spans="1:3" x14ac:dyDescent="0.25">
      <c r="A891" t="s">
        <v>4510</v>
      </c>
      <c r="B891" t="s">
        <v>4511</v>
      </c>
      <c r="C891" t="s">
        <v>1983</v>
      </c>
    </row>
    <row r="892" spans="1:3" x14ac:dyDescent="0.25">
      <c r="A892" t="s">
        <v>4512</v>
      </c>
      <c r="B892" t="s">
        <v>4513</v>
      </c>
      <c r="C892" t="s">
        <v>1985</v>
      </c>
    </row>
    <row r="893" spans="1:3" x14ac:dyDescent="0.25">
      <c r="A893" t="s">
        <v>4514</v>
      </c>
      <c r="B893" t="s">
        <v>4515</v>
      </c>
      <c r="C893" t="s">
        <v>1980</v>
      </c>
    </row>
    <row r="894" spans="1:3" x14ac:dyDescent="0.25">
      <c r="A894" t="s">
        <v>4516</v>
      </c>
      <c r="B894" t="s">
        <v>4517</v>
      </c>
      <c r="C894" t="s">
        <v>1997</v>
      </c>
    </row>
    <row r="895" spans="1:3" x14ac:dyDescent="0.25">
      <c r="A895" t="s">
        <v>4518</v>
      </c>
      <c r="B895" t="s">
        <v>4519</v>
      </c>
      <c r="C895" t="s">
        <v>2002</v>
      </c>
    </row>
    <row r="896" spans="1:3" x14ac:dyDescent="0.25">
      <c r="A896" t="s">
        <v>4520</v>
      </c>
      <c r="B896" t="s">
        <v>4521</v>
      </c>
      <c r="C896" t="s">
        <v>1987</v>
      </c>
    </row>
    <row r="897" spans="1:3" x14ac:dyDescent="0.25">
      <c r="A897" t="s">
        <v>4522</v>
      </c>
      <c r="B897" t="s">
        <v>4523</v>
      </c>
      <c r="C897" t="s">
        <v>2007</v>
      </c>
    </row>
    <row r="898" spans="1:3" x14ac:dyDescent="0.25">
      <c r="A898" t="s">
        <v>4524</v>
      </c>
      <c r="B898" t="s">
        <v>4525</v>
      </c>
      <c r="C898" t="s">
        <v>2008</v>
      </c>
    </row>
    <row r="899" spans="1:3" x14ac:dyDescent="0.25">
      <c r="A899" t="s">
        <v>4526</v>
      </c>
      <c r="B899" t="s">
        <v>4527</v>
      </c>
      <c r="C899" t="s">
        <v>2009</v>
      </c>
    </row>
    <row r="900" spans="1:3" x14ac:dyDescent="0.25">
      <c r="A900" t="s">
        <v>4528</v>
      </c>
      <c r="B900" t="s">
        <v>4529</v>
      </c>
      <c r="C900" t="s">
        <v>2010</v>
      </c>
    </row>
    <row r="901" spans="1:3" x14ac:dyDescent="0.25">
      <c r="A901" t="s">
        <v>4530</v>
      </c>
      <c r="B901" t="s">
        <v>4531</v>
      </c>
      <c r="C901" t="s">
        <v>1772</v>
      </c>
    </row>
    <row r="902" spans="1:3" x14ac:dyDescent="0.25">
      <c r="A902" t="s">
        <v>4532</v>
      </c>
      <c r="B902" t="s">
        <v>4533</v>
      </c>
      <c r="C902" t="s">
        <v>2005</v>
      </c>
    </row>
    <row r="903" spans="1:3" x14ac:dyDescent="0.25">
      <c r="A903" t="s">
        <v>4534</v>
      </c>
      <c r="B903" t="s">
        <v>4535</v>
      </c>
      <c r="C903" t="s">
        <v>2004</v>
      </c>
    </row>
    <row r="904" spans="1:3" x14ac:dyDescent="0.25">
      <c r="A904" t="s">
        <v>4536</v>
      </c>
      <c r="B904" t="s">
        <v>4537</v>
      </c>
      <c r="C904" t="s">
        <v>1999</v>
      </c>
    </row>
    <row r="905" spans="1:3" x14ac:dyDescent="0.25">
      <c r="A905" t="s">
        <v>4538</v>
      </c>
      <c r="B905" t="s">
        <v>4539</v>
      </c>
      <c r="C905" t="s">
        <v>2011</v>
      </c>
    </row>
    <row r="906" spans="1:3" x14ac:dyDescent="0.25">
      <c r="A906" t="s">
        <v>4540</v>
      </c>
      <c r="B906" t="s">
        <v>4541</v>
      </c>
      <c r="C906" t="s">
        <v>2012</v>
      </c>
    </row>
    <row r="907" spans="1:3" x14ac:dyDescent="0.25">
      <c r="A907" s="855">
        <v>8500560541</v>
      </c>
      <c r="B907" s="855">
        <v>40002049</v>
      </c>
      <c r="C907" s="855" t="s">
        <v>4590</v>
      </c>
    </row>
    <row r="908" spans="1:3" x14ac:dyDescent="0.25">
      <c r="A908" s="855">
        <v>8388224557</v>
      </c>
      <c r="B908" s="855" t="s">
        <v>4542</v>
      </c>
      <c r="C908" s="855" t="s">
        <v>4543</v>
      </c>
    </row>
  </sheetData>
  <autoFilter ref="A1:C1" xr:uid="{B76FF21F-22C1-45EF-AF25-EC3ED544A62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8DBA-055A-453D-BDEC-94986873210D}">
  <sheetPr codeName="Munka10"/>
  <dimension ref="A1:F903"/>
  <sheetViews>
    <sheetView topLeftCell="A13" workbookViewId="0">
      <selection activeCell="K26" sqref="K26"/>
    </sheetView>
  </sheetViews>
  <sheetFormatPr defaultRowHeight="15" x14ac:dyDescent="0.25"/>
  <cols>
    <col min="1" max="1" width="11" style="405" bestFit="1" customWidth="1"/>
    <col min="2" max="2" width="12.7109375" style="405" customWidth="1"/>
    <col min="3" max="3" width="33.28515625" bestFit="1" customWidth="1"/>
    <col min="4" max="4" width="15.5703125" style="406" customWidth="1"/>
    <col min="5" max="5" width="18.85546875" style="406" customWidth="1"/>
    <col min="6" max="6" width="22.7109375" customWidth="1"/>
  </cols>
  <sheetData>
    <row r="1" spans="1:6" ht="51.6" customHeight="1" x14ac:dyDescent="0.25">
      <c r="A1" s="401" t="s">
        <v>2014</v>
      </c>
      <c r="B1" s="401" t="s">
        <v>2015</v>
      </c>
      <c r="C1" s="402" t="s">
        <v>2016</v>
      </c>
      <c r="D1" s="403" t="s">
        <v>2017</v>
      </c>
      <c r="E1" s="403" t="s">
        <v>2018</v>
      </c>
      <c r="F1" s="404" t="s">
        <v>2019</v>
      </c>
    </row>
    <row r="2" spans="1:6" x14ac:dyDescent="0.25">
      <c r="A2" s="405">
        <v>8303113313</v>
      </c>
      <c r="B2">
        <v>10002007</v>
      </c>
      <c r="C2" t="s">
        <v>1728</v>
      </c>
      <c r="D2" s="406">
        <v>370000</v>
      </c>
      <c r="E2" s="406">
        <v>370000</v>
      </c>
      <c r="F2">
        <v>3</v>
      </c>
    </row>
    <row r="3" spans="1:6" x14ac:dyDescent="0.25">
      <c r="A3" s="405">
        <v>8309423470</v>
      </c>
      <c r="B3">
        <v>10001244</v>
      </c>
      <c r="C3" t="s">
        <v>1381</v>
      </c>
      <c r="D3" s="406">
        <v>1159880</v>
      </c>
      <c r="E3" s="406">
        <v>1159880</v>
      </c>
      <c r="F3">
        <v>5</v>
      </c>
    </row>
    <row r="4" spans="1:6" x14ac:dyDescent="0.25">
      <c r="A4" s="405">
        <v>8310213476</v>
      </c>
      <c r="B4">
        <v>10000051</v>
      </c>
      <c r="C4" t="s">
        <v>812</v>
      </c>
      <c r="D4" s="406">
        <v>323200</v>
      </c>
      <c r="E4" s="406">
        <v>646400</v>
      </c>
      <c r="F4">
        <v>6</v>
      </c>
    </row>
    <row r="5" spans="1:6" x14ac:dyDescent="0.25">
      <c r="A5" s="405">
        <v>8310853262</v>
      </c>
      <c r="B5">
        <v>10000299</v>
      </c>
      <c r="C5" t="s">
        <v>2020</v>
      </c>
      <c r="D5" s="406">
        <v>723712.5</v>
      </c>
      <c r="E5" s="406">
        <v>723712.5</v>
      </c>
      <c r="F5">
        <v>6</v>
      </c>
    </row>
    <row r="6" spans="1:6" x14ac:dyDescent="0.25">
      <c r="A6" s="405">
        <v>8310892233</v>
      </c>
      <c r="B6">
        <v>10001621</v>
      </c>
      <c r="C6" t="s">
        <v>1487</v>
      </c>
      <c r="D6" s="406">
        <v>1210000</v>
      </c>
      <c r="E6" s="406">
        <v>1210000</v>
      </c>
      <c r="F6">
        <v>6</v>
      </c>
    </row>
    <row r="7" spans="1:6" x14ac:dyDescent="0.25">
      <c r="A7" s="405">
        <v>8311924805</v>
      </c>
      <c r="B7">
        <v>10000193</v>
      </c>
      <c r="C7" t="s">
        <v>922</v>
      </c>
      <c r="D7" s="406">
        <v>628133.33333333337</v>
      </c>
      <c r="E7" s="406">
        <v>628133.33333333337</v>
      </c>
      <c r="F7">
        <v>6</v>
      </c>
    </row>
    <row r="8" spans="1:6" x14ac:dyDescent="0.25">
      <c r="A8" s="405">
        <v>8313154187</v>
      </c>
      <c r="B8">
        <v>10000107</v>
      </c>
      <c r="C8" t="s">
        <v>2021</v>
      </c>
      <c r="D8" s="406">
        <v>501466.66666666669</v>
      </c>
      <c r="E8" s="406">
        <v>668622.22222222225</v>
      </c>
      <c r="F8">
        <v>6</v>
      </c>
    </row>
    <row r="9" spans="1:6" x14ac:dyDescent="0.25">
      <c r="A9" s="405">
        <v>8313412607</v>
      </c>
      <c r="B9">
        <v>10000307</v>
      </c>
      <c r="C9" t="s">
        <v>2022</v>
      </c>
      <c r="D9" s="406">
        <v>1116533.3333333333</v>
      </c>
      <c r="E9" s="406">
        <v>1116533.3333333333</v>
      </c>
      <c r="F9">
        <v>6</v>
      </c>
    </row>
    <row r="10" spans="1:6" x14ac:dyDescent="0.25">
      <c r="A10" s="405">
        <v>8315302531</v>
      </c>
      <c r="B10">
        <v>10000325</v>
      </c>
      <c r="C10" t="s">
        <v>1001</v>
      </c>
      <c r="D10" s="406">
        <v>1363466.6666666667</v>
      </c>
      <c r="E10" s="406">
        <v>1363466.6666666667</v>
      </c>
      <c r="F10">
        <v>6</v>
      </c>
    </row>
    <row r="11" spans="1:6" x14ac:dyDescent="0.25">
      <c r="A11" s="405">
        <v>8316733579</v>
      </c>
      <c r="B11">
        <v>10000309</v>
      </c>
      <c r="C11" t="s">
        <v>2023</v>
      </c>
      <c r="D11" s="406">
        <v>662500</v>
      </c>
      <c r="E11" s="406">
        <v>662500</v>
      </c>
      <c r="F11">
        <v>6</v>
      </c>
    </row>
    <row r="12" spans="1:6" x14ac:dyDescent="0.25">
      <c r="A12" s="405">
        <v>8318834208</v>
      </c>
      <c r="B12">
        <v>10002046</v>
      </c>
      <c r="C12" t="s">
        <v>1770</v>
      </c>
      <c r="D12" s="406">
        <v>150000</v>
      </c>
      <c r="E12" s="406">
        <v>300000</v>
      </c>
      <c r="F12">
        <v>2</v>
      </c>
    </row>
    <row r="13" spans="1:6" x14ac:dyDescent="0.25">
      <c r="A13" s="405">
        <v>8319363632</v>
      </c>
      <c r="B13">
        <v>10000201</v>
      </c>
      <c r="C13" t="s">
        <v>2024</v>
      </c>
      <c r="D13" s="406">
        <v>323200</v>
      </c>
      <c r="E13" s="406">
        <v>646400</v>
      </c>
      <c r="F13">
        <v>6</v>
      </c>
    </row>
    <row r="14" spans="1:6" x14ac:dyDescent="0.25">
      <c r="A14" s="405">
        <v>8320030072</v>
      </c>
      <c r="B14">
        <v>10000100</v>
      </c>
      <c r="C14" t="s">
        <v>2025</v>
      </c>
      <c r="D14" s="406">
        <v>940966.66666666663</v>
      </c>
      <c r="E14" s="406">
        <v>1254622.2222222222</v>
      </c>
      <c r="F14">
        <v>6</v>
      </c>
    </row>
    <row r="15" spans="1:6" x14ac:dyDescent="0.25">
      <c r="A15" s="405">
        <v>8322883846</v>
      </c>
      <c r="B15">
        <v>10000028</v>
      </c>
      <c r="C15" t="s">
        <v>2026</v>
      </c>
      <c r="D15" s="406">
        <v>628133.33333333337</v>
      </c>
      <c r="E15" s="406">
        <v>628133.33333333337</v>
      </c>
      <c r="F15">
        <v>6</v>
      </c>
    </row>
    <row r="16" spans="1:6" x14ac:dyDescent="0.25">
      <c r="A16" s="405">
        <v>8323705771</v>
      </c>
      <c r="B16">
        <v>10000133</v>
      </c>
      <c r="C16" t="s">
        <v>2027</v>
      </c>
      <c r="D16" s="406">
        <v>426900</v>
      </c>
      <c r="E16" s="406">
        <v>426900</v>
      </c>
      <c r="F16">
        <v>6</v>
      </c>
    </row>
    <row r="17" spans="1:6" x14ac:dyDescent="0.25">
      <c r="A17" s="405">
        <v>8324113819</v>
      </c>
      <c r="B17">
        <v>10000183</v>
      </c>
      <c r="C17" t="s">
        <v>2028</v>
      </c>
      <c r="D17" s="406">
        <v>169400</v>
      </c>
      <c r="E17" s="406">
        <v>677600</v>
      </c>
      <c r="F17">
        <v>6</v>
      </c>
    </row>
    <row r="18" spans="1:6" x14ac:dyDescent="0.25">
      <c r="A18" s="405">
        <v>8324144846</v>
      </c>
      <c r="B18">
        <v>10000223</v>
      </c>
      <c r="C18" t="s">
        <v>2029</v>
      </c>
      <c r="D18" s="406">
        <v>651000</v>
      </c>
      <c r="E18" s="406">
        <v>651000</v>
      </c>
      <c r="F18">
        <v>6</v>
      </c>
    </row>
    <row r="19" spans="1:6" x14ac:dyDescent="0.25">
      <c r="A19" s="405">
        <v>8324893164</v>
      </c>
      <c r="B19">
        <v>10000164</v>
      </c>
      <c r="C19" t="s">
        <v>901</v>
      </c>
      <c r="D19" s="406">
        <v>1336500</v>
      </c>
      <c r="E19" s="406">
        <v>1336500</v>
      </c>
      <c r="F19">
        <v>6</v>
      </c>
    </row>
    <row r="20" spans="1:6" x14ac:dyDescent="0.25">
      <c r="A20" s="405">
        <v>8325703113</v>
      </c>
      <c r="B20">
        <v>10000296</v>
      </c>
      <c r="C20" t="s">
        <v>983</v>
      </c>
      <c r="D20" s="406">
        <v>223066.66666666666</v>
      </c>
      <c r="E20" s="406">
        <v>892266.66666666663</v>
      </c>
      <c r="F20">
        <v>6</v>
      </c>
    </row>
    <row r="21" spans="1:6" x14ac:dyDescent="0.25">
      <c r="A21" s="405">
        <v>8325913762</v>
      </c>
      <c r="B21">
        <v>10000279</v>
      </c>
      <c r="C21" t="s">
        <v>2030</v>
      </c>
      <c r="D21" s="406">
        <v>1916666.6666666667</v>
      </c>
      <c r="E21" s="406">
        <v>1916666.6666666667</v>
      </c>
      <c r="F21">
        <v>6</v>
      </c>
    </row>
    <row r="22" spans="1:6" x14ac:dyDescent="0.25">
      <c r="A22" s="405">
        <v>8326124451</v>
      </c>
      <c r="B22">
        <v>10001478</v>
      </c>
      <c r="C22" t="s">
        <v>1450</v>
      </c>
      <c r="D22" s="406">
        <v>990000</v>
      </c>
      <c r="E22" s="406">
        <v>990000</v>
      </c>
      <c r="F22">
        <v>6</v>
      </c>
    </row>
    <row r="23" spans="1:6" x14ac:dyDescent="0.25">
      <c r="A23" s="405">
        <v>8326653225</v>
      </c>
      <c r="B23">
        <v>10000207</v>
      </c>
      <c r="C23" t="s">
        <v>2031</v>
      </c>
      <c r="D23" s="406">
        <v>518333.33333333331</v>
      </c>
      <c r="E23" s="406">
        <v>518333.33333333331</v>
      </c>
      <c r="F23">
        <v>6</v>
      </c>
    </row>
    <row r="24" spans="1:6" x14ac:dyDescent="0.25">
      <c r="A24" s="405">
        <v>8327581902</v>
      </c>
      <c r="B24">
        <v>10000013</v>
      </c>
      <c r="C24" t="s">
        <v>770</v>
      </c>
      <c r="D24" s="406">
        <v>587430</v>
      </c>
      <c r="E24" s="406">
        <v>587430</v>
      </c>
      <c r="F24">
        <v>5</v>
      </c>
    </row>
    <row r="25" spans="1:6" x14ac:dyDescent="0.25">
      <c r="A25" s="405">
        <v>8327793829</v>
      </c>
      <c r="B25">
        <v>10000367</v>
      </c>
      <c r="C25" t="s">
        <v>2032</v>
      </c>
      <c r="D25" s="406">
        <v>434760</v>
      </c>
      <c r="E25" s="406">
        <v>434760</v>
      </c>
      <c r="F25">
        <v>5</v>
      </c>
    </row>
    <row r="26" spans="1:6" x14ac:dyDescent="0.25">
      <c r="A26" s="405">
        <v>8327942409</v>
      </c>
      <c r="B26">
        <v>10000289</v>
      </c>
      <c r="C26" t="s">
        <v>979</v>
      </c>
      <c r="D26" s="406">
        <v>445166.66666666669</v>
      </c>
      <c r="E26" s="406">
        <v>445166.66666666669</v>
      </c>
      <c r="F26">
        <v>6</v>
      </c>
    </row>
    <row r="27" spans="1:6" x14ac:dyDescent="0.25">
      <c r="A27" s="405">
        <v>8328852489</v>
      </c>
      <c r="B27">
        <v>10000105</v>
      </c>
      <c r="C27" t="s">
        <v>2033</v>
      </c>
      <c r="D27" s="406">
        <v>550833.33333333337</v>
      </c>
      <c r="E27" s="406">
        <v>550833.33333333337</v>
      </c>
      <c r="F27">
        <v>6</v>
      </c>
    </row>
    <row r="28" spans="1:6" x14ac:dyDescent="0.25">
      <c r="A28" s="405">
        <v>8329093492</v>
      </c>
      <c r="B28">
        <v>10001699</v>
      </c>
      <c r="C28" t="s">
        <v>2034</v>
      </c>
      <c r="D28" s="406">
        <v>244066.66666666666</v>
      </c>
      <c r="E28" s="406">
        <v>244066.66666666666</v>
      </c>
      <c r="F28">
        <v>6</v>
      </c>
    </row>
    <row r="29" spans="1:6" x14ac:dyDescent="0.25">
      <c r="A29" s="405">
        <v>8329223957</v>
      </c>
      <c r="B29">
        <v>10001700</v>
      </c>
      <c r="C29" t="s">
        <v>2035</v>
      </c>
      <c r="D29" s="406">
        <v>511033.33333333331</v>
      </c>
      <c r="E29" s="406">
        <v>511033.33333333331</v>
      </c>
      <c r="F29">
        <v>6</v>
      </c>
    </row>
    <row r="30" spans="1:6" x14ac:dyDescent="0.25">
      <c r="A30" s="405">
        <v>8329381064</v>
      </c>
      <c r="B30">
        <v>10000673</v>
      </c>
      <c r="C30" t="s">
        <v>1199</v>
      </c>
      <c r="D30" s="406">
        <v>340266.66666666669</v>
      </c>
      <c r="E30" s="406">
        <v>340266.66666666669</v>
      </c>
      <c r="F30">
        <v>6</v>
      </c>
    </row>
    <row r="31" spans="1:6" x14ac:dyDescent="0.25">
      <c r="A31" s="405">
        <v>8329823474</v>
      </c>
      <c r="B31">
        <v>10000003</v>
      </c>
      <c r="C31" t="s">
        <v>765</v>
      </c>
      <c r="D31" s="406">
        <v>443500</v>
      </c>
      <c r="E31" s="406">
        <v>443500</v>
      </c>
      <c r="F31">
        <v>6</v>
      </c>
    </row>
    <row r="32" spans="1:6" x14ac:dyDescent="0.25">
      <c r="A32" s="405">
        <v>8330322432</v>
      </c>
      <c r="B32">
        <v>10000101</v>
      </c>
      <c r="C32" t="s">
        <v>857</v>
      </c>
      <c r="D32" s="406">
        <v>389933.33333333331</v>
      </c>
      <c r="E32" s="406">
        <v>389933.33333333331</v>
      </c>
      <c r="F32">
        <v>6</v>
      </c>
    </row>
    <row r="33" spans="1:6" x14ac:dyDescent="0.25">
      <c r="A33" s="405">
        <v>8330423271</v>
      </c>
      <c r="B33">
        <v>10001701</v>
      </c>
      <c r="C33" t="s">
        <v>2036</v>
      </c>
      <c r="D33" s="406">
        <v>277066.66666666669</v>
      </c>
      <c r="E33" s="406">
        <v>277066.66666666669</v>
      </c>
      <c r="F33">
        <v>6</v>
      </c>
    </row>
    <row r="34" spans="1:6" x14ac:dyDescent="0.25">
      <c r="A34" s="405">
        <v>8330572722</v>
      </c>
      <c r="B34">
        <v>10001916</v>
      </c>
      <c r="C34" t="s">
        <v>2037</v>
      </c>
      <c r="D34" s="406">
        <v>205733.33333333334</v>
      </c>
      <c r="E34" s="406">
        <v>411466.66666666669</v>
      </c>
      <c r="F34">
        <v>6</v>
      </c>
    </row>
    <row r="35" spans="1:6" x14ac:dyDescent="0.25">
      <c r="A35" s="405">
        <v>8331062841</v>
      </c>
      <c r="B35">
        <v>10001702</v>
      </c>
      <c r="C35" t="s">
        <v>2038</v>
      </c>
      <c r="D35" s="406">
        <v>393400</v>
      </c>
      <c r="E35" s="406">
        <v>393400</v>
      </c>
      <c r="F35">
        <v>6</v>
      </c>
    </row>
    <row r="36" spans="1:6" x14ac:dyDescent="0.25">
      <c r="A36" s="405">
        <v>8331381300</v>
      </c>
      <c r="B36">
        <v>10000637</v>
      </c>
      <c r="C36" t="s">
        <v>1187</v>
      </c>
      <c r="D36" s="406">
        <v>340266.66666666669</v>
      </c>
      <c r="E36" s="406">
        <v>340266.66666666669</v>
      </c>
      <c r="F36">
        <v>6</v>
      </c>
    </row>
    <row r="37" spans="1:6" x14ac:dyDescent="0.25">
      <c r="A37" s="405">
        <v>8331450604</v>
      </c>
      <c r="B37">
        <v>10001192</v>
      </c>
      <c r="C37" t="s">
        <v>1376</v>
      </c>
      <c r="D37" s="406">
        <v>215900</v>
      </c>
      <c r="E37" s="406">
        <v>287866.66666666669</v>
      </c>
      <c r="F37">
        <v>6</v>
      </c>
    </row>
    <row r="38" spans="1:6" x14ac:dyDescent="0.25">
      <c r="A38" s="405">
        <v>8331781015</v>
      </c>
      <c r="B38">
        <v>10000482</v>
      </c>
      <c r="C38" t="s">
        <v>1094</v>
      </c>
      <c r="D38" s="406">
        <v>300733.33333333331</v>
      </c>
      <c r="E38" s="406">
        <v>300733.33333333331</v>
      </c>
      <c r="F38">
        <v>6</v>
      </c>
    </row>
    <row r="39" spans="1:6" x14ac:dyDescent="0.25">
      <c r="A39" s="405">
        <v>8331833333</v>
      </c>
      <c r="B39">
        <v>10000629</v>
      </c>
      <c r="C39" t="s">
        <v>2039</v>
      </c>
      <c r="D39" s="406">
        <v>426933.33333333331</v>
      </c>
      <c r="E39" s="406">
        <v>426933.33333333331</v>
      </c>
      <c r="F39">
        <v>6</v>
      </c>
    </row>
    <row r="40" spans="1:6" x14ac:dyDescent="0.25">
      <c r="A40" s="405">
        <v>8331913493</v>
      </c>
      <c r="B40">
        <v>10001703</v>
      </c>
      <c r="C40" t="s">
        <v>2040</v>
      </c>
      <c r="D40" s="406">
        <v>516633.33333333331</v>
      </c>
      <c r="E40" s="406">
        <v>516633.33333333331</v>
      </c>
      <c r="F40">
        <v>6</v>
      </c>
    </row>
    <row r="41" spans="1:6" x14ac:dyDescent="0.25">
      <c r="A41" s="405">
        <v>8332283086</v>
      </c>
      <c r="B41">
        <v>10000485</v>
      </c>
      <c r="C41" t="s">
        <v>1098</v>
      </c>
      <c r="D41" s="406">
        <v>440000</v>
      </c>
      <c r="E41" s="406">
        <v>440000</v>
      </c>
      <c r="F41">
        <v>6</v>
      </c>
    </row>
    <row r="42" spans="1:6" x14ac:dyDescent="0.25">
      <c r="A42" s="405">
        <v>8332374189</v>
      </c>
      <c r="B42">
        <v>10001894</v>
      </c>
      <c r="C42" t="s">
        <v>2041</v>
      </c>
      <c r="D42" s="406">
        <v>476333.33333333331</v>
      </c>
      <c r="E42" s="406">
        <v>476333.33333333331</v>
      </c>
      <c r="F42">
        <v>6</v>
      </c>
    </row>
    <row r="43" spans="1:6" x14ac:dyDescent="0.25">
      <c r="A43" s="405">
        <v>8332495547</v>
      </c>
      <c r="B43">
        <v>10001997</v>
      </c>
      <c r="C43" t="s">
        <v>1718</v>
      </c>
      <c r="D43" s="406">
        <v>620960</v>
      </c>
      <c r="E43" s="406">
        <v>620960</v>
      </c>
      <c r="F43">
        <v>5</v>
      </c>
    </row>
    <row r="44" spans="1:6" x14ac:dyDescent="0.25">
      <c r="A44" s="405">
        <v>8332743370</v>
      </c>
      <c r="B44">
        <v>10000126</v>
      </c>
      <c r="C44" t="s">
        <v>2042</v>
      </c>
      <c r="D44" s="406">
        <v>1261285.5</v>
      </c>
      <c r="E44" s="406">
        <v>1261285.5</v>
      </c>
      <c r="F44">
        <v>6</v>
      </c>
    </row>
    <row r="45" spans="1:6" x14ac:dyDescent="0.25">
      <c r="A45" s="405">
        <v>8333893694</v>
      </c>
      <c r="B45">
        <v>10000073</v>
      </c>
      <c r="C45" t="s">
        <v>827</v>
      </c>
      <c r="D45" s="406">
        <v>426900</v>
      </c>
      <c r="E45" s="406">
        <v>426900</v>
      </c>
      <c r="F45">
        <v>6</v>
      </c>
    </row>
    <row r="46" spans="1:6" x14ac:dyDescent="0.25">
      <c r="A46" s="405">
        <v>8333952534</v>
      </c>
      <c r="B46">
        <v>10000088</v>
      </c>
      <c r="C46" t="s">
        <v>2043</v>
      </c>
      <c r="D46" s="406">
        <v>323200</v>
      </c>
      <c r="E46" s="406">
        <v>646400</v>
      </c>
      <c r="F46">
        <v>6</v>
      </c>
    </row>
    <row r="47" spans="1:6" x14ac:dyDescent="0.25">
      <c r="A47" s="405">
        <v>8334263570</v>
      </c>
      <c r="B47">
        <v>10001704</v>
      </c>
      <c r="C47" t="s">
        <v>2044</v>
      </c>
      <c r="D47" s="406">
        <v>242000</v>
      </c>
      <c r="E47" s="406">
        <v>242000</v>
      </c>
      <c r="F47">
        <v>6</v>
      </c>
    </row>
    <row r="48" spans="1:6" x14ac:dyDescent="0.25">
      <c r="A48" s="405">
        <v>8334462786</v>
      </c>
      <c r="B48">
        <v>10001124</v>
      </c>
      <c r="C48" t="s">
        <v>1348</v>
      </c>
      <c r="D48" s="406">
        <v>475933.33333333331</v>
      </c>
      <c r="E48" s="406">
        <v>475933.33333333331</v>
      </c>
      <c r="F48">
        <v>6</v>
      </c>
    </row>
    <row r="49" spans="1:6" x14ac:dyDescent="0.25">
      <c r="A49" s="405">
        <v>8334552580</v>
      </c>
      <c r="B49">
        <v>10000328</v>
      </c>
      <c r="C49" t="s">
        <v>2045</v>
      </c>
      <c r="D49" s="406">
        <v>1686107.6666666667</v>
      </c>
      <c r="E49" s="406">
        <v>1686107.6666666667</v>
      </c>
      <c r="F49">
        <v>6</v>
      </c>
    </row>
    <row r="50" spans="1:6" x14ac:dyDescent="0.25">
      <c r="A50" s="405">
        <v>8334653166</v>
      </c>
      <c r="B50">
        <v>10000435</v>
      </c>
      <c r="C50" t="s">
        <v>1075</v>
      </c>
      <c r="D50" s="406">
        <v>729933.33333333337</v>
      </c>
      <c r="E50" s="406">
        <v>729933.33333333337</v>
      </c>
      <c r="F50">
        <v>6</v>
      </c>
    </row>
    <row r="51" spans="1:6" x14ac:dyDescent="0.25">
      <c r="A51" s="405">
        <v>8335033226</v>
      </c>
      <c r="B51">
        <v>10001705</v>
      </c>
      <c r="C51" t="s">
        <v>2046</v>
      </c>
      <c r="D51" s="406">
        <v>240933.33333333334</v>
      </c>
      <c r="E51" s="406">
        <v>240933.33333333334</v>
      </c>
      <c r="F51">
        <v>6</v>
      </c>
    </row>
    <row r="52" spans="1:6" x14ac:dyDescent="0.25">
      <c r="A52" s="405">
        <v>8335073988</v>
      </c>
      <c r="B52">
        <v>10000512</v>
      </c>
      <c r="C52" t="s">
        <v>1117</v>
      </c>
      <c r="D52" s="406">
        <v>374000</v>
      </c>
      <c r="E52" s="406">
        <v>374000</v>
      </c>
      <c r="F52">
        <v>6</v>
      </c>
    </row>
    <row r="53" spans="1:6" x14ac:dyDescent="0.25">
      <c r="A53" s="405">
        <v>8335673411</v>
      </c>
      <c r="B53">
        <v>10001092</v>
      </c>
      <c r="C53" t="s">
        <v>2047</v>
      </c>
      <c r="D53" s="406">
        <v>252433.33333333334</v>
      </c>
      <c r="E53" s="406">
        <v>252433.33333333334</v>
      </c>
      <c r="F53">
        <v>6</v>
      </c>
    </row>
    <row r="54" spans="1:6" x14ac:dyDescent="0.25">
      <c r="A54" s="405">
        <v>8336301208</v>
      </c>
      <c r="B54">
        <v>10000720</v>
      </c>
      <c r="C54" t="s">
        <v>2048</v>
      </c>
      <c r="D54" s="406">
        <v>331233.33333333331</v>
      </c>
      <c r="E54" s="406">
        <v>331233.33333333331</v>
      </c>
      <c r="F54">
        <v>6</v>
      </c>
    </row>
    <row r="55" spans="1:6" x14ac:dyDescent="0.25">
      <c r="A55" s="405">
        <v>8337512741</v>
      </c>
      <c r="B55">
        <v>10000849</v>
      </c>
      <c r="C55" t="s">
        <v>2049</v>
      </c>
      <c r="D55" s="406">
        <v>395335</v>
      </c>
      <c r="E55" s="406">
        <v>395335</v>
      </c>
      <c r="F55">
        <v>6</v>
      </c>
    </row>
    <row r="56" spans="1:6" x14ac:dyDescent="0.25">
      <c r="A56" s="405">
        <v>8337633700</v>
      </c>
      <c r="B56">
        <v>10001294</v>
      </c>
      <c r="C56" t="s">
        <v>1395</v>
      </c>
      <c r="D56" s="406">
        <v>426900</v>
      </c>
      <c r="E56" s="406">
        <v>426900</v>
      </c>
      <c r="F56">
        <v>6</v>
      </c>
    </row>
    <row r="57" spans="1:6" x14ac:dyDescent="0.25">
      <c r="A57" s="405">
        <v>8337772778</v>
      </c>
      <c r="B57">
        <v>10000125</v>
      </c>
      <c r="C57" t="s">
        <v>2050</v>
      </c>
      <c r="D57" s="406">
        <v>463833.33333333331</v>
      </c>
      <c r="E57" s="406">
        <v>463833.33333333331</v>
      </c>
      <c r="F57">
        <v>6</v>
      </c>
    </row>
    <row r="58" spans="1:6" x14ac:dyDescent="0.25">
      <c r="A58" s="405">
        <v>8338001759</v>
      </c>
      <c r="B58">
        <v>10000253</v>
      </c>
      <c r="C58" t="s">
        <v>2051</v>
      </c>
      <c r="D58" s="406">
        <v>719166.66666666663</v>
      </c>
      <c r="E58" s="406">
        <v>719166.66666666663</v>
      </c>
      <c r="F58">
        <v>6</v>
      </c>
    </row>
    <row r="59" spans="1:6" x14ac:dyDescent="0.25">
      <c r="A59" s="405">
        <v>8338093564</v>
      </c>
      <c r="B59">
        <v>10000239</v>
      </c>
      <c r="C59" t="s">
        <v>949</v>
      </c>
      <c r="D59" s="406">
        <v>404700</v>
      </c>
      <c r="E59" s="406">
        <v>404700</v>
      </c>
      <c r="F59">
        <v>3</v>
      </c>
    </row>
    <row r="60" spans="1:6" x14ac:dyDescent="0.25">
      <c r="A60" s="405">
        <v>8338103594</v>
      </c>
      <c r="B60">
        <v>10000372</v>
      </c>
      <c r="C60" t="s">
        <v>2052</v>
      </c>
      <c r="D60" s="406">
        <v>320233.33333333331</v>
      </c>
      <c r="E60" s="406">
        <v>320233.33333333331</v>
      </c>
      <c r="F60">
        <v>6</v>
      </c>
    </row>
    <row r="61" spans="1:6" x14ac:dyDescent="0.25">
      <c r="A61" s="405">
        <v>8338131113</v>
      </c>
      <c r="B61">
        <v>10000700</v>
      </c>
      <c r="C61" t="s">
        <v>2053</v>
      </c>
      <c r="D61" s="406">
        <v>313533.33333333331</v>
      </c>
      <c r="E61" s="406">
        <v>313533.33333333331</v>
      </c>
      <c r="F61">
        <v>6</v>
      </c>
    </row>
    <row r="62" spans="1:6" x14ac:dyDescent="0.25">
      <c r="A62" s="405">
        <v>8338512761</v>
      </c>
      <c r="B62">
        <v>10000762</v>
      </c>
      <c r="C62" t="s">
        <v>2054</v>
      </c>
      <c r="D62" s="406">
        <v>291833.33333333331</v>
      </c>
      <c r="E62" s="406">
        <v>291833.33333333331</v>
      </c>
      <c r="F62">
        <v>6</v>
      </c>
    </row>
    <row r="63" spans="1:6" x14ac:dyDescent="0.25">
      <c r="A63" s="405">
        <v>8339973762</v>
      </c>
      <c r="B63">
        <v>10000940</v>
      </c>
      <c r="C63" t="s">
        <v>1289</v>
      </c>
      <c r="D63" s="406">
        <v>410166.66666666669</v>
      </c>
      <c r="E63" s="406">
        <v>569500</v>
      </c>
      <c r="F63">
        <v>6</v>
      </c>
    </row>
    <row r="64" spans="1:6" x14ac:dyDescent="0.25">
      <c r="A64" s="405">
        <v>8340202553</v>
      </c>
      <c r="B64">
        <v>10000093</v>
      </c>
      <c r="C64" t="s">
        <v>2055</v>
      </c>
      <c r="D64" s="406">
        <v>591433.33333333337</v>
      </c>
      <c r="E64" s="406">
        <v>591433.33333333337</v>
      </c>
      <c r="F64">
        <v>6</v>
      </c>
    </row>
    <row r="65" spans="1:6" x14ac:dyDescent="0.25">
      <c r="A65" s="405">
        <v>8340433393</v>
      </c>
      <c r="B65">
        <v>10001706</v>
      </c>
      <c r="C65" t="s">
        <v>2056</v>
      </c>
      <c r="D65" s="406">
        <v>331700</v>
      </c>
      <c r="E65" s="406">
        <v>331700</v>
      </c>
      <c r="F65">
        <v>6</v>
      </c>
    </row>
    <row r="66" spans="1:6" x14ac:dyDescent="0.25">
      <c r="A66" s="405">
        <v>8340680668</v>
      </c>
      <c r="B66">
        <v>10000443</v>
      </c>
      <c r="C66" t="s">
        <v>2057</v>
      </c>
      <c r="D66" s="406">
        <v>492133.33333333331</v>
      </c>
      <c r="E66" s="406">
        <v>492133.33333333331</v>
      </c>
      <c r="F66">
        <v>6</v>
      </c>
    </row>
    <row r="67" spans="1:6" x14ac:dyDescent="0.25">
      <c r="A67" s="405">
        <v>8340833502</v>
      </c>
      <c r="B67">
        <v>10000382</v>
      </c>
      <c r="C67" t="s">
        <v>1033</v>
      </c>
      <c r="D67" s="406">
        <v>341566.66666666669</v>
      </c>
      <c r="E67" s="406">
        <v>341566.66666666669</v>
      </c>
      <c r="F67">
        <v>6</v>
      </c>
    </row>
    <row r="68" spans="1:6" x14ac:dyDescent="0.25">
      <c r="A68" s="405">
        <v>8341024020</v>
      </c>
      <c r="B68">
        <v>10000120</v>
      </c>
      <c r="C68" t="s">
        <v>872</v>
      </c>
      <c r="D68" s="406">
        <v>935000</v>
      </c>
      <c r="E68" s="406">
        <v>935000</v>
      </c>
      <c r="F68">
        <v>6</v>
      </c>
    </row>
    <row r="69" spans="1:6" x14ac:dyDescent="0.25">
      <c r="A69" s="405">
        <v>8341254700</v>
      </c>
      <c r="B69">
        <v>10000134</v>
      </c>
      <c r="C69" t="s">
        <v>885</v>
      </c>
      <c r="D69" s="406">
        <v>628133.33333333337</v>
      </c>
      <c r="E69" s="406">
        <v>628133.33333333337</v>
      </c>
      <c r="F69">
        <v>6</v>
      </c>
    </row>
    <row r="70" spans="1:6" x14ac:dyDescent="0.25">
      <c r="A70" s="405">
        <v>8341372746</v>
      </c>
      <c r="B70">
        <v>10000281</v>
      </c>
      <c r="C70" t="s">
        <v>2058</v>
      </c>
      <c r="D70" s="406">
        <v>552100</v>
      </c>
      <c r="E70" s="406">
        <v>552100</v>
      </c>
      <c r="F70">
        <v>6</v>
      </c>
    </row>
    <row r="71" spans="1:6" x14ac:dyDescent="0.25">
      <c r="A71" s="405">
        <v>8341603020</v>
      </c>
      <c r="B71">
        <v>10001879</v>
      </c>
      <c r="C71" t="s">
        <v>1650</v>
      </c>
      <c r="D71" s="406">
        <v>498100</v>
      </c>
      <c r="E71" s="406">
        <v>664133.33333333337</v>
      </c>
      <c r="F71">
        <v>6</v>
      </c>
    </row>
    <row r="72" spans="1:6" x14ac:dyDescent="0.25">
      <c r="A72" s="405">
        <v>8341813394</v>
      </c>
      <c r="B72">
        <v>10000213</v>
      </c>
      <c r="C72" t="s">
        <v>935</v>
      </c>
      <c r="D72" s="406">
        <v>1234633.3333333333</v>
      </c>
      <c r="E72" s="406">
        <v>1234633.3333333333</v>
      </c>
      <c r="F72">
        <v>6</v>
      </c>
    </row>
    <row r="73" spans="1:6" x14ac:dyDescent="0.25">
      <c r="A73" s="405">
        <v>8341952432</v>
      </c>
      <c r="B73">
        <v>10000588</v>
      </c>
      <c r="C73" t="s">
        <v>1158</v>
      </c>
      <c r="D73" s="406">
        <v>306806.66666666669</v>
      </c>
      <c r="E73" s="406">
        <v>306806.66666666669</v>
      </c>
      <c r="F73">
        <v>6</v>
      </c>
    </row>
    <row r="74" spans="1:6" x14ac:dyDescent="0.25">
      <c r="A74" s="405">
        <v>8342323544</v>
      </c>
      <c r="B74">
        <v>10000222</v>
      </c>
      <c r="C74" t="s">
        <v>941</v>
      </c>
      <c r="D74" s="406">
        <v>551666.66666666663</v>
      </c>
      <c r="E74" s="406">
        <v>551666.66666666663</v>
      </c>
      <c r="F74">
        <v>6</v>
      </c>
    </row>
    <row r="75" spans="1:6" x14ac:dyDescent="0.25">
      <c r="A75" s="405">
        <v>8342612481</v>
      </c>
      <c r="B75">
        <v>10000244</v>
      </c>
      <c r="C75" t="s">
        <v>2059</v>
      </c>
      <c r="D75" s="406">
        <v>388966.66666666669</v>
      </c>
      <c r="E75" s="406">
        <v>388966.66666666669</v>
      </c>
      <c r="F75">
        <v>6</v>
      </c>
    </row>
    <row r="76" spans="1:6" x14ac:dyDescent="0.25">
      <c r="A76" s="405">
        <v>8342722945</v>
      </c>
      <c r="B76">
        <v>10000585</v>
      </c>
      <c r="C76" t="s">
        <v>1153</v>
      </c>
      <c r="D76" s="406">
        <v>218033.33333333334</v>
      </c>
      <c r="E76" s="406">
        <v>290711.11111111112</v>
      </c>
      <c r="F76">
        <v>6</v>
      </c>
    </row>
    <row r="77" spans="1:6" x14ac:dyDescent="0.25">
      <c r="A77" s="405">
        <v>8344203074</v>
      </c>
      <c r="B77">
        <v>10000182</v>
      </c>
      <c r="C77" t="s">
        <v>2060</v>
      </c>
      <c r="D77" s="406">
        <v>977166.66666666663</v>
      </c>
      <c r="E77" s="406">
        <v>977166.66666666663</v>
      </c>
      <c r="F77">
        <v>6</v>
      </c>
    </row>
    <row r="78" spans="1:6" x14ac:dyDescent="0.25">
      <c r="A78" s="405">
        <v>8344491819</v>
      </c>
      <c r="B78">
        <v>10000729</v>
      </c>
      <c r="C78" t="s">
        <v>2061</v>
      </c>
      <c r="D78" s="406">
        <v>316550</v>
      </c>
      <c r="E78" s="406">
        <v>316550</v>
      </c>
      <c r="F78">
        <v>6</v>
      </c>
    </row>
    <row r="79" spans="1:6" x14ac:dyDescent="0.25">
      <c r="A79" s="405">
        <v>8344550599</v>
      </c>
      <c r="B79">
        <v>10000558</v>
      </c>
      <c r="C79" t="s">
        <v>1143</v>
      </c>
      <c r="D79" s="406">
        <v>340266.66666666669</v>
      </c>
      <c r="E79" s="406">
        <v>340266.66666666669</v>
      </c>
      <c r="F79">
        <v>6</v>
      </c>
    </row>
    <row r="80" spans="1:6" x14ac:dyDescent="0.25">
      <c r="A80" s="405">
        <v>8346201834</v>
      </c>
      <c r="B80">
        <v>10000075</v>
      </c>
      <c r="C80" t="s">
        <v>829</v>
      </c>
      <c r="D80" s="406">
        <v>507666.66666666669</v>
      </c>
      <c r="E80" s="406">
        <v>507666.66666666669</v>
      </c>
      <c r="F80">
        <v>6</v>
      </c>
    </row>
    <row r="81" spans="1:6" x14ac:dyDescent="0.25">
      <c r="A81" s="405">
        <v>8346442386</v>
      </c>
      <c r="B81">
        <v>10000021</v>
      </c>
      <c r="C81" t="s">
        <v>2062</v>
      </c>
      <c r="D81" s="406">
        <v>1141800</v>
      </c>
      <c r="E81" s="406">
        <v>1141800</v>
      </c>
      <c r="F81">
        <v>6</v>
      </c>
    </row>
    <row r="82" spans="1:6" x14ac:dyDescent="0.25">
      <c r="A82" s="405">
        <v>8346702302</v>
      </c>
      <c r="B82">
        <v>10001707</v>
      </c>
      <c r="C82" t="s">
        <v>2063</v>
      </c>
      <c r="D82" s="406">
        <v>240933.33333333334</v>
      </c>
      <c r="E82" s="406">
        <v>240933.33333333334</v>
      </c>
      <c r="F82">
        <v>6</v>
      </c>
    </row>
    <row r="83" spans="1:6" x14ac:dyDescent="0.25">
      <c r="A83" s="405">
        <v>8347162905</v>
      </c>
      <c r="B83">
        <v>10001708</v>
      </c>
      <c r="C83" t="s">
        <v>2064</v>
      </c>
      <c r="D83" s="406">
        <v>401533.33333333331</v>
      </c>
      <c r="E83" s="406">
        <v>401533.33333333331</v>
      </c>
      <c r="F83">
        <v>6</v>
      </c>
    </row>
    <row r="84" spans="1:6" x14ac:dyDescent="0.25">
      <c r="A84" s="405">
        <v>8347262403</v>
      </c>
      <c r="B84">
        <v>10001857</v>
      </c>
      <c r="C84" t="s">
        <v>1643</v>
      </c>
      <c r="D84" s="406">
        <v>880000</v>
      </c>
      <c r="E84" s="406">
        <v>880000</v>
      </c>
      <c r="F84">
        <v>6</v>
      </c>
    </row>
    <row r="85" spans="1:6" x14ac:dyDescent="0.25">
      <c r="A85" s="405">
        <v>8347572488</v>
      </c>
      <c r="B85">
        <v>10001709</v>
      </c>
      <c r="C85" t="s">
        <v>2065</v>
      </c>
      <c r="D85" s="406">
        <v>240933.33333333334</v>
      </c>
      <c r="E85" s="406">
        <v>240933.33333333334</v>
      </c>
      <c r="F85">
        <v>6</v>
      </c>
    </row>
    <row r="86" spans="1:6" x14ac:dyDescent="0.25">
      <c r="A86" s="405">
        <v>8347962146</v>
      </c>
      <c r="B86">
        <v>10001710</v>
      </c>
      <c r="C86" t="s">
        <v>2066</v>
      </c>
      <c r="D86" s="406">
        <v>240933.33333333334</v>
      </c>
      <c r="E86" s="406">
        <v>240933.33333333334</v>
      </c>
      <c r="F86">
        <v>6</v>
      </c>
    </row>
    <row r="87" spans="1:6" x14ac:dyDescent="0.25">
      <c r="A87" s="405">
        <v>8348102639</v>
      </c>
      <c r="B87">
        <v>10000353</v>
      </c>
      <c r="C87" t="s">
        <v>2067</v>
      </c>
      <c r="D87" s="406">
        <v>167000</v>
      </c>
      <c r="E87" s="406">
        <v>445333.33333333331</v>
      </c>
      <c r="F87">
        <v>6</v>
      </c>
    </row>
    <row r="88" spans="1:6" x14ac:dyDescent="0.25">
      <c r="A88" s="405">
        <v>8348242694</v>
      </c>
      <c r="B88">
        <v>10001538</v>
      </c>
      <c r="C88" t="s">
        <v>1459</v>
      </c>
      <c r="D88" s="406">
        <v>394266.66666666669</v>
      </c>
      <c r="E88" s="406">
        <v>394266.66666666669</v>
      </c>
      <c r="F88">
        <v>6</v>
      </c>
    </row>
    <row r="89" spans="1:6" x14ac:dyDescent="0.25">
      <c r="A89" s="405">
        <v>8348530169</v>
      </c>
      <c r="B89">
        <v>10000109</v>
      </c>
      <c r="C89" t="s">
        <v>2068</v>
      </c>
      <c r="D89" s="406">
        <v>1222133.3333333333</v>
      </c>
      <c r="E89" s="406">
        <v>1222133.3333333333</v>
      </c>
      <c r="F89">
        <v>6</v>
      </c>
    </row>
    <row r="90" spans="1:6" x14ac:dyDescent="0.25">
      <c r="A90" s="405">
        <v>8348612807</v>
      </c>
      <c r="B90">
        <v>10001300</v>
      </c>
      <c r="C90" t="s">
        <v>2069</v>
      </c>
      <c r="D90" s="406">
        <v>240933.33333333334</v>
      </c>
      <c r="E90" s="406">
        <v>240933.33333333334</v>
      </c>
      <c r="F90">
        <v>6</v>
      </c>
    </row>
    <row r="91" spans="1:6" x14ac:dyDescent="0.25">
      <c r="A91" s="405">
        <v>8348782737</v>
      </c>
      <c r="B91">
        <v>10000209</v>
      </c>
      <c r="C91" t="s">
        <v>2070</v>
      </c>
      <c r="D91" s="406">
        <v>841166.66666666663</v>
      </c>
      <c r="E91" s="406">
        <v>841166.66666666663</v>
      </c>
      <c r="F91">
        <v>6</v>
      </c>
    </row>
    <row r="92" spans="1:6" x14ac:dyDescent="0.25">
      <c r="A92" s="405">
        <v>8349432063</v>
      </c>
      <c r="B92">
        <v>10000150</v>
      </c>
      <c r="C92" t="s">
        <v>2071</v>
      </c>
      <c r="D92" s="406">
        <v>594000</v>
      </c>
      <c r="E92" s="406">
        <v>594000</v>
      </c>
      <c r="F92">
        <v>6</v>
      </c>
    </row>
    <row r="93" spans="1:6" x14ac:dyDescent="0.25">
      <c r="A93" s="405">
        <v>8349722673</v>
      </c>
      <c r="B93">
        <v>10001117</v>
      </c>
      <c r="C93" t="s">
        <v>1346</v>
      </c>
      <c r="D93" s="406">
        <v>279120</v>
      </c>
      <c r="E93" s="406">
        <v>497733.33333333331</v>
      </c>
      <c r="F93">
        <v>5</v>
      </c>
    </row>
    <row r="94" spans="1:6" x14ac:dyDescent="0.25">
      <c r="A94" s="405">
        <v>8349842210</v>
      </c>
      <c r="B94">
        <v>10000198</v>
      </c>
      <c r="C94" t="s">
        <v>2072</v>
      </c>
      <c r="D94" s="406">
        <v>536033.33333333337</v>
      </c>
      <c r="E94" s="406">
        <v>536033.33333333337</v>
      </c>
      <c r="F94">
        <v>6</v>
      </c>
    </row>
    <row r="95" spans="1:6" x14ac:dyDescent="0.25">
      <c r="A95" s="405">
        <v>8349921730</v>
      </c>
      <c r="B95">
        <v>10000276</v>
      </c>
      <c r="C95" t="s">
        <v>2073</v>
      </c>
      <c r="D95" s="406">
        <v>757321.33333333337</v>
      </c>
      <c r="E95" s="406">
        <v>757321.33333333337</v>
      </c>
      <c r="F95">
        <v>6</v>
      </c>
    </row>
    <row r="96" spans="1:6" x14ac:dyDescent="0.25">
      <c r="A96" s="405">
        <v>8350002298</v>
      </c>
      <c r="B96">
        <v>10000525</v>
      </c>
      <c r="C96" t="s">
        <v>1123</v>
      </c>
      <c r="D96" s="406">
        <v>300733.33333333331</v>
      </c>
      <c r="E96" s="406">
        <v>300733.33333333331</v>
      </c>
      <c r="F96">
        <v>6</v>
      </c>
    </row>
    <row r="97" spans="1:6" x14ac:dyDescent="0.25">
      <c r="A97" s="405">
        <v>8350062436</v>
      </c>
      <c r="B97">
        <v>10000395</v>
      </c>
      <c r="C97" t="s">
        <v>1044</v>
      </c>
      <c r="D97" s="406">
        <v>638333.33333333337</v>
      </c>
      <c r="E97" s="406">
        <v>638333.33333333337</v>
      </c>
      <c r="F97">
        <v>6</v>
      </c>
    </row>
    <row r="98" spans="1:6" x14ac:dyDescent="0.25">
      <c r="A98" s="405">
        <v>8350062770</v>
      </c>
      <c r="B98">
        <v>10000231</v>
      </c>
      <c r="C98" t="s">
        <v>2074</v>
      </c>
      <c r="D98" s="406">
        <v>709833.33333333337</v>
      </c>
      <c r="E98" s="406">
        <v>709833.33333333337</v>
      </c>
      <c r="F98">
        <v>6</v>
      </c>
    </row>
    <row r="99" spans="1:6" x14ac:dyDescent="0.25">
      <c r="A99" s="405">
        <v>8350662190</v>
      </c>
      <c r="B99">
        <v>10000172</v>
      </c>
      <c r="C99" t="s">
        <v>2075</v>
      </c>
      <c r="D99" s="406">
        <v>680933.33333333337</v>
      </c>
      <c r="E99" s="406">
        <v>680933.33333333337</v>
      </c>
      <c r="F99">
        <v>6</v>
      </c>
    </row>
    <row r="100" spans="1:6" x14ac:dyDescent="0.25">
      <c r="A100" s="405">
        <v>8350671920</v>
      </c>
      <c r="B100">
        <v>10000303</v>
      </c>
      <c r="C100" t="s">
        <v>986</v>
      </c>
      <c r="D100" s="406">
        <v>780183.33333333337</v>
      </c>
      <c r="E100" s="406">
        <v>780183.33333333337</v>
      </c>
      <c r="F100">
        <v>6</v>
      </c>
    </row>
    <row r="101" spans="1:6" x14ac:dyDescent="0.25">
      <c r="A101" s="405">
        <v>8350852550</v>
      </c>
      <c r="B101">
        <v>10002023</v>
      </c>
      <c r="C101" t="s">
        <v>1746</v>
      </c>
      <c r="D101" s="406">
        <v>82500</v>
      </c>
      <c r="E101" s="406">
        <v>330000</v>
      </c>
      <c r="F101">
        <v>2</v>
      </c>
    </row>
    <row r="102" spans="1:6" x14ac:dyDescent="0.25">
      <c r="A102" s="405">
        <v>8351102644</v>
      </c>
      <c r="B102">
        <v>10000394</v>
      </c>
      <c r="C102" t="s">
        <v>1041</v>
      </c>
      <c r="D102" s="406">
        <v>715000</v>
      </c>
      <c r="E102" s="406">
        <v>715000</v>
      </c>
      <c r="F102">
        <v>6</v>
      </c>
    </row>
    <row r="103" spans="1:6" x14ac:dyDescent="0.25">
      <c r="A103" s="405">
        <v>8351331759</v>
      </c>
      <c r="B103">
        <v>10001022</v>
      </c>
      <c r="C103" t="s">
        <v>1316</v>
      </c>
      <c r="D103" s="406">
        <v>339260</v>
      </c>
      <c r="E103" s="406">
        <v>339260</v>
      </c>
      <c r="F103">
        <v>6</v>
      </c>
    </row>
    <row r="104" spans="1:6" x14ac:dyDescent="0.25">
      <c r="A104" s="405">
        <v>8351583782</v>
      </c>
      <c r="B104">
        <v>10000451</v>
      </c>
      <c r="C104" t="s">
        <v>1085</v>
      </c>
      <c r="D104" s="406">
        <v>330000</v>
      </c>
      <c r="E104" s="406">
        <v>330000</v>
      </c>
      <c r="F104">
        <v>6</v>
      </c>
    </row>
    <row r="105" spans="1:6" x14ac:dyDescent="0.25">
      <c r="A105" s="405">
        <v>8351692085</v>
      </c>
      <c r="B105">
        <v>10000514</v>
      </c>
      <c r="C105" t="s">
        <v>2076</v>
      </c>
      <c r="D105" s="406">
        <v>349406.66666666669</v>
      </c>
      <c r="E105" s="406">
        <v>349406.66666666669</v>
      </c>
      <c r="F105">
        <v>6</v>
      </c>
    </row>
    <row r="106" spans="1:6" x14ac:dyDescent="0.25">
      <c r="A106" s="405">
        <v>8351710237</v>
      </c>
      <c r="B106">
        <v>10000236</v>
      </c>
      <c r="C106" t="s">
        <v>2077</v>
      </c>
      <c r="D106" s="406">
        <v>866500</v>
      </c>
      <c r="E106" s="406">
        <v>866500</v>
      </c>
      <c r="F106">
        <v>6</v>
      </c>
    </row>
    <row r="107" spans="1:6" x14ac:dyDescent="0.25">
      <c r="A107" s="405">
        <v>8351943541</v>
      </c>
      <c r="B107">
        <v>10000648</v>
      </c>
      <c r="C107" t="s">
        <v>1190</v>
      </c>
      <c r="D107" s="406">
        <v>397333.33333333331</v>
      </c>
      <c r="E107" s="406">
        <v>397333.33333333331</v>
      </c>
      <c r="F107">
        <v>6</v>
      </c>
    </row>
    <row r="108" spans="1:6" x14ac:dyDescent="0.25">
      <c r="A108" s="405">
        <v>8352431714</v>
      </c>
      <c r="B108">
        <v>10000416</v>
      </c>
      <c r="C108" t="s">
        <v>2078</v>
      </c>
      <c r="D108" s="406">
        <v>407666.66666666669</v>
      </c>
      <c r="E108" s="406">
        <v>407666.66666666669</v>
      </c>
      <c r="F108">
        <v>6</v>
      </c>
    </row>
    <row r="109" spans="1:6" x14ac:dyDescent="0.25">
      <c r="A109" s="405">
        <v>8352592858</v>
      </c>
      <c r="B109">
        <v>10000065</v>
      </c>
      <c r="C109" t="s">
        <v>2079</v>
      </c>
      <c r="D109" s="406">
        <v>702466.66666666663</v>
      </c>
      <c r="E109" s="406">
        <v>702466.66666666663</v>
      </c>
      <c r="F109">
        <v>6</v>
      </c>
    </row>
    <row r="110" spans="1:6" x14ac:dyDescent="0.25">
      <c r="A110" s="405">
        <v>8352692267</v>
      </c>
      <c r="B110">
        <v>10000215</v>
      </c>
      <c r="C110" t="s">
        <v>2080</v>
      </c>
      <c r="D110" s="406">
        <v>445166.66666666669</v>
      </c>
      <c r="E110" s="406">
        <v>445166.66666666669</v>
      </c>
      <c r="F110">
        <v>6</v>
      </c>
    </row>
    <row r="111" spans="1:6" x14ac:dyDescent="0.25">
      <c r="A111" s="405">
        <v>8352710532</v>
      </c>
      <c r="B111">
        <v>10000007</v>
      </c>
      <c r="C111" t="s">
        <v>769</v>
      </c>
      <c r="D111" s="406">
        <v>777076.66666666663</v>
      </c>
      <c r="E111" s="406">
        <v>777076.66666666663</v>
      </c>
      <c r="F111">
        <v>6</v>
      </c>
    </row>
    <row r="112" spans="1:6" x14ac:dyDescent="0.25">
      <c r="A112" s="405">
        <v>8352963473</v>
      </c>
      <c r="B112">
        <v>10000971</v>
      </c>
      <c r="C112" t="s">
        <v>2081</v>
      </c>
      <c r="D112" s="406">
        <v>202400</v>
      </c>
      <c r="E112" s="406">
        <v>404800</v>
      </c>
      <c r="F112">
        <v>2</v>
      </c>
    </row>
    <row r="113" spans="1:6" x14ac:dyDescent="0.25">
      <c r="A113" s="405">
        <v>8353332485</v>
      </c>
      <c r="B113">
        <v>10000217</v>
      </c>
      <c r="C113" t="s">
        <v>2082</v>
      </c>
      <c r="D113" s="406">
        <v>1430000</v>
      </c>
      <c r="E113" s="406">
        <v>1430000</v>
      </c>
      <c r="F113">
        <v>6</v>
      </c>
    </row>
    <row r="114" spans="1:6" x14ac:dyDescent="0.25">
      <c r="A114" s="405">
        <v>8353391902</v>
      </c>
      <c r="B114">
        <v>10002024</v>
      </c>
      <c r="C114" t="s">
        <v>1747</v>
      </c>
      <c r="D114" s="406">
        <v>82500</v>
      </c>
      <c r="E114" s="406">
        <v>330000</v>
      </c>
      <c r="F114">
        <v>2</v>
      </c>
    </row>
    <row r="115" spans="1:6" x14ac:dyDescent="0.25">
      <c r="A115" s="405">
        <v>8353533073</v>
      </c>
      <c r="B115">
        <v>10000177</v>
      </c>
      <c r="C115" t="s">
        <v>910</v>
      </c>
      <c r="D115" s="406">
        <v>518333.33333333331</v>
      </c>
      <c r="E115" s="406">
        <v>518333.33333333331</v>
      </c>
      <c r="F115">
        <v>6</v>
      </c>
    </row>
    <row r="116" spans="1:6" x14ac:dyDescent="0.25">
      <c r="A116" s="405">
        <v>8353562642</v>
      </c>
      <c r="B116">
        <v>10000258</v>
      </c>
      <c r="C116" t="s">
        <v>2083</v>
      </c>
      <c r="D116" s="406">
        <v>773166.66666666663</v>
      </c>
      <c r="E116" s="406">
        <v>773166.66666666663</v>
      </c>
      <c r="F116">
        <v>6</v>
      </c>
    </row>
    <row r="117" spans="1:6" x14ac:dyDescent="0.25">
      <c r="A117" s="405">
        <v>8353902435</v>
      </c>
      <c r="B117">
        <v>10001946</v>
      </c>
      <c r="C117" t="s">
        <v>2084</v>
      </c>
      <c r="D117" s="406">
        <v>470583.33333333331</v>
      </c>
      <c r="E117" s="406">
        <v>470583.33333333331</v>
      </c>
      <c r="F117">
        <v>6</v>
      </c>
    </row>
    <row r="118" spans="1:6" x14ac:dyDescent="0.25">
      <c r="A118" s="405">
        <v>8354163245</v>
      </c>
      <c r="B118">
        <v>10001949</v>
      </c>
      <c r="C118" t="s">
        <v>2085</v>
      </c>
      <c r="D118" s="406">
        <v>322640</v>
      </c>
      <c r="E118" s="406">
        <v>322640</v>
      </c>
      <c r="F118">
        <v>5</v>
      </c>
    </row>
    <row r="119" spans="1:6" x14ac:dyDescent="0.25">
      <c r="A119" s="405">
        <v>8354212394</v>
      </c>
      <c r="B119">
        <v>10001711</v>
      </c>
      <c r="C119" t="s">
        <v>2086</v>
      </c>
      <c r="D119" s="406">
        <v>318200</v>
      </c>
      <c r="E119" s="406">
        <v>318200</v>
      </c>
      <c r="F119">
        <v>2</v>
      </c>
    </row>
    <row r="120" spans="1:6" x14ac:dyDescent="0.25">
      <c r="A120" s="405">
        <v>8354340740</v>
      </c>
      <c r="B120">
        <v>10000533</v>
      </c>
      <c r="C120" t="s">
        <v>1131</v>
      </c>
      <c r="D120" s="406">
        <v>340266.66666666669</v>
      </c>
      <c r="E120" s="406">
        <v>340266.66666666669</v>
      </c>
      <c r="F120">
        <v>6</v>
      </c>
    </row>
    <row r="121" spans="1:6" x14ac:dyDescent="0.25">
      <c r="A121" s="405">
        <v>8354930351</v>
      </c>
      <c r="B121">
        <v>10001838</v>
      </c>
      <c r="C121" t="s">
        <v>1231</v>
      </c>
      <c r="D121" s="406">
        <v>339266.66666666669</v>
      </c>
      <c r="E121" s="406">
        <v>339266.66666666669</v>
      </c>
      <c r="F121">
        <v>6</v>
      </c>
    </row>
    <row r="122" spans="1:6" x14ac:dyDescent="0.25">
      <c r="A122" s="405">
        <v>8354942813</v>
      </c>
      <c r="B122">
        <v>10000266</v>
      </c>
      <c r="C122" t="s">
        <v>2087</v>
      </c>
      <c r="D122" s="406">
        <v>981166.66666666663</v>
      </c>
      <c r="E122" s="406">
        <v>981166.66666666663</v>
      </c>
      <c r="F122">
        <v>6</v>
      </c>
    </row>
    <row r="123" spans="1:6" x14ac:dyDescent="0.25">
      <c r="A123" s="405">
        <v>8354973050</v>
      </c>
      <c r="B123">
        <v>10000166</v>
      </c>
      <c r="C123" t="s">
        <v>2088</v>
      </c>
      <c r="D123" s="406">
        <v>518333.33333333331</v>
      </c>
      <c r="E123" s="406">
        <v>518333.33333333331</v>
      </c>
      <c r="F123">
        <v>6</v>
      </c>
    </row>
    <row r="124" spans="1:6" x14ac:dyDescent="0.25">
      <c r="A124" s="405">
        <v>8355040880</v>
      </c>
      <c r="B124">
        <v>10000768</v>
      </c>
      <c r="C124" t="s">
        <v>2089</v>
      </c>
      <c r="D124" s="406">
        <v>336133.33333333331</v>
      </c>
      <c r="E124" s="406">
        <v>336133.33333333331</v>
      </c>
      <c r="F124">
        <v>6</v>
      </c>
    </row>
    <row r="125" spans="1:6" x14ac:dyDescent="0.25">
      <c r="A125" s="405">
        <v>8355271106</v>
      </c>
      <c r="B125">
        <v>10001464</v>
      </c>
      <c r="C125" t="s">
        <v>1446</v>
      </c>
      <c r="D125" s="406">
        <v>350266.66666666669</v>
      </c>
      <c r="E125" s="406">
        <v>350266.66666666669</v>
      </c>
      <c r="F125">
        <v>6</v>
      </c>
    </row>
    <row r="126" spans="1:6" x14ac:dyDescent="0.25">
      <c r="A126" s="405">
        <v>8355333578</v>
      </c>
      <c r="B126">
        <v>10001712</v>
      </c>
      <c r="C126" t="s">
        <v>2090</v>
      </c>
      <c r="D126" s="406">
        <v>240933.33333333334</v>
      </c>
      <c r="E126" s="406">
        <v>240933.33333333334</v>
      </c>
      <c r="F126">
        <v>6</v>
      </c>
    </row>
    <row r="127" spans="1:6" x14ac:dyDescent="0.25">
      <c r="A127" s="405">
        <v>8355472470</v>
      </c>
      <c r="B127">
        <v>10000347</v>
      </c>
      <c r="C127" t="s">
        <v>2091</v>
      </c>
      <c r="D127" s="406">
        <v>495000</v>
      </c>
      <c r="E127" s="406">
        <v>495000</v>
      </c>
      <c r="F127">
        <v>6</v>
      </c>
    </row>
    <row r="128" spans="1:6" x14ac:dyDescent="0.25">
      <c r="A128" s="405">
        <v>8355491459</v>
      </c>
      <c r="B128">
        <v>10001713</v>
      </c>
      <c r="C128" t="s">
        <v>2092</v>
      </c>
      <c r="D128" s="406">
        <v>478433.33333333331</v>
      </c>
      <c r="E128" s="406">
        <v>478433.33333333331</v>
      </c>
      <c r="F128">
        <v>6</v>
      </c>
    </row>
    <row r="129" spans="1:6" x14ac:dyDescent="0.25">
      <c r="A129" s="405">
        <v>8355642937</v>
      </c>
      <c r="B129">
        <v>10001714</v>
      </c>
      <c r="C129" t="s">
        <v>2093</v>
      </c>
      <c r="D129" s="406">
        <v>465266.66666666669</v>
      </c>
      <c r="E129" s="406">
        <v>465266.66666666669</v>
      </c>
      <c r="F129">
        <v>6</v>
      </c>
    </row>
    <row r="130" spans="1:6" x14ac:dyDescent="0.25">
      <c r="A130" s="405">
        <v>8355672534</v>
      </c>
      <c r="B130">
        <v>10002018</v>
      </c>
      <c r="C130" t="s">
        <v>1740</v>
      </c>
      <c r="D130" s="406">
        <v>280000</v>
      </c>
      <c r="E130" s="406">
        <v>280000</v>
      </c>
      <c r="F130">
        <v>3</v>
      </c>
    </row>
    <row r="131" spans="1:6" x14ac:dyDescent="0.25">
      <c r="A131" s="405">
        <v>8356021898</v>
      </c>
      <c r="B131">
        <v>10000199</v>
      </c>
      <c r="C131" t="s">
        <v>2094</v>
      </c>
      <c r="D131" s="406">
        <v>505206.66666666669</v>
      </c>
      <c r="E131" s="406">
        <v>505206.66666666669</v>
      </c>
      <c r="F131">
        <v>6</v>
      </c>
    </row>
    <row r="132" spans="1:6" x14ac:dyDescent="0.25">
      <c r="A132" s="405">
        <v>8356902746</v>
      </c>
      <c r="B132">
        <v>10000202</v>
      </c>
      <c r="C132" t="s">
        <v>930</v>
      </c>
      <c r="D132" s="406">
        <v>1013916.6666666666</v>
      </c>
      <c r="E132" s="406">
        <v>1013916.6666666666</v>
      </c>
      <c r="F132">
        <v>6</v>
      </c>
    </row>
    <row r="133" spans="1:6" x14ac:dyDescent="0.25">
      <c r="A133" s="405">
        <v>8357052797</v>
      </c>
      <c r="B133">
        <v>10000541</v>
      </c>
      <c r="C133" t="s">
        <v>1137</v>
      </c>
      <c r="D133" s="406">
        <v>330800</v>
      </c>
      <c r="E133" s="406">
        <v>330800</v>
      </c>
      <c r="F133">
        <v>6</v>
      </c>
    </row>
    <row r="134" spans="1:6" x14ac:dyDescent="0.25">
      <c r="A134" s="405">
        <v>8357182429</v>
      </c>
      <c r="B134">
        <v>10001715</v>
      </c>
      <c r="C134" t="s">
        <v>2095</v>
      </c>
      <c r="D134" s="406">
        <v>256933.33333333334</v>
      </c>
      <c r="E134" s="406">
        <v>256933.33333333334</v>
      </c>
      <c r="F134">
        <v>6</v>
      </c>
    </row>
    <row r="135" spans="1:6" x14ac:dyDescent="0.25">
      <c r="A135" s="405">
        <v>8357370659</v>
      </c>
      <c r="B135">
        <v>10000735</v>
      </c>
      <c r="C135" t="s">
        <v>2096</v>
      </c>
      <c r="D135" s="406">
        <v>289683.33333333331</v>
      </c>
      <c r="E135" s="406">
        <v>289683.33333333331</v>
      </c>
      <c r="F135">
        <v>6</v>
      </c>
    </row>
    <row r="136" spans="1:6" x14ac:dyDescent="0.25">
      <c r="A136" s="405">
        <v>8357452329</v>
      </c>
      <c r="B136">
        <v>10000548</v>
      </c>
      <c r="C136" t="s">
        <v>1138</v>
      </c>
      <c r="D136" s="406">
        <v>328266.66666666669</v>
      </c>
      <c r="E136" s="406">
        <v>328266.66666666669</v>
      </c>
      <c r="F136">
        <v>6</v>
      </c>
    </row>
    <row r="137" spans="1:6" x14ac:dyDescent="0.25">
      <c r="A137" s="405">
        <v>8357612733</v>
      </c>
      <c r="B137">
        <v>10000040</v>
      </c>
      <c r="C137" t="s">
        <v>2097</v>
      </c>
      <c r="D137" s="406">
        <v>495000</v>
      </c>
      <c r="E137" s="406">
        <v>495000</v>
      </c>
      <c r="F137">
        <v>6</v>
      </c>
    </row>
    <row r="138" spans="1:6" x14ac:dyDescent="0.25">
      <c r="A138" s="405">
        <v>8357793207</v>
      </c>
      <c r="B138">
        <v>10000811</v>
      </c>
      <c r="C138" t="s">
        <v>1248</v>
      </c>
      <c r="D138" s="406">
        <v>618265.33333333337</v>
      </c>
      <c r="E138" s="406">
        <v>618265.33333333337</v>
      </c>
      <c r="F138">
        <v>6</v>
      </c>
    </row>
    <row r="139" spans="1:6" x14ac:dyDescent="0.25">
      <c r="A139" s="405">
        <v>8357833284</v>
      </c>
      <c r="B139">
        <v>10000095</v>
      </c>
      <c r="C139" t="s">
        <v>2098</v>
      </c>
      <c r="D139" s="406">
        <v>481433.33333333331</v>
      </c>
      <c r="E139" s="406">
        <v>481433.33333333331</v>
      </c>
      <c r="F139">
        <v>6</v>
      </c>
    </row>
    <row r="140" spans="1:6" x14ac:dyDescent="0.25">
      <c r="A140" s="405">
        <v>8358022476</v>
      </c>
      <c r="B140">
        <v>10000098</v>
      </c>
      <c r="C140" t="s">
        <v>2099</v>
      </c>
      <c r="D140" s="406">
        <v>539000</v>
      </c>
      <c r="E140" s="406">
        <v>539000</v>
      </c>
      <c r="F140">
        <v>6</v>
      </c>
    </row>
    <row r="141" spans="1:6" x14ac:dyDescent="0.25">
      <c r="A141" s="405">
        <v>8358032285</v>
      </c>
      <c r="B141">
        <v>10002034</v>
      </c>
      <c r="C141" t="s">
        <v>1758</v>
      </c>
      <c r="D141" s="406">
        <v>82500</v>
      </c>
      <c r="E141" s="406">
        <v>330000</v>
      </c>
      <c r="F141">
        <v>2</v>
      </c>
    </row>
    <row r="142" spans="1:6" x14ac:dyDescent="0.25">
      <c r="A142" s="405">
        <v>8358303319</v>
      </c>
      <c r="B142">
        <v>10002059</v>
      </c>
      <c r="C142" t="s">
        <v>1779</v>
      </c>
      <c r="D142" s="406">
        <v>450000</v>
      </c>
      <c r="E142" s="406">
        <v>450000</v>
      </c>
      <c r="F142">
        <v>1</v>
      </c>
    </row>
    <row r="143" spans="1:6" x14ac:dyDescent="0.25">
      <c r="A143" s="405">
        <v>8359032394</v>
      </c>
      <c r="B143">
        <v>10001419</v>
      </c>
      <c r="C143" t="s">
        <v>1428</v>
      </c>
      <c r="D143" s="406">
        <v>385000</v>
      </c>
      <c r="E143" s="406">
        <v>385000</v>
      </c>
      <c r="F143">
        <v>6</v>
      </c>
    </row>
    <row r="144" spans="1:6" x14ac:dyDescent="0.25">
      <c r="A144" s="405">
        <v>8359153914</v>
      </c>
      <c r="B144">
        <v>10000083</v>
      </c>
      <c r="C144" t="s">
        <v>2100</v>
      </c>
      <c r="D144" s="406">
        <v>880000</v>
      </c>
      <c r="E144" s="406">
        <v>880000</v>
      </c>
      <c r="F144">
        <v>6</v>
      </c>
    </row>
    <row r="145" spans="1:6" x14ac:dyDescent="0.25">
      <c r="A145" s="405">
        <v>8359470707</v>
      </c>
      <c r="B145">
        <v>10000135</v>
      </c>
      <c r="C145" t="s">
        <v>2101</v>
      </c>
      <c r="D145" s="406">
        <v>548000</v>
      </c>
      <c r="E145" s="406">
        <v>548000</v>
      </c>
      <c r="F145">
        <v>6</v>
      </c>
    </row>
    <row r="146" spans="1:6" x14ac:dyDescent="0.25">
      <c r="A146" s="405">
        <v>8359752680</v>
      </c>
      <c r="B146">
        <v>10001717</v>
      </c>
      <c r="C146" t="s">
        <v>2102</v>
      </c>
      <c r="D146" s="406">
        <v>323533.33333333331</v>
      </c>
      <c r="E146" s="406">
        <v>323533.33333333331</v>
      </c>
      <c r="F146">
        <v>6</v>
      </c>
    </row>
    <row r="147" spans="1:6" x14ac:dyDescent="0.25">
      <c r="A147" s="405">
        <v>8360023166</v>
      </c>
      <c r="B147">
        <v>10001718</v>
      </c>
      <c r="C147" t="s">
        <v>2103</v>
      </c>
      <c r="D147" s="406">
        <v>990166.66666666663</v>
      </c>
      <c r="E147" s="406">
        <v>990166.66666666663</v>
      </c>
      <c r="F147">
        <v>6</v>
      </c>
    </row>
    <row r="148" spans="1:6" x14ac:dyDescent="0.25">
      <c r="A148" s="405">
        <v>8360112924</v>
      </c>
      <c r="B148">
        <v>10001719</v>
      </c>
      <c r="C148" t="s">
        <v>2104</v>
      </c>
      <c r="D148" s="406">
        <v>314800</v>
      </c>
      <c r="E148" s="406">
        <v>314800</v>
      </c>
      <c r="F148">
        <v>6</v>
      </c>
    </row>
    <row r="149" spans="1:6" x14ac:dyDescent="0.25">
      <c r="A149" s="405">
        <v>8360241228</v>
      </c>
      <c r="B149">
        <v>10001807</v>
      </c>
      <c r="C149" t="s">
        <v>2105</v>
      </c>
      <c r="D149" s="406">
        <v>240933.33333333334</v>
      </c>
      <c r="E149" s="406">
        <v>240933.33333333334</v>
      </c>
      <c r="F149">
        <v>6</v>
      </c>
    </row>
    <row r="150" spans="1:6" x14ac:dyDescent="0.25">
      <c r="A150" s="405">
        <v>8360630372</v>
      </c>
      <c r="B150">
        <v>10001758</v>
      </c>
      <c r="C150" t="s">
        <v>2106</v>
      </c>
      <c r="D150" s="406">
        <v>240933.33333333334</v>
      </c>
      <c r="E150" s="406">
        <v>240933.33333333334</v>
      </c>
      <c r="F150">
        <v>6</v>
      </c>
    </row>
    <row r="151" spans="1:6" x14ac:dyDescent="0.25">
      <c r="A151" s="405">
        <v>8360760632</v>
      </c>
      <c r="B151">
        <v>10000184</v>
      </c>
      <c r="C151" t="s">
        <v>2107</v>
      </c>
      <c r="D151" s="406">
        <v>878133.33333333337</v>
      </c>
      <c r="E151" s="406">
        <v>878133.33333333337</v>
      </c>
      <c r="F151">
        <v>6</v>
      </c>
    </row>
    <row r="152" spans="1:6" x14ac:dyDescent="0.25">
      <c r="A152" s="405">
        <v>8361012761</v>
      </c>
      <c r="B152">
        <v>10000087</v>
      </c>
      <c r="C152" t="s">
        <v>844</v>
      </c>
      <c r="D152" s="406">
        <v>724356.66666666663</v>
      </c>
      <c r="E152" s="406">
        <v>724356.66666666663</v>
      </c>
      <c r="F152">
        <v>6</v>
      </c>
    </row>
    <row r="153" spans="1:6" x14ac:dyDescent="0.25">
      <c r="A153" s="405">
        <v>8361081690</v>
      </c>
      <c r="B153">
        <v>10000715</v>
      </c>
      <c r="C153" t="s">
        <v>1205</v>
      </c>
      <c r="D153" s="406">
        <v>250500</v>
      </c>
      <c r="E153" s="406">
        <v>250500</v>
      </c>
      <c r="F153">
        <v>6</v>
      </c>
    </row>
    <row r="154" spans="1:6" x14ac:dyDescent="0.25">
      <c r="A154" s="405">
        <v>8361092331</v>
      </c>
      <c r="B154">
        <v>10001490</v>
      </c>
      <c r="C154" t="s">
        <v>1454</v>
      </c>
      <c r="D154" s="406">
        <v>233300</v>
      </c>
      <c r="E154" s="406">
        <v>311066.66666666669</v>
      </c>
      <c r="F154">
        <v>6</v>
      </c>
    </row>
    <row r="155" spans="1:6" x14ac:dyDescent="0.25">
      <c r="A155" s="405">
        <v>8361381112</v>
      </c>
      <c r="B155">
        <v>10001720</v>
      </c>
      <c r="C155" t="s">
        <v>2108</v>
      </c>
      <c r="D155" s="406">
        <v>287300</v>
      </c>
      <c r="E155" s="406">
        <v>287300</v>
      </c>
      <c r="F155">
        <v>6</v>
      </c>
    </row>
    <row r="156" spans="1:6" x14ac:dyDescent="0.25">
      <c r="A156" s="405">
        <v>8361522107</v>
      </c>
      <c r="B156">
        <v>10000728</v>
      </c>
      <c r="C156" t="s">
        <v>1213</v>
      </c>
      <c r="D156" s="406">
        <v>990000</v>
      </c>
      <c r="E156" s="406">
        <v>990000</v>
      </c>
      <c r="F156">
        <v>6</v>
      </c>
    </row>
    <row r="157" spans="1:6" x14ac:dyDescent="0.25">
      <c r="A157" s="405">
        <v>8361703136</v>
      </c>
      <c r="B157">
        <v>10000243</v>
      </c>
      <c r="C157" t="s">
        <v>953</v>
      </c>
      <c r="D157" s="406">
        <v>450966.66666666669</v>
      </c>
      <c r="E157" s="406">
        <v>450966.66666666669</v>
      </c>
      <c r="F157">
        <v>6</v>
      </c>
    </row>
    <row r="158" spans="1:6" x14ac:dyDescent="0.25">
      <c r="A158" s="405">
        <v>8361864555</v>
      </c>
      <c r="B158">
        <v>10001639</v>
      </c>
      <c r="C158" t="s">
        <v>1496</v>
      </c>
      <c r="D158" s="406">
        <v>504100</v>
      </c>
      <c r="E158" s="406">
        <v>504100</v>
      </c>
      <c r="F158">
        <v>6</v>
      </c>
    </row>
    <row r="159" spans="1:6" x14ac:dyDescent="0.25">
      <c r="A159" s="405">
        <v>8362422726</v>
      </c>
      <c r="B159">
        <v>10001721</v>
      </c>
      <c r="C159" t="s">
        <v>2109</v>
      </c>
      <c r="D159" s="406">
        <v>364733.33333333331</v>
      </c>
      <c r="E159" s="406">
        <v>364733.33333333331</v>
      </c>
      <c r="F159">
        <v>6</v>
      </c>
    </row>
    <row r="160" spans="1:6" x14ac:dyDescent="0.25">
      <c r="A160" s="405">
        <v>8362763639</v>
      </c>
      <c r="B160">
        <v>10000220</v>
      </c>
      <c r="C160" t="s">
        <v>2110</v>
      </c>
      <c r="D160" s="406">
        <v>710566.66666666663</v>
      </c>
      <c r="E160" s="406">
        <v>710566.66666666663</v>
      </c>
      <c r="F160">
        <v>6</v>
      </c>
    </row>
    <row r="161" spans="1:6" x14ac:dyDescent="0.25">
      <c r="A161" s="405">
        <v>8362824085</v>
      </c>
      <c r="B161">
        <v>10001073</v>
      </c>
      <c r="C161" t="s">
        <v>2111</v>
      </c>
      <c r="D161" s="406">
        <v>350000</v>
      </c>
      <c r="E161" s="406">
        <v>350000</v>
      </c>
      <c r="F161">
        <v>2</v>
      </c>
    </row>
    <row r="162" spans="1:6" x14ac:dyDescent="0.25">
      <c r="A162" s="405">
        <v>8362921579</v>
      </c>
      <c r="B162">
        <v>10001722</v>
      </c>
      <c r="C162" t="s">
        <v>2112</v>
      </c>
      <c r="D162" s="406">
        <v>260066.66666666666</v>
      </c>
      <c r="E162" s="406">
        <v>260066.66666666666</v>
      </c>
      <c r="F162">
        <v>6</v>
      </c>
    </row>
    <row r="163" spans="1:6" x14ac:dyDescent="0.25">
      <c r="A163" s="405">
        <v>8363073083</v>
      </c>
      <c r="B163">
        <v>10001773</v>
      </c>
      <c r="C163" t="s">
        <v>1607</v>
      </c>
      <c r="D163" s="406">
        <v>447733.33333333331</v>
      </c>
      <c r="E163" s="406">
        <v>447733.33333333331</v>
      </c>
      <c r="F163">
        <v>6</v>
      </c>
    </row>
    <row r="164" spans="1:6" x14ac:dyDescent="0.25">
      <c r="A164" s="405">
        <v>8363194034</v>
      </c>
      <c r="B164">
        <v>10001535</v>
      </c>
      <c r="C164" t="s">
        <v>1458</v>
      </c>
      <c r="D164" s="406">
        <v>440000</v>
      </c>
      <c r="E164" s="406">
        <v>440000</v>
      </c>
      <c r="F164">
        <v>6</v>
      </c>
    </row>
    <row r="165" spans="1:6" x14ac:dyDescent="0.25">
      <c r="A165" s="405">
        <v>8363351288</v>
      </c>
      <c r="B165">
        <v>10000587</v>
      </c>
      <c r="C165" t="s">
        <v>1157</v>
      </c>
      <c r="D165" s="406">
        <v>352000</v>
      </c>
      <c r="E165" s="406">
        <v>352000</v>
      </c>
      <c r="F165">
        <v>6</v>
      </c>
    </row>
    <row r="166" spans="1:6" x14ac:dyDescent="0.25">
      <c r="A166" s="405">
        <v>8363372080</v>
      </c>
      <c r="B166">
        <v>10000411</v>
      </c>
      <c r="C166" t="s">
        <v>2113</v>
      </c>
      <c r="D166" s="406">
        <v>313300</v>
      </c>
      <c r="E166" s="406">
        <v>313300</v>
      </c>
      <c r="F166">
        <v>6</v>
      </c>
    </row>
    <row r="167" spans="1:6" x14ac:dyDescent="0.25">
      <c r="A167" s="405">
        <v>8363523275</v>
      </c>
      <c r="B167">
        <v>10000041</v>
      </c>
      <c r="C167" t="s">
        <v>805</v>
      </c>
      <c r="D167" s="406">
        <v>445166.66666666669</v>
      </c>
      <c r="E167" s="406">
        <v>445166.66666666669</v>
      </c>
      <c r="F167">
        <v>6</v>
      </c>
    </row>
    <row r="168" spans="1:6" x14ac:dyDescent="0.25">
      <c r="A168" s="405">
        <v>8363643505</v>
      </c>
      <c r="B168">
        <v>10001723</v>
      </c>
      <c r="C168" t="s">
        <v>2114</v>
      </c>
      <c r="D168" s="406">
        <v>314500</v>
      </c>
      <c r="E168" s="406">
        <v>314500</v>
      </c>
      <c r="F168">
        <v>6</v>
      </c>
    </row>
    <row r="169" spans="1:6" x14ac:dyDescent="0.25">
      <c r="A169" s="405">
        <v>8363721875</v>
      </c>
      <c r="B169">
        <v>10000752</v>
      </c>
      <c r="C169" t="s">
        <v>1226</v>
      </c>
      <c r="D169" s="406">
        <v>1430000</v>
      </c>
      <c r="E169" s="406">
        <v>1430000</v>
      </c>
      <c r="F169">
        <v>6</v>
      </c>
    </row>
    <row r="170" spans="1:6" x14ac:dyDescent="0.25">
      <c r="A170" s="405">
        <v>8363851310</v>
      </c>
      <c r="B170">
        <v>10000173</v>
      </c>
      <c r="C170" t="s">
        <v>2115</v>
      </c>
      <c r="D170" s="406">
        <v>649000</v>
      </c>
      <c r="E170" s="406">
        <v>649000</v>
      </c>
      <c r="F170">
        <v>6</v>
      </c>
    </row>
    <row r="171" spans="1:6" x14ac:dyDescent="0.25">
      <c r="A171" s="405">
        <v>8363972193</v>
      </c>
      <c r="B171">
        <v>10000092</v>
      </c>
      <c r="C171" t="s">
        <v>2116</v>
      </c>
      <c r="D171" s="406">
        <v>2021500</v>
      </c>
      <c r="E171" s="406">
        <v>2021500</v>
      </c>
      <c r="F171">
        <v>6</v>
      </c>
    </row>
    <row r="172" spans="1:6" x14ac:dyDescent="0.25">
      <c r="A172" s="405">
        <v>8364533339</v>
      </c>
      <c r="B172">
        <v>10001544</v>
      </c>
      <c r="C172" t="s">
        <v>2117</v>
      </c>
      <c r="D172" s="406">
        <v>762020.66666666663</v>
      </c>
      <c r="E172" s="406">
        <v>762020.66666666663</v>
      </c>
      <c r="F172">
        <v>6</v>
      </c>
    </row>
    <row r="173" spans="1:6" x14ac:dyDescent="0.25">
      <c r="A173" s="405">
        <v>8364652524</v>
      </c>
      <c r="B173">
        <v>10000310</v>
      </c>
      <c r="C173" t="s">
        <v>2118</v>
      </c>
      <c r="D173" s="406">
        <v>841166.66666666663</v>
      </c>
      <c r="E173" s="406">
        <v>841166.66666666663</v>
      </c>
      <c r="F173">
        <v>6</v>
      </c>
    </row>
    <row r="174" spans="1:6" x14ac:dyDescent="0.25">
      <c r="A174" s="405">
        <v>8365062305</v>
      </c>
      <c r="B174">
        <v>10000138</v>
      </c>
      <c r="C174" t="s">
        <v>889</v>
      </c>
      <c r="D174" s="406">
        <v>602300</v>
      </c>
      <c r="E174" s="406">
        <v>602300</v>
      </c>
      <c r="F174">
        <v>6</v>
      </c>
    </row>
    <row r="175" spans="1:6" x14ac:dyDescent="0.25">
      <c r="A175" s="405">
        <v>8365593564</v>
      </c>
      <c r="B175">
        <v>10002022</v>
      </c>
      <c r="C175" t="s">
        <v>1745</v>
      </c>
      <c r="D175" s="406">
        <v>82500</v>
      </c>
      <c r="E175" s="406">
        <v>330000</v>
      </c>
      <c r="F175">
        <v>2</v>
      </c>
    </row>
    <row r="176" spans="1:6" x14ac:dyDescent="0.25">
      <c r="A176" s="405">
        <v>8365743329</v>
      </c>
      <c r="B176">
        <v>10000334</v>
      </c>
      <c r="C176" t="s">
        <v>1005</v>
      </c>
      <c r="D176" s="406">
        <v>445166.66666666669</v>
      </c>
      <c r="E176" s="406">
        <v>445166.66666666669</v>
      </c>
      <c r="F176">
        <v>6</v>
      </c>
    </row>
    <row r="177" spans="1:6" x14ac:dyDescent="0.25">
      <c r="A177" s="405">
        <v>8365790491</v>
      </c>
      <c r="B177">
        <v>10000574</v>
      </c>
      <c r="C177" t="s">
        <v>1151</v>
      </c>
      <c r="D177" s="406">
        <v>339266.66666666669</v>
      </c>
      <c r="E177" s="406">
        <v>339266.66666666669</v>
      </c>
      <c r="F177">
        <v>6</v>
      </c>
    </row>
    <row r="178" spans="1:6" x14ac:dyDescent="0.25">
      <c r="A178" s="405">
        <v>8365792761</v>
      </c>
      <c r="B178">
        <v>10001960</v>
      </c>
      <c r="C178" t="s">
        <v>1692</v>
      </c>
      <c r="D178" s="406">
        <v>204916.66666666666</v>
      </c>
      <c r="E178" s="406">
        <v>409833.33333333331</v>
      </c>
      <c r="F178">
        <v>6</v>
      </c>
    </row>
    <row r="179" spans="1:6" x14ac:dyDescent="0.25">
      <c r="A179" s="405">
        <v>8365902559</v>
      </c>
      <c r="B179">
        <v>10001753</v>
      </c>
      <c r="C179" t="s">
        <v>2119</v>
      </c>
      <c r="D179" s="406">
        <v>240933.33333333334</v>
      </c>
      <c r="E179" s="406">
        <v>240933.33333333334</v>
      </c>
      <c r="F179">
        <v>6</v>
      </c>
    </row>
    <row r="180" spans="1:6" x14ac:dyDescent="0.25">
      <c r="A180" s="405">
        <v>8366163326</v>
      </c>
      <c r="B180">
        <v>10000517</v>
      </c>
      <c r="C180" t="s">
        <v>1120</v>
      </c>
      <c r="D180" s="406">
        <v>374200</v>
      </c>
      <c r="E180" s="406">
        <v>374200</v>
      </c>
      <c r="F180">
        <v>6</v>
      </c>
    </row>
    <row r="181" spans="1:6" x14ac:dyDescent="0.25">
      <c r="A181" s="405">
        <v>8366333868</v>
      </c>
      <c r="B181">
        <v>10001539</v>
      </c>
      <c r="C181" t="s">
        <v>1460</v>
      </c>
      <c r="D181" s="406">
        <v>275000</v>
      </c>
      <c r="E181" s="406">
        <v>550000</v>
      </c>
      <c r="F181">
        <v>6</v>
      </c>
    </row>
    <row r="182" spans="1:6" x14ac:dyDescent="0.25">
      <c r="A182" s="405">
        <v>8366693341</v>
      </c>
      <c r="B182">
        <v>10001724</v>
      </c>
      <c r="C182" t="s">
        <v>2120</v>
      </c>
      <c r="D182" s="406">
        <v>276700</v>
      </c>
      <c r="E182" s="406">
        <v>276700</v>
      </c>
      <c r="F182">
        <v>6</v>
      </c>
    </row>
    <row r="183" spans="1:6" x14ac:dyDescent="0.25">
      <c r="A183" s="405">
        <v>8366723038</v>
      </c>
      <c r="B183">
        <v>10001026</v>
      </c>
      <c r="C183" t="s">
        <v>1318</v>
      </c>
      <c r="D183" s="406">
        <v>330000</v>
      </c>
      <c r="E183" s="406">
        <v>440000</v>
      </c>
      <c r="F183">
        <v>6</v>
      </c>
    </row>
    <row r="184" spans="1:6" x14ac:dyDescent="0.25">
      <c r="A184" s="405">
        <v>8366942589</v>
      </c>
      <c r="B184">
        <v>10000721</v>
      </c>
      <c r="C184" t="s">
        <v>2121</v>
      </c>
      <c r="D184" s="406">
        <v>459983.33333333331</v>
      </c>
      <c r="E184" s="406">
        <v>459983.33333333331</v>
      </c>
      <c r="F184">
        <v>6</v>
      </c>
    </row>
    <row r="185" spans="1:6" x14ac:dyDescent="0.25">
      <c r="A185" s="405">
        <v>8367122739</v>
      </c>
      <c r="B185">
        <v>10001796</v>
      </c>
      <c r="C185" t="s">
        <v>1619</v>
      </c>
      <c r="D185" s="406">
        <v>165000</v>
      </c>
      <c r="E185" s="406">
        <v>330000</v>
      </c>
      <c r="F185">
        <v>6</v>
      </c>
    </row>
    <row r="186" spans="1:6" x14ac:dyDescent="0.25">
      <c r="A186" s="405">
        <v>8367553926</v>
      </c>
      <c r="B186">
        <v>10001757</v>
      </c>
      <c r="C186" t="s">
        <v>2122</v>
      </c>
      <c r="D186" s="406">
        <v>299016.66666666669</v>
      </c>
      <c r="E186" s="406">
        <v>299016.66666666669</v>
      </c>
      <c r="F186">
        <v>6</v>
      </c>
    </row>
    <row r="187" spans="1:6" x14ac:dyDescent="0.25">
      <c r="A187" s="405">
        <v>8367913612</v>
      </c>
      <c r="B187">
        <v>10000586</v>
      </c>
      <c r="C187" t="s">
        <v>1156</v>
      </c>
      <c r="D187" s="406">
        <v>252900</v>
      </c>
      <c r="E187" s="406">
        <v>252900</v>
      </c>
      <c r="F187">
        <v>6</v>
      </c>
    </row>
    <row r="188" spans="1:6" x14ac:dyDescent="0.25">
      <c r="A188" s="405">
        <v>8368651034</v>
      </c>
      <c r="B188">
        <v>10000137</v>
      </c>
      <c r="C188" t="s">
        <v>2123</v>
      </c>
      <c r="D188" s="406">
        <v>658800</v>
      </c>
      <c r="E188" s="406">
        <v>658800</v>
      </c>
      <c r="F188">
        <v>6</v>
      </c>
    </row>
    <row r="189" spans="1:6" x14ac:dyDescent="0.25">
      <c r="A189" s="405">
        <v>8368763134</v>
      </c>
      <c r="B189">
        <v>10000033</v>
      </c>
      <c r="C189" t="s">
        <v>2124</v>
      </c>
      <c r="D189" s="406">
        <v>628133.33333333337</v>
      </c>
      <c r="E189" s="406">
        <v>628133.33333333337</v>
      </c>
      <c r="F189">
        <v>6</v>
      </c>
    </row>
    <row r="190" spans="1:6" x14ac:dyDescent="0.25">
      <c r="A190" s="405">
        <v>8368910234</v>
      </c>
      <c r="B190">
        <v>10001726</v>
      </c>
      <c r="C190" t="s">
        <v>2125</v>
      </c>
      <c r="D190" s="406">
        <v>249700</v>
      </c>
      <c r="E190" s="406">
        <v>249700</v>
      </c>
      <c r="F190">
        <v>6</v>
      </c>
    </row>
    <row r="191" spans="1:6" x14ac:dyDescent="0.25">
      <c r="A191" s="405">
        <v>8369192769</v>
      </c>
      <c r="B191">
        <v>10001305</v>
      </c>
      <c r="C191" t="s">
        <v>2126</v>
      </c>
      <c r="D191" s="406">
        <v>294000</v>
      </c>
      <c r="E191" s="406">
        <v>588000</v>
      </c>
      <c r="F191">
        <v>1</v>
      </c>
    </row>
    <row r="192" spans="1:6" x14ac:dyDescent="0.25">
      <c r="A192" s="405">
        <v>8369201563</v>
      </c>
      <c r="B192">
        <v>10000139</v>
      </c>
      <c r="C192" t="s">
        <v>2127</v>
      </c>
      <c r="D192" s="406">
        <v>636566.66666666663</v>
      </c>
      <c r="E192" s="406">
        <v>636566.66666666663</v>
      </c>
      <c r="F192">
        <v>6</v>
      </c>
    </row>
    <row r="193" spans="1:6" x14ac:dyDescent="0.25">
      <c r="A193" s="405">
        <v>8369293506</v>
      </c>
      <c r="B193">
        <v>10000312</v>
      </c>
      <c r="C193" t="s">
        <v>993</v>
      </c>
      <c r="D193" s="406">
        <v>530833.33333333337</v>
      </c>
      <c r="E193" s="406">
        <v>530833.33333333337</v>
      </c>
      <c r="F193">
        <v>6</v>
      </c>
    </row>
    <row r="194" spans="1:6" x14ac:dyDescent="0.25">
      <c r="A194" s="405">
        <v>8369322778</v>
      </c>
      <c r="B194">
        <v>10000463</v>
      </c>
      <c r="C194" t="s">
        <v>1090</v>
      </c>
      <c r="D194" s="406">
        <v>319000</v>
      </c>
      <c r="E194" s="406">
        <v>319000</v>
      </c>
      <c r="F194">
        <v>6</v>
      </c>
    </row>
    <row r="195" spans="1:6" x14ac:dyDescent="0.25">
      <c r="A195" s="405">
        <v>8370633390</v>
      </c>
      <c r="B195">
        <v>10000698</v>
      </c>
      <c r="C195" t="s">
        <v>2128</v>
      </c>
      <c r="D195" s="406">
        <v>308000</v>
      </c>
      <c r="E195" s="406">
        <v>308000</v>
      </c>
      <c r="F195">
        <v>6</v>
      </c>
    </row>
    <row r="196" spans="1:6" x14ac:dyDescent="0.25">
      <c r="A196" s="405">
        <v>8370773583</v>
      </c>
      <c r="B196">
        <v>10000037</v>
      </c>
      <c r="C196" t="s">
        <v>799</v>
      </c>
      <c r="D196" s="406">
        <v>470900</v>
      </c>
      <c r="E196" s="406">
        <v>470900</v>
      </c>
      <c r="F196">
        <v>6</v>
      </c>
    </row>
    <row r="197" spans="1:6" x14ac:dyDescent="0.25">
      <c r="A197" s="405">
        <v>8370861563</v>
      </c>
      <c r="B197">
        <v>10000418</v>
      </c>
      <c r="C197" t="s">
        <v>1060</v>
      </c>
      <c r="D197" s="406">
        <v>341000</v>
      </c>
      <c r="E197" s="406">
        <v>341000</v>
      </c>
      <c r="F197">
        <v>6</v>
      </c>
    </row>
    <row r="198" spans="1:6" x14ac:dyDescent="0.25">
      <c r="A198" s="405">
        <v>8370971679</v>
      </c>
      <c r="B198">
        <v>10001097</v>
      </c>
      <c r="C198" t="s">
        <v>1344</v>
      </c>
      <c r="D198" s="406">
        <v>308833.33333333331</v>
      </c>
      <c r="E198" s="406">
        <v>308833.33333333331</v>
      </c>
      <c r="F198">
        <v>6</v>
      </c>
    </row>
    <row r="199" spans="1:6" x14ac:dyDescent="0.25">
      <c r="A199" s="405">
        <v>8371162944</v>
      </c>
      <c r="B199">
        <v>10000423</v>
      </c>
      <c r="C199" t="s">
        <v>1067</v>
      </c>
      <c r="D199" s="406">
        <v>484000</v>
      </c>
      <c r="E199" s="406">
        <v>484000</v>
      </c>
      <c r="F199">
        <v>6</v>
      </c>
    </row>
    <row r="200" spans="1:6" x14ac:dyDescent="0.25">
      <c r="A200" s="405">
        <v>8371460325</v>
      </c>
      <c r="B200">
        <v>10000283</v>
      </c>
      <c r="C200" t="s">
        <v>976</v>
      </c>
      <c r="D200" s="406">
        <v>518333.33333333331</v>
      </c>
      <c r="E200" s="406">
        <v>518333.33333333331</v>
      </c>
      <c r="F200">
        <v>6</v>
      </c>
    </row>
    <row r="201" spans="1:6" x14ac:dyDescent="0.25">
      <c r="A201" s="405">
        <v>8371473184</v>
      </c>
      <c r="B201">
        <v>10000638</v>
      </c>
      <c r="C201" t="s">
        <v>1188</v>
      </c>
      <c r="D201" s="406">
        <v>312200</v>
      </c>
      <c r="E201" s="406">
        <v>312200</v>
      </c>
      <c r="F201">
        <v>6</v>
      </c>
    </row>
    <row r="202" spans="1:6" x14ac:dyDescent="0.25">
      <c r="A202" s="405">
        <v>8371831331</v>
      </c>
      <c r="B202">
        <v>10000384</v>
      </c>
      <c r="C202" t="s">
        <v>2129</v>
      </c>
      <c r="D202" s="406">
        <v>363983.33333333331</v>
      </c>
      <c r="E202" s="406">
        <v>363983.33333333331</v>
      </c>
      <c r="F202">
        <v>6</v>
      </c>
    </row>
    <row r="203" spans="1:6" x14ac:dyDescent="0.25">
      <c r="A203" s="405">
        <v>8371850115</v>
      </c>
      <c r="B203">
        <v>10001981</v>
      </c>
      <c r="C203" t="s">
        <v>1707</v>
      </c>
      <c r="D203" s="406">
        <v>458000</v>
      </c>
      <c r="E203" s="406">
        <v>458000</v>
      </c>
      <c r="F203">
        <v>5</v>
      </c>
    </row>
    <row r="204" spans="1:6" x14ac:dyDescent="0.25">
      <c r="A204" s="405">
        <v>8372192340</v>
      </c>
      <c r="B204">
        <v>10000153</v>
      </c>
      <c r="C204" t="s">
        <v>2130</v>
      </c>
      <c r="D204" s="406">
        <v>212100</v>
      </c>
      <c r="E204" s="406">
        <v>282800</v>
      </c>
      <c r="F204">
        <v>2</v>
      </c>
    </row>
    <row r="205" spans="1:6" x14ac:dyDescent="0.25">
      <c r="A205" s="405">
        <v>8372591652</v>
      </c>
      <c r="B205">
        <v>10001564</v>
      </c>
      <c r="C205" t="s">
        <v>1469</v>
      </c>
      <c r="D205" s="406">
        <v>675933.33333333337</v>
      </c>
      <c r="E205" s="406">
        <v>675933.33333333337</v>
      </c>
      <c r="F205">
        <v>6</v>
      </c>
    </row>
    <row r="206" spans="1:6" x14ac:dyDescent="0.25">
      <c r="A206" s="405">
        <v>8372712697</v>
      </c>
      <c r="B206">
        <v>10000492</v>
      </c>
      <c r="C206" t="s">
        <v>1100</v>
      </c>
      <c r="D206" s="406">
        <v>341600</v>
      </c>
      <c r="E206" s="406">
        <v>341600</v>
      </c>
      <c r="F206">
        <v>6</v>
      </c>
    </row>
    <row r="207" spans="1:6" x14ac:dyDescent="0.25">
      <c r="A207" s="405">
        <v>8372793190</v>
      </c>
      <c r="B207">
        <v>10000386</v>
      </c>
      <c r="C207" t="s">
        <v>2131</v>
      </c>
      <c r="D207" s="406">
        <v>594000</v>
      </c>
      <c r="E207" s="406">
        <v>594000</v>
      </c>
      <c r="F207">
        <v>6</v>
      </c>
    </row>
    <row r="208" spans="1:6" x14ac:dyDescent="0.25">
      <c r="A208" s="405">
        <v>8372881383</v>
      </c>
      <c r="B208">
        <v>10000163</v>
      </c>
      <c r="C208" t="s">
        <v>2132</v>
      </c>
      <c r="D208" s="406">
        <v>445166.66666666669</v>
      </c>
      <c r="E208" s="406">
        <v>445166.66666666669</v>
      </c>
      <c r="F208">
        <v>6</v>
      </c>
    </row>
    <row r="209" spans="1:6" x14ac:dyDescent="0.25">
      <c r="A209" s="405">
        <v>8373452354</v>
      </c>
      <c r="B209">
        <v>10000756</v>
      </c>
      <c r="C209" t="s">
        <v>1227</v>
      </c>
      <c r="D209" s="406">
        <v>342333.33333333331</v>
      </c>
      <c r="E209" s="406">
        <v>342333.33333333331</v>
      </c>
      <c r="F209">
        <v>6</v>
      </c>
    </row>
    <row r="210" spans="1:6" x14ac:dyDescent="0.25">
      <c r="A210" s="405">
        <v>8373761691</v>
      </c>
      <c r="B210">
        <v>10000142</v>
      </c>
      <c r="C210" t="s">
        <v>892</v>
      </c>
      <c r="D210" s="406">
        <v>222666.66666666666</v>
      </c>
      <c r="E210" s="406">
        <v>445333.33333333331</v>
      </c>
      <c r="F210">
        <v>6</v>
      </c>
    </row>
    <row r="211" spans="1:6" x14ac:dyDescent="0.25">
      <c r="A211" s="405">
        <v>8373774033</v>
      </c>
      <c r="B211">
        <v>10001727</v>
      </c>
      <c r="C211" t="s">
        <v>2133</v>
      </c>
      <c r="D211" s="406">
        <v>277433.33333333331</v>
      </c>
      <c r="E211" s="406">
        <v>277433.33333333331</v>
      </c>
      <c r="F211">
        <v>6</v>
      </c>
    </row>
    <row r="212" spans="1:6" x14ac:dyDescent="0.25">
      <c r="A212" s="405">
        <v>8374203714</v>
      </c>
      <c r="B212">
        <v>10000801</v>
      </c>
      <c r="C212" t="s">
        <v>1244</v>
      </c>
      <c r="D212" s="406">
        <v>383266.66666666669</v>
      </c>
      <c r="E212" s="406">
        <v>383266.66666666669</v>
      </c>
      <c r="F212">
        <v>6</v>
      </c>
    </row>
    <row r="213" spans="1:6" x14ac:dyDescent="0.25">
      <c r="A213" s="405">
        <v>8374221283</v>
      </c>
      <c r="B213">
        <v>10000504</v>
      </c>
      <c r="C213" t="s">
        <v>2134</v>
      </c>
      <c r="D213" s="406">
        <v>289766.66666666669</v>
      </c>
      <c r="E213" s="406">
        <v>289766.66666666669</v>
      </c>
      <c r="F213">
        <v>6</v>
      </c>
    </row>
    <row r="214" spans="1:6" x14ac:dyDescent="0.25">
      <c r="A214" s="405">
        <v>8374362774</v>
      </c>
      <c r="B214">
        <v>10000045</v>
      </c>
      <c r="C214" t="s">
        <v>808</v>
      </c>
      <c r="D214" s="406">
        <v>507666.66666666669</v>
      </c>
      <c r="E214" s="406">
        <v>507666.66666666669</v>
      </c>
      <c r="F214">
        <v>6</v>
      </c>
    </row>
    <row r="215" spans="1:6" x14ac:dyDescent="0.25">
      <c r="A215" s="405">
        <v>8374392681</v>
      </c>
      <c r="B215">
        <v>10000535</v>
      </c>
      <c r="C215" t="s">
        <v>1133</v>
      </c>
      <c r="D215" s="406">
        <v>655000</v>
      </c>
      <c r="E215" s="406">
        <v>655000</v>
      </c>
      <c r="F215">
        <v>6</v>
      </c>
    </row>
    <row r="216" spans="1:6" x14ac:dyDescent="0.25">
      <c r="A216" s="405">
        <v>8374470305</v>
      </c>
      <c r="B216">
        <v>10000605</v>
      </c>
      <c r="C216" t="s">
        <v>1163</v>
      </c>
      <c r="D216" s="406">
        <v>495000</v>
      </c>
      <c r="E216" s="406">
        <v>495000</v>
      </c>
      <c r="F216">
        <v>6</v>
      </c>
    </row>
    <row r="217" spans="1:6" x14ac:dyDescent="0.25">
      <c r="A217" s="405">
        <v>8374654287</v>
      </c>
      <c r="B217">
        <v>10000323</v>
      </c>
      <c r="C217" t="s">
        <v>2135</v>
      </c>
      <c r="D217" s="406">
        <v>730800</v>
      </c>
      <c r="E217" s="406">
        <v>730800</v>
      </c>
      <c r="F217">
        <v>6</v>
      </c>
    </row>
    <row r="218" spans="1:6" x14ac:dyDescent="0.25">
      <c r="A218" s="405">
        <v>8374741791</v>
      </c>
      <c r="B218">
        <v>10000438</v>
      </c>
      <c r="C218" t="s">
        <v>1079</v>
      </c>
      <c r="D218" s="406">
        <v>430600</v>
      </c>
      <c r="E218" s="406">
        <v>430600</v>
      </c>
      <c r="F218">
        <v>6</v>
      </c>
    </row>
    <row r="219" spans="1:6" x14ac:dyDescent="0.25">
      <c r="A219" s="405">
        <v>8374913193</v>
      </c>
      <c r="B219">
        <v>10000508</v>
      </c>
      <c r="C219" t="s">
        <v>2136</v>
      </c>
      <c r="D219" s="406">
        <v>324533.33333333331</v>
      </c>
      <c r="E219" s="406">
        <v>324533.33333333331</v>
      </c>
      <c r="F219">
        <v>6</v>
      </c>
    </row>
    <row r="220" spans="1:6" x14ac:dyDescent="0.25">
      <c r="A220" s="405">
        <v>8375073423</v>
      </c>
      <c r="B220">
        <v>10000460</v>
      </c>
      <c r="C220" t="s">
        <v>2137</v>
      </c>
      <c r="D220" s="406">
        <v>464100</v>
      </c>
      <c r="E220" s="406">
        <v>515666.66666666669</v>
      </c>
      <c r="F220">
        <v>6</v>
      </c>
    </row>
    <row r="221" spans="1:6" x14ac:dyDescent="0.25">
      <c r="A221" s="405">
        <v>8375101591</v>
      </c>
      <c r="B221">
        <v>10000845</v>
      </c>
      <c r="C221" t="s">
        <v>2138</v>
      </c>
      <c r="D221" s="406">
        <v>352000</v>
      </c>
      <c r="E221" s="406">
        <v>352000</v>
      </c>
      <c r="F221">
        <v>6</v>
      </c>
    </row>
    <row r="222" spans="1:6" x14ac:dyDescent="0.25">
      <c r="A222" s="405">
        <v>8375151610</v>
      </c>
      <c r="B222">
        <v>10000422</v>
      </c>
      <c r="C222" t="s">
        <v>2139</v>
      </c>
      <c r="D222" s="406">
        <v>304820.83333333331</v>
      </c>
      <c r="E222" s="406">
        <v>304820.83333333331</v>
      </c>
      <c r="F222">
        <v>6</v>
      </c>
    </row>
    <row r="223" spans="1:6" x14ac:dyDescent="0.25">
      <c r="A223" s="405">
        <v>8375183237</v>
      </c>
      <c r="B223">
        <v>10000469</v>
      </c>
      <c r="C223" t="s">
        <v>1092</v>
      </c>
      <c r="D223" s="406">
        <v>353233.33333333331</v>
      </c>
      <c r="E223" s="406">
        <v>353233.33333333331</v>
      </c>
      <c r="F223">
        <v>6</v>
      </c>
    </row>
    <row r="224" spans="1:6" x14ac:dyDescent="0.25">
      <c r="A224" s="405">
        <v>8375352837</v>
      </c>
      <c r="B224">
        <v>10002033</v>
      </c>
      <c r="C224" t="s">
        <v>1757</v>
      </c>
      <c r="D224" s="406">
        <v>82500</v>
      </c>
      <c r="E224" s="406">
        <v>330000</v>
      </c>
      <c r="F224">
        <v>2</v>
      </c>
    </row>
    <row r="225" spans="1:6" x14ac:dyDescent="0.25">
      <c r="A225" s="405">
        <v>8375521736</v>
      </c>
      <c r="B225">
        <v>10000718</v>
      </c>
      <c r="C225" t="s">
        <v>1207</v>
      </c>
      <c r="D225" s="406">
        <v>394266.66666666669</v>
      </c>
      <c r="E225" s="406">
        <v>394266.66666666669</v>
      </c>
      <c r="F225">
        <v>6</v>
      </c>
    </row>
    <row r="226" spans="1:6" x14ac:dyDescent="0.25">
      <c r="A226" s="405">
        <v>8375633437</v>
      </c>
      <c r="B226">
        <v>10000781</v>
      </c>
      <c r="C226" t="s">
        <v>1238</v>
      </c>
      <c r="D226" s="406">
        <v>344266.66666666669</v>
      </c>
      <c r="E226" s="406">
        <v>344266.66666666669</v>
      </c>
      <c r="F226">
        <v>6</v>
      </c>
    </row>
    <row r="227" spans="1:6" x14ac:dyDescent="0.25">
      <c r="A227" s="405">
        <v>8375791911</v>
      </c>
      <c r="B227">
        <v>10000439</v>
      </c>
      <c r="C227" t="s">
        <v>1080</v>
      </c>
      <c r="D227" s="406">
        <v>355066.66666666669</v>
      </c>
      <c r="E227" s="406">
        <v>355066.66666666669</v>
      </c>
      <c r="F227">
        <v>6</v>
      </c>
    </row>
    <row r="228" spans="1:6" x14ac:dyDescent="0.25">
      <c r="A228" s="405">
        <v>8376711709</v>
      </c>
      <c r="B228">
        <v>10000355</v>
      </c>
      <c r="C228" t="s">
        <v>2140</v>
      </c>
      <c r="D228" s="406">
        <v>458066.66666666669</v>
      </c>
      <c r="E228" s="406">
        <v>458066.66666666669</v>
      </c>
      <c r="F228">
        <v>6</v>
      </c>
    </row>
    <row r="229" spans="1:6" x14ac:dyDescent="0.25">
      <c r="A229" s="405">
        <v>8376733702</v>
      </c>
      <c r="B229">
        <v>10001651</v>
      </c>
      <c r="C229" t="s">
        <v>1504</v>
      </c>
      <c r="D229" s="406">
        <v>434666.66666666669</v>
      </c>
      <c r="E229" s="406">
        <v>434666.66666666669</v>
      </c>
      <c r="F229">
        <v>6</v>
      </c>
    </row>
    <row r="230" spans="1:6" x14ac:dyDescent="0.25">
      <c r="A230" s="405">
        <v>8376941402</v>
      </c>
      <c r="B230">
        <v>10000368</v>
      </c>
      <c r="C230" t="s">
        <v>2141</v>
      </c>
      <c r="D230" s="406">
        <v>151700</v>
      </c>
      <c r="E230" s="406">
        <v>303400</v>
      </c>
      <c r="F230">
        <v>6</v>
      </c>
    </row>
    <row r="231" spans="1:6" x14ac:dyDescent="0.25">
      <c r="A231" s="405">
        <v>8376974440</v>
      </c>
      <c r="B231">
        <v>10001434</v>
      </c>
      <c r="C231" t="s">
        <v>1434</v>
      </c>
      <c r="D231" s="406">
        <v>350266.66666666669</v>
      </c>
      <c r="E231" s="406">
        <v>350266.66666666669</v>
      </c>
      <c r="F231">
        <v>6</v>
      </c>
    </row>
    <row r="232" spans="1:6" x14ac:dyDescent="0.25">
      <c r="A232" s="405">
        <v>8377045079</v>
      </c>
      <c r="B232">
        <v>10000381</v>
      </c>
      <c r="C232" t="s">
        <v>2142</v>
      </c>
      <c r="D232" s="406">
        <v>305300</v>
      </c>
      <c r="E232" s="406">
        <v>305300</v>
      </c>
      <c r="F232">
        <v>2</v>
      </c>
    </row>
    <row r="233" spans="1:6" x14ac:dyDescent="0.25">
      <c r="A233" s="405">
        <v>8377113341</v>
      </c>
      <c r="B233">
        <v>10002043</v>
      </c>
      <c r="C233" t="s">
        <v>1767</v>
      </c>
      <c r="D233" s="406">
        <v>82500</v>
      </c>
      <c r="E233" s="406">
        <v>330000</v>
      </c>
      <c r="F233">
        <v>2</v>
      </c>
    </row>
    <row r="234" spans="1:6" x14ac:dyDescent="0.25">
      <c r="A234" s="405">
        <v>8377123479</v>
      </c>
      <c r="B234">
        <v>10000070</v>
      </c>
      <c r="C234" t="s">
        <v>2143</v>
      </c>
      <c r="D234" s="406">
        <v>586383.33333333337</v>
      </c>
      <c r="E234" s="406">
        <v>586383.33333333337</v>
      </c>
      <c r="F234">
        <v>6</v>
      </c>
    </row>
    <row r="235" spans="1:6" x14ac:dyDescent="0.25">
      <c r="A235" s="405">
        <v>8377184230</v>
      </c>
      <c r="B235">
        <v>10001728</v>
      </c>
      <c r="C235" t="s">
        <v>2144</v>
      </c>
      <c r="D235" s="406">
        <v>260600</v>
      </c>
      <c r="E235" s="406">
        <v>260600</v>
      </c>
      <c r="F235">
        <v>1</v>
      </c>
    </row>
    <row r="236" spans="1:6" x14ac:dyDescent="0.25">
      <c r="A236" s="405">
        <v>8377233223</v>
      </c>
      <c r="B236">
        <v>10002031</v>
      </c>
      <c r="C236" t="s">
        <v>1754</v>
      </c>
      <c r="D236" s="406">
        <v>450000</v>
      </c>
      <c r="E236" s="406">
        <v>450000</v>
      </c>
      <c r="F236">
        <v>2</v>
      </c>
    </row>
    <row r="237" spans="1:6" x14ac:dyDescent="0.25">
      <c r="A237" s="405">
        <v>8377274515</v>
      </c>
      <c r="B237">
        <v>10000734</v>
      </c>
      <c r="C237" t="s">
        <v>1216</v>
      </c>
      <c r="D237" s="406">
        <v>649333.33333333337</v>
      </c>
      <c r="E237" s="406">
        <v>649333.33333333337</v>
      </c>
      <c r="F237">
        <v>6</v>
      </c>
    </row>
    <row r="238" spans="1:6" x14ac:dyDescent="0.25">
      <c r="A238" s="405">
        <v>8377610388</v>
      </c>
      <c r="B238">
        <v>10001469</v>
      </c>
      <c r="C238" t="s">
        <v>1448</v>
      </c>
      <c r="D238" s="406">
        <v>324100</v>
      </c>
      <c r="E238" s="406">
        <v>324100</v>
      </c>
      <c r="F238">
        <v>6</v>
      </c>
    </row>
    <row r="239" spans="1:6" x14ac:dyDescent="0.25">
      <c r="A239" s="405">
        <v>8377802570</v>
      </c>
      <c r="B239">
        <v>10000607</v>
      </c>
      <c r="C239" t="s">
        <v>2145</v>
      </c>
      <c r="D239" s="406">
        <v>367933.33333333331</v>
      </c>
      <c r="E239" s="406">
        <v>367933.33333333331</v>
      </c>
      <c r="F239">
        <v>6</v>
      </c>
    </row>
    <row r="240" spans="1:6" x14ac:dyDescent="0.25">
      <c r="A240" s="405">
        <v>8378243737</v>
      </c>
      <c r="B240">
        <v>10002044</v>
      </c>
      <c r="C240" t="s">
        <v>1768</v>
      </c>
      <c r="D240" s="406">
        <v>1200000</v>
      </c>
      <c r="E240" s="406">
        <v>1200000</v>
      </c>
      <c r="F240">
        <v>2</v>
      </c>
    </row>
    <row r="241" spans="1:6" x14ac:dyDescent="0.25">
      <c r="A241" s="405">
        <v>8378563758</v>
      </c>
      <c r="B241">
        <v>10000569</v>
      </c>
      <c r="C241" t="s">
        <v>2146</v>
      </c>
      <c r="D241" s="406">
        <v>418000</v>
      </c>
      <c r="E241" s="406">
        <v>418000</v>
      </c>
      <c r="F241">
        <v>6</v>
      </c>
    </row>
    <row r="242" spans="1:6" x14ac:dyDescent="0.25">
      <c r="A242" s="405">
        <v>8378913287</v>
      </c>
      <c r="B242">
        <v>10001666</v>
      </c>
      <c r="C242" t="s">
        <v>1510</v>
      </c>
      <c r="D242" s="406">
        <v>712500</v>
      </c>
      <c r="E242" s="406">
        <v>712500</v>
      </c>
      <c r="F242">
        <v>6</v>
      </c>
    </row>
    <row r="243" spans="1:6" x14ac:dyDescent="0.25">
      <c r="A243" s="405">
        <v>8379181603</v>
      </c>
      <c r="B243">
        <v>10001167</v>
      </c>
      <c r="C243" t="s">
        <v>2147</v>
      </c>
      <c r="D243" s="406">
        <v>252433.33333333334</v>
      </c>
      <c r="E243" s="406">
        <v>252433.33333333334</v>
      </c>
      <c r="F243">
        <v>6</v>
      </c>
    </row>
    <row r="244" spans="1:6" x14ac:dyDescent="0.25">
      <c r="A244" s="405">
        <v>8379402995</v>
      </c>
      <c r="B244">
        <v>10000944</v>
      </c>
      <c r="C244" t="s">
        <v>1290</v>
      </c>
      <c r="D244" s="406">
        <v>438600</v>
      </c>
      <c r="E244" s="406">
        <v>438600</v>
      </c>
      <c r="F244">
        <v>6</v>
      </c>
    </row>
    <row r="245" spans="1:6" x14ac:dyDescent="0.25">
      <c r="A245" s="405">
        <v>8379480910</v>
      </c>
      <c r="B245">
        <v>10000803</v>
      </c>
      <c r="C245" t="s">
        <v>1246</v>
      </c>
      <c r="D245" s="406">
        <v>605000</v>
      </c>
      <c r="E245" s="406">
        <v>605000</v>
      </c>
      <c r="F245">
        <v>6</v>
      </c>
    </row>
    <row r="246" spans="1:6" x14ac:dyDescent="0.25">
      <c r="A246" s="405">
        <v>8380182219</v>
      </c>
      <c r="B246">
        <v>10000528</v>
      </c>
      <c r="C246" t="s">
        <v>1128</v>
      </c>
      <c r="D246" s="406">
        <v>300000</v>
      </c>
      <c r="E246" s="406">
        <v>300000</v>
      </c>
      <c r="F246">
        <v>3</v>
      </c>
    </row>
    <row r="247" spans="1:6" x14ac:dyDescent="0.25">
      <c r="A247" s="405">
        <v>8380183029</v>
      </c>
      <c r="B247">
        <v>10000084</v>
      </c>
      <c r="C247" t="s">
        <v>2148</v>
      </c>
      <c r="D247" s="406">
        <v>465632.5</v>
      </c>
      <c r="E247" s="406">
        <v>465632.5</v>
      </c>
      <c r="F247">
        <v>6</v>
      </c>
    </row>
    <row r="248" spans="1:6" x14ac:dyDescent="0.25">
      <c r="A248" s="405">
        <v>8380284038</v>
      </c>
      <c r="B248">
        <v>10001938</v>
      </c>
      <c r="C248" t="s">
        <v>1682</v>
      </c>
      <c r="D248" s="406">
        <v>159266.66666666666</v>
      </c>
      <c r="E248" s="406">
        <v>637066.66666666663</v>
      </c>
      <c r="F248">
        <v>6</v>
      </c>
    </row>
    <row r="249" spans="1:6" x14ac:dyDescent="0.25">
      <c r="A249" s="405">
        <v>8380433149</v>
      </c>
      <c r="B249">
        <v>10001491</v>
      </c>
      <c r="C249" t="s">
        <v>2149</v>
      </c>
      <c r="D249" s="406">
        <v>1100000</v>
      </c>
      <c r="E249" s="406">
        <v>1100000</v>
      </c>
      <c r="F249">
        <v>6</v>
      </c>
    </row>
    <row r="250" spans="1:6" x14ac:dyDescent="0.25">
      <c r="A250" s="405">
        <v>8380550846</v>
      </c>
      <c r="B250">
        <v>10000833</v>
      </c>
      <c r="C250" t="s">
        <v>1256</v>
      </c>
      <c r="D250" s="406">
        <v>345866.66666666669</v>
      </c>
      <c r="E250" s="406">
        <v>345866.66666666669</v>
      </c>
      <c r="F250">
        <v>6</v>
      </c>
    </row>
    <row r="251" spans="1:6" x14ac:dyDescent="0.25">
      <c r="A251" s="405">
        <v>8380810767</v>
      </c>
      <c r="B251">
        <v>10000741</v>
      </c>
      <c r="C251" t="s">
        <v>1219</v>
      </c>
      <c r="D251" s="406">
        <v>306266.66666666669</v>
      </c>
      <c r="E251" s="406">
        <v>306266.66666666669</v>
      </c>
      <c r="F251">
        <v>6</v>
      </c>
    </row>
    <row r="252" spans="1:6" x14ac:dyDescent="0.25">
      <c r="A252" s="405">
        <v>8381002001</v>
      </c>
      <c r="B252">
        <v>10001902</v>
      </c>
      <c r="C252" t="s">
        <v>1665</v>
      </c>
      <c r="D252" s="406">
        <v>109500</v>
      </c>
      <c r="E252" s="406">
        <v>219000</v>
      </c>
      <c r="F252">
        <v>3</v>
      </c>
    </row>
    <row r="253" spans="1:6" x14ac:dyDescent="0.25">
      <c r="A253" s="405">
        <v>8381124921</v>
      </c>
      <c r="B253">
        <v>10000670</v>
      </c>
      <c r="C253" t="s">
        <v>1197</v>
      </c>
      <c r="D253" s="406">
        <v>439400</v>
      </c>
      <c r="E253" s="406">
        <v>439400</v>
      </c>
      <c r="F253">
        <v>6</v>
      </c>
    </row>
    <row r="254" spans="1:6" x14ac:dyDescent="0.25">
      <c r="A254" s="405">
        <v>8381280249</v>
      </c>
      <c r="B254">
        <v>10000099</v>
      </c>
      <c r="C254" t="s">
        <v>2150</v>
      </c>
      <c r="D254" s="406">
        <v>426900</v>
      </c>
      <c r="E254" s="406">
        <v>426900</v>
      </c>
      <c r="F254">
        <v>6</v>
      </c>
    </row>
    <row r="255" spans="1:6" x14ac:dyDescent="0.25">
      <c r="A255" s="405">
        <v>8381284139</v>
      </c>
      <c r="B255">
        <v>10001808</v>
      </c>
      <c r="C255" t="s">
        <v>1627</v>
      </c>
      <c r="D255" s="406">
        <v>470666.66666666669</v>
      </c>
      <c r="E255" s="406">
        <v>470666.66666666669</v>
      </c>
      <c r="F255">
        <v>6</v>
      </c>
    </row>
    <row r="256" spans="1:6" x14ac:dyDescent="0.25">
      <c r="A256" s="405">
        <v>8381323010</v>
      </c>
      <c r="B256">
        <v>10000285</v>
      </c>
      <c r="C256" t="s">
        <v>977</v>
      </c>
      <c r="D256" s="406">
        <v>935000</v>
      </c>
      <c r="E256" s="406">
        <v>935000</v>
      </c>
      <c r="F256">
        <v>6</v>
      </c>
    </row>
    <row r="257" spans="1:6" x14ac:dyDescent="0.25">
      <c r="A257" s="405">
        <v>8381490405</v>
      </c>
      <c r="B257">
        <v>10000666</v>
      </c>
      <c r="C257" t="s">
        <v>1196</v>
      </c>
      <c r="D257" s="406">
        <v>498200</v>
      </c>
      <c r="E257" s="406">
        <v>498200</v>
      </c>
      <c r="F257">
        <v>6</v>
      </c>
    </row>
    <row r="258" spans="1:6" x14ac:dyDescent="0.25">
      <c r="A258" s="405">
        <v>8382052894</v>
      </c>
      <c r="B258">
        <v>10000030</v>
      </c>
      <c r="C258" t="s">
        <v>2151</v>
      </c>
      <c r="D258" s="406">
        <v>213400</v>
      </c>
      <c r="E258" s="406">
        <v>426800</v>
      </c>
      <c r="F258">
        <v>6</v>
      </c>
    </row>
    <row r="259" spans="1:6" x14ac:dyDescent="0.25">
      <c r="A259" s="405">
        <v>8382053971</v>
      </c>
      <c r="B259">
        <v>10001806</v>
      </c>
      <c r="C259" t="s">
        <v>1624</v>
      </c>
      <c r="D259" s="406">
        <v>155533.33333333334</v>
      </c>
      <c r="E259" s="406">
        <v>311066.66666666669</v>
      </c>
      <c r="F259">
        <v>6</v>
      </c>
    </row>
    <row r="260" spans="1:6" x14ac:dyDescent="0.25">
      <c r="A260" s="405">
        <v>8382142222</v>
      </c>
      <c r="B260">
        <v>10000248</v>
      </c>
      <c r="C260" t="s">
        <v>956</v>
      </c>
      <c r="D260" s="406">
        <v>957233.33333333337</v>
      </c>
      <c r="E260" s="406">
        <v>957233.33333333337</v>
      </c>
      <c r="F260">
        <v>6</v>
      </c>
    </row>
    <row r="261" spans="1:6" x14ac:dyDescent="0.25">
      <c r="A261" s="405">
        <v>8382191150</v>
      </c>
      <c r="B261">
        <v>10001766</v>
      </c>
      <c r="C261" t="s">
        <v>2152</v>
      </c>
      <c r="D261" s="406">
        <v>1655166.6666666667</v>
      </c>
      <c r="E261" s="406">
        <v>1655166.6666666667</v>
      </c>
      <c r="F261">
        <v>6</v>
      </c>
    </row>
    <row r="262" spans="1:6" x14ac:dyDescent="0.25">
      <c r="A262" s="405">
        <v>8382493424</v>
      </c>
      <c r="B262">
        <v>10000270</v>
      </c>
      <c r="C262" t="s">
        <v>970</v>
      </c>
      <c r="D262" s="406">
        <v>492900</v>
      </c>
      <c r="E262" s="406">
        <v>492900</v>
      </c>
      <c r="F262">
        <v>6</v>
      </c>
    </row>
    <row r="263" spans="1:6" x14ac:dyDescent="0.25">
      <c r="A263" s="405">
        <v>8383633823</v>
      </c>
      <c r="B263">
        <v>10000442</v>
      </c>
      <c r="C263" t="s">
        <v>2153</v>
      </c>
      <c r="D263" s="406">
        <v>652466.66666666663</v>
      </c>
      <c r="E263" s="406">
        <v>652466.66666666663</v>
      </c>
      <c r="F263">
        <v>6</v>
      </c>
    </row>
    <row r="264" spans="1:6" x14ac:dyDescent="0.25">
      <c r="A264" s="405">
        <v>8384390509</v>
      </c>
      <c r="B264">
        <v>10000187</v>
      </c>
      <c r="C264" t="s">
        <v>916</v>
      </c>
      <c r="D264" s="406">
        <v>1091728.3333333333</v>
      </c>
      <c r="E264" s="406">
        <v>1091728.3333333333</v>
      </c>
      <c r="F264">
        <v>6</v>
      </c>
    </row>
    <row r="265" spans="1:6" x14ac:dyDescent="0.25">
      <c r="A265" s="405">
        <v>8384415307</v>
      </c>
      <c r="B265">
        <v>10001888</v>
      </c>
      <c r="C265" t="s">
        <v>2154</v>
      </c>
      <c r="D265" s="406">
        <v>935000</v>
      </c>
      <c r="E265" s="406">
        <v>1246666.6666666667</v>
      </c>
      <c r="F265">
        <v>6</v>
      </c>
    </row>
    <row r="266" spans="1:6" x14ac:dyDescent="0.25">
      <c r="A266" s="405">
        <v>8384883114</v>
      </c>
      <c r="B266">
        <v>10001610</v>
      </c>
      <c r="C266" t="s">
        <v>1483</v>
      </c>
      <c r="D266" s="406">
        <v>235166.66666666666</v>
      </c>
      <c r="E266" s="406">
        <v>470333.33333333331</v>
      </c>
      <c r="F266">
        <v>6</v>
      </c>
    </row>
    <row r="267" spans="1:6" x14ac:dyDescent="0.25">
      <c r="A267" s="405">
        <v>8385173412</v>
      </c>
      <c r="B267">
        <v>10000096</v>
      </c>
      <c r="C267" t="s">
        <v>2155</v>
      </c>
      <c r="D267" s="406">
        <v>304933.33333333331</v>
      </c>
      <c r="E267" s="406">
        <v>304933.33333333331</v>
      </c>
      <c r="F267">
        <v>6</v>
      </c>
    </row>
    <row r="268" spans="1:6" x14ac:dyDescent="0.25">
      <c r="A268" s="405">
        <v>8385343660</v>
      </c>
      <c r="B268">
        <v>10000511</v>
      </c>
      <c r="C268" t="s">
        <v>1116</v>
      </c>
      <c r="D268" s="406">
        <v>443633.33333333331</v>
      </c>
      <c r="E268" s="406">
        <v>443633.33333333331</v>
      </c>
      <c r="F268">
        <v>6</v>
      </c>
    </row>
    <row r="269" spans="1:6" x14ac:dyDescent="0.25">
      <c r="A269" s="405">
        <v>8385382259</v>
      </c>
      <c r="B269">
        <v>10000661</v>
      </c>
      <c r="C269" t="s">
        <v>1193</v>
      </c>
      <c r="D269" s="406">
        <v>440000</v>
      </c>
      <c r="E269" s="406">
        <v>440000</v>
      </c>
      <c r="F269">
        <v>6</v>
      </c>
    </row>
    <row r="270" spans="1:6" x14ac:dyDescent="0.25">
      <c r="A270" s="405">
        <v>8386020911</v>
      </c>
      <c r="B270">
        <v>10001964</v>
      </c>
      <c r="C270" t="s">
        <v>1693</v>
      </c>
      <c r="D270" s="406">
        <v>550000</v>
      </c>
      <c r="E270" s="406">
        <v>733333.33333333337</v>
      </c>
      <c r="F270">
        <v>6</v>
      </c>
    </row>
    <row r="271" spans="1:6" x14ac:dyDescent="0.25">
      <c r="A271" s="405">
        <v>8386094052</v>
      </c>
      <c r="B271">
        <v>10000830</v>
      </c>
      <c r="C271" t="s">
        <v>1253</v>
      </c>
      <c r="D271" s="406">
        <v>234433.33333333334</v>
      </c>
      <c r="E271" s="406">
        <v>312577.77777777781</v>
      </c>
      <c r="F271">
        <v>6</v>
      </c>
    </row>
    <row r="272" spans="1:6" x14ac:dyDescent="0.25">
      <c r="A272" s="405">
        <v>8386143789</v>
      </c>
      <c r="B272">
        <v>10001674</v>
      </c>
      <c r="C272" t="s">
        <v>2156</v>
      </c>
      <c r="D272" s="406">
        <v>394266.66666666669</v>
      </c>
      <c r="E272" s="406">
        <v>394266.66666666669</v>
      </c>
      <c r="F272">
        <v>6</v>
      </c>
    </row>
    <row r="273" spans="1:6" x14ac:dyDescent="0.25">
      <c r="A273" s="405">
        <v>8386243686</v>
      </c>
      <c r="B273">
        <v>10000290</v>
      </c>
      <c r="C273" t="s">
        <v>2157</v>
      </c>
      <c r="D273" s="406">
        <v>596266.66666666663</v>
      </c>
      <c r="E273" s="406">
        <v>596266.66666666663</v>
      </c>
      <c r="F273">
        <v>6</v>
      </c>
    </row>
    <row r="274" spans="1:6" x14ac:dyDescent="0.25">
      <c r="A274" s="405">
        <v>8386893362</v>
      </c>
      <c r="B274">
        <v>10000888</v>
      </c>
      <c r="C274" t="s">
        <v>1270</v>
      </c>
      <c r="D274" s="406">
        <v>383350</v>
      </c>
      <c r="E274" s="406">
        <v>383350</v>
      </c>
      <c r="F274">
        <v>4</v>
      </c>
    </row>
    <row r="275" spans="1:6" x14ac:dyDescent="0.25">
      <c r="A275" s="405">
        <v>8386912812</v>
      </c>
      <c r="B275">
        <v>10000047</v>
      </c>
      <c r="C275" t="s">
        <v>2158</v>
      </c>
      <c r="D275" s="406">
        <v>890200</v>
      </c>
      <c r="E275" s="406">
        <v>890200</v>
      </c>
      <c r="F275">
        <v>6</v>
      </c>
    </row>
    <row r="276" spans="1:6" x14ac:dyDescent="0.25">
      <c r="A276" s="405">
        <v>8387024724</v>
      </c>
      <c r="B276">
        <v>10001731</v>
      </c>
      <c r="C276" t="s">
        <v>2159</v>
      </c>
      <c r="D276" s="406">
        <v>279533.33333333331</v>
      </c>
      <c r="E276" s="406">
        <v>279533.33333333331</v>
      </c>
      <c r="F276">
        <v>6</v>
      </c>
    </row>
    <row r="277" spans="1:6" x14ac:dyDescent="0.25">
      <c r="A277" s="405">
        <v>8387271209</v>
      </c>
      <c r="B277">
        <v>10000320</v>
      </c>
      <c r="C277" t="s">
        <v>2160</v>
      </c>
      <c r="D277" s="406">
        <v>518333.33333333331</v>
      </c>
      <c r="E277" s="406">
        <v>518333.33333333331</v>
      </c>
      <c r="F277">
        <v>6</v>
      </c>
    </row>
    <row r="278" spans="1:6" x14ac:dyDescent="0.25">
      <c r="A278" s="405">
        <v>8387294322</v>
      </c>
      <c r="B278">
        <v>10000054</v>
      </c>
      <c r="C278" t="s">
        <v>815</v>
      </c>
      <c r="D278" s="406">
        <v>609866.66666666663</v>
      </c>
      <c r="E278" s="406">
        <v>609866.66666666663</v>
      </c>
      <c r="F278">
        <v>6</v>
      </c>
    </row>
    <row r="279" spans="1:6" x14ac:dyDescent="0.25">
      <c r="A279" s="405">
        <v>8387393045</v>
      </c>
      <c r="B279">
        <v>10000575</v>
      </c>
      <c r="C279" t="s">
        <v>2161</v>
      </c>
      <c r="D279" s="406">
        <v>308166.66666666669</v>
      </c>
      <c r="E279" s="406">
        <v>308166.66666666669</v>
      </c>
      <c r="F279">
        <v>6</v>
      </c>
    </row>
    <row r="280" spans="1:6" x14ac:dyDescent="0.25">
      <c r="A280" s="405">
        <v>8387485616</v>
      </c>
      <c r="B280">
        <v>10001814</v>
      </c>
      <c r="C280" t="s">
        <v>2162</v>
      </c>
      <c r="D280" s="406">
        <v>330000</v>
      </c>
      <c r="E280" s="406">
        <v>660000</v>
      </c>
      <c r="F280">
        <v>6</v>
      </c>
    </row>
    <row r="281" spans="1:6" x14ac:dyDescent="0.25">
      <c r="A281" s="405">
        <v>8387843466</v>
      </c>
      <c r="B281">
        <v>10001732</v>
      </c>
      <c r="C281" t="s">
        <v>2163</v>
      </c>
      <c r="D281" s="406">
        <v>425666.66666666669</v>
      </c>
      <c r="E281" s="406">
        <v>425666.66666666669</v>
      </c>
      <c r="F281">
        <v>6</v>
      </c>
    </row>
    <row r="282" spans="1:6" x14ac:dyDescent="0.25">
      <c r="A282" s="405">
        <v>8387944947</v>
      </c>
      <c r="B282">
        <v>10000396</v>
      </c>
      <c r="C282" t="s">
        <v>1047</v>
      </c>
      <c r="D282" s="406">
        <v>261766.66666666666</v>
      </c>
      <c r="E282" s="406">
        <v>349022.22222222219</v>
      </c>
      <c r="F282">
        <v>6</v>
      </c>
    </row>
    <row r="283" spans="1:6" x14ac:dyDescent="0.25">
      <c r="A283" s="405">
        <v>8388324136</v>
      </c>
      <c r="B283">
        <v>10001914</v>
      </c>
      <c r="C283" t="s">
        <v>1669</v>
      </c>
      <c r="D283" s="406">
        <v>550000</v>
      </c>
      <c r="E283" s="406">
        <v>733333.33333333337</v>
      </c>
      <c r="F283">
        <v>6</v>
      </c>
    </row>
    <row r="284" spans="1:6" x14ac:dyDescent="0.25">
      <c r="A284" s="405">
        <v>8388380893</v>
      </c>
      <c r="B284">
        <v>10001394</v>
      </c>
      <c r="C284" t="s">
        <v>1418</v>
      </c>
      <c r="D284" s="406">
        <v>196233.33333333334</v>
      </c>
      <c r="E284" s="406">
        <v>392466.66666666669</v>
      </c>
      <c r="F284">
        <v>6</v>
      </c>
    </row>
    <row r="285" spans="1:6" x14ac:dyDescent="0.25">
      <c r="A285" s="405">
        <v>8388423770</v>
      </c>
      <c r="B285">
        <v>10000117</v>
      </c>
      <c r="C285" t="s">
        <v>2164</v>
      </c>
      <c r="D285" s="406">
        <v>867000</v>
      </c>
      <c r="E285" s="406">
        <v>867000</v>
      </c>
      <c r="F285">
        <v>6</v>
      </c>
    </row>
    <row r="286" spans="1:6" x14ac:dyDescent="0.25">
      <c r="A286" s="405">
        <v>8388670670</v>
      </c>
      <c r="B286">
        <v>10002030</v>
      </c>
      <c r="C286" t="s">
        <v>1753</v>
      </c>
      <c r="D286" s="406">
        <v>82500</v>
      </c>
      <c r="E286" s="406">
        <v>330000</v>
      </c>
      <c r="F286">
        <v>2</v>
      </c>
    </row>
    <row r="287" spans="1:6" x14ac:dyDescent="0.25">
      <c r="A287" s="405">
        <v>8388693077</v>
      </c>
      <c r="B287">
        <v>10001278</v>
      </c>
      <c r="C287" t="s">
        <v>1391</v>
      </c>
      <c r="D287" s="406">
        <v>221800</v>
      </c>
      <c r="E287" s="406">
        <v>221800</v>
      </c>
      <c r="F287">
        <v>4</v>
      </c>
    </row>
    <row r="288" spans="1:6" x14ac:dyDescent="0.25">
      <c r="A288" s="405">
        <v>8388711881</v>
      </c>
      <c r="B288">
        <v>10000430</v>
      </c>
      <c r="C288" t="s">
        <v>2165</v>
      </c>
      <c r="D288" s="406">
        <v>474633.33333333331</v>
      </c>
      <c r="E288" s="406">
        <v>474633.33333333331</v>
      </c>
      <c r="F288">
        <v>6</v>
      </c>
    </row>
    <row r="289" spans="1:6" x14ac:dyDescent="0.25">
      <c r="A289" s="405">
        <v>8388803441</v>
      </c>
      <c r="B289">
        <v>10001316</v>
      </c>
      <c r="C289" t="s">
        <v>1401</v>
      </c>
      <c r="D289" s="406">
        <v>383266.66666666669</v>
      </c>
      <c r="E289" s="406">
        <v>383266.66666666669</v>
      </c>
      <c r="F289">
        <v>6</v>
      </c>
    </row>
    <row r="290" spans="1:6" x14ac:dyDescent="0.25">
      <c r="A290" s="405">
        <v>8388983024</v>
      </c>
      <c r="B290">
        <v>10001042</v>
      </c>
      <c r="C290" t="s">
        <v>1327</v>
      </c>
      <c r="D290" s="406">
        <v>418000</v>
      </c>
      <c r="E290" s="406">
        <v>418000</v>
      </c>
      <c r="F290">
        <v>6</v>
      </c>
    </row>
    <row r="291" spans="1:6" x14ac:dyDescent="0.25">
      <c r="A291" s="405">
        <v>8389022850</v>
      </c>
      <c r="B291">
        <v>10000742</v>
      </c>
      <c r="C291" t="s">
        <v>1220</v>
      </c>
      <c r="D291" s="406">
        <v>330000</v>
      </c>
      <c r="E291" s="406">
        <v>330000</v>
      </c>
      <c r="F291">
        <v>6</v>
      </c>
    </row>
    <row r="292" spans="1:6" x14ac:dyDescent="0.25">
      <c r="A292" s="405">
        <v>8389024780</v>
      </c>
      <c r="B292">
        <v>10000128</v>
      </c>
      <c r="C292" t="s">
        <v>877</v>
      </c>
      <c r="D292" s="406">
        <v>304933.33333333331</v>
      </c>
      <c r="E292" s="406">
        <v>304933.33333333331</v>
      </c>
      <c r="F292">
        <v>6</v>
      </c>
    </row>
    <row r="293" spans="1:6" x14ac:dyDescent="0.25">
      <c r="A293" s="405">
        <v>8389142244</v>
      </c>
      <c r="B293">
        <v>10000565</v>
      </c>
      <c r="C293" t="s">
        <v>2166</v>
      </c>
      <c r="D293" s="406">
        <v>418666.66666666669</v>
      </c>
      <c r="E293" s="406">
        <v>418666.66666666669</v>
      </c>
      <c r="F293">
        <v>6</v>
      </c>
    </row>
    <row r="294" spans="1:6" x14ac:dyDescent="0.25">
      <c r="A294" s="405">
        <v>8389152959</v>
      </c>
      <c r="B294">
        <v>10001477</v>
      </c>
      <c r="C294" t="s">
        <v>1449</v>
      </c>
      <c r="D294" s="406">
        <v>822900</v>
      </c>
      <c r="E294" s="406">
        <v>822900</v>
      </c>
      <c r="F294">
        <v>6</v>
      </c>
    </row>
    <row r="295" spans="1:6" x14ac:dyDescent="0.25">
      <c r="A295" s="405">
        <v>8389220210</v>
      </c>
      <c r="B295">
        <v>10000086</v>
      </c>
      <c r="C295" t="s">
        <v>2167</v>
      </c>
      <c r="D295" s="406">
        <v>1182900</v>
      </c>
      <c r="E295" s="406">
        <v>1182900</v>
      </c>
      <c r="F295">
        <v>6</v>
      </c>
    </row>
    <row r="296" spans="1:6" x14ac:dyDescent="0.25">
      <c r="A296" s="405">
        <v>8389222558</v>
      </c>
      <c r="B296">
        <v>10000705</v>
      </c>
      <c r="C296" t="s">
        <v>1204</v>
      </c>
      <c r="D296" s="406">
        <v>361266.66666666669</v>
      </c>
      <c r="E296" s="406">
        <v>361266.66666666669</v>
      </c>
      <c r="F296">
        <v>6</v>
      </c>
    </row>
    <row r="297" spans="1:6" x14ac:dyDescent="0.25">
      <c r="A297" s="405">
        <v>8389721899</v>
      </c>
      <c r="B297">
        <v>10000227</v>
      </c>
      <c r="C297" t="s">
        <v>2168</v>
      </c>
      <c r="D297" s="406">
        <v>471200</v>
      </c>
      <c r="E297" s="406">
        <v>471200</v>
      </c>
      <c r="F297">
        <v>2</v>
      </c>
    </row>
    <row r="298" spans="1:6" x14ac:dyDescent="0.25">
      <c r="A298" s="405">
        <v>8390182424</v>
      </c>
      <c r="B298">
        <v>10000169</v>
      </c>
      <c r="C298" t="s">
        <v>2169</v>
      </c>
      <c r="D298" s="406">
        <v>308933.33333333331</v>
      </c>
      <c r="E298" s="406">
        <v>308933.33333333331</v>
      </c>
      <c r="F298">
        <v>6</v>
      </c>
    </row>
    <row r="299" spans="1:6" x14ac:dyDescent="0.25">
      <c r="A299" s="405">
        <v>8390261707</v>
      </c>
      <c r="B299">
        <v>10000501</v>
      </c>
      <c r="C299" t="s">
        <v>1109</v>
      </c>
      <c r="D299" s="406">
        <v>352000</v>
      </c>
      <c r="E299" s="406">
        <v>352000</v>
      </c>
      <c r="F299">
        <v>6</v>
      </c>
    </row>
    <row r="300" spans="1:6" x14ac:dyDescent="0.25">
      <c r="A300" s="405">
        <v>8390681331</v>
      </c>
      <c r="B300">
        <v>10000017</v>
      </c>
      <c r="C300" t="s">
        <v>2170</v>
      </c>
      <c r="D300" s="406">
        <v>106733.33333333333</v>
      </c>
      <c r="E300" s="406">
        <v>106733.33333333333</v>
      </c>
      <c r="F300">
        <v>6</v>
      </c>
    </row>
    <row r="301" spans="1:6" x14ac:dyDescent="0.25">
      <c r="A301" s="405">
        <v>8390694719</v>
      </c>
      <c r="B301">
        <v>10001323</v>
      </c>
      <c r="C301" t="s">
        <v>1403</v>
      </c>
      <c r="D301" s="406">
        <v>224675</v>
      </c>
      <c r="E301" s="406">
        <v>323258.33333333331</v>
      </c>
      <c r="F301">
        <v>6</v>
      </c>
    </row>
    <row r="302" spans="1:6" x14ac:dyDescent="0.25">
      <c r="A302" s="405">
        <v>8390823888</v>
      </c>
      <c r="B302">
        <v>10001337</v>
      </c>
      <c r="C302" t="s">
        <v>2171</v>
      </c>
      <c r="D302" s="406">
        <v>317260</v>
      </c>
      <c r="E302" s="406">
        <v>317260</v>
      </c>
      <c r="F302">
        <v>6</v>
      </c>
    </row>
    <row r="303" spans="1:6" x14ac:dyDescent="0.25">
      <c r="A303" s="405">
        <v>8390832461</v>
      </c>
      <c r="B303">
        <v>10001756</v>
      </c>
      <c r="C303" t="s">
        <v>2172</v>
      </c>
      <c r="D303" s="406">
        <v>322066.66666666669</v>
      </c>
      <c r="E303" s="406">
        <v>322066.66666666669</v>
      </c>
      <c r="F303">
        <v>6</v>
      </c>
    </row>
    <row r="304" spans="1:6" x14ac:dyDescent="0.25">
      <c r="A304" s="405">
        <v>8391050157</v>
      </c>
      <c r="B304">
        <v>10001572</v>
      </c>
      <c r="C304" t="s">
        <v>1472</v>
      </c>
      <c r="D304" s="406">
        <v>471266.66666666669</v>
      </c>
      <c r="E304" s="406">
        <v>471266.66666666669</v>
      </c>
      <c r="F304">
        <v>6</v>
      </c>
    </row>
    <row r="305" spans="1:6" x14ac:dyDescent="0.25">
      <c r="A305" s="405">
        <v>8391122697</v>
      </c>
      <c r="B305">
        <v>10001175</v>
      </c>
      <c r="C305" t="s">
        <v>1370</v>
      </c>
      <c r="D305" s="406">
        <v>266633.33333333331</v>
      </c>
      <c r="E305" s="406">
        <v>355511.11111111107</v>
      </c>
      <c r="F305">
        <v>6</v>
      </c>
    </row>
    <row r="306" spans="1:6" x14ac:dyDescent="0.25">
      <c r="A306" s="405">
        <v>8391122948</v>
      </c>
      <c r="B306">
        <v>10000080</v>
      </c>
      <c r="C306" t="s">
        <v>2173</v>
      </c>
      <c r="D306" s="406">
        <v>672133.33333333337</v>
      </c>
      <c r="E306" s="406">
        <v>672133.33333333337</v>
      </c>
      <c r="F306">
        <v>6</v>
      </c>
    </row>
    <row r="307" spans="1:6" x14ac:dyDescent="0.25">
      <c r="A307" s="405">
        <v>8391703703</v>
      </c>
      <c r="B307">
        <v>10000441</v>
      </c>
      <c r="C307" t="s">
        <v>1081</v>
      </c>
      <c r="D307" s="406">
        <v>484533.33333333331</v>
      </c>
      <c r="E307" s="406">
        <v>484533.33333333331</v>
      </c>
      <c r="F307">
        <v>6</v>
      </c>
    </row>
    <row r="308" spans="1:6" x14ac:dyDescent="0.25">
      <c r="A308" s="405">
        <v>8391833836</v>
      </c>
      <c r="B308">
        <v>10001804</v>
      </c>
      <c r="C308" t="s">
        <v>1622</v>
      </c>
      <c r="D308" s="406">
        <v>317433.33333333331</v>
      </c>
      <c r="E308" s="406">
        <v>317433.33333333331</v>
      </c>
      <c r="F308">
        <v>6</v>
      </c>
    </row>
    <row r="309" spans="1:6" x14ac:dyDescent="0.25">
      <c r="A309" s="405">
        <v>8391860450</v>
      </c>
      <c r="B309">
        <v>10000593</v>
      </c>
      <c r="C309" t="s">
        <v>2174</v>
      </c>
      <c r="D309" s="406">
        <v>302533.33333333331</v>
      </c>
      <c r="E309" s="406">
        <v>302533.33333333331</v>
      </c>
      <c r="F309">
        <v>6</v>
      </c>
    </row>
    <row r="310" spans="1:6" x14ac:dyDescent="0.25">
      <c r="A310" s="405">
        <v>8392061268</v>
      </c>
      <c r="B310">
        <v>10001861</v>
      </c>
      <c r="C310" t="s">
        <v>2175</v>
      </c>
      <c r="D310" s="406">
        <v>124600</v>
      </c>
      <c r="E310" s="406">
        <v>249200</v>
      </c>
      <c r="F310">
        <v>6</v>
      </c>
    </row>
    <row r="311" spans="1:6" x14ac:dyDescent="0.25">
      <c r="A311" s="405">
        <v>8392221095</v>
      </c>
      <c r="B311">
        <v>10001685</v>
      </c>
      <c r="C311" t="s">
        <v>2176</v>
      </c>
      <c r="D311" s="406">
        <v>361733.33333333331</v>
      </c>
      <c r="E311" s="406">
        <v>361733.33333333331</v>
      </c>
      <c r="F311">
        <v>6</v>
      </c>
    </row>
    <row r="312" spans="1:6" x14ac:dyDescent="0.25">
      <c r="A312" s="405">
        <v>8392423828</v>
      </c>
      <c r="B312">
        <v>10000002</v>
      </c>
      <c r="C312" t="s">
        <v>2177</v>
      </c>
      <c r="D312" s="406">
        <v>672133.33333333337</v>
      </c>
      <c r="E312" s="406">
        <v>672133.33333333337</v>
      </c>
      <c r="F312">
        <v>6</v>
      </c>
    </row>
    <row r="313" spans="1:6" x14ac:dyDescent="0.25">
      <c r="A313" s="405">
        <v>8392431405</v>
      </c>
      <c r="B313">
        <v>10001846</v>
      </c>
      <c r="C313" t="s">
        <v>2178</v>
      </c>
      <c r="D313" s="406">
        <v>935000</v>
      </c>
      <c r="E313" s="406">
        <v>1246666.6666666667</v>
      </c>
      <c r="F313">
        <v>6</v>
      </c>
    </row>
    <row r="314" spans="1:6" x14ac:dyDescent="0.25">
      <c r="A314" s="405">
        <v>8392460766</v>
      </c>
      <c r="B314">
        <v>10001922</v>
      </c>
      <c r="C314" t="s">
        <v>1675</v>
      </c>
      <c r="D314" s="406">
        <v>330000</v>
      </c>
      <c r="E314" s="406">
        <v>330000</v>
      </c>
      <c r="F314">
        <v>6</v>
      </c>
    </row>
    <row r="315" spans="1:6" x14ac:dyDescent="0.25">
      <c r="A315" s="405">
        <v>8392552407</v>
      </c>
      <c r="B315">
        <v>10000131</v>
      </c>
      <c r="C315" t="s">
        <v>2179</v>
      </c>
      <c r="D315" s="406">
        <v>561000</v>
      </c>
      <c r="E315" s="406">
        <v>561000</v>
      </c>
      <c r="F315">
        <v>6</v>
      </c>
    </row>
    <row r="316" spans="1:6" x14ac:dyDescent="0.25">
      <c r="A316" s="405">
        <v>8392843355</v>
      </c>
      <c r="B316">
        <v>10000917</v>
      </c>
      <c r="C316" t="s">
        <v>1281</v>
      </c>
      <c r="D316" s="406">
        <v>341000</v>
      </c>
      <c r="E316" s="406">
        <v>341000</v>
      </c>
      <c r="F316">
        <v>6</v>
      </c>
    </row>
    <row r="317" spans="1:6" x14ac:dyDescent="0.25">
      <c r="A317" s="405">
        <v>8392893409</v>
      </c>
      <c r="B317">
        <v>10000523</v>
      </c>
      <c r="C317" t="s">
        <v>2180</v>
      </c>
      <c r="D317" s="406">
        <v>358500</v>
      </c>
      <c r="E317" s="406">
        <v>358500</v>
      </c>
      <c r="F317">
        <v>6</v>
      </c>
    </row>
    <row r="318" spans="1:6" x14ac:dyDescent="0.25">
      <c r="A318" s="405">
        <v>8393080924</v>
      </c>
      <c r="B318">
        <v>10000744</v>
      </c>
      <c r="C318" t="s">
        <v>1222</v>
      </c>
      <c r="D318" s="406">
        <v>295266.66666666669</v>
      </c>
      <c r="E318" s="406">
        <v>295266.66666666669</v>
      </c>
      <c r="F318">
        <v>6</v>
      </c>
    </row>
    <row r="319" spans="1:6" x14ac:dyDescent="0.25">
      <c r="A319" s="405">
        <v>8393082064</v>
      </c>
      <c r="B319">
        <v>10000064</v>
      </c>
      <c r="C319" t="s">
        <v>2181</v>
      </c>
      <c r="D319" s="406">
        <v>1034000</v>
      </c>
      <c r="E319" s="406">
        <v>1034000</v>
      </c>
      <c r="F319">
        <v>6</v>
      </c>
    </row>
    <row r="320" spans="1:6" x14ac:dyDescent="0.25">
      <c r="A320" s="405">
        <v>8393305691</v>
      </c>
      <c r="B320">
        <v>10000168</v>
      </c>
      <c r="C320" t="s">
        <v>904</v>
      </c>
      <c r="D320" s="406">
        <v>994335.5</v>
      </c>
      <c r="E320" s="406">
        <v>994335.5</v>
      </c>
      <c r="F320">
        <v>6</v>
      </c>
    </row>
    <row r="321" spans="1:6" x14ac:dyDescent="0.25">
      <c r="A321" s="405">
        <v>8393375789</v>
      </c>
      <c r="B321">
        <v>10000178</v>
      </c>
      <c r="C321" t="s">
        <v>911</v>
      </c>
      <c r="D321" s="406">
        <v>304933.33333333331</v>
      </c>
      <c r="E321" s="406">
        <v>304933.33333333331</v>
      </c>
      <c r="F321">
        <v>6</v>
      </c>
    </row>
    <row r="322" spans="1:6" x14ac:dyDescent="0.25">
      <c r="A322" s="405">
        <v>8393403200</v>
      </c>
      <c r="B322">
        <v>10000407</v>
      </c>
      <c r="C322" t="s">
        <v>1048</v>
      </c>
      <c r="D322" s="406">
        <v>405266.66666666669</v>
      </c>
      <c r="E322" s="406">
        <v>405266.66666666669</v>
      </c>
      <c r="F322">
        <v>6</v>
      </c>
    </row>
    <row r="323" spans="1:6" x14ac:dyDescent="0.25">
      <c r="A323" s="405">
        <v>8393461960</v>
      </c>
      <c r="B323">
        <v>10001585</v>
      </c>
      <c r="C323" t="s">
        <v>1479</v>
      </c>
      <c r="D323" s="406">
        <v>512500</v>
      </c>
      <c r="E323" s="406">
        <v>1025000</v>
      </c>
      <c r="F323">
        <v>6</v>
      </c>
    </row>
    <row r="324" spans="1:6" x14ac:dyDescent="0.25">
      <c r="A324" s="405">
        <v>8393701074</v>
      </c>
      <c r="B324">
        <v>10000819</v>
      </c>
      <c r="C324" t="s">
        <v>1251</v>
      </c>
      <c r="D324" s="406">
        <v>449000</v>
      </c>
      <c r="E324" s="406">
        <v>449000</v>
      </c>
      <c r="F324">
        <v>6</v>
      </c>
    </row>
    <row r="325" spans="1:6" x14ac:dyDescent="0.25">
      <c r="A325" s="405">
        <v>8393730538</v>
      </c>
      <c r="B325">
        <v>10000327</v>
      </c>
      <c r="C325" t="s">
        <v>1002</v>
      </c>
      <c r="D325" s="406">
        <v>395956.66666666669</v>
      </c>
      <c r="E325" s="406">
        <v>395956.66666666669</v>
      </c>
      <c r="F325">
        <v>6</v>
      </c>
    </row>
    <row r="326" spans="1:6" x14ac:dyDescent="0.25">
      <c r="A326" s="405">
        <v>8393854040</v>
      </c>
      <c r="B326">
        <v>10000751</v>
      </c>
      <c r="C326" t="s">
        <v>1225</v>
      </c>
      <c r="D326" s="406">
        <v>422966.66666666669</v>
      </c>
      <c r="E326" s="406">
        <v>422966.66666666669</v>
      </c>
      <c r="F326">
        <v>6</v>
      </c>
    </row>
    <row r="327" spans="1:6" x14ac:dyDescent="0.25">
      <c r="A327" s="405">
        <v>8394092071</v>
      </c>
      <c r="B327">
        <v>10001017</v>
      </c>
      <c r="C327" t="s">
        <v>1314</v>
      </c>
      <c r="D327" s="406">
        <v>418000</v>
      </c>
      <c r="E327" s="406">
        <v>418000</v>
      </c>
      <c r="F327">
        <v>6</v>
      </c>
    </row>
    <row r="328" spans="1:6" x14ac:dyDescent="0.25">
      <c r="A328" s="405">
        <v>8394663109</v>
      </c>
      <c r="B328">
        <v>10001637</v>
      </c>
      <c r="C328" t="s">
        <v>1494</v>
      </c>
      <c r="D328" s="406">
        <v>317266.66666666669</v>
      </c>
      <c r="E328" s="406">
        <v>317266.66666666669</v>
      </c>
      <c r="F328">
        <v>6</v>
      </c>
    </row>
    <row r="329" spans="1:6" x14ac:dyDescent="0.25">
      <c r="A329" s="405">
        <v>8394864074</v>
      </c>
      <c r="B329">
        <v>10000503</v>
      </c>
      <c r="C329" t="s">
        <v>1110</v>
      </c>
      <c r="D329" s="406">
        <v>330000</v>
      </c>
      <c r="E329" s="406">
        <v>330000</v>
      </c>
      <c r="F329">
        <v>6</v>
      </c>
    </row>
    <row r="330" spans="1:6" x14ac:dyDescent="0.25">
      <c r="A330" s="405">
        <v>8395304986</v>
      </c>
      <c r="B330">
        <v>10000143</v>
      </c>
      <c r="C330" t="s">
        <v>2182</v>
      </c>
      <c r="D330" s="406">
        <v>465300</v>
      </c>
      <c r="E330" s="406">
        <v>465300</v>
      </c>
      <c r="F330">
        <v>6</v>
      </c>
    </row>
    <row r="331" spans="1:6" x14ac:dyDescent="0.25">
      <c r="A331" s="405">
        <v>8395305044</v>
      </c>
      <c r="B331">
        <v>10000906</v>
      </c>
      <c r="C331" t="s">
        <v>2183</v>
      </c>
      <c r="D331" s="406">
        <v>660000</v>
      </c>
      <c r="E331" s="406">
        <v>660000</v>
      </c>
      <c r="F331">
        <v>6</v>
      </c>
    </row>
    <row r="332" spans="1:6" x14ac:dyDescent="0.25">
      <c r="A332" s="405">
        <v>8395384386</v>
      </c>
      <c r="B332">
        <v>10000241</v>
      </c>
      <c r="C332" t="s">
        <v>951</v>
      </c>
      <c r="D332" s="406">
        <v>849833.33333333337</v>
      </c>
      <c r="E332" s="406">
        <v>849833.33333333337</v>
      </c>
      <c r="F332">
        <v>6</v>
      </c>
    </row>
    <row r="333" spans="1:6" x14ac:dyDescent="0.25">
      <c r="A333" s="405">
        <v>8395470916</v>
      </c>
      <c r="B333">
        <v>10000237</v>
      </c>
      <c r="C333" t="s">
        <v>2184</v>
      </c>
      <c r="D333" s="406">
        <v>362066.66666666669</v>
      </c>
      <c r="E333" s="406">
        <v>362066.66666666669</v>
      </c>
      <c r="F333">
        <v>6</v>
      </c>
    </row>
    <row r="334" spans="1:6" x14ac:dyDescent="0.25">
      <c r="A334" s="405">
        <v>8395674600</v>
      </c>
      <c r="B334">
        <v>10000550</v>
      </c>
      <c r="C334" t="s">
        <v>2185</v>
      </c>
      <c r="D334" s="406">
        <v>314236.66666666669</v>
      </c>
      <c r="E334" s="406">
        <v>314236.66666666669</v>
      </c>
      <c r="F334">
        <v>6</v>
      </c>
    </row>
    <row r="335" spans="1:6" x14ac:dyDescent="0.25">
      <c r="A335" s="405">
        <v>8395723636</v>
      </c>
      <c r="B335">
        <v>10001924</v>
      </c>
      <c r="C335" t="s">
        <v>1677</v>
      </c>
      <c r="D335" s="406">
        <v>334666.66666666669</v>
      </c>
      <c r="E335" s="406">
        <v>394200</v>
      </c>
      <c r="F335">
        <v>6</v>
      </c>
    </row>
    <row r="336" spans="1:6" x14ac:dyDescent="0.25">
      <c r="A336" s="405">
        <v>8395913354</v>
      </c>
      <c r="B336">
        <v>10000176</v>
      </c>
      <c r="C336" t="s">
        <v>2186</v>
      </c>
      <c r="D336" s="406">
        <v>1430000</v>
      </c>
      <c r="E336" s="406">
        <v>1430000</v>
      </c>
      <c r="F336">
        <v>6</v>
      </c>
    </row>
    <row r="337" spans="1:6" x14ac:dyDescent="0.25">
      <c r="A337" s="405">
        <v>8396223912</v>
      </c>
      <c r="B337">
        <v>10000732</v>
      </c>
      <c r="C337" t="s">
        <v>1215</v>
      </c>
      <c r="D337" s="406">
        <v>593333.33333333337</v>
      </c>
      <c r="E337" s="406">
        <v>593333.33333333337</v>
      </c>
      <c r="F337">
        <v>6</v>
      </c>
    </row>
    <row r="338" spans="1:6" x14ac:dyDescent="0.25">
      <c r="A338" s="405">
        <v>8396281300</v>
      </c>
      <c r="B338">
        <v>10000677</v>
      </c>
      <c r="C338" t="s">
        <v>1200</v>
      </c>
      <c r="D338" s="406">
        <v>297000</v>
      </c>
      <c r="E338" s="406">
        <v>297000</v>
      </c>
      <c r="F338">
        <v>6</v>
      </c>
    </row>
    <row r="339" spans="1:6" x14ac:dyDescent="0.25">
      <c r="A339" s="405">
        <v>8396360162</v>
      </c>
      <c r="B339">
        <v>10001136</v>
      </c>
      <c r="C339" t="s">
        <v>2187</v>
      </c>
      <c r="D339" s="406">
        <v>330000</v>
      </c>
      <c r="E339" s="406">
        <v>330000</v>
      </c>
      <c r="F339">
        <v>6</v>
      </c>
    </row>
    <row r="340" spans="1:6" x14ac:dyDescent="0.25">
      <c r="A340" s="405">
        <v>8396416036</v>
      </c>
      <c r="B340">
        <v>10000784</v>
      </c>
      <c r="C340" t="s">
        <v>2188</v>
      </c>
      <c r="D340" s="406">
        <v>317260</v>
      </c>
      <c r="E340" s="406">
        <v>317260</v>
      </c>
      <c r="F340">
        <v>6</v>
      </c>
    </row>
    <row r="341" spans="1:6" x14ac:dyDescent="0.25">
      <c r="A341" s="405">
        <v>8396515204</v>
      </c>
      <c r="B341">
        <v>10000409</v>
      </c>
      <c r="C341" t="s">
        <v>2189</v>
      </c>
      <c r="D341" s="406">
        <v>457133.33333333331</v>
      </c>
      <c r="E341" s="406">
        <v>457133.33333333331</v>
      </c>
      <c r="F341">
        <v>6</v>
      </c>
    </row>
    <row r="342" spans="1:6" x14ac:dyDescent="0.25">
      <c r="A342" s="405">
        <v>8396574812</v>
      </c>
      <c r="B342">
        <v>10001074</v>
      </c>
      <c r="C342" t="s">
        <v>1336</v>
      </c>
      <c r="D342" s="406">
        <v>591900</v>
      </c>
      <c r="E342" s="406">
        <v>591900</v>
      </c>
      <c r="F342">
        <v>6</v>
      </c>
    </row>
    <row r="343" spans="1:6" x14ac:dyDescent="0.25">
      <c r="A343" s="405">
        <v>8396595097</v>
      </c>
      <c r="B343">
        <v>10000627</v>
      </c>
      <c r="C343" t="s">
        <v>1180</v>
      </c>
      <c r="D343" s="406">
        <v>418850</v>
      </c>
      <c r="E343" s="406">
        <v>418850</v>
      </c>
      <c r="F343">
        <v>6</v>
      </c>
    </row>
    <row r="344" spans="1:6" x14ac:dyDescent="0.25">
      <c r="A344" s="405">
        <v>8396600406</v>
      </c>
      <c r="B344">
        <v>10000286</v>
      </c>
      <c r="C344" t="s">
        <v>978</v>
      </c>
      <c r="D344" s="406">
        <v>426900</v>
      </c>
      <c r="E344" s="406">
        <v>426900</v>
      </c>
      <c r="F344">
        <v>6</v>
      </c>
    </row>
    <row r="345" spans="1:6" x14ac:dyDescent="0.25">
      <c r="A345" s="405">
        <v>8396640327</v>
      </c>
      <c r="B345">
        <v>10001396</v>
      </c>
      <c r="C345" t="s">
        <v>1419</v>
      </c>
      <c r="D345" s="406">
        <v>426900</v>
      </c>
      <c r="E345" s="406">
        <v>426900</v>
      </c>
      <c r="F345">
        <v>6</v>
      </c>
    </row>
    <row r="346" spans="1:6" x14ac:dyDescent="0.25">
      <c r="A346" s="405">
        <v>8396640823</v>
      </c>
      <c r="B346">
        <v>10000056</v>
      </c>
      <c r="C346" t="s">
        <v>2190</v>
      </c>
      <c r="D346" s="406">
        <v>1184064.3333333333</v>
      </c>
      <c r="E346" s="406">
        <v>1184064.3333333333</v>
      </c>
      <c r="F346">
        <v>6</v>
      </c>
    </row>
    <row r="347" spans="1:6" x14ac:dyDescent="0.25">
      <c r="A347" s="405">
        <v>8396661065</v>
      </c>
      <c r="B347">
        <v>10000346</v>
      </c>
      <c r="C347" t="s">
        <v>2191</v>
      </c>
      <c r="D347" s="406">
        <v>594833.33333333337</v>
      </c>
      <c r="E347" s="406">
        <v>594833.33333333337</v>
      </c>
      <c r="F347">
        <v>6</v>
      </c>
    </row>
    <row r="348" spans="1:6" x14ac:dyDescent="0.25">
      <c r="A348" s="405">
        <v>8396663947</v>
      </c>
      <c r="B348">
        <v>10001763</v>
      </c>
      <c r="C348" t="s">
        <v>2192</v>
      </c>
      <c r="D348" s="406">
        <v>387533.33333333331</v>
      </c>
      <c r="E348" s="406">
        <v>387533.33333333331</v>
      </c>
      <c r="F348">
        <v>6</v>
      </c>
    </row>
    <row r="349" spans="1:6" x14ac:dyDescent="0.25">
      <c r="A349" s="405">
        <v>8397073647</v>
      </c>
      <c r="B349">
        <v>10002037</v>
      </c>
      <c r="C349" t="s">
        <v>1761</v>
      </c>
      <c r="D349" s="406">
        <v>340000</v>
      </c>
      <c r="E349" s="406">
        <v>340000</v>
      </c>
      <c r="F349">
        <v>2</v>
      </c>
    </row>
    <row r="350" spans="1:6" x14ac:dyDescent="0.25">
      <c r="A350" s="405">
        <v>8397243569</v>
      </c>
      <c r="B350">
        <v>10000464</v>
      </c>
      <c r="C350" t="s">
        <v>2193</v>
      </c>
      <c r="D350" s="406">
        <v>606200</v>
      </c>
      <c r="E350" s="406">
        <v>606200</v>
      </c>
      <c r="F350">
        <v>6</v>
      </c>
    </row>
    <row r="351" spans="1:6" x14ac:dyDescent="0.25">
      <c r="A351" s="405">
        <v>8397324542</v>
      </c>
      <c r="B351">
        <v>10000797</v>
      </c>
      <c r="C351" t="s">
        <v>2194</v>
      </c>
      <c r="D351" s="406">
        <v>956000</v>
      </c>
      <c r="E351" s="406">
        <v>956000</v>
      </c>
      <c r="F351">
        <v>6</v>
      </c>
    </row>
    <row r="352" spans="1:6" x14ac:dyDescent="0.25">
      <c r="A352" s="405">
        <v>8397461884</v>
      </c>
      <c r="B352">
        <v>10000719</v>
      </c>
      <c r="C352" t="s">
        <v>1208</v>
      </c>
      <c r="D352" s="406">
        <v>693348.33333333337</v>
      </c>
      <c r="E352" s="406">
        <v>693348.33333333337</v>
      </c>
      <c r="F352">
        <v>6</v>
      </c>
    </row>
    <row r="353" spans="1:6" x14ac:dyDescent="0.25">
      <c r="A353" s="405">
        <v>8397553649</v>
      </c>
      <c r="B353">
        <v>10000316</v>
      </c>
      <c r="C353" t="s">
        <v>2195</v>
      </c>
      <c r="D353" s="406">
        <v>426900</v>
      </c>
      <c r="E353" s="406">
        <v>426900</v>
      </c>
      <c r="F353">
        <v>6</v>
      </c>
    </row>
    <row r="354" spans="1:6" x14ac:dyDescent="0.25">
      <c r="A354" s="405">
        <v>8397652094</v>
      </c>
      <c r="B354">
        <v>10000057</v>
      </c>
      <c r="C354" t="s">
        <v>817</v>
      </c>
      <c r="D354" s="406">
        <v>707400</v>
      </c>
      <c r="E354" s="406">
        <v>707400</v>
      </c>
      <c r="F354">
        <v>6</v>
      </c>
    </row>
    <row r="355" spans="1:6" x14ac:dyDescent="0.25">
      <c r="A355" s="405">
        <v>8397883924</v>
      </c>
      <c r="B355">
        <v>10001835</v>
      </c>
      <c r="C355" t="s">
        <v>1638</v>
      </c>
      <c r="D355" s="406">
        <v>388000</v>
      </c>
      <c r="E355" s="406">
        <v>388000</v>
      </c>
      <c r="F355">
        <v>6</v>
      </c>
    </row>
    <row r="356" spans="1:6" x14ac:dyDescent="0.25">
      <c r="A356" s="405">
        <v>8397945369</v>
      </c>
      <c r="B356">
        <v>10000840</v>
      </c>
      <c r="C356" t="s">
        <v>2196</v>
      </c>
      <c r="D356" s="406">
        <v>314033.33333333331</v>
      </c>
      <c r="E356" s="406">
        <v>314033.33333333331</v>
      </c>
      <c r="F356">
        <v>6</v>
      </c>
    </row>
    <row r="357" spans="1:6" x14ac:dyDescent="0.25">
      <c r="A357" s="405">
        <v>8398334916</v>
      </c>
      <c r="B357">
        <v>10001642</v>
      </c>
      <c r="C357" t="s">
        <v>2197</v>
      </c>
      <c r="D357" s="406">
        <v>370666.66666666669</v>
      </c>
      <c r="E357" s="406">
        <v>370666.66666666669</v>
      </c>
      <c r="F357">
        <v>6</v>
      </c>
    </row>
    <row r="358" spans="1:6" x14ac:dyDescent="0.25">
      <c r="A358" s="405">
        <v>8398384042</v>
      </c>
      <c r="B358">
        <v>10000432</v>
      </c>
      <c r="C358" t="s">
        <v>1073</v>
      </c>
      <c r="D358" s="406">
        <v>408000</v>
      </c>
      <c r="E358" s="406">
        <v>408000</v>
      </c>
      <c r="F358">
        <v>6</v>
      </c>
    </row>
    <row r="359" spans="1:6" x14ac:dyDescent="0.25">
      <c r="A359" s="405">
        <v>8398461780</v>
      </c>
      <c r="B359">
        <v>10000608</v>
      </c>
      <c r="C359" t="s">
        <v>2198</v>
      </c>
      <c r="D359" s="406">
        <v>411966.66666666669</v>
      </c>
      <c r="E359" s="406">
        <v>411966.66666666669</v>
      </c>
      <c r="F359">
        <v>6</v>
      </c>
    </row>
    <row r="360" spans="1:6" x14ac:dyDescent="0.25">
      <c r="A360" s="405">
        <v>8398613750</v>
      </c>
      <c r="B360">
        <v>10000660</v>
      </c>
      <c r="C360" t="s">
        <v>1192</v>
      </c>
      <c r="D360" s="406">
        <v>346533.33333333331</v>
      </c>
      <c r="E360" s="406">
        <v>346533.33333333331</v>
      </c>
      <c r="F360">
        <v>6</v>
      </c>
    </row>
    <row r="361" spans="1:6" x14ac:dyDescent="0.25">
      <c r="A361" s="405">
        <v>8398703792</v>
      </c>
      <c r="B361">
        <v>10000079</v>
      </c>
      <c r="C361" t="s">
        <v>835</v>
      </c>
      <c r="D361" s="406">
        <v>1435066.6666666667</v>
      </c>
      <c r="E361" s="406">
        <v>1435066.6666666667</v>
      </c>
      <c r="F361">
        <v>6</v>
      </c>
    </row>
    <row r="362" spans="1:6" x14ac:dyDescent="0.25">
      <c r="A362" s="405">
        <v>8399020796</v>
      </c>
      <c r="B362">
        <v>10000989</v>
      </c>
      <c r="C362" t="s">
        <v>1306</v>
      </c>
      <c r="D362" s="406">
        <v>880000</v>
      </c>
      <c r="E362" s="406">
        <v>880000</v>
      </c>
      <c r="F362">
        <v>6</v>
      </c>
    </row>
    <row r="363" spans="1:6" x14ac:dyDescent="0.25">
      <c r="A363" s="405">
        <v>8399050482</v>
      </c>
      <c r="B363">
        <v>10000437</v>
      </c>
      <c r="C363" t="s">
        <v>2199</v>
      </c>
      <c r="D363" s="406">
        <v>363000</v>
      </c>
      <c r="E363" s="406">
        <v>363000</v>
      </c>
      <c r="F363">
        <v>6</v>
      </c>
    </row>
    <row r="364" spans="1:6" x14ac:dyDescent="0.25">
      <c r="A364" s="405">
        <v>8399231932</v>
      </c>
      <c r="B364">
        <v>10000747</v>
      </c>
      <c r="C364" t="s">
        <v>2200</v>
      </c>
      <c r="D364" s="406">
        <v>429000</v>
      </c>
      <c r="E364" s="406">
        <v>429000</v>
      </c>
      <c r="F364">
        <v>6</v>
      </c>
    </row>
    <row r="365" spans="1:6" x14ac:dyDescent="0.25">
      <c r="A365" s="405">
        <v>8399494542</v>
      </c>
      <c r="B365">
        <v>10001928</v>
      </c>
      <c r="C365" t="s">
        <v>1678</v>
      </c>
      <c r="D365" s="406">
        <v>330000</v>
      </c>
      <c r="E365" s="406">
        <v>330000</v>
      </c>
      <c r="F365">
        <v>6</v>
      </c>
    </row>
    <row r="366" spans="1:6" x14ac:dyDescent="0.25">
      <c r="A366" s="405">
        <v>8399572616</v>
      </c>
      <c r="B366">
        <v>10001686</v>
      </c>
      <c r="C366" t="s">
        <v>1518</v>
      </c>
      <c r="D366" s="406">
        <v>165000</v>
      </c>
      <c r="E366" s="406">
        <v>330000</v>
      </c>
      <c r="F366">
        <v>6</v>
      </c>
    </row>
    <row r="367" spans="1:6" x14ac:dyDescent="0.25">
      <c r="A367" s="405">
        <v>8399633682</v>
      </c>
      <c r="B367">
        <v>10000027</v>
      </c>
      <c r="C367" t="s">
        <v>2201</v>
      </c>
      <c r="D367" s="406">
        <v>1026616.6666666666</v>
      </c>
      <c r="E367" s="406">
        <v>1026616.6666666666</v>
      </c>
      <c r="F367">
        <v>6</v>
      </c>
    </row>
    <row r="368" spans="1:6" x14ac:dyDescent="0.25">
      <c r="A368" s="405">
        <v>8399734772</v>
      </c>
      <c r="B368">
        <v>10001633</v>
      </c>
      <c r="C368" t="s">
        <v>2202</v>
      </c>
      <c r="D368" s="406">
        <v>250000</v>
      </c>
      <c r="E368" s="406">
        <v>500000</v>
      </c>
      <c r="F368">
        <v>2</v>
      </c>
    </row>
    <row r="369" spans="1:6" x14ac:dyDescent="0.25">
      <c r="A369" s="405">
        <v>8399753726</v>
      </c>
      <c r="B369">
        <v>10000078</v>
      </c>
      <c r="C369" t="s">
        <v>832</v>
      </c>
      <c r="D369" s="406">
        <v>789333.33333333337</v>
      </c>
      <c r="E369" s="406">
        <v>789333.33333333337</v>
      </c>
      <c r="F369">
        <v>6</v>
      </c>
    </row>
    <row r="370" spans="1:6" x14ac:dyDescent="0.25">
      <c r="A370" s="405">
        <v>8399760935</v>
      </c>
      <c r="B370">
        <v>10000214</v>
      </c>
      <c r="C370" t="s">
        <v>2203</v>
      </c>
      <c r="D370" s="406">
        <v>698233.33333333337</v>
      </c>
      <c r="E370" s="406">
        <v>698233.33333333337</v>
      </c>
      <c r="F370">
        <v>6</v>
      </c>
    </row>
    <row r="371" spans="1:6" x14ac:dyDescent="0.25">
      <c r="A371" s="405">
        <v>8399783617</v>
      </c>
      <c r="B371">
        <v>10000081</v>
      </c>
      <c r="C371" t="s">
        <v>837</v>
      </c>
      <c r="D371" s="406">
        <v>427400</v>
      </c>
      <c r="E371" s="406">
        <v>427400</v>
      </c>
      <c r="F371">
        <v>6</v>
      </c>
    </row>
    <row r="372" spans="1:6" x14ac:dyDescent="0.25">
      <c r="A372" s="405">
        <v>8399790605</v>
      </c>
      <c r="B372">
        <v>10001327</v>
      </c>
      <c r="C372" t="s">
        <v>1405</v>
      </c>
      <c r="D372" s="406">
        <v>564433.33333333337</v>
      </c>
      <c r="E372" s="406">
        <v>564433.33333333337</v>
      </c>
      <c r="F372">
        <v>6</v>
      </c>
    </row>
    <row r="373" spans="1:6" x14ac:dyDescent="0.25">
      <c r="A373" s="405">
        <v>8400004086</v>
      </c>
      <c r="B373">
        <v>10000509</v>
      </c>
      <c r="C373" t="s">
        <v>1115</v>
      </c>
      <c r="D373" s="406">
        <v>935000</v>
      </c>
      <c r="E373" s="406">
        <v>935000</v>
      </c>
      <c r="F373">
        <v>6</v>
      </c>
    </row>
    <row r="374" spans="1:6" x14ac:dyDescent="0.25">
      <c r="A374" s="405">
        <v>8400125053</v>
      </c>
      <c r="B374">
        <v>10001829</v>
      </c>
      <c r="C374" t="s">
        <v>1635</v>
      </c>
      <c r="D374" s="406">
        <v>304933.33333333331</v>
      </c>
      <c r="E374" s="406">
        <v>304933.33333333331</v>
      </c>
      <c r="F374">
        <v>6</v>
      </c>
    </row>
    <row r="375" spans="1:6" x14ac:dyDescent="0.25">
      <c r="A375" s="405">
        <v>8400143507</v>
      </c>
      <c r="B375">
        <v>10001976</v>
      </c>
      <c r="C375" t="s">
        <v>1702</v>
      </c>
      <c r="D375" s="406">
        <v>302400</v>
      </c>
      <c r="E375" s="406">
        <v>604800</v>
      </c>
      <c r="F375">
        <v>5</v>
      </c>
    </row>
    <row r="376" spans="1:6" x14ac:dyDescent="0.25">
      <c r="A376" s="405">
        <v>8400144694</v>
      </c>
      <c r="B376">
        <v>10000240</v>
      </c>
      <c r="C376" t="s">
        <v>950</v>
      </c>
      <c r="D376" s="406">
        <v>338200</v>
      </c>
      <c r="E376" s="406">
        <v>365920</v>
      </c>
      <c r="F376">
        <v>5</v>
      </c>
    </row>
    <row r="377" spans="1:6" x14ac:dyDescent="0.25">
      <c r="A377" s="405">
        <v>8400442539</v>
      </c>
      <c r="B377">
        <v>10000160</v>
      </c>
      <c r="C377" t="s">
        <v>2204</v>
      </c>
      <c r="D377" s="406">
        <v>316630.83333333331</v>
      </c>
      <c r="E377" s="406">
        <v>422174.44444444444</v>
      </c>
      <c r="F377">
        <v>6</v>
      </c>
    </row>
    <row r="378" spans="1:6" x14ac:dyDescent="0.25">
      <c r="A378" s="405">
        <v>8400535464</v>
      </c>
      <c r="B378">
        <v>10000820</v>
      </c>
      <c r="C378" t="s">
        <v>1252</v>
      </c>
      <c r="D378" s="406">
        <v>594000</v>
      </c>
      <c r="E378" s="406">
        <v>594000</v>
      </c>
      <c r="F378">
        <v>6</v>
      </c>
    </row>
    <row r="379" spans="1:6" x14ac:dyDescent="0.25">
      <c r="A379" s="405">
        <v>8400583329</v>
      </c>
      <c r="B379">
        <v>10000723</v>
      </c>
      <c r="C379" t="s">
        <v>2205</v>
      </c>
      <c r="D379" s="406">
        <v>590000</v>
      </c>
      <c r="E379" s="406">
        <v>590000</v>
      </c>
      <c r="F379">
        <v>1</v>
      </c>
    </row>
    <row r="380" spans="1:6" x14ac:dyDescent="0.25">
      <c r="A380" s="405">
        <v>8400614186</v>
      </c>
      <c r="B380">
        <v>10002005</v>
      </c>
      <c r="C380" t="s">
        <v>1726</v>
      </c>
      <c r="D380" s="406">
        <v>282700</v>
      </c>
      <c r="E380" s="406">
        <v>282700</v>
      </c>
      <c r="F380">
        <v>4</v>
      </c>
    </row>
    <row r="381" spans="1:6" x14ac:dyDescent="0.25">
      <c r="A381" s="405">
        <v>8400900790</v>
      </c>
      <c r="B381">
        <v>10000110</v>
      </c>
      <c r="C381" t="s">
        <v>2206</v>
      </c>
      <c r="D381" s="406">
        <v>823433.33333333337</v>
      </c>
      <c r="E381" s="406">
        <v>823433.33333333337</v>
      </c>
      <c r="F381">
        <v>6</v>
      </c>
    </row>
    <row r="382" spans="1:6" x14ac:dyDescent="0.25">
      <c r="A382" s="405">
        <v>8401062608</v>
      </c>
      <c r="B382">
        <v>10000615</v>
      </c>
      <c r="C382" t="s">
        <v>1171</v>
      </c>
      <c r="D382" s="406">
        <v>495000</v>
      </c>
      <c r="E382" s="406">
        <v>495000</v>
      </c>
      <c r="F382">
        <v>6</v>
      </c>
    </row>
    <row r="383" spans="1:6" x14ac:dyDescent="0.25">
      <c r="A383" s="405">
        <v>8401243130</v>
      </c>
      <c r="B383">
        <v>10001634</v>
      </c>
      <c r="C383" t="s">
        <v>1493</v>
      </c>
      <c r="D383" s="406">
        <v>660000</v>
      </c>
      <c r="E383" s="406">
        <v>660000</v>
      </c>
      <c r="F383">
        <v>6</v>
      </c>
    </row>
    <row r="384" spans="1:6" x14ac:dyDescent="0.25">
      <c r="A384" s="405">
        <v>8401383412</v>
      </c>
      <c r="B384">
        <v>10001987</v>
      </c>
      <c r="C384" t="s">
        <v>2207</v>
      </c>
      <c r="D384" s="406">
        <v>616160</v>
      </c>
      <c r="E384" s="406">
        <v>616160</v>
      </c>
      <c r="F384">
        <v>5</v>
      </c>
    </row>
    <row r="385" spans="1:6" x14ac:dyDescent="0.25">
      <c r="A385" s="405">
        <v>8401584663</v>
      </c>
      <c r="B385">
        <v>10001250</v>
      </c>
      <c r="C385" t="s">
        <v>2208</v>
      </c>
      <c r="D385" s="406">
        <v>300000</v>
      </c>
      <c r="E385" s="406">
        <v>300000</v>
      </c>
      <c r="F385">
        <v>2</v>
      </c>
    </row>
    <row r="386" spans="1:6" x14ac:dyDescent="0.25">
      <c r="A386" s="405">
        <v>8401664799</v>
      </c>
      <c r="B386">
        <v>10002001</v>
      </c>
      <c r="C386" t="s">
        <v>1722</v>
      </c>
      <c r="D386" s="406">
        <v>450000</v>
      </c>
      <c r="E386" s="406">
        <v>450000</v>
      </c>
      <c r="F386">
        <v>4</v>
      </c>
    </row>
    <row r="387" spans="1:6" x14ac:dyDescent="0.25">
      <c r="A387" s="405">
        <v>8401773423</v>
      </c>
      <c r="B387">
        <v>10000643</v>
      </c>
      <c r="C387" t="s">
        <v>1189</v>
      </c>
      <c r="D387" s="406">
        <v>649666.66666666663</v>
      </c>
      <c r="E387" s="406">
        <v>649666.66666666663</v>
      </c>
      <c r="F387">
        <v>6</v>
      </c>
    </row>
    <row r="388" spans="1:6" x14ac:dyDescent="0.25">
      <c r="A388" s="405">
        <v>8401873142</v>
      </c>
      <c r="B388">
        <v>10000806</v>
      </c>
      <c r="C388" t="s">
        <v>1247</v>
      </c>
      <c r="D388" s="406">
        <v>333733.33333333331</v>
      </c>
      <c r="E388" s="406">
        <v>333733.33333333331</v>
      </c>
      <c r="F388">
        <v>6</v>
      </c>
    </row>
    <row r="389" spans="1:6" x14ac:dyDescent="0.25">
      <c r="A389" s="405">
        <v>8401883954</v>
      </c>
      <c r="B389">
        <v>10001607</v>
      </c>
      <c r="C389" t="s">
        <v>1482</v>
      </c>
      <c r="D389" s="406">
        <v>394266.66666666669</v>
      </c>
      <c r="E389" s="406">
        <v>394266.66666666669</v>
      </c>
      <c r="F389">
        <v>6</v>
      </c>
    </row>
    <row r="390" spans="1:6" x14ac:dyDescent="0.25">
      <c r="A390" s="405">
        <v>8401914213</v>
      </c>
      <c r="B390">
        <v>10001733</v>
      </c>
      <c r="C390" t="s">
        <v>2209</v>
      </c>
      <c r="D390" s="406">
        <v>384116.66666666669</v>
      </c>
      <c r="E390" s="406">
        <v>384116.66666666669</v>
      </c>
      <c r="F390">
        <v>6</v>
      </c>
    </row>
    <row r="391" spans="1:6" x14ac:dyDescent="0.25">
      <c r="A391" s="405">
        <v>8401954231</v>
      </c>
      <c r="B391">
        <v>10001896</v>
      </c>
      <c r="C391" t="s">
        <v>1660</v>
      </c>
      <c r="D391" s="406">
        <v>376400</v>
      </c>
      <c r="E391" s="406">
        <v>376400</v>
      </c>
      <c r="F391">
        <v>6</v>
      </c>
    </row>
    <row r="392" spans="1:6" x14ac:dyDescent="0.25">
      <c r="A392" s="405">
        <v>8401964733</v>
      </c>
      <c r="B392">
        <v>10000144</v>
      </c>
      <c r="C392" t="s">
        <v>894</v>
      </c>
      <c r="D392" s="406">
        <v>402433.33333333331</v>
      </c>
      <c r="E392" s="406">
        <v>402433.33333333331</v>
      </c>
      <c r="F392">
        <v>6</v>
      </c>
    </row>
    <row r="393" spans="1:6" x14ac:dyDescent="0.25">
      <c r="A393" s="405">
        <v>8402144543</v>
      </c>
      <c r="B393">
        <v>10000190</v>
      </c>
      <c r="C393" t="s">
        <v>920</v>
      </c>
      <c r="D393" s="406">
        <v>724566.66666666663</v>
      </c>
      <c r="E393" s="406">
        <v>724566.66666666663</v>
      </c>
      <c r="F393">
        <v>6</v>
      </c>
    </row>
    <row r="394" spans="1:6" x14ac:dyDescent="0.25">
      <c r="A394" s="405">
        <v>8402301541</v>
      </c>
      <c r="B394">
        <v>10000385</v>
      </c>
      <c r="C394" t="s">
        <v>2210</v>
      </c>
      <c r="D394" s="406">
        <v>267633.33333333331</v>
      </c>
      <c r="E394" s="406">
        <v>267633.33333333331</v>
      </c>
      <c r="F394">
        <v>6</v>
      </c>
    </row>
    <row r="395" spans="1:6" x14ac:dyDescent="0.25">
      <c r="A395" s="405">
        <v>8402810497</v>
      </c>
      <c r="B395">
        <v>10001734</v>
      </c>
      <c r="C395" t="s">
        <v>2211</v>
      </c>
      <c r="D395" s="406">
        <v>271100</v>
      </c>
      <c r="E395" s="406">
        <v>271100</v>
      </c>
      <c r="F395">
        <v>2</v>
      </c>
    </row>
    <row r="396" spans="1:6" x14ac:dyDescent="0.25">
      <c r="A396" s="405">
        <v>8403093829</v>
      </c>
      <c r="B396">
        <v>10000743</v>
      </c>
      <c r="C396" t="s">
        <v>1221</v>
      </c>
      <c r="D396" s="406">
        <v>638000</v>
      </c>
      <c r="E396" s="406">
        <v>638000</v>
      </c>
      <c r="F396">
        <v>6</v>
      </c>
    </row>
    <row r="397" spans="1:6" x14ac:dyDescent="0.25">
      <c r="A397" s="405">
        <v>8403181604</v>
      </c>
      <c r="B397">
        <v>10000226</v>
      </c>
      <c r="C397" t="s">
        <v>943</v>
      </c>
      <c r="D397" s="406">
        <v>518394</v>
      </c>
      <c r="E397" s="406">
        <v>518394</v>
      </c>
      <c r="F397">
        <v>6</v>
      </c>
    </row>
    <row r="398" spans="1:6" x14ac:dyDescent="0.25">
      <c r="A398" s="405">
        <v>8403195265</v>
      </c>
      <c r="B398">
        <v>10000136</v>
      </c>
      <c r="C398" t="s">
        <v>2212</v>
      </c>
      <c r="D398" s="406">
        <v>773433.33333333337</v>
      </c>
      <c r="E398" s="406">
        <v>773433.33333333337</v>
      </c>
      <c r="F398">
        <v>6</v>
      </c>
    </row>
    <row r="399" spans="1:6" x14ac:dyDescent="0.25">
      <c r="A399" s="405">
        <v>8403263651</v>
      </c>
      <c r="B399">
        <v>10000294</v>
      </c>
      <c r="C399" t="s">
        <v>2213</v>
      </c>
      <c r="D399" s="406">
        <v>442933.33333333331</v>
      </c>
      <c r="E399" s="406">
        <v>442933.33333333331</v>
      </c>
      <c r="F399">
        <v>6</v>
      </c>
    </row>
    <row r="400" spans="1:6" x14ac:dyDescent="0.25">
      <c r="A400" s="405">
        <v>8403482019</v>
      </c>
      <c r="B400">
        <v>10000410</v>
      </c>
      <c r="C400" t="s">
        <v>1056</v>
      </c>
      <c r="D400" s="406">
        <v>353133.33333333331</v>
      </c>
      <c r="E400" s="406">
        <v>353133.33333333331</v>
      </c>
      <c r="F400">
        <v>6</v>
      </c>
    </row>
    <row r="401" spans="1:6" x14ac:dyDescent="0.25">
      <c r="A401" s="405">
        <v>8403740913</v>
      </c>
      <c r="B401">
        <v>10000061</v>
      </c>
      <c r="C401" t="s">
        <v>2214</v>
      </c>
      <c r="D401" s="406">
        <v>743383.33333333337</v>
      </c>
      <c r="E401" s="406">
        <v>743383.33333333337</v>
      </c>
      <c r="F401">
        <v>6</v>
      </c>
    </row>
    <row r="402" spans="1:6" x14ac:dyDescent="0.25">
      <c r="A402" s="405">
        <v>8403762941</v>
      </c>
      <c r="B402">
        <v>10000221</v>
      </c>
      <c r="C402" t="s">
        <v>940</v>
      </c>
      <c r="D402" s="406">
        <v>1070200</v>
      </c>
      <c r="E402" s="406">
        <v>1070200</v>
      </c>
      <c r="F402">
        <v>6</v>
      </c>
    </row>
    <row r="403" spans="1:6" x14ac:dyDescent="0.25">
      <c r="A403" s="405">
        <v>8403794029</v>
      </c>
      <c r="B403">
        <v>10001560</v>
      </c>
      <c r="C403" t="s">
        <v>1468</v>
      </c>
      <c r="D403" s="406">
        <v>399064.33333333331</v>
      </c>
      <c r="E403" s="406">
        <v>399064.33333333331</v>
      </c>
      <c r="F403">
        <v>6</v>
      </c>
    </row>
    <row r="404" spans="1:6" x14ac:dyDescent="0.25">
      <c r="A404" s="405">
        <v>8403941870</v>
      </c>
      <c r="B404">
        <v>10001444</v>
      </c>
      <c r="C404" t="s">
        <v>2215</v>
      </c>
      <c r="D404" s="406">
        <v>317933.33333333331</v>
      </c>
      <c r="E404" s="406">
        <v>317933.33333333331</v>
      </c>
      <c r="F404">
        <v>6</v>
      </c>
    </row>
    <row r="405" spans="1:6" x14ac:dyDescent="0.25">
      <c r="A405" s="405">
        <v>8404111863</v>
      </c>
      <c r="B405">
        <v>10001578</v>
      </c>
      <c r="C405" t="s">
        <v>1477</v>
      </c>
      <c r="D405" s="406">
        <v>495000</v>
      </c>
      <c r="E405" s="406">
        <v>495000</v>
      </c>
      <c r="F405">
        <v>6</v>
      </c>
    </row>
    <row r="406" spans="1:6" x14ac:dyDescent="0.25">
      <c r="A406" s="405">
        <v>8404371083</v>
      </c>
      <c r="B406">
        <v>10000785</v>
      </c>
      <c r="C406" t="s">
        <v>1240</v>
      </c>
      <c r="D406" s="406">
        <v>350266.66666666669</v>
      </c>
      <c r="E406" s="406">
        <v>350266.66666666669</v>
      </c>
      <c r="F406">
        <v>6</v>
      </c>
    </row>
    <row r="407" spans="1:6" x14ac:dyDescent="0.25">
      <c r="A407" s="405">
        <v>8404405506</v>
      </c>
      <c r="B407">
        <v>10001144</v>
      </c>
      <c r="C407" t="s">
        <v>2216</v>
      </c>
      <c r="D407" s="406">
        <v>288300</v>
      </c>
      <c r="E407" s="406">
        <v>288300</v>
      </c>
      <c r="F407">
        <v>1</v>
      </c>
    </row>
    <row r="408" spans="1:6" x14ac:dyDescent="0.25">
      <c r="A408" s="405">
        <v>8404433356</v>
      </c>
      <c r="B408">
        <v>10001385</v>
      </c>
      <c r="C408" t="s">
        <v>2217</v>
      </c>
      <c r="D408" s="406">
        <v>440000</v>
      </c>
      <c r="E408" s="406">
        <v>440000</v>
      </c>
      <c r="F408">
        <v>6</v>
      </c>
    </row>
    <row r="409" spans="1:6" x14ac:dyDescent="0.25">
      <c r="A409" s="405">
        <v>8404621748</v>
      </c>
      <c r="B409">
        <v>10000152</v>
      </c>
      <c r="C409" t="s">
        <v>897</v>
      </c>
      <c r="D409" s="406">
        <v>804100</v>
      </c>
      <c r="E409" s="406">
        <v>1072133.3333333333</v>
      </c>
      <c r="F409">
        <v>6</v>
      </c>
    </row>
    <row r="410" spans="1:6" x14ac:dyDescent="0.25">
      <c r="A410" s="405">
        <v>8404622922</v>
      </c>
      <c r="B410">
        <v>10000495</v>
      </c>
      <c r="C410" t="s">
        <v>1102</v>
      </c>
      <c r="D410" s="406">
        <v>451000</v>
      </c>
      <c r="E410" s="406">
        <v>451000</v>
      </c>
      <c r="F410">
        <v>6</v>
      </c>
    </row>
    <row r="411" spans="1:6" x14ac:dyDescent="0.25">
      <c r="A411" s="405">
        <v>8404660271</v>
      </c>
      <c r="B411">
        <v>10001352</v>
      </c>
      <c r="C411" t="s">
        <v>1412</v>
      </c>
      <c r="D411" s="406">
        <v>460300</v>
      </c>
      <c r="E411" s="406">
        <v>460300</v>
      </c>
      <c r="F411">
        <v>6</v>
      </c>
    </row>
    <row r="412" spans="1:6" x14ac:dyDescent="0.25">
      <c r="A412" s="405">
        <v>8404800294</v>
      </c>
      <c r="B412">
        <v>10000487</v>
      </c>
      <c r="C412" t="s">
        <v>1099</v>
      </c>
      <c r="D412" s="406">
        <v>359266.66666666669</v>
      </c>
      <c r="E412" s="406">
        <v>359266.66666666669</v>
      </c>
      <c r="F412">
        <v>6</v>
      </c>
    </row>
    <row r="413" spans="1:6" x14ac:dyDescent="0.25">
      <c r="A413" s="405">
        <v>8404893268</v>
      </c>
      <c r="B413">
        <v>10001978</v>
      </c>
      <c r="C413" t="s">
        <v>2218</v>
      </c>
      <c r="D413" s="406">
        <v>577500</v>
      </c>
      <c r="E413" s="406">
        <v>577500</v>
      </c>
      <c r="F413">
        <v>6</v>
      </c>
    </row>
    <row r="414" spans="1:6" x14ac:dyDescent="0.25">
      <c r="A414" s="405">
        <v>8405063064</v>
      </c>
      <c r="B414">
        <v>10000072</v>
      </c>
      <c r="C414" t="s">
        <v>2219</v>
      </c>
      <c r="D414" s="406">
        <v>495000</v>
      </c>
      <c r="E414" s="406">
        <v>495000</v>
      </c>
      <c r="F414">
        <v>6</v>
      </c>
    </row>
    <row r="415" spans="1:6" x14ac:dyDescent="0.25">
      <c r="A415" s="405">
        <v>8405202617</v>
      </c>
      <c r="B415">
        <v>10001590</v>
      </c>
      <c r="C415" t="s">
        <v>2220</v>
      </c>
      <c r="D415" s="406">
        <v>385300</v>
      </c>
      <c r="E415" s="406">
        <v>770600</v>
      </c>
      <c r="F415">
        <v>2</v>
      </c>
    </row>
    <row r="416" spans="1:6" x14ac:dyDescent="0.25">
      <c r="A416" s="405">
        <v>8405303510</v>
      </c>
      <c r="B416">
        <v>10000371</v>
      </c>
      <c r="C416" t="s">
        <v>1028</v>
      </c>
      <c r="D416" s="406">
        <v>798900</v>
      </c>
      <c r="E416" s="406">
        <v>798900</v>
      </c>
      <c r="F416">
        <v>6</v>
      </c>
    </row>
    <row r="417" spans="1:6" x14ac:dyDescent="0.25">
      <c r="A417" s="405">
        <v>8405334394</v>
      </c>
      <c r="B417">
        <v>10000598</v>
      </c>
      <c r="C417" t="s">
        <v>1162</v>
      </c>
      <c r="D417" s="406">
        <v>280533.33333333331</v>
      </c>
      <c r="E417" s="406">
        <v>280533.33333333331</v>
      </c>
      <c r="F417">
        <v>6</v>
      </c>
    </row>
    <row r="418" spans="1:6" x14ac:dyDescent="0.25">
      <c r="A418" s="405">
        <v>8405472754</v>
      </c>
      <c r="B418">
        <v>10000200</v>
      </c>
      <c r="C418" t="s">
        <v>2221</v>
      </c>
      <c r="D418" s="406">
        <v>1163800</v>
      </c>
      <c r="E418" s="406">
        <v>1163800</v>
      </c>
      <c r="F418">
        <v>6</v>
      </c>
    </row>
    <row r="419" spans="1:6" x14ac:dyDescent="0.25">
      <c r="A419" s="405">
        <v>8405474196</v>
      </c>
      <c r="B419">
        <v>10000268</v>
      </c>
      <c r="C419" t="s">
        <v>966</v>
      </c>
      <c r="D419" s="406">
        <v>616000</v>
      </c>
      <c r="E419" s="406">
        <v>616000</v>
      </c>
      <c r="F419">
        <v>6</v>
      </c>
    </row>
    <row r="420" spans="1:6" x14ac:dyDescent="0.25">
      <c r="A420" s="405">
        <v>8405600728</v>
      </c>
      <c r="B420">
        <v>10001460</v>
      </c>
      <c r="C420" t="s">
        <v>2222</v>
      </c>
      <c r="D420" s="406">
        <v>110000</v>
      </c>
      <c r="E420" s="406">
        <v>440000</v>
      </c>
      <c r="F420">
        <v>6</v>
      </c>
    </row>
    <row r="421" spans="1:6" x14ac:dyDescent="0.25">
      <c r="A421" s="405">
        <v>8405671307</v>
      </c>
      <c r="B421">
        <v>10000113</v>
      </c>
      <c r="C421" t="s">
        <v>2223</v>
      </c>
      <c r="D421" s="406">
        <v>786533.33333333337</v>
      </c>
      <c r="E421" s="406">
        <v>786533.33333333337</v>
      </c>
      <c r="F421">
        <v>6</v>
      </c>
    </row>
    <row r="422" spans="1:6" x14ac:dyDescent="0.25">
      <c r="A422" s="405">
        <v>8405784101</v>
      </c>
      <c r="B422">
        <v>10000428</v>
      </c>
      <c r="C422" t="s">
        <v>2224</v>
      </c>
      <c r="D422" s="406">
        <v>1050000</v>
      </c>
      <c r="E422" s="406">
        <v>1050000</v>
      </c>
      <c r="F422">
        <v>6</v>
      </c>
    </row>
    <row r="423" spans="1:6" x14ac:dyDescent="0.25">
      <c r="A423" s="405">
        <v>8405900829</v>
      </c>
      <c r="B423">
        <v>10001979</v>
      </c>
      <c r="C423" t="s">
        <v>1705</v>
      </c>
      <c r="D423" s="406">
        <v>275000</v>
      </c>
      <c r="E423" s="406">
        <v>550000</v>
      </c>
      <c r="F423">
        <v>6</v>
      </c>
    </row>
    <row r="424" spans="1:6" x14ac:dyDescent="0.25">
      <c r="A424" s="405">
        <v>8406113413</v>
      </c>
      <c r="B424">
        <v>10001735</v>
      </c>
      <c r="C424" t="s">
        <v>1570</v>
      </c>
      <c r="D424" s="406">
        <v>401533.33333333331</v>
      </c>
      <c r="E424" s="406">
        <v>401533.33333333331</v>
      </c>
      <c r="F424">
        <v>6</v>
      </c>
    </row>
    <row r="425" spans="1:6" x14ac:dyDescent="0.25">
      <c r="A425" s="405">
        <v>8406163348</v>
      </c>
      <c r="B425">
        <v>10000343</v>
      </c>
      <c r="C425" t="s">
        <v>2225</v>
      </c>
      <c r="D425" s="406">
        <v>797533.33333333337</v>
      </c>
      <c r="E425" s="406">
        <v>797533.33333333337</v>
      </c>
      <c r="F425">
        <v>6</v>
      </c>
    </row>
    <row r="426" spans="1:6" x14ac:dyDescent="0.25">
      <c r="A426" s="405">
        <v>8406592389</v>
      </c>
      <c r="B426">
        <v>10000408</v>
      </c>
      <c r="C426" t="s">
        <v>1050</v>
      </c>
      <c r="D426" s="406">
        <v>394266.66666666669</v>
      </c>
      <c r="E426" s="406">
        <v>394266.66666666669</v>
      </c>
      <c r="F426">
        <v>6</v>
      </c>
    </row>
    <row r="427" spans="1:6" x14ac:dyDescent="0.25">
      <c r="A427" s="405">
        <v>8406634006</v>
      </c>
      <c r="B427">
        <v>10000925</v>
      </c>
      <c r="C427" t="s">
        <v>2226</v>
      </c>
      <c r="D427" s="406">
        <v>385000</v>
      </c>
      <c r="E427" s="406">
        <v>385000</v>
      </c>
      <c r="F427">
        <v>6</v>
      </c>
    </row>
    <row r="428" spans="1:6" x14ac:dyDescent="0.25">
      <c r="A428" s="405">
        <v>8406762934</v>
      </c>
      <c r="B428">
        <v>10001549</v>
      </c>
      <c r="C428" t="s">
        <v>1466</v>
      </c>
      <c r="D428" s="406">
        <v>294300</v>
      </c>
      <c r="E428" s="406">
        <v>294300</v>
      </c>
      <c r="F428">
        <v>5</v>
      </c>
    </row>
    <row r="429" spans="1:6" x14ac:dyDescent="0.25">
      <c r="A429" s="405">
        <v>8406802103</v>
      </c>
      <c r="B429">
        <v>10000527</v>
      </c>
      <c r="C429" t="s">
        <v>1125</v>
      </c>
      <c r="D429" s="406">
        <v>319000</v>
      </c>
      <c r="E429" s="406">
        <v>319000</v>
      </c>
      <c r="F429">
        <v>6</v>
      </c>
    </row>
    <row r="430" spans="1:6" x14ac:dyDescent="0.25">
      <c r="A430" s="405">
        <v>8406992026</v>
      </c>
      <c r="B430">
        <v>10001736</v>
      </c>
      <c r="C430" t="s">
        <v>2194</v>
      </c>
      <c r="D430" s="406">
        <v>240933.33333333334</v>
      </c>
      <c r="E430" s="406">
        <v>240933.33333333334</v>
      </c>
      <c r="F430">
        <v>6</v>
      </c>
    </row>
    <row r="431" spans="1:6" x14ac:dyDescent="0.25">
      <c r="A431" s="405">
        <v>8407181587</v>
      </c>
      <c r="B431">
        <v>10000124</v>
      </c>
      <c r="C431" t="s">
        <v>2227</v>
      </c>
      <c r="D431" s="406">
        <v>1123333.3333333333</v>
      </c>
      <c r="E431" s="406">
        <v>1123333.3333333333</v>
      </c>
      <c r="F431">
        <v>6</v>
      </c>
    </row>
    <row r="432" spans="1:6" x14ac:dyDescent="0.25">
      <c r="A432" s="405">
        <v>8407251070</v>
      </c>
      <c r="B432">
        <v>10000631</v>
      </c>
      <c r="C432" t="s">
        <v>1183</v>
      </c>
      <c r="D432" s="406">
        <v>515000</v>
      </c>
      <c r="E432" s="406">
        <v>515000</v>
      </c>
      <c r="F432">
        <v>6</v>
      </c>
    </row>
    <row r="433" spans="1:6" x14ac:dyDescent="0.25">
      <c r="A433" s="405">
        <v>8407302430</v>
      </c>
      <c r="B433">
        <v>10000203</v>
      </c>
      <c r="C433" t="s">
        <v>931</v>
      </c>
      <c r="D433" s="406">
        <v>1183233.3333333333</v>
      </c>
      <c r="E433" s="406">
        <v>1183233.3333333333</v>
      </c>
      <c r="F433">
        <v>6</v>
      </c>
    </row>
    <row r="434" spans="1:6" x14ac:dyDescent="0.25">
      <c r="A434" s="405">
        <v>8407742120</v>
      </c>
      <c r="B434">
        <v>10001118</v>
      </c>
      <c r="C434" t="s">
        <v>1347</v>
      </c>
      <c r="D434" s="406">
        <v>253600</v>
      </c>
      <c r="E434" s="406">
        <v>498777.77777777775</v>
      </c>
      <c r="F434">
        <v>6</v>
      </c>
    </row>
    <row r="435" spans="1:6" x14ac:dyDescent="0.25">
      <c r="A435" s="405">
        <v>8407774197</v>
      </c>
      <c r="B435">
        <v>10001693</v>
      </c>
      <c r="C435" t="s">
        <v>2228</v>
      </c>
      <c r="D435" s="406">
        <v>426716.66666666669</v>
      </c>
      <c r="E435" s="406">
        <v>426716.66666666669</v>
      </c>
      <c r="F435">
        <v>6</v>
      </c>
    </row>
    <row r="436" spans="1:6" x14ac:dyDescent="0.25">
      <c r="A436" s="405">
        <v>8407780618</v>
      </c>
      <c r="B436">
        <v>10001737</v>
      </c>
      <c r="C436" t="s">
        <v>2229</v>
      </c>
      <c r="D436" s="406">
        <v>345333.33333333331</v>
      </c>
      <c r="E436" s="406">
        <v>345333.33333333331</v>
      </c>
      <c r="F436">
        <v>6</v>
      </c>
    </row>
    <row r="437" spans="1:6" x14ac:dyDescent="0.25">
      <c r="A437" s="405">
        <v>8407900273</v>
      </c>
      <c r="B437">
        <v>10000344</v>
      </c>
      <c r="C437" t="s">
        <v>2230</v>
      </c>
      <c r="D437" s="406">
        <v>815233.33333333337</v>
      </c>
      <c r="E437" s="406">
        <v>815233.33333333337</v>
      </c>
      <c r="F437">
        <v>6</v>
      </c>
    </row>
    <row r="438" spans="1:6" x14ac:dyDescent="0.25">
      <c r="A438" s="405">
        <v>8408011464</v>
      </c>
      <c r="B438">
        <v>10001235</v>
      </c>
      <c r="C438" t="s">
        <v>1379</v>
      </c>
      <c r="D438" s="406">
        <v>1320000</v>
      </c>
      <c r="E438" s="406">
        <v>1320000</v>
      </c>
      <c r="F438">
        <v>6</v>
      </c>
    </row>
    <row r="439" spans="1:6" x14ac:dyDescent="0.25">
      <c r="A439" s="405">
        <v>8408031821</v>
      </c>
      <c r="B439">
        <v>10000305</v>
      </c>
      <c r="C439" t="s">
        <v>2231</v>
      </c>
      <c r="D439" s="406">
        <v>451900</v>
      </c>
      <c r="E439" s="406">
        <v>451900</v>
      </c>
      <c r="F439">
        <v>6</v>
      </c>
    </row>
    <row r="440" spans="1:6" x14ac:dyDescent="0.25">
      <c r="A440" s="405">
        <v>8408103296</v>
      </c>
      <c r="B440">
        <v>10001449</v>
      </c>
      <c r="C440" t="s">
        <v>2232</v>
      </c>
      <c r="D440" s="406">
        <v>418000</v>
      </c>
      <c r="E440" s="406">
        <v>557333.33333333337</v>
      </c>
      <c r="F440">
        <v>6</v>
      </c>
    </row>
    <row r="441" spans="1:6" x14ac:dyDescent="0.25">
      <c r="A441" s="405">
        <v>8408141996</v>
      </c>
      <c r="B441">
        <v>10001462</v>
      </c>
      <c r="C441" t="s">
        <v>1444</v>
      </c>
      <c r="D441" s="406">
        <v>550000</v>
      </c>
      <c r="E441" s="406">
        <v>550000</v>
      </c>
      <c r="F441">
        <v>6</v>
      </c>
    </row>
    <row r="442" spans="1:6" x14ac:dyDescent="0.25">
      <c r="A442" s="405">
        <v>8408180045</v>
      </c>
      <c r="B442">
        <v>10000798</v>
      </c>
      <c r="C442" t="s">
        <v>2233</v>
      </c>
      <c r="D442" s="406">
        <v>125966.66666666667</v>
      </c>
      <c r="E442" s="406">
        <v>251933.33333333334</v>
      </c>
      <c r="F442">
        <v>6</v>
      </c>
    </row>
    <row r="443" spans="1:6" x14ac:dyDescent="0.25">
      <c r="A443" s="405">
        <v>8408294245</v>
      </c>
      <c r="B443">
        <v>10000145</v>
      </c>
      <c r="C443" t="s">
        <v>895</v>
      </c>
      <c r="D443" s="406">
        <v>340933.33333333331</v>
      </c>
      <c r="E443" s="406">
        <v>340933.33333333331</v>
      </c>
      <c r="F443">
        <v>6</v>
      </c>
    </row>
    <row r="444" spans="1:6" x14ac:dyDescent="0.25">
      <c r="A444" s="405">
        <v>8408352725</v>
      </c>
      <c r="B444">
        <v>10001411</v>
      </c>
      <c r="C444" t="s">
        <v>2234</v>
      </c>
      <c r="D444" s="406">
        <v>407000</v>
      </c>
      <c r="E444" s="406">
        <v>407000</v>
      </c>
      <c r="F444">
        <v>6</v>
      </c>
    </row>
    <row r="445" spans="1:6" x14ac:dyDescent="0.25">
      <c r="A445" s="405">
        <v>8408820435</v>
      </c>
      <c r="B445">
        <v>10001934</v>
      </c>
      <c r="C445" t="s">
        <v>1681</v>
      </c>
      <c r="D445" s="406">
        <v>1045000</v>
      </c>
      <c r="E445" s="406">
        <v>1045000</v>
      </c>
      <c r="F445">
        <v>6</v>
      </c>
    </row>
    <row r="446" spans="1:6" x14ac:dyDescent="0.25">
      <c r="A446" s="405">
        <v>8408832921</v>
      </c>
      <c r="B446">
        <v>10000620</v>
      </c>
      <c r="C446" t="s">
        <v>2235</v>
      </c>
      <c r="D446" s="406">
        <v>412533.33333333331</v>
      </c>
      <c r="E446" s="406">
        <v>412533.33333333331</v>
      </c>
      <c r="F446">
        <v>6</v>
      </c>
    </row>
    <row r="447" spans="1:6" x14ac:dyDescent="0.25">
      <c r="A447" s="405">
        <v>8408953524</v>
      </c>
      <c r="B447">
        <v>10000868</v>
      </c>
      <c r="C447" t="s">
        <v>2236</v>
      </c>
      <c r="D447" s="406">
        <v>330000</v>
      </c>
      <c r="E447" s="406">
        <v>330000</v>
      </c>
      <c r="F447">
        <v>6</v>
      </c>
    </row>
    <row r="448" spans="1:6" x14ac:dyDescent="0.25">
      <c r="A448" s="405">
        <v>8408962612</v>
      </c>
      <c r="B448">
        <v>10001432</v>
      </c>
      <c r="C448" t="s">
        <v>1432</v>
      </c>
      <c r="D448" s="406">
        <v>383266.66666666669</v>
      </c>
      <c r="E448" s="406">
        <v>383266.66666666669</v>
      </c>
      <c r="F448">
        <v>6</v>
      </c>
    </row>
    <row r="449" spans="1:6" x14ac:dyDescent="0.25">
      <c r="A449" s="405">
        <v>8409040328</v>
      </c>
      <c r="B449">
        <v>10000264</v>
      </c>
      <c r="C449" t="s">
        <v>2237</v>
      </c>
      <c r="D449" s="406">
        <v>577533.33333333337</v>
      </c>
      <c r="E449" s="406">
        <v>577533.33333333337</v>
      </c>
      <c r="F449">
        <v>6</v>
      </c>
    </row>
    <row r="450" spans="1:6" x14ac:dyDescent="0.25">
      <c r="A450" s="405">
        <v>8409091712</v>
      </c>
      <c r="B450">
        <v>10000626</v>
      </c>
      <c r="C450" t="s">
        <v>2238</v>
      </c>
      <c r="D450" s="406">
        <v>395933.33333333331</v>
      </c>
      <c r="E450" s="406">
        <v>395933.33333333331</v>
      </c>
      <c r="F450">
        <v>6</v>
      </c>
    </row>
    <row r="451" spans="1:6" x14ac:dyDescent="0.25">
      <c r="A451" s="405">
        <v>8409092557</v>
      </c>
      <c r="B451">
        <v>10001077</v>
      </c>
      <c r="C451" t="s">
        <v>204</v>
      </c>
      <c r="D451" s="406">
        <v>880000</v>
      </c>
      <c r="E451" s="406">
        <v>880000</v>
      </c>
      <c r="F451">
        <v>6</v>
      </c>
    </row>
    <row r="452" spans="1:6" x14ac:dyDescent="0.25">
      <c r="A452" s="405">
        <v>8409140497</v>
      </c>
      <c r="B452">
        <v>10000329</v>
      </c>
      <c r="C452" t="s">
        <v>2239</v>
      </c>
      <c r="D452" s="406">
        <v>632100</v>
      </c>
      <c r="E452" s="406">
        <v>632100</v>
      </c>
      <c r="F452">
        <v>6</v>
      </c>
    </row>
    <row r="453" spans="1:6" x14ac:dyDescent="0.25">
      <c r="A453" s="405">
        <v>8409162962</v>
      </c>
      <c r="B453">
        <v>10001605</v>
      </c>
      <c r="C453" t="s">
        <v>1481</v>
      </c>
      <c r="D453" s="406">
        <v>394266.66666666669</v>
      </c>
      <c r="E453" s="406">
        <v>394266.66666666669</v>
      </c>
      <c r="F453">
        <v>6</v>
      </c>
    </row>
    <row r="454" spans="1:6" x14ac:dyDescent="0.25">
      <c r="A454" s="405">
        <v>8409231832</v>
      </c>
      <c r="B454">
        <v>10000067</v>
      </c>
      <c r="C454" t="s">
        <v>821</v>
      </c>
      <c r="D454" s="406">
        <v>523633.33333333331</v>
      </c>
      <c r="E454" s="406">
        <v>523633.33333333331</v>
      </c>
      <c r="F454">
        <v>6</v>
      </c>
    </row>
    <row r="455" spans="1:6" x14ac:dyDescent="0.25">
      <c r="A455" s="405">
        <v>8409311364</v>
      </c>
      <c r="B455">
        <v>10000557</v>
      </c>
      <c r="C455" t="s">
        <v>1142</v>
      </c>
      <c r="D455" s="406">
        <v>770000</v>
      </c>
      <c r="E455" s="406">
        <v>770000</v>
      </c>
      <c r="F455">
        <v>6</v>
      </c>
    </row>
    <row r="456" spans="1:6" x14ac:dyDescent="0.25">
      <c r="A456" s="405">
        <v>8409473887</v>
      </c>
      <c r="B456">
        <v>10000761</v>
      </c>
      <c r="C456" t="s">
        <v>1230</v>
      </c>
      <c r="D456" s="406">
        <v>342533.33333333331</v>
      </c>
      <c r="E456" s="406">
        <v>342533.33333333331</v>
      </c>
      <c r="F456">
        <v>6</v>
      </c>
    </row>
    <row r="457" spans="1:6" x14ac:dyDescent="0.25">
      <c r="A457" s="405">
        <v>8409494051</v>
      </c>
      <c r="B457">
        <v>10000901</v>
      </c>
      <c r="C457" t="s">
        <v>152</v>
      </c>
      <c r="D457" s="406">
        <v>815183.33333333337</v>
      </c>
      <c r="E457" s="406">
        <v>815183.33333333337</v>
      </c>
      <c r="F457">
        <v>6</v>
      </c>
    </row>
    <row r="458" spans="1:6" x14ac:dyDescent="0.25">
      <c r="A458" s="405">
        <v>8409541254</v>
      </c>
      <c r="B458">
        <v>10000082</v>
      </c>
      <c r="C458" t="s">
        <v>2240</v>
      </c>
      <c r="D458" s="406">
        <v>1430000</v>
      </c>
      <c r="E458" s="406">
        <v>1430000</v>
      </c>
      <c r="F458">
        <v>6</v>
      </c>
    </row>
    <row r="459" spans="1:6" x14ac:dyDescent="0.25">
      <c r="A459" s="405">
        <v>8409820269</v>
      </c>
      <c r="B459">
        <v>10000636</v>
      </c>
      <c r="C459" t="s">
        <v>2241</v>
      </c>
      <c r="D459" s="406">
        <v>393333.33333333331</v>
      </c>
      <c r="E459" s="406">
        <v>393333.33333333331</v>
      </c>
      <c r="F459">
        <v>6</v>
      </c>
    </row>
    <row r="460" spans="1:6" x14ac:dyDescent="0.25">
      <c r="A460" s="405">
        <v>8410220024</v>
      </c>
      <c r="B460">
        <v>10000350</v>
      </c>
      <c r="C460" t="s">
        <v>1016</v>
      </c>
      <c r="D460" s="406">
        <v>582583.33333333337</v>
      </c>
      <c r="E460" s="406">
        <v>582583.33333333337</v>
      </c>
      <c r="F460">
        <v>6</v>
      </c>
    </row>
    <row r="461" spans="1:6" x14ac:dyDescent="0.25">
      <c r="A461" s="405">
        <v>8410460823</v>
      </c>
      <c r="B461">
        <v>10000228</v>
      </c>
      <c r="C461" t="s">
        <v>2242</v>
      </c>
      <c r="D461" s="406">
        <v>495000</v>
      </c>
      <c r="E461" s="406">
        <v>495000</v>
      </c>
      <c r="F461">
        <v>6</v>
      </c>
    </row>
    <row r="462" spans="1:6" x14ac:dyDescent="0.25">
      <c r="A462" s="405">
        <v>8410762048</v>
      </c>
      <c r="B462">
        <v>10001694</v>
      </c>
      <c r="C462" t="s">
        <v>2243</v>
      </c>
      <c r="D462" s="406">
        <v>319600</v>
      </c>
      <c r="E462" s="406">
        <v>319600</v>
      </c>
      <c r="F462">
        <v>1</v>
      </c>
    </row>
    <row r="463" spans="1:6" x14ac:dyDescent="0.25">
      <c r="A463" s="405">
        <v>8410920832</v>
      </c>
      <c r="B463">
        <v>10000261</v>
      </c>
      <c r="C463" t="s">
        <v>2244</v>
      </c>
      <c r="D463" s="406">
        <v>770000</v>
      </c>
      <c r="E463" s="406">
        <v>770000</v>
      </c>
      <c r="F463">
        <v>6</v>
      </c>
    </row>
    <row r="464" spans="1:6" x14ac:dyDescent="0.25">
      <c r="A464" s="405">
        <v>8410933446</v>
      </c>
      <c r="B464">
        <v>10000313</v>
      </c>
      <c r="C464" t="s">
        <v>2245</v>
      </c>
      <c r="D464" s="406">
        <v>499666.66666666669</v>
      </c>
      <c r="E464" s="406">
        <v>499666.66666666669</v>
      </c>
      <c r="F464">
        <v>6</v>
      </c>
    </row>
    <row r="465" spans="1:6" x14ac:dyDescent="0.25">
      <c r="A465" s="405">
        <v>8411063054</v>
      </c>
      <c r="B465">
        <v>10000132</v>
      </c>
      <c r="C465" t="s">
        <v>2246</v>
      </c>
      <c r="D465" s="406">
        <v>660000</v>
      </c>
      <c r="E465" s="406">
        <v>660000</v>
      </c>
      <c r="F465">
        <v>6</v>
      </c>
    </row>
    <row r="466" spans="1:6" x14ac:dyDescent="0.25">
      <c r="A466" s="405">
        <v>8411173119</v>
      </c>
      <c r="B466">
        <v>10001149</v>
      </c>
      <c r="C466" t="s">
        <v>1361</v>
      </c>
      <c r="D466" s="406">
        <v>410933.33333333331</v>
      </c>
      <c r="E466" s="406">
        <v>410933.33333333331</v>
      </c>
      <c r="F466">
        <v>6</v>
      </c>
    </row>
    <row r="467" spans="1:6" x14ac:dyDescent="0.25">
      <c r="A467" s="405">
        <v>8411242498</v>
      </c>
      <c r="B467">
        <v>10001918</v>
      </c>
      <c r="C467" t="s">
        <v>1672</v>
      </c>
      <c r="D467" s="406">
        <v>385000</v>
      </c>
      <c r="E467" s="406">
        <v>513333.33333333331</v>
      </c>
      <c r="F467">
        <v>6</v>
      </c>
    </row>
    <row r="468" spans="1:6" x14ac:dyDescent="0.25">
      <c r="A468" s="405">
        <v>8411262855</v>
      </c>
      <c r="B468">
        <v>10000262</v>
      </c>
      <c r="C468" t="s">
        <v>962</v>
      </c>
      <c r="D468" s="406">
        <v>533733.33333333337</v>
      </c>
      <c r="E468" s="406">
        <v>533733.33333333337</v>
      </c>
      <c r="F468">
        <v>6</v>
      </c>
    </row>
    <row r="469" spans="1:6" x14ac:dyDescent="0.25">
      <c r="A469" s="405">
        <v>8411312577</v>
      </c>
      <c r="B469">
        <v>10000267</v>
      </c>
      <c r="C469" t="s">
        <v>2247</v>
      </c>
      <c r="D469" s="406">
        <v>426900</v>
      </c>
      <c r="E469" s="406">
        <v>426900</v>
      </c>
      <c r="F469">
        <v>6</v>
      </c>
    </row>
    <row r="470" spans="1:6" x14ac:dyDescent="0.25">
      <c r="A470" s="405">
        <v>8411391213</v>
      </c>
      <c r="B470">
        <v>10000530</v>
      </c>
      <c r="C470" t="s">
        <v>1130</v>
      </c>
      <c r="D470" s="406">
        <v>825000</v>
      </c>
      <c r="E470" s="406">
        <v>825000</v>
      </c>
      <c r="F470">
        <v>6</v>
      </c>
    </row>
    <row r="471" spans="1:6" x14ac:dyDescent="0.25">
      <c r="A471" s="405">
        <v>8411441628</v>
      </c>
      <c r="B471">
        <v>10000519</v>
      </c>
      <c r="C471" t="s">
        <v>1121</v>
      </c>
      <c r="D471" s="406">
        <v>911900</v>
      </c>
      <c r="E471" s="406">
        <v>911900</v>
      </c>
      <c r="F471">
        <v>6</v>
      </c>
    </row>
    <row r="472" spans="1:6" x14ac:dyDescent="0.25">
      <c r="A472" s="405">
        <v>8411453715</v>
      </c>
      <c r="B472">
        <v>10001738</v>
      </c>
      <c r="C472" t="s">
        <v>2248</v>
      </c>
      <c r="D472" s="406">
        <v>210733.33333333334</v>
      </c>
      <c r="E472" s="406">
        <v>210733.33333333334</v>
      </c>
      <c r="F472">
        <v>6</v>
      </c>
    </row>
    <row r="473" spans="1:6" x14ac:dyDescent="0.25">
      <c r="A473" s="405">
        <v>8411521834</v>
      </c>
      <c r="B473">
        <v>10001739</v>
      </c>
      <c r="C473" t="s">
        <v>2249</v>
      </c>
      <c r="D473" s="406">
        <v>320633.33333333331</v>
      </c>
      <c r="E473" s="406">
        <v>320633.33333333331</v>
      </c>
      <c r="F473">
        <v>6</v>
      </c>
    </row>
    <row r="474" spans="1:6" x14ac:dyDescent="0.25">
      <c r="A474" s="405">
        <v>8411870324</v>
      </c>
      <c r="B474">
        <v>10001456</v>
      </c>
      <c r="C474" t="s">
        <v>2250</v>
      </c>
      <c r="D474" s="406">
        <v>244000</v>
      </c>
      <c r="E474" s="406">
        <v>244000</v>
      </c>
      <c r="F474">
        <v>6</v>
      </c>
    </row>
    <row r="475" spans="1:6" x14ac:dyDescent="0.25">
      <c r="A475" s="405">
        <v>8412103416</v>
      </c>
      <c r="B475">
        <v>10001878</v>
      </c>
      <c r="C475" t="s">
        <v>2251</v>
      </c>
      <c r="D475" s="406">
        <v>407000</v>
      </c>
      <c r="E475" s="406">
        <v>407000</v>
      </c>
      <c r="F475">
        <v>6</v>
      </c>
    </row>
    <row r="476" spans="1:6" x14ac:dyDescent="0.25">
      <c r="A476" s="405">
        <v>8412140524</v>
      </c>
      <c r="B476">
        <v>10000191</v>
      </c>
      <c r="C476" t="s">
        <v>2252</v>
      </c>
      <c r="D476" s="406">
        <v>643733.33333333337</v>
      </c>
      <c r="E476" s="406">
        <v>643733.33333333337</v>
      </c>
      <c r="F476">
        <v>6</v>
      </c>
    </row>
    <row r="477" spans="1:6" x14ac:dyDescent="0.25">
      <c r="A477" s="405">
        <v>8412150252</v>
      </c>
      <c r="B477">
        <v>10001785</v>
      </c>
      <c r="C477" t="s">
        <v>1612</v>
      </c>
      <c r="D477" s="406">
        <v>224700</v>
      </c>
      <c r="E477" s="406">
        <v>449400</v>
      </c>
      <c r="F477">
        <v>4</v>
      </c>
    </row>
    <row r="478" spans="1:6" x14ac:dyDescent="0.25">
      <c r="A478" s="405">
        <v>8412171462</v>
      </c>
      <c r="B478">
        <v>10000872</v>
      </c>
      <c r="C478" t="s">
        <v>210</v>
      </c>
      <c r="D478" s="406">
        <v>550000</v>
      </c>
      <c r="E478" s="406">
        <v>550000</v>
      </c>
      <c r="F478">
        <v>6</v>
      </c>
    </row>
    <row r="479" spans="1:6" x14ac:dyDescent="0.25">
      <c r="A479" s="405">
        <v>8412310314</v>
      </c>
      <c r="B479">
        <v>10001998</v>
      </c>
      <c r="C479" t="s">
        <v>1719</v>
      </c>
      <c r="D479" s="406">
        <v>450000</v>
      </c>
      <c r="E479" s="406">
        <v>450000</v>
      </c>
      <c r="F479">
        <v>5</v>
      </c>
    </row>
    <row r="480" spans="1:6" x14ac:dyDescent="0.25">
      <c r="A480" s="405">
        <v>8412333799</v>
      </c>
      <c r="B480">
        <v>10000739</v>
      </c>
      <c r="C480" t="s">
        <v>2253</v>
      </c>
      <c r="D480" s="406">
        <v>385000</v>
      </c>
      <c r="E480" s="406">
        <v>385000</v>
      </c>
      <c r="F480">
        <v>6</v>
      </c>
    </row>
    <row r="481" spans="1:6" x14ac:dyDescent="0.25">
      <c r="A481" s="405">
        <v>8412803434</v>
      </c>
      <c r="B481">
        <v>10000315</v>
      </c>
      <c r="C481" t="s">
        <v>2254</v>
      </c>
      <c r="D481" s="406">
        <v>527437.5</v>
      </c>
      <c r="E481" s="406">
        <v>527437.5</v>
      </c>
      <c r="F481">
        <v>6</v>
      </c>
    </row>
    <row r="482" spans="1:6" x14ac:dyDescent="0.25">
      <c r="A482" s="405">
        <v>8412822315</v>
      </c>
      <c r="B482">
        <v>10000383</v>
      </c>
      <c r="C482" t="s">
        <v>1034</v>
      </c>
      <c r="D482" s="406">
        <v>476300</v>
      </c>
      <c r="E482" s="406">
        <v>476300</v>
      </c>
      <c r="F482">
        <v>6</v>
      </c>
    </row>
    <row r="483" spans="1:6" x14ac:dyDescent="0.25">
      <c r="A483" s="405">
        <v>8412964357</v>
      </c>
      <c r="B483">
        <v>10001258</v>
      </c>
      <c r="C483" t="s">
        <v>1384</v>
      </c>
      <c r="D483" s="406">
        <v>322500</v>
      </c>
      <c r="E483" s="406">
        <v>322500</v>
      </c>
      <c r="F483">
        <v>4</v>
      </c>
    </row>
    <row r="484" spans="1:6" x14ac:dyDescent="0.25">
      <c r="A484" s="405">
        <v>8413122988</v>
      </c>
      <c r="B484">
        <v>10000053</v>
      </c>
      <c r="C484" t="s">
        <v>814</v>
      </c>
      <c r="D484" s="406">
        <v>602366.66666666663</v>
      </c>
      <c r="E484" s="406">
        <v>602366.66666666663</v>
      </c>
      <c r="F484">
        <v>6</v>
      </c>
    </row>
    <row r="485" spans="1:6" x14ac:dyDescent="0.25">
      <c r="A485" s="405">
        <v>8413364175</v>
      </c>
      <c r="B485">
        <v>10001324</v>
      </c>
      <c r="C485" t="s">
        <v>1404</v>
      </c>
      <c r="D485" s="406">
        <v>426900</v>
      </c>
      <c r="E485" s="406">
        <v>426900</v>
      </c>
      <c r="F485">
        <v>6</v>
      </c>
    </row>
    <row r="486" spans="1:6" x14ac:dyDescent="0.25">
      <c r="A486" s="405">
        <v>8413511798</v>
      </c>
      <c r="B486">
        <v>10000156</v>
      </c>
      <c r="C486" t="s">
        <v>898</v>
      </c>
      <c r="D486" s="406">
        <v>393633.33333333331</v>
      </c>
      <c r="E486" s="406">
        <v>393633.33333333331</v>
      </c>
      <c r="F486">
        <v>6</v>
      </c>
    </row>
    <row r="487" spans="1:6" x14ac:dyDescent="0.25">
      <c r="A487" s="405">
        <v>8413841763</v>
      </c>
      <c r="B487">
        <v>10000847</v>
      </c>
      <c r="C487" t="s">
        <v>2255</v>
      </c>
      <c r="D487" s="406">
        <v>353183.33333333331</v>
      </c>
      <c r="E487" s="406">
        <v>353183.33333333331</v>
      </c>
      <c r="F487">
        <v>6</v>
      </c>
    </row>
    <row r="488" spans="1:6" x14ac:dyDescent="0.25">
      <c r="A488" s="405">
        <v>8413880491</v>
      </c>
      <c r="B488">
        <v>10000269</v>
      </c>
      <c r="C488" t="s">
        <v>2256</v>
      </c>
      <c r="D488" s="406">
        <v>1270566.6666666667</v>
      </c>
      <c r="E488" s="406">
        <v>1270566.6666666667</v>
      </c>
      <c r="F488">
        <v>6</v>
      </c>
    </row>
    <row r="489" spans="1:6" x14ac:dyDescent="0.25">
      <c r="A489" s="405">
        <v>8414102573</v>
      </c>
      <c r="B489">
        <v>10000250</v>
      </c>
      <c r="C489" t="s">
        <v>957</v>
      </c>
      <c r="D489" s="406">
        <v>322050</v>
      </c>
      <c r="E489" s="406">
        <v>322050</v>
      </c>
      <c r="F489">
        <v>6</v>
      </c>
    </row>
    <row r="490" spans="1:6" x14ac:dyDescent="0.25">
      <c r="A490" s="405">
        <v>8414153305</v>
      </c>
      <c r="B490">
        <v>10000076</v>
      </c>
      <c r="C490" t="s">
        <v>2257</v>
      </c>
      <c r="D490" s="406">
        <v>527666.66666666663</v>
      </c>
      <c r="E490" s="406">
        <v>527666.66666666663</v>
      </c>
      <c r="F490">
        <v>6</v>
      </c>
    </row>
    <row r="491" spans="1:6" x14ac:dyDescent="0.25">
      <c r="A491" s="405">
        <v>8414223338</v>
      </c>
      <c r="B491">
        <v>10000188</v>
      </c>
      <c r="C491" t="s">
        <v>2258</v>
      </c>
      <c r="D491" s="406">
        <v>550000</v>
      </c>
      <c r="E491" s="406">
        <v>1100000</v>
      </c>
      <c r="F491">
        <v>6</v>
      </c>
    </row>
    <row r="492" spans="1:6" x14ac:dyDescent="0.25">
      <c r="A492" s="405">
        <v>8414381804</v>
      </c>
      <c r="B492">
        <v>10000813</v>
      </c>
      <c r="C492" t="s">
        <v>1249</v>
      </c>
      <c r="D492" s="406">
        <v>664118.33333333337</v>
      </c>
      <c r="E492" s="406">
        <v>664118.33333333337</v>
      </c>
      <c r="F492">
        <v>6</v>
      </c>
    </row>
    <row r="493" spans="1:6" x14ac:dyDescent="0.25">
      <c r="A493" s="405">
        <v>8414452523</v>
      </c>
      <c r="B493">
        <v>10000606</v>
      </c>
      <c r="C493" t="s">
        <v>1166</v>
      </c>
      <c r="D493" s="406">
        <v>577610.33333333337</v>
      </c>
      <c r="E493" s="406">
        <v>577610.33333333337</v>
      </c>
      <c r="F493">
        <v>6</v>
      </c>
    </row>
    <row r="494" spans="1:6" x14ac:dyDescent="0.25">
      <c r="A494" s="405">
        <v>8414503373</v>
      </c>
      <c r="B494">
        <v>10000663</v>
      </c>
      <c r="C494" t="s">
        <v>1194</v>
      </c>
      <c r="D494" s="406">
        <v>273766.66666666669</v>
      </c>
      <c r="E494" s="406">
        <v>273766.66666666669</v>
      </c>
      <c r="F494">
        <v>6</v>
      </c>
    </row>
    <row r="495" spans="1:6" x14ac:dyDescent="0.25">
      <c r="A495" s="405">
        <v>8414880940</v>
      </c>
      <c r="B495">
        <v>10000058</v>
      </c>
      <c r="C495" t="s">
        <v>2259</v>
      </c>
      <c r="D495" s="406">
        <v>194000</v>
      </c>
      <c r="E495" s="406">
        <v>388000</v>
      </c>
      <c r="F495">
        <v>2</v>
      </c>
    </row>
    <row r="496" spans="1:6" x14ac:dyDescent="0.25">
      <c r="A496" s="405">
        <v>8415041640</v>
      </c>
      <c r="B496">
        <v>10000767</v>
      </c>
      <c r="C496" t="s">
        <v>1234</v>
      </c>
      <c r="D496" s="406">
        <v>390366.66666666669</v>
      </c>
      <c r="E496" s="406">
        <v>390366.66666666669</v>
      </c>
      <c r="F496">
        <v>6</v>
      </c>
    </row>
    <row r="497" spans="1:6" x14ac:dyDescent="0.25">
      <c r="A497" s="405">
        <v>8415163150</v>
      </c>
      <c r="B497">
        <v>10000216</v>
      </c>
      <c r="C497" t="s">
        <v>2260</v>
      </c>
      <c r="D497" s="406">
        <v>615766.66666666663</v>
      </c>
      <c r="E497" s="406">
        <v>615766.66666666663</v>
      </c>
      <c r="F497">
        <v>6</v>
      </c>
    </row>
    <row r="498" spans="1:6" x14ac:dyDescent="0.25">
      <c r="A498" s="405">
        <v>8415171048</v>
      </c>
      <c r="B498">
        <v>10001177</v>
      </c>
      <c r="C498" t="s">
        <v>1371</v>
      </c>
      <c r="D498" s="406">
        <v>246666.66666666666</v>
      </c>
      <c r="E498" s="406">
        <v>493333.33333333331</v>
      </c>
      <c r="F498">
        <v>6</v>
      </c>
    </row>
    <row r="499" spans="1:6" x14ac:dyDescent="0.25">
      <c r="A499" s="405">
        <v>8415210264</v>
      </c>
      <c r="B499">
        <v>10000388</v>
      </c>
      <c r="C499" t="s">
        <v>1038</v>
      </c>
      <c r="D499" s="406">
        <v>341000</v>
      </c>
      <c r="E499" s="406">
        <v>341000</v>
      </c>
      <c r="F499">
        <v>6</v>
      </c>
    </row>
    <row r="500" spans="1:6" x14ac:dyDescent="0.25">
      <c r="A500" s="405">
        <v>8415246099</v>
      </c>
      <c r="B500">
        <v>10001577</v>
      </c>
      <c r="C500" t="s">
        <v>1476</v>
      </c>
      <c r="D500" s="406">
        <v>414933.33333333331</v>
      </c>
      <c r="E500" s="406">
        <v>414933.33333333331</v>
      </c>
      <c r="F500">
        <v>6</v>
      </c>
    </row>
    <row r="501" spans="1:6" x14ac:dyDescent="0.25">
      <c r="A501" s="405">
        <v>8415300263</v>
      </c>
      <c r="B501">
        <v>10001800</v>
      </c>
      <c r="C501" t="s">
        <v>1621</v>
      </c>
      <c r="D501" s="406">
        <v>448000</v>
      </c>
      <c r="E501" s="406">
        <v>448000</v>
      </c>
      <c r="F501">
        <v>6</v>
      </c>
    </row>
    <row r="502" spans="1:6" x14ac:dyDescent="0.25">
      <c r="A502" s="405">
        <v>8415300794</v>
      </c>
      <c r="B502">
        <v>10000630</v>
      </c>
      <c r="C502" t="s">
        <v>2261</v>
      </c>
      <c r="D502" s="406">
        <v>278683.33333333331</v>
      </c>
      <c r="E502" s="406">
        <v>278683.33333333331</v>
      </c>
      <c r="F502">
        <v>6</v>
      </c>
    </row>
    <row r="503" spans="1:6" x14ac:dyDescent="0.25">
      <c r="A503" s="405">
        <v>8415312261</v>
      </c>
      <c r="B503">
        <v>10000987</v>
      </c>
      <c r="C503" t="s">
        <v>2262</v>
      </c>
      <c r="D503" s="406">
        <v>440000</v>
      </c>
      <c r="E503" s="406">
        <v>440000</v>
      </c>
      <c r="F503">
        <v>6</v>
      </c>
    </row>
    <row r="504" spans="1:6" x14ac:dyDescent="0.25">
      <c r="A504" s="405">
        <v>8415364997</v>
      </c>
      <c r="B504">
        <v>10001980</v>
      </c>
      <c r="C504" t="s">
        <v>1706</v>
      </c>
      <c r="D504" s="406">
        <v>244000</v>
      </c>
      <c r="E504" s="406">
        <v>244000</v>
      </c>
      <c r="F504">
        <v>6</v>
      </c>
    </row>
    <row r="505" spans="1:6" x14ac:dyDescent="0.25">
      <c r="A505" s="405">
        <v>8415403542</v>
      </c>
      <c r="B505">
        <v>10000014</v>
      </c>
      <c r="C505" t="s">
        <v>773</v>
      </c>
      <c r="D505" s="406">
        <v>449840</v>
      </c>
      <c r="E505" s="406">
        <v>449840</v>
      </c>
      <c r="F505">
        <v>5</v>
      </c>
    </row>
    <row r="506" spans="1:6" x14ac:dyDescent="0.25">
      <c r="A506" s="405">
        <v>8415590679</v>
      </c>
      <c r="B506">
        <v>10000750</v>
      </c>
      <c r="C506" t="s">
        <v>1224</v>
      </c>
      <c r="D506" s="406">
        <v>251933.33333333334</v>
      </c>
      <c r="E506" s="406">
        <v>251933.33333333334</v>
      </c>
      <c r="F506">
        <v>6</v>
      </c>
    </row>
    <row r="507" spans="1:6" x14ac:dyDescent="0.25">
      <c r="A507" s="405">
        <v>8415712928</v>
      </c>
      <c r="B507">
        <v>10000433</v>
      </c>
      <c r="C507" t="s">
        <v>2263</v>
      </c>
      <c r="D507" s="406">
        <v>304933.33333333331</v>
      </c>
      <c r="E507" s="406">
        <v>304933.33333333331</v>
      </c>
      <c r="F507">
        <v>6</v>
      </c>
    </row>
    <row r="508" spans="1:6" x14ac:dyDescent="0.25">
      <c r="A508" s="405">
        <v>8416001936</v>
      </c>
      <c r="B508">
        <v>10001532</v>
      </c>
      <c r="C508" t="s">
        <v>1457</v>
      </c>
      <c r="D508" s="406">
        <v>350266.66666666669</v>
      </c>
      <c r="E508" s="406">
        <v>350266.66666666669</v>
      </c>
      <c r="F508">
        <v>6</v>
      </c>
    </row>
    <row r="509" spans="1:6" x14ac:dyDescent="0.25">
      <c r="A509" s="405">
        <v>8416043760</v>
      </c>
      <c r="B509">
        <v>10000321</v>
      </c>
      <c r="C509" t="s">
        <v>2264</v>
      </c>
      <c r="D509" s="406">
        <v>900567</v>
      </c>
      <c r="E509" s="406">
        <v>900566.66666666663</v>
      </c>
      <c r="F509">
        <v>6</v>
      </c>
    </row>
    <row r="510" spans="1:6" x14ac:dyDescent="0.25">
      <c r="A510" s="405">
        <v>8416232512</v>
      </c>
      <c r="B510">
        <v>10000357</v>
      </c>
      <c r="C510" t="s">
        <v>2265</v>
      </c>
      <c r="D510" s="406">
        <v>1011233.3333333334</v>
      </c>
      <c r="E510" s="406">
        <v>1011233.3333333334</v>
      </c>
      <c r="F510">
        <v>6</v>
      </c>
    </row>
    <row r="511" spans="1:6" x14ac:dyDescent="0.25">
      <c r="A511" s="405">
        <v>8416410135</v>
      </c>
      <c r="B511">
        <v>10000496</v>
      </c>
      <c r="C511" t="s">
        <v>2266</v>
      </c>
      <c r="D511" s="406">
        <v>389400</v>
      </c>
      <c r="E511" s="406">
        <v>389400</v>
      </c>
      <c r="F511">
        <v>6</v>
      </c>
    </row>
    <row r="512" spans="1:6" x14ac:dyDescent="0.25">
      <c r="A512" s="405">
        <v>8416513058</v>
      </c>
      <c r="B512">
        <v>10000832</v>
      </c>
      <c r="C512" t="s">
        <v>1255</v>
      </c>
      <c r="D512" s="406">
        <v>480000</v>
      </c>
      <c r="E512" s="406">
        <v>480000</v>
      </c>
      <c r="F512">
        <v>6</v>
      </c>
    </row>
    <row r="513" spans="1:6" x14ac:dyDescent="0.25">
      <c r="A513" s="405">
        <v>8416873569</v>
      </c>
      <c r="B513">
        <v>10001064</v>
      </c>
      <c r="C513" t="s">
        <v>1334</v>
      </c>
      <c r="D513" s="406">
        <v>350266.66666666669</v>
      </c>
      <c r="E513" s="406">
        <v>350266.66666666669</v>
      </c>
      <c r="F513">
        <v>6</v>
      </c>
    </row>
    <row r="514" spans="1:6" x14ac:dyDescent="0.25">
      <c r="A514" s="405">
        <v>8417004319</v>
      </c>
      <c r="B514">
        <v>10000766</v>
      </c>
      <c r="C514" t="s">
        <v>1233</v>
      </c>
      <c r="D514" s="406">
        <v>335533.33333333331</v>
      </c>
      <c r="E514" s="406">
        <v>335533.33333333331</v>
      </c>
      <c r="F514">
        <v>6</v>
      </c>
    </row>
    <row r="515" spans="1:6" x14ac:dyDescent="0.25">
      <c r="A515" s="405">
        <v>8417011455</v>
      </c>
      <c r="B515">
        <v>10000032</v>
      </c>
      <c r="C515" t="s">
        <v>2267</v>
      </c>
      <c r="D515" s="406">
        <v>600733.33333333337</v>
      </c>
      <c r="E515" s="406">
        <v>600733.33333333337</v>
      </c>
      <c r="F515">
        <v>6</v>
      </c>
    </row>
    <row r="516" spans="1:6" x14ac:dyDescent="0.25">
      <c r="A516" s="405">
        <v>8417671102</v>
      </c>
      <c r="B516">
        <v>10000165</v>
      </c>
      <c r="C516" t="s">
        <v>2268</v>
      </c>
      <c r="D516" s="406">
        <v>586333.33333333337</v>
      </c>
      <c r="E516" s="406">
        <v>586333.33333333337</v>
      </c>
      <c r="F516">
        <v>6</v>
      </c>
    </row>
    <row r="517" spans="1:6" x14ac:dyDescent="0.25">
      <c r="A517" s="405">
        <v>8417903070</v>
      </c>
      <c r="B517">
        <v>10001740</v>
      </c>
      <c r="C517" t="s">
        <v>2269</v>
      </c>
      <c r="D517" s="406">
        <v>279833.33333333331</v>
      </c>
      <c r="E517" s="406">
        <v>279833.33333333331</v>
      </c>
      <c r="F517">
        <v>6</v>
      </c>
    </row>
    <row r="518" spans="1:6" x14ac:dyDescent="0.25">
      <c r="A518" s="405">
        <v>8417951342</v>
      </c>
      <c r="B518">
        <v>10001505</v>
      </c>
      <c r="C518" t="s">
        <v>2270</v>
      </c>
      <c r="D518" s="406">
        <v>407000</v>
      </c>
      <c r="E518" s="406">
        <v>407000</v>
      </c>
      <c r="F518">
        <v>6</v>
      </c>
    </row>
    <row r="519" spans="1:6" x14ac:dyDescent="0.25">
      <c r="A519" s="405">
        <v>8418110333</v>
      </c>
      <c r="B519">
        <v>10000965</v>
      </c>
      <c r="C519" t="s">
        <v>1298</v>
      </c>
      <c r="D519" s="406">
        <v>352000</v>
      </c>
      <c r="E519" s="406">
        <v>352000</v>
      </c>
      <c r="F519">
        <v>6</v>
      </c>
    </row>
    <row r="520" spans="1:6" x14ac:dyDescent="0.25">
      <c r="A520" s="405">
        <v>8418112433</v>
      </c>
      <c r="B520">
        <v>10001612</v>
      </c>
      <c r="C520" t="s">
        <v>1484</v>
      </c>
      <c r="D520" s="406">
        <v>385000</v>
      </c>
      <c r="E520" s="406">
        <v>385000</v>
      </c>
      <c r="F520">
        <v>6</v>
      </c>
    </row>
    <row r="521" spans="1:6" x14ac:dyDescent="0.25">
      <c r="A521" s="405">
        <v>8418113154</v>
      </c>
      <c r="B521">
        <v>10000612</v>
      </c>
      <c r="C521" t="s">
        <v>2271</v>
      </c>
      <c r="D521" s="406">
        <v>311303.33333333331</v>
      </c>
      <c r="E521" s="406">
        <v>311303.33333333331</v>
      </c>
      <c r="F521">
        <v>6</v>
      </c>
    </row>
    <row r="522" spans="1:6" x14ac:dyDescent="0.25">
      <c r="A522" s="405">
        <v>8418153059</v>
      </c>
      <c r="B522">
        <v>10001259</v>
      </c>
      <c r="C522" t="s">
        <v>2272</v>
      </c>
      <c r="D522" s="406">
        <v>330000</v>
      </c>
      <c r="E522" s="406">
        <v>330000</v>
      </c>
      <c r="F522">
        <v>6</v>
      </c>
    </row>
    <row r="523" spans="1:6" x14ac:dyDescent="0.25">
      <c r="A523" s="405">
        <v>8418523018</v>
      </c>
      <c r="B523">
        <v>10001741</v>
      </c>
      <c r="C523" t="s">
        <v>2273</v>
      </c>
      <c r="D523" s="406">
        <v>210733.33333333334</v>
      </c>
      <c r="E523" s="406">
        <v>210733.33333333334</v>
      </c>
      <c r="F523">
        <v>6</v>
      </c>
    </row>
    <row r="524" spans="1:6" x14ac:dyDescent="0.25">
      <c r="A524" s="405">
        <v>8418630426</v>
      </c>
      <c r="B524">
        <v>10000529</v>
      </c>
      <c r="C524" t="s">
        <v>1129</v>
      </c>
      <c r="D524" s="406">
        <v>1086666.6666666667</v>
      </c>
      <c r="E524" s="406">
        <v>1086666.6666666667</v>
      </c>
      <c r="F524">
        <v>6</v>
      </c>
    </row>
    <row r="525" spans="1:6" x14ac:dyDescent="0.25">
      <c r="A525" s="405">
        <v>8418640162</v>
      </c>
      <c r="B525">
        <v>10001093</v>
      </c>
      <c r="C525" t="s">
        <v>2274</v>
      </c>
      <c r="D525" s="406">
        <v>528000</v>
      </c>
      <c r="E525" s="406">
        <v>528000</v>
      </c>
      <c r="F525">
        <v>6</v>
      </c>
    </row>
    <row r="526" spans="1:6" x14ac:dyDescent="0.25">
      <c r="A526" s="405">
        <v>8418752394</v>
      </c>
      <c r="B526">
        <v>10000245</v>
      </c>
      <c r="C526" t="s">
        <v>2275</v>
      </c>
      <c r="D526" s="406">
        <v>728883.33333333337</v>
      </c>
      <c r="E526" s="406">
        <v>728883.33333333337</v>
      </c>
      <c r="F526">
        <v>6</v>
      </c>
    </row>
    <row r="527" spans="1:6" x14ac:dyDescent="0.25">
      <c r="A527" s="405">
        <v>8418862165</v>
      </c>
      <c r="B527">
        <v>10000778</v>
      </c>
      <c r="C527" t="s">
        <v>1237</v>
      </c>
      <c r="D527" s="406">
        <v>935000</v>
      </c>
      <c r="E527" s="406">
        <v>935000</v>
      </c>
      <c r="F527">
        <v>6</v>
      </c>
    </row>
    <row r="528" spans="1:6" x14ac:dyDescent="0.25">
      <c r="A528" s="405">
        <v>8419020923</v>
      </c>
      <c r="B528">
        <v>10000052</v>
      </c>
      <c r="C528" t="s">
        <v>813</v>
      </c>
      <c r="D528" s="406">
        <v>426900</v>
      </c>
      <c r="E528" s="406">
        <v>426900</v>
      </c>
      <c r="F528">
        <v>6</v>
      </c>
    </row>
    <row r="529" spans="1:6" x14ac:dyDescent="0.25">
      <c r="A529" s="405">
        <v>8419021393</v>
      </c>
      <c r="B529">
        <v>10000988</v>
      </c>
      <c r="C529" t="s">
        <v>1305</v>
      </c>
      <c r="D529" s="406">
        <v>440000</v>
      </c>
      <c r="E529" s="406">
        <v>440000</v>
      </c>
      <c r="F529">
        <v>6</v>
      </c>
    </row>
    <row r="530" spans="1:6" x14ac:dyDescent="0.25">
      <c r="A530" s="405">
        <v>8419450189</v>
      </c>
      <c r="B530">
        <v>10000457</v>
      </c>
      <c r="C530" t="s">
        <v>1086</v>
      </c>
      <c r="D530" s="406">
        <v>1860000</v>
      </c>
      <c r="E530" s="406">
        <v>1860000</v>
      </c>
      <c r="F530">
        <v>6</v>
      </c>
    </row>
    <row r="531" spans="1:6" x14ac:dyDescent="0.25">
      <c r="A531" s="405">
        <v>8419652113</v>
      </c>
      <c r="B531">
        <v>10000539</v>
      </c>
      <c r="C531" t="s">
        <v>2276</v>
      </c>
      <c r="D531" s="406">
        <v>423533.33333333331</v>
      </c>
      <c r="E531" s="406">
        <v>423533.33333333331</v>
      </c>
      <c r="F531">
        <v>6</v>
      </c>
    </row>
    <row r="532" spans="1:6" x14ac:dyDescent="0.25">
      <c r="A532" s="405">
        <v>8419653322</v>
      </c>
      <c r="B532">
        <v>10001051</v>
      </c>
      <c r="C532" t="s">
        <v>2277</v>
      </c>
      <c r="D532" s="406">
        <v>363000</v>
      </c>
      <c r="E532" s="406">
        <v>363000</v>
      </c>
      <c r="F532">
        <v>6</v>
      </c>
    </row>
    <row r="533" spans="1:6" x14ac:dyDescent="0.25">
      <c r="A533" s="405">
        <v>8419842826</v>
      </c>
      <c r="B533">
        <v>10000814</v>
      </c>
      <c r="C533" t="s">
        <v>2278</v>
      </c>
      <c r="D533" s="406">
        <v>240933.33333333334</v>
      </c>
      <c r="E533" s="406">
        <v>240933.33333333334</v>
      </c>
      <c r="F533">
        <v>6</v>
      </c>
    </row>
    <row r="534" spans="1:6" x14ac:dyDescent="0.25">
      <c r="A534" s="405">
        <v>8419890081</v>
      </c>
      <c r="B534">
        <v>10002004</v>
      </c>
      <c r="C534" t="s">
        <v>1725</v>
      </c>
      <c r="D534" s="406">
        <v>500000</v>
      </c>
      <c r="E534" s="406">
        <v>500000</v>
      </c>
      <c r="F534">
        <v>4</v>
      </c>
    </row>
    <row r="535" spans="1:6" x14ac:dyDescent="0.25">
      <c r="A535" s="405">
        <v>8420351687</v>
      </c>
      <c r="B535">
        <v>10001742</v>
      </c>
      <c r="C535" t="s">
        <v>2279</v>
      </c>
      <c r="D535" s="406">
        <v>240933.33333333334</v>
      </c>
      <c r="E535" s="406">
        <v>240933.33333333334</v>
      </c>
      <c r="F535">
        <v>6</v>
      </c>
    </row>
    <row r="536" spans="1:6" x14ac:dyDescent="0.25">
      <c r="A536" s="405">
        <v>8420503533</v>
      </c>
      <c r="B536">
        <v>10000843</v>
      </c>
      <c r="C536" t="s">
        <v>2280</v>
      </c>
      <c r="D536" s="406">
        <v>287233.33333333331</v>
      </c>
      <c r="E536" s="406">
        <v>287233.33333333331</v>
      </c>
      <c r="F536">
        <v>6</v>
      </c>
    </row>
    <row r="537" spans="1:6" x14ac:dyDescent="0.25">
      <c r="A537" s="405">
        <v>8420632767</v>
      </c>
      <c r="B537">
        <v>10001139</v>
      </c>
      <c r="C537" t="s">
        <v>1357</v>
      </c>
      <c r="D537" s="406">
        <v>550000</v>
      </c>
      <c r="E537" s="406">
        <v>550000</v>
      </c>
      <c r="F537">
        <v>6</v>
      </c>
    </row>
    <row r="538" spans="1:6" x14ac:dyDescent="0.25">
      <c r="A538" s="405">
        <v>8420711640</v>
      </c>
      <c r="B538">
        <v>10001165</v>
      </c>
      <c r="C538" t="s">
        <v>1365</v>
      </c>
      <c r="D538" s="406">
        <v>376566.66666666669</v>
      </c>
      <c r="E538" s="406">
        <v>376566.66666666669</v>
      </c>
      <c r="F538">
        <v>6</v>
      </c>
    </row>
    <row r="539" spans="1:6" x14ac:dyDescent="0.25">
      <c r="A539" s="405">
        <v>8421062379</v>
      </c>
      <c r="B539">
        <v>10001566</v>
      </c>
      <c r="C539" t="s">
        <v>2281</v>
      </c>
      <c r="D539" s="406">
        <v>339266.66666666669</v>
      </c>
      <c r="E539" s="406">
        <v>339266.66666666669</v>
      </c>
      <c r="F539">
        <v>6</v>
      </c>
    </row>
    <row r="540" spans="1:6" x14ac:dyDescent="0.25">
      <c r="A540" s="405">
        <v>8421160273</v>
      </c>
      <c r="B540">
        <v>10000758</v>
      </c>
      <c r="C540" t="s">
        <v>1229</v>
      </c>
      <c r="D540" s="406">
        <v>319466.66666666669</v>
      </c>
      <c r="E540" s="406">
        <v>319466.66666666669</v>
      </c>
      <c r="F540">
        <v>6</v>
      </c>
    </row>
    <row r="541" spans="1:6" x14ac:dyDescent="0.25">
      <c r="A541" s="405">
        <v>8421413546</v>
      </c>
      <c r="B541">
        <v>10001932</v>
      </c>
      <c r="C541" t="s">
        <v>1680</v>
      </c>
      <c r="D541" s="406">
        <v>400000</v>
      </c>
      <c r="E541" s="406">
        <v>400000</v>
      </c>
      <c r="F541">
        <v>3</v>
      </c>
    </row>
    <row r="542" spans="1:6" x14ac:dyDescent="0.25">
      <c r="A542" s="405">
        <v>8421461990</v>
      </c>
      <c r="B542">
        <v>10000788</v>
      </c>
      <c r="C542" t="s">
        <v>1241</v>
      </c>
      <c r="D542" s="406">
        <v>295266.66666666669</v>
      </c>
      <c r="E542" s="406">
        <v>295266.66666666669</v>
      </c>
      <c r="F542">
        <v>6</v>
      </c>
    </row>
    <row r="543" spans="1:6" x14ac:dyDescent="0.25">
      <c r="A543" s="405">
        <v>8421612808</v>
      </c>
      <c r="B543">
        <v>10001481</v>
      </c>
      <c r="C543" t="s">
        <v>2282</v>
      </c>
      <c r="D543" s="406">
        <v>331633.33333333331</v>
      </c>
      <c r="E543" s="406">
        <v>331633.33333333331</v>
      </c>
      <c r="F543">
        <v>6</v>
      </c>
    </row>
    <row r="544" spans="1:6" x14ac:dyDescent="0.25">
      <c r="A544" s="405">
        <v>8421732463</v>
      </c>
      <c r="B544">
        <v>10000230</v>
      </c>
      <c r="C544" t="s">
        <v>2283</v>
      </c>
      <c r="D544" s="406">
        <v>1012000</v>
      </c>
      <c r="E544" s="406">
        <v>1012000</v>
      </c>
      <c r="F544">
        <v>6</v>
      </c>
    </row>
    <row r="545" spans="1:6" x14ac:dyDescent="0.25">
      <c r="A545" s="405">
        <v>8421761048</v>
      </c>
      <c r="B545">
        <v>10000271</v>
      </c>
      <c r="C545" t="s">
        <v>2284</v>
      </c>
      <c r="D545" s="406">
        <v>812400</v>
      </c>
      <c r="E545" s="406">
        <v>812400</v>
      </c>
      <c r="F545">
        <v>6</v>
      </c>
    </row>
    <row r="546" spans="1:6" x14ac:dyDescent="0.25">
      <c r="A546" s="405">
        <v>8422031841</v>
      </c>
      <c r="B546">
        <v>10000103</v>
      </c>
      <c r="C546" t="s">
        <v>2285</v>
      </c>
      <c r="D546" s="406">
        <v>633583.33333333337</v>
      </c>
      <c r="E546" s="406">
        <v>633583.33333333337</v>
      </c>
      <c r="F546">
        <v>6</v>
      </c>
    </row>
    <row r="547" spans="1:6" x14ac:dyDescent="0.25">
      <c r="A547" s="405">
        <v>8422122847</v>
      </c>
      <c r="C547" t="s">
        <v>860</v>
      </c>
      <c r="D547" s="406">
        <v>837400</v>
      </c>
      <c r="E547" s="406">
        <v>837400</v>
      </c>
      <c r="F547">
        <v>6</v>
      </c>
    </row>
    <row r="548" spans="1:6" x14ac:dyDescent="0.25">
      <c r="A548" s="405">
        <v>8422492644</v>
      </c>
      <c r="B548">
        <v>10000831</v>
      </c>
      <c r="C548" t="s">
        <v>1254</v>
      </c>
      <c r="D548" s="406">
        <v>453333.33333333331</v>
      </c>
      <c r="E548" s="406">
        <v>453333.33333333331</v>
      </c>
      <c r="F548">
        <v>6</v>
      </c>
    </row>
    <row r="549" spans="1:6" x14ac:dyDescent="0.25">
      <c r="A549" s="405">
        <v>8422512769</v>
      </c>
      <c r="B549">
        <v>10000174</v>
      </c>
      <c r="C549" t="s">
        <v>908</v>
      </c>
      <c r="D549" s="406">
        <v>298966.66666666669</v>
      </c>
      <c r="E549" s="406">
        <v>298966.66666666669</v>
      </c>
      <c r="F549">
        <v>6</v>
      </c>
    </row>
    <row r="550" spans="1:6" x14ac:dyDescent="0.25">
      <c r="A550" s="405">
        <v>8422550644</v>
      </c>
      <c r="B550">
        <v>10002013</v>
      </c>
      <c r="C550" t="s">
        <v>1736</v>
      </c>
      <c r="D550" s="406">
        <v>300000</v>
      </c>
      <c r="E550" s="406">
        <v>400000</v>
      </c>
      <c r="F550">
        <v>3</v>
      </c>
    </row>
    <row r="551" spans="1:6" x14ac:dyDescent="0.25">
      <c r="A551" s="405">
        <v>8422620510</v>
      </c>
      <c r="B551">
        <v>10001406</v>
      </c>
      <c r="C551" t="s">
        <v>2286</v>
      </c>
      <c r="D551" s="406">
        <v>436000</v>
      </c>
      <c r="E551" s="406">
        <v>436000</v>
      </c>
      <c r="F551">
        <v>6</v>
      </c>
    </row>
    <row r="552" spans="1:6" x14ac:dyDescent="0.25">
      <c r="A552" s="405">
        <v>8422871416</v>
      </c>
      <c r="B552">
        <v>10001035</v>
      </c>
      <c r="C552" t="s">
        <v>2287</v>
      </c>
      <c r="D552" s="406">
        <v>658666.66666666663</v>
      </c>
      <c r="E552" s="406">
        <v>658666.66666666663</v>
      </c>
      <c r="F552">
        <v>6</v>
      </c>
    </row>
    <row r="553" spans="1:6" x14ac:dyDescent="0.25">
      <c r="A553" s="405">
        <v>8423011275</v>
      </c>
      <c r="B553">
        <v>10000115</v>
      </c>
      <c r="C553" t="s">
        <v>2288</v>
      </c>
      <c r="D553" s="406">
        <v>121000</v>
      </c>
      <c r="E553" s="406">
        <v>484000</v>
      </c>
      <c r="F553">
        <v>6</v>
      </c>
    </row>
    <row r="554" spans="1:6" x14ac:dyDescent="0.25">
      <c r="A554" s="405">
        <v>8423011763</v>
      </c>
      <c r="B554">
        <v>10000319</v>
      </c>
      <c r="C554" t="s">
        <v>2289</v>
      </c>
      <c r="D554" s="406">
        <v>756900</v>
      </c>
      <c r="E554" s="406">
        <v>756900</v>
      </c>
      <c r="F554">
        <v>6</v>
      </c>
    </row>
    <row r="555" spans="1:6" x14ac:dyDescent="0.25">
      <c r="A555" s="405">
        <v>8423350061</v>
      </c>
      <c r="B555">
        <v>10000538</v>
      </c>
      <c r="C555" t="s">
        <v>2290</v>
      </c>
      <c r="D555" s="406">
        <v>308470</v>
      </c>
      <c r="E555" s="406">
        <v>308470</v>
      </c>
      <c r="F555">
        <v>6</v>
      </c>
    </row>
    <row r="556" spans="1:6" x14ac:dyDescent="0.25">
      <c r="A556" s="405">
        <v>8423762033</v>
      </c>
      <c r="B556">
        <v>10000616</v>
      </c>
      <c r="C556" t="s">
        <v>2291</v>
      </c>
      <c r="D556" s="406">
        <v>295466.66666666669</v>
      </c>
      <c r="E556" s="406">
        <v>295466.66666666669</v>
      </c>
      <c r="F556">
        <v>6</v>
      </c>
    </row>
    <row r="557" spans="1:6" x14ac:dyDescent="0.25">
      <c r="A557" s="405">
        <v>8424091655</v>
      </c>
      <c r="B557">
        <v>10001018</v>
      </c>
      <c r="C557" t="s">
        <v>1315</v>
      </c>
      <c r="D557" s="406">
        <v>328266.66666666669</v>
      </c>
      <c r="E557" s="406">
        <v>328266.66666666669</v>
      </c>
      <c r="F557">
        <v>6</v>
      </c>
    </row>
    <row r="558" spans="1:6" x14ac:dyDescent="0.25">
      <c r="A558" s="405">
        <v>8424210697</v>
      </c>
      <c r="B558">
        <v>10001127</v>
      </c>
      <c r="C558" t="s">
        <v>2292</v>
      </c>
      <c r="D558" s="406">
        <v>366933.33333333331</v>
      </c>
      <c r="E558" s="406">
        <v>366933.33333333331</v>
      </c>
      <c r="F558">
        <v>6</v>
      </c>
    </row>
    <row r="559" spans="1:6" x14ac:dyDescent="0.25">
      <c r="A559" s="405">
        <v>8424321014</v>
      </c>
      <c r="B559">
        <v>10001970</v>
      </c>
      <c r="C559" t="s">
        <v>1696</v>
      </c>
      <c r="D559" s="406">
        <v>379533.33333333331</v>
      </c>
      <c r="E559" s="406">
        <v>379533.33333333331</v>
      </c>
      <c r="F559">
        <v>6</v>
      </c>
    </row>
    <row r="560" spans="1:6" x14ac:dyDescent="0.25">
      <c r="A560" s="405">
        <v>8424450205</v>
      </c>
      <c r="B560">
        <v>10001125</v>
      </c>
      <c r="C560" t="s">
        <v>1349</v>
      </c>
      <c r="D560" s="406">
        <v>513000</v>
      </c>
      <c r="E560" s="406">
        <v>513000</v>
      </c>
      <c r="F560">
        <v>6</v>
      </c>
    </row>
    <row r="561" spans="1:6" x14ac:dyDescent="0.25">
      <c r="A561" s="405">
        <v>8424470087</v>
      </c>
      <c r="B561">
        <v>10000242</v>
      </c>
      <c r="C561" t="s">
        <v>2293</v>
      </c>
      <c r="D561" s="406">
        <v>660466.66666666663</v>
      </c>
      <c r="E561" s="406">
        <v>660466.66666666663</v>
      </c>
      <c r="F561">
        <v>6</v>
      </c>
    </row>
    <row r="562" spans="1:6" x14ac:dyDescent="0.25">
      <c r="A562" s="405">
        <v>8424630238</v>
      </c>
      <c r="B562">
        <v>10000589</v>
      </c>
      <c r="C562" t="s">
        <v>1159</v>
      </c>
      <c r="D562" s="406">
        <v>396000</v>
      </c>
      <c r="E562" s="406">
        <v>396000</v>
      </c>
      <c r="F562">
        <v>6</v>
      </c>
    </row>
    <row r="563" spans="1:6" x14ac:dyDescent="0.25">
      <c r="A563" s="405">
        <v>8424680057</v>
      </c>
      <c r="B563">
        <v>10000015</v>
      </c>
      <c r="C563" t="s">
        <v>777</v>
      </c>
      <c r="D563" s="406">
        <v>558566.66666666663</v>
      </c>
      <c r="E563" s="406">
        <v>744755.5555555555</v>
      </c>
      <c r="F563">
        <v>6</v>
      </c>
    </row>
    <row r="564" spans="1:6" x14ac:dyDescent="0.25">
      <c r="A564" s="405">
        <v>8424702352</v>
      </c>
      <c r="B564">
        <v>10000361</v>
      </c>
      <c r="C564" t="s">
        <v>2294</v>
      </c>
      <c r="D564" s="406">
        <v>304933.33333333331</v>
      </c>
      <c r="E564" s="406">
        <v>304933.33333333331</v>
      </c>
      <c r="F564">
        <v>6</v>
      </c>
    </row>
    <row r="565" spans="1:6" x14ac:dyDescent="0.25">
      <c r="A565" s="405">
        <v>8424730070</v>
      </c>
      <c r="B565">
        <v>10000665</v>
      </c>
      <c r="C565" t="s">
        <v>1195</v>
      </c>
      <c r="D565" s="406">
        <v>528133.33333333337</v>
      </c>
      <c r="E565" s="406">
        <v>528133.33333333337</v>
      </c>
      <c r="F565">
        <v>6</v>
      </c>
    </row>
    <row r="566" spans="1:6" x14ac:dyDescent="0.25">
      <c r="A566" s="405">
        <v>8424970721</v>
      </c>
      <c r="B566">
        <v>10001660</v>
      </c>
      <c r="C566" t="s">
        <v>2295</v>
      </c>
      <c r="D566" s="406">
        <v>60266.666666666664</v>
      </c>
      <c r="E566" s="406">
        <v>241066.66666666666</v>
      </c>
      <c r="F566">
        <v>6</v>
      </c>
    </row>
    <row r="567" spans="1:6" x14ac:dyDescent="0.25">
      <c r="A567" s="405">
        <v>8425000386</v>
      </c>
      <c r="B567">
        <v>10001179</v>
      </c>
      <c r="C567" t="s">
        <v>1372</v>
      </c>
      <c r="D567" s="406">
        <v>382066.66666666669</v>
      </c>
      <c r="E567" s="406">
        <v>382066.66666666669</v>
      </c>
      <c r="F567">
        <v>6</v>
      </c>
    </row>
    <row r="568" spans="1:6" x14ac:dyDescent="0.25">
      <c r="A568" s="405">
        <v>8425033721</v>
      </c>
      <c r="B568">
        <v>10001762</v>
      </c>
      <c r="C568" t="s">
        <v>1602</v>
      </c>
      <c r="D568" s="406">
        <v>286000</v>
      </c>
      <c r="E568" s="406">
        <v>286000</v>
      </c>
      <c r="F568">
        <v>6</v>
      </c>
    </row>
    <row r="569" spans="1:6" x14ac:dyDescent="0.25">
      <c r="A569" s="405">
        <v>8425041317</v>
      </c>
      <c r="B569">
        <v>10000483</v>
      </c>
      <c r="C569" t="s">
        <v>1095</v>
      </c>
      <c r="D569" s="406">
        <v>451000</v>
      </c>
      <c r="E569" s="406">
        <v>451000</v>
      </c>
      <c r="F569">
        <v>6</v>
      </c>
    </row>
    <row r="570" spans="1:6" x14ac:dyDescent="0.25">
      <c r="A570" s="405">
        <v>8425551579</v>
      </c>
      <c r="B570">
        <v>10000121</v>
      </c>
      <c r="C570" t="s">
        <v>2296</v>
      </c>
      <c r="D570" s="406">
        <v>304933.33333333331</v>
      </c>
      <c r="E570" s="406">
        <v>304933.33333333331</v>
      </c>
      <c r="F570">
        <v>6</v>
      </c>
    </row>
    <row r="571" spans="1:6" x14ac:dyDescent="0.25">
      <c r="A571" s="405">
        <v>8425661145</v>
      </c>
      <c r="B571">
        <v>10001905</v>
      </c>
      <c r="C571" t="s">
        <v>1666</v>
      </c>
      <c r="D571" s="406">
        <v>511600</v>
      </c>
      <c r="E571" s="406">
        <v>511600</v>
      </c>
      <c r="F571">
        <v>6</v>
      </c>
    </row>
    <row r="572" spans="1:6" x14ac:dyDescent="0.25">
      <c r="A572" s="405">
        <v>8425662095</v>
      </c>
      <c r="B572">
        <v>10000526</v>
      </c>
      <c r="C572" t="s">
        <v>1124</v>
      </c>
      <c r="D572" s="406">
        <v>641333.33333333337</v>
      </c>
      <c r="E572" s="406">
        <v>641333.33333333337</v>
      </c>
      <c r="F572">
        <v>6</v>
      </c>
    </row>
    <row r="573" spans="1:6" x14ac:dyDescent="0.25">
      <c r="A573" s="405">
        <v>8425711185</v>
      </c>
      <c r="B573">
        <v>10001036</v>
      </c>
      <c r="C573" t="s">
        <v>1322</v>
      </c>
      <c r="D573" s="406">
        <v>240933.33333333334</v>
      </c>
      <c r="E573" s="406">
        <v>240933.33333333334</v>
      </c>
      <c r="F573">
        <v>6</v>
      </c>
    </row>
    <row r="574" spans="1:6" x14ac:dyDescent="0.25">
      <c r="A574" s="405">
        <v>8426023649</v>
      </c>
      <c r="B574">
        <v>10000493</v>
      </c>
      <c r="C574" t="s">
        <v>1101</v>
      </c>
      <c r="D574" s="406">
        <v>385000</v>
      </c>
      <c r="E574" s="406">
        <v>385000</v>
      </c>
      <c r="F574">
        <v>6</v>
      </c>
    </row>
    <row r="575" spans="1:6" x14ac:dyDescent="0.25">
      <c r="A575" s="405">
        <v>8426043291</v>
      </c>
      <c r="B575">
        <v>10001138</v>
      </c>
      <c r="C575" t="s">
        <v>1356</v>
      </c>
      <c r="D575" s="406">
        <v>429000</v>
      </c>
      <c r="E575" s="406">
        <v>429000</v>
      </c>
      <c r="F575">
        <v>6</v>
      </c>
    </row>
    <row r="576" spans="1:6" x14ac:dyDescent="0.25">
      <c r="A576" s="405">
        <v>8426141927</v>
      </c>
      <c r="B576">
        <v>10000358</v>
      </c>
      <c r="C576" t="s">
        <v>1020</v>
      </c>
      <c r="D576" s="406">
        <v>154600</v>
      </c>
      <c r="E576" s="406">
        <v>309200</v>
      </c>
      <c r="F576">
        <v>6</v>
      </c>
    </row>
    <row r="577" spans="1:6" x14ac:dyDescent="0.25">
      <c r="A577" s="405">
        <v>8426142613</v>
      </c>
      <c r="B577">
        <v>10000366</v>
      </c>
      <c r="C577" t="s">
        <v>2297</v>
      </c>
      <c r="D577" s="406">
        <v>316933.33333333331</v>
      </c>
      <c r="E577" s="406">
        <v>316933.33333333331</v>
      </c>
      <c r="F577">
        <v>6</v>
      </c>
    </row>
    <row r="578" spans="1:6" x14ac:dyDescent="0.25">
      <c r="A578" s="405">
        <v>8426341128</v>
      </c>
      <c r="B578">
        <v>10001448</v>
      </c>
      <c r="C578" t="s">
        <v>1438</v>
      </c>
      <c r="D578" s="406">
        <v>330000</v>
      </c>
      <c r="E578" s="406">
        <v>330000</v>
      </c>
      <c r="F578">
        <v>6</v>
      </c>
    </row>
    <row r="579" spans="1:6" x14ac:dyDescent="0.25">
      <c r="A579" s="405">
        <v>8426440355</v>
      </c>
      <c r="B579">
        <v>10001075</v>
      </c>
      <c r="C579" t="s">
        <v>2298</v>
      </c>
      <c r="D579" s="406">
        <v>597500</v>
      </c>
      <c r="E579" s="406">
        <v>597500</v>
      </c>
      <c r="F579">
        <v>6</v>
      </c>
    </row>
    <row r="580" spans="1:6" x14ac:dyDescent="0.25">
      <c r="A580" s="405">
        <v>8426450946</v>
      </c>
      <c r="B580">
        <v>10000802</v>
      </c>
      <c r="C580" t="s">
        <v>2299</v>
      </c>
      <c r="D580" s="406">
        <v>379533.33333333331</v>
      </c>
      <c r="E580" s="406">
        <v>379533.33333333331</v>
      </c>
      <c r="F580">
        <v>6</v>
      </c>
    </row>
    <row r="581" spans="1:6" x14ac:dyDescent="0.25">
      <c r="A581" s="405">
        <v>8426662528</v>
      </c>
      <c r="B581">
        <v>10001915</v>
      </c>
      <c r="C581" t="s">
        <v>1670</v>
      </c>
      <c r="D581" s="406">
        <v>220000</v>
      </c>
      <c r="E581" s="406">
        <v>440000</v>
      </c>
      <c r="F581">
        <v>6</v>
      </c>
    </row>
    <row r="582" spans="1:6" x14ac:dyDescent="0.25">
      <c r="A582" s="405">
        <v>8426803148</v>
      </c>
      <c r="B582">
        <v>10000571</v>
      </c>
      <c r="C582" t="s">
        <v>1148</v>
      </c>
      <c r="D582" s="406">
        <v>542948.16666666663</v>
      </c>
      <c r="E582" s="406">
        <v>542948.16666666663</v>
      </c>
      <c r="F582">
        <v>6</v>
      </c>
    </row>
    <row r="583" spans="1:6" x14ac:dyDescent="0.25">
      <c r="A583" s="405">
        <v>8426810039</v>
      </c>
      <c r="B583">
        <v>10000600</v>
      </c>
      <c r="C583" t="s">
        <v>2300</v>
      </c>
      <c r="D583" s="406">
        <v>538000</v>
      </c>
      <c r="E583" s="406">
        <v>538000</v>
      </c>
      <c r="F583">
        <v>2</v>
      </c>
    </row>
    <row r="584" spans="1:6" x14ac:dyDescent="0.25">
      <c r="A584" s="405">
        <v>8427040342</v>
      </c>
      <c r="B584">
        <v>10000757</v>
      </c>
      <c r="C584" t="s">
        <v>2301</v>
      </c>
      <c r="D584" s="406">
        <v>825000</v>
      </c>
      <c r="E584" s="406">
        <v>825000</v>
      </c>
      <c r="F584">
        <v>6</v>
      </c>
    </row>
    <row r="585" spans="1:6" x14ac:dyDescent="0.25">
      <c r="A585" s="405">
        <v>8427041934</v>
      </c>
      <c r="B585">
        <v>10001109</v>
      </c>
      <c r="C585" t="s">
        <v>2302</v>
      </c>
      <c r="D585" s="406">
        <v>333400</v>
      </c>
      <c r="E585" s="406">
        <v>333400</v>
      </c>
      <c r="F585">
        <v>2</v>
      </c>
    </row>
    <row r="586" spans="1:6" x14ac:dyDescent="0.25">
      <c r="A586" s="405">
        <v>8427102364</v>
      </c>
      <c r="B586">
        <v>10000470</v>
      </c>
      <c r="C586" t="s">
        <v>1093</v>
      </c>
      <c r="D586" s="406">
        <v>431000</v>
      </c>
      <c r="E586" s="406">
        <v>431000</v>
      </c>
      <c r="F586">
        <v>6</v>
      </c>
    </row>
    <row r="587" spans="1:6" x14ac:dyDescent="0.25">
      <c r="A587" s="405">
        <v>8427202695</v>
      </c>
      <c r="B587">
        <v>10001011</v>
      </c>
      <c r="C587" t="s">
        <v>2303</v>
      </c>
      <c r="D587" s="406">
        <v>541000</v>
      </c>
      <c r="E587" s="406">
        <v>541000</v>
      </c>
      <c r="F587">
        <v>6</v>
      </c>
    </row>
    <row r="588" spans="1:6" x14ac:dyDescent="0.25">
      <c r="A588" s="405">
        <v>8427353219</v>
      </c>
      <c r="B588">
        <v>10001452</v>
      </c>
      <c r="C588" t="s">
        <v>2304</v>
      </c>
      <c r="D588" s="406">
        <v>337433.33333333331</v>
      </c>
      <c r="E588" s="406">
        <v>337433.33333333331</v>
      </c>
      <c r="F588">
        <v>6</v>
      </c>
    </row>
    <row r="589" spans="1:6" x14ac:dyDescent="0.25">
      <c r="A589" s="405">
        <v>8427861834</v>
      </c>
      <c r="B589">
        <v>10001919</v>
      </c>
      <c r="C589" t="s">
        <v>1673</v>
      </c>
      <c r="D589" s="406">
        <v>341000</v>
      </c>
      <c r="E589" s="406">
        <v>341000</v>
      </c>
      <c r="F589">
        <v>6</v>
      </c>
    </row>
    <row r="590" spans="1:6" x14ac:dyDescent="0.25">
      <c r="A590" s="405">
        <v>8427980140</v>
      </c>
      <c r="B590">
        <v>10000889</v>
      </c>
      <c r="C590" t="s">
        <v>1271</v>
      </c>
      <c r="D590" s="406">
        <v>322500</v>
      </c>
      <c r="E590" s="406">
        <v>322500</v>
      </c>
      <c r="F590">
        <v>4</v>
      </c>
    </row>
    <row r="591" spans="1:6" x14ac:dyDescent="0.25">
      <c r="A591" s="405">
        <v>8428730148</v>
      </c>
      <c r="B591">
        <v>10002028</v>
      </c>
      <c r="C591" t="s">
        <v>1751</v>
      </c>
      <c r="D591" s="406">
        <v>82500</v>
      </c>
      <c r="E591" s="406">
        <v>330000</v>
      </c>
      <c r="F591">
        <v>2</v>
      </c>
    </row>
    <row r="592" spans="1:6" x14ac:dyDescent="0.25">
      <c r="A592" s="405">
        <v>8428810354</v>
      </c>
      <c r="B592">
        <v>10000978</v>
      </c>
      <c r="C592" t="s">
        <v>2305</v>
      </c>
      <c r="D592" s="406">
        <v>645866.66666666663</v>
      </c>
      <c r="E592" s="406">
        <v>645866.66666666663</v>
      </c>
      <c r="F592">
        <v>6</v>
      </c>
    </row>
    <row r="593" spans="1:6" x14ac:dyDescent="0.25">
      <c r="A593" s="405">
        <v>8429101519</v>
      </c>
      <c r="B593">
        <v>10000657</v>
      </c>
      <c r="C593" t="s">
        <v>1191</v>
      </c>
      <c r="D593" s="406">
        <v>797666.66666666663</v>
      </c>
      <c r="E593" s="406">
        <v>797666.66666666663</v>
      </c>
      <c r="F593">
        <v>6</v>
      </c>
    </row>
    <row r="594" spans="1:6" x14ac:dyDescent="0.25">
      <c r="A594" s="405">
        <v>8429253254</v>
      </c>
      <c r="B594">
        <v>10001792</v>
      </c>
      <c r="C594" t="s">
        <v>1616</v>
      </c>
      <c r="D594" s="406">
        <v>340833.33333333331</v>
      </c>
      <c r="E594" s="406">
        <v>340833.33333333331</v>
      </c>
      <c r="F594">
        <v>6</v>
      </c>
    </row>
    <row r="595" spans="1:6" x14ac:dyDescent="0.25">
      <c r="A595" s="405">
        <v>8429333843</v>
      </c>
      <c r="B595">
        <v>10001133</v>
      </c>
      <c r="C595" t="s">
        <v>2306</v>
      </c>
      <c r="D595" s="406">
        <v>376666.66666666669</v>
      </c>
      <c r="E595" s="406">
        <v>376666.66666666669</v>
      </c>
      <c r="F595">
        <v>6</v>
      </c>
    </row>
    <row r="596" spans="1:6" x14ac:dyDescent="0.25">
      <c r="A596" s="405">
        <v>8429343245</v>
      </c>
      <c r="B596">
        <v>10000567</v>
      </c>
      <c r="C596" t="s">
        <v>1146</v>
      </c>
      <c r="D596" s="406">
        <v>341000</v>
      </c>
      <c r="E596" s="406">
        <v>341000</v>
      </c>
      <c r="F596">
        <v>6</v>
      </c>
    </row>
    <row r="597" spans="1:6" x14ac:dyDescent="0.25">
      <c r="A597" s="405">
        <v>8429410953</v>
      </c>
      <c r="B597">
        <v>10001958</v>
      </c>
      <c r="C597" t="s">
        <v>1690</v>
      </c>
      <c r="D597" s="406">
        <v>366733.33333333331</v>
      </c>
      <c r="E597" s="406">
        <v>366733.33333333331</v>
      </c>
      <c r="F597">
        <v>6</v>
      </c>
    </row>
    <row r="598" spans="1:6" x14ac:dyDescent="0.25">
      <c r="A598" s="405">
        <v>8430140549</v>
      </c>
      <c r="B598">
        <v>10001907</v>
      </c>
      <c r="C598" t="s">
        <v>2307</v>
      </c>
      <c r="D598" s="406">
        <v>126533.33333333333</v>
      </c>
      <c r="E598" s="406">
        <v>253066.66666666666</v>
      </c>
      <c r="F598">
        <v>6</v>
      </c>
    </row>
    <row r="599" spans="1:6" x14ac:dyDescent="0.25">
      <c r="A599" s="405">
        <v>8430310738</v>
      </c>
      <c r="B599">
        <v>10002016</v>
      </c>
      <c r="C599" t="s">
        <v>1738</v>
      </c>
      <c r="D599" s="406">
        <v>390000</v>
      </c>
      <c r="E599" s="406">
        <v>390000</v>
      </c>
      <c r="F599">
        <v>3</v>
      </c>
    </row>
    <row r="600" spans="1:6" x14ac:dyDescent="0.25">
      <c r="A600" s="405">
        <v>8430420215</v>
      </c>
      <c r="B600">
        <v>10001183</v>
      </c>
      <c r="C600" t="s">
        <v>2308</v>
      </c>
      <c r="D600" s="406">
        <v>341333.33333333331</v>
      </c>
      <c r="E600" s="406">
        <v>430777.77777777775</v>
      </c>
      <c r="F600">
        <v>6</v>
      </c>
    </row>
    <row r="601" spans="1:6" x14ac:dyDescent="0.25">
      <c r="A601" s="405">
        <v>8430941800</v>
      </c>
      <c r="B601">
        <v>10000500</v>
      </c>
      <c r="C601" t="s">
        <v>1106</v>
      </c>
      <c r="D601" s="406">
        <v>1210000</v>
      </c>
      <c r="E601" s="406">
        <v>1210000</v>
      </c>
      <c r="F601">
        <v>6</v>
      </c>
    </row>
    <row r="602" spans="1:6" x14ac:dyDescent="0.25">
      <c r="A602" s="405">
        <v>8431040599</v>
      </c>
      <c r="B602">
        <v>10000534</v>
      </c>
      <c r="C602" t="s">
        <v>2309</v>
      </c>
      <c r="D602" s="406">
        <v>371000</v>
      </c>
      <c r="E602" s="406">
        <v>371000</v>
      </c>
      <c r="F602">
        <v>6</v>
      </c>
    </row>
    <row r="603" spans="1:6" x14ac:dyDescent="0.25">
      <c r="A603" s="405">
        <v>8431123648</v>
      </c>
      <c r="B603">
        <v>10001262</v>
      </c>
      <c r="C603" t="s">
        <v>2310</v>
      </c>
      <c r="D603" s="406">
        <v>462000</v>
      </c>
      <c r="E603" s="406">
        <v>462000</v>
      </c>
      <c r="F603">
        <v>6</v>
      </c>
    </row>
    <row r="604" spans="1:6" x14ac:dyDescent="0.25">
      <c r="A604" s="405">
        <v>8431303115</v>
      </c>
      <c r="B604">
        <v>10001054</v>
      </c>
      <c r="C604" t="s">
        <v>1331</v>
      </c>
      <c r="D604" s="406">
        <v>182900</v>
      </c>
      <c r="E604" s="406">
        <v>243866.66666666666</v>
      </c>
      <c r="F604">
        <v>6</v>
      </c>
    </row>
    <row r="605" spans="1:6" x14ac:dyDescent="0.25">
      <c r="A605" s="405">
        <v>8431501502</v>
      </c>
      <c r="B605">
        <v>10001940</v>
      </c>
      <c r="C605" t="s">
        <v>1683</v>
      </c>
      <c r="D605" s="406">
        <v>341000</v>
      </c>
      <c r="E605" s="406">
        <v>341000</v>
      </c>
      <c r="F605">
        <v>6</v>
      </c>
    </row>
    <row r="606" spans="1:6" x14ac:dyDescent="0.25">
      <c r="A606" s="405">
        <v>8431812710</v>
      </c>
      <c r="B606">
        <v>10001007</v>
      </c>
      <c r="C606" t="s">
        <v>1309</v>
      </c>
      <c r="D606" s="406">
        <v>480663.66666666669</v>
      </c>
      <c r="E606" s="406">
        <v>480663.66666666669</v>
      </c>
      <c r="F606">
        <v>6</v>
      </c>
    </row>
    <row r="607" spans="1:6" x14ac:dyDescent="0.25">
      <c r="A607" s="405">
        <v>8432052701</v>
      </c>
      <c r="B607">
        <v>10000111</v>
      </c>
      <c r="C607" t="s">
        <v>866</v>
      </c>
      <c r="D607" s="406">
        <v>834120.66666666663</v>
      </c>
      <c r="E607" s="406">
        <v>834120.66666666663</v>
      </c>
      <c r="F607">
        <v>6</v>
      </c>
    </row>
    <row r="608" spans="1:6" x14ac:dyDescent="0.25">
      <c r="A608" s="405">
        <v>8432283533</v>
      </c>
      <c r="B608">
        <v>10001743</v>
      </c>
      <c r="C608" t="s">
        <v>2311</v>
      </c>
      <c r="D608" s="406">
        <v>240933.33333333334</v>
      </c>
      <c r="E608" s="406">
        <v>240933.33333333334</v>
      </c>
      <c r="F608">
        <v>6</v>
      </c>
    </row>
    <row r="609" spans="1:6" x14ac:dyDescent="0.25">
      <c r="A609" s="405">
        <v>8432360317</v>
      </c>
      <c r="B609">
        <v>10000130</v>
      </c>
      <c r="C609" t="s">
        <v>2312</v>
      </c>
      <c r="D609" s="406">
        <v>304933.33333333331</v>
      </c>
      <c r="E609" s="406">
        <v>304933.33333333331</v>
      </c>
      <c r="F609">
        <v>6</v>
      </c>
    </row>
    <row r="610" spans="1:6" x14ac:dyDescent="0.25">
      <c r="A610" s="405">
        <v>8432381489</v>
      </c>
      <c r="B610">
        <v>10000516</v>
      </c>
      <c r="C610" t="s">
        <v>2313</v>
      </c>
      <c r="D610" s="406">
        <v>302013</v>
      </c>
      <c r="E610" s="406">
        <v>302013</v>
      </c>
      <c r="F610">
        <v>2</v>
      </c>
    </row>
    <row r="611" spans="1:6" x14ac:dyDescent="0.25">
      <c r="A611" s="405">
        <v>8432463973</v>
      </c>
      <c r="B611">
        <v>10001342</v>
      </c>
      <c r="C611" t="s">
        <v>1409</v>
      </c>
      <c r="D611" s="406">
        <v>352000</v>
      </c>
      <c r="E611" s="406">
        <v>352000</v>
      </c>
      <c r="F611">
        <v>6</v>
      </c>
    </row>
    <row r="612" spans="1:6" x14ac:dyDescent="0.25">
      <c r="A612" s="405">
        <v>8432490555</v>
      </c>
      <c r="B612">
        <v>10000035</v>
      </c>
      <c r="C612" t="s">
        <v>798</v>
      </c>
      <c r="D612" s="406">
        <v>526083.33333333337</v>
      </c>
      <c r="E612" s="406">
        <v>526083.33333333337</v>
      </c>
      <c r="F612">
        <v>6</v>
      </c>
    </row>
    <row r="613" spans="1:6" x14ac:dyDescent="0.25">
      <c r="A613" s="405">
        <v>8432772577</v>
      </c>
      <c r="B613">
        <v>10000559</v>
      </c>
      <c r="C613" t="s">
        <v>1144</v>
      </c>
      <c r="D613" s="406">
        <v>460166.66666666669</v>
      </c>
      <c r="E613" s="406">
        <v>460166.66666666669</v>
      </c>
      <c r="F613">
        <v>6</v>
      </c>
    </row>
    <row r="614" spans="1:6" x14ac:dyDescent="0.25">
      <c r="A614" s="405">
        <v>8432804142</v>
      </c>
      <c r="B614">
        <v>10000020</v>
      </c>
      <c r="C614" t="s">
        <v>783</v>
      </c>
      <c r="D614" s="406">
        <v>312416.66666666669</v>
      </c>
      <c r="E614" s="406">
        <v>312416.66666666669</v>
      </c>
      <c r="F614">
        <v>6</v>
      </c>
    </row>
    <row r="615" spans="1:6" x14ac:dyDescent="0.25">
      <c r="A615" s="405">
        <v>8432843334</v>
      </c>
      <c r="B615">
        <v>10000945</v>
      </c>
      <c r="C615" t="s">
        <v>2314</v>
      </c>
      <c r="D615" s="406">
        <v>423533.33333333331</v>
      </c>
      <c r="E615" s="406">
        <v>423533.33333333331</v>
      </c>
      <c r="F615">
        <v>6</v>
      </c>
    </row>
    <row r="616" spans="1:6" x14ac:dyDescent="0.25">
      <c r="A616" s="405">
        <v>8432950068</v>
      </c>
      <c r="B616">
        <v>10000671</v>
      </c>
      <c r="C616" t="s">
        <v>1198</v>
      </c>
      <c r="D616" s="406">
        <v>682000</v>
      </c>
      <c r="E616" s="406">
        <v>852500</v>
      </c>
      <c r="F616">
        <v>6</v>
      </c>
    </row>
    <row r="617" spans="1:6" x14ac:dyDescent="0.25">
      <c r="A617" s="405">
        <v>8433111051</v>
      </c>
      <c r="B617">
        <v>10000195</v>
      </c>
      <c r="C617" t="s">
        <v>2315</v>
      </c>
      <c r="D617" s="406">
        <v>601600</v>
      </c>
      <c r="E617" s="406">
        <v>601600</v>
      </c>
      <c r="F617">
        <v>6</v>
      </c>
    </row>
    <row r="618" spans="1:6" x14ac:dyDescent="0.25">
      <c r="A618" s="405">
        <v>8433111434</v>
      </c>
      <c r="B618">
        <v>10001008</v>
      </c>
      <c r="C618" t="s">
        <v>1310</v>
      </c>
      <c r="D618" s="406">
        <v>393933.33333333331</v>
      </c>
      <c r="E618" s="406">
        <v>393933.33333333331</v>
      </c>
      <c r="F618">
        <v>6</v>
      </c>
    </row>
    <row r="619" spans="1:6" x14ac:dyDescent="0.25">
      <c r="A619" s="405">
        <v>8433263439</v>
      </c>
      <c r="B619">
        <v>10000341</v>
      </c>
      <c r="C619" t="s">
        <v>2316</v>
      </c>
      <c r="D619" s="406">
        <v>720483.33333333337</v>
      </c>
      <c r="E619" s="406">
        <v>720483.33333333337</v>
      </c>
      <c r="F619">
        <v>6</v>
      </c>
    </row>
    <row r="620" spans="1:6" x14ac:dyDescent="0.25">
      <c r="A620" s="405">
        <v>8433331655</v>
      </c>
      <c r="B620">
        <v>10000581</v>
      </c>
      <c r="C620" t="s">
        <v>2317</v>
      </c>
      <c r="D620" s="406">
        <v>385000</v>
      </c>
      <c r="E620" s="406">
        <v>385000</v>
      </c>
      <c r="F620">
        <v>6</v>
      </c>
    </row>
    <row r="621" spans="1:6" x14ac:dyDescent="0.25">
      <c r="A621" s="405">
        <v>8433380907</v>
      </c>
      <c r="B621">
        <v>10000919</v>
      </c>
      <c r="C621" t="s">
        <v>1282</v>
      </c>
      <c r="D621" s="406">
        <v>508133.33333333331</v>
      </c>
      <c r="E621" s="406">
        <v>508133.33333333331</v>
      </c>
      <c r="F621">
        <v>6</v>
      </c>
    </row>
    <row r="622" spans="1:6" x14ac:dyDescent="0.25">
      <c r="A622" s="405">
        <v>8433500570</v>
      </c>
      <c r="B622">
        <v>10000335</v>
      </c>
      <c r="C622" t="s">
        <v>2318</v>
      </c>
      <c r="D622" s="406">
        <v>426900</v>
      </c>
      <c r="E622" s="406">
        <v>426900</v>
      </c>
      <c r="F622">
        <v>6</v>
      </c>
    </row>
    <row r="623" spans="1:6" x14ac:dyDescent="0.25">
      <c r="A623" s="405">
        <v>8433700847</v>
      </c>
      <c r="B623">
        <v>10001062</v>
      </c>
      <c r="C623" t="s">
        <v>2319</v>
      </c>
      <c r="D623" s="406">
        <v>473333.33333333331</v>
      </c>
      <c r="E623" s="406">
        <v>473333.33333333331</v>
      </c>
      <c r="F623">
        <v>6</v>
      </c>
    </row>
    <row r="624" spans="1:6" x14ac:dyDescent="0.25">
      <c r="A624" s="405">
        <v>8433713434</v>
      </c>
      <c r="B624">
        <v>10001188</v>
      </c>
      <c r="C624" t="s">
        <v>1375</v>
      </c>
      <c r="D624" s="406">
        <v>383266.66666666669</v>
      </c>
      <c r="E624" s="406">
        <v>383266.66666666669</v>
      </c>
      <c r="F624">
        <v>6</v>
      </c>
    </row>
    <row r="625" spans="1:6" x14ac:dyDescent="0.25">
      <c r="A625" s="405">
        <v>8433840320</v>
      </c>
      <c r="B625">
        <v>10001156</v>
      </c>
      <c r="C625" t="s">
        <v>2320</v>
      </c>
      <c r="D625" s="406">
        <v>462000</v>
      </c>
      <c r="E625" s="406">
        <v>462000</v>
      </c>
      <c r="F625">
        <v>6</v>
      </c>
    </row>
    <row r="626" spans="1:6" x14ac:dyDescent="0.25">
      <c r="A626" s="405">
        <v>8433880187</v>
      </c>
      <c r="B626">
        <v>10000336</v>
      </c>
      <c r="C626" t="s">
        <v>2321</v>
      </c>
      <c r="D626" s="406">
        <v>682000</v>
      </c>
      <c r="E626" s="406">
        <v>682000</v>
      </c>
      <c r="F626">
        <v>6</v>
      </c>
    </row>
    <row r="627" spans="1:6" x14ac:dyDescent="0.25">
      <c r="A627" s="405">
        <v>8434153491</v>
      </c>
      <c r="B627">
        <v>10001417</v>
      </c>
      <c r="C627" t="s">
        <v>2322</v>
      </c>
      <c r="D627" s="406">
        <v>304933.33333333331</v>
      </c>
      <c r="E627" s="406">
        <v>304933.33333333331</v>
      </c>
      <c r="F627">
        <v>6</v>
      </c>
    </row>
    <row r="628" spans="1:6" x14ac:dyDescent="0.25">
      <c r="A628" s="405">
        <v>8434170299</v>
      </c>
      <c r="B628">
        <v>10002040</v>
      </c>
      <c r="C628" t="s">
        <v>1764</v>
      </c>
      <c r="D628" s="406">
        <v>350000</v>
      </c>
      <c r="E628" s="406">
        <v>700000</v>
      </c>
      <c r="F628">
        <v>2</v>
      </c>
    </row>
    <row r="629" spans="1:6" x14ac:dyDescent="0.25">
      <c r="A629" s="405">
        <v>8434440679</v>
      </c>
      <c r="B629">
        <v>10000846</v>
      </c>
      <c r="C629" t="s">
        <v>1260</v>
      </c>
      <c r="D629" s="406">
        <v>240933.33333333334</v>
      </c>
      <c r="E629" s="406">
        <v>240933.33333333334</v>
      </c>
      <c r="F629">
        <v>6</v>
      </c>
    </row>
    <row r="630" spans="1:6" x14ac:dyDescent="0.25">
      <c r="A630" s="405">
        <v>8434592517</v>
      </c>
      <c r="B630">
        <v>10001646</v>
      </c>
      <c r="C630" t="s">
        <v>1498</v>
      </c>
      <c r="D630" s="406">
        <v>357533.33333333331</v>
      </c>
      <c r="E630" s="406">
        <v>357533.33333333331</v>
      </c>
      <c r="F630">
        <v>6</v>
      </c>
    </row>
    <row r="631" spans="1:6" x14ac:dyDescent="0.25">
      <c r="A631" s="405">
        <v>8435150860</v>
      </c>
      <c r="B631">
        <v>10001811</v>
      </c>
      <c r="C631" t="s">
        <v>2323</v>
      </c>
      <c r="D631" s="406">
        <v>508800</v>
      </c>
      <c r="E631" s="406">
        <v>508800</v>
      </c>
      <c r="F631">
        <v>4</v>
      </c>
    </row>
    <row r="632" spans="1:6" x14ac:dyDescent="0.25">
      <c r="A632" s="405">
        <v>8435411451</v>
      </c>
      <c r="B632">
        <v>10000775</v>
      </c>
      <c r="C632" t="s">
        <v>2324</v>
      </c>
      <c r="D632" s="406">
        <v>616000</v>
      </c>
      <c r="E632" s="406">
        <v>616000</v>
      </c>
      <c r="F632">
        <v>6</v>
      </c>
    </row>
    <row r="633" spans="1:6" x14ac:dyDescent="0.25">
      <c r="A633" s="405">
        <v>8435565130</v>
      </c>
      <c r="B633">
        <v>10001297</v>
      </c>
      <c r="C633" t="s">
        <v>2325</v>
      </c>
      <c r="D633" s="406">
        <v>244000</v>
      </c>
      <c r="E633" s="406">
        <v>244000</v>
      </c>
      <c r="F633">
        <v>6</v>
      </c>
    </row>
    <row r="634" spans="1:6" x14ac:dyDescent="0.25">
      <c r="A634" s="405">
        <v>8436381068</v>
      </c>
      <c r="B634">
        <v>10000342</v>
      </c>
      <c r="C634" t="s">
        <v>2326</v>
      </c>
      <c r="D634" s="406">
        <v>874533.33333333337</v>
      </c>
      <c r="E634" s="406">
        <v>874533.33333333337</v>
      </c>
      <c r="F634">
        <v>6</v>
      </c>
    </row>
    <row r="635" spans="1:6" x14ac:dyDescent="0.25">
      <c r="A635" s="405">
        <v>8436493206</v>
      </c>
      <c r="B635">
        <v>10002035</v>
      </c>
      <c r="C635" t="s">
        <v>1759</v>
      </c>
      <c r="D635" s="406">
        <v>82500</v>
      </c>
      <c r="E635" s="406">
        <v>330000</v>
      </c>
      <c r="F635">
        <v>2</v>
      </c>
    </row>
    <row r="636" spans="1:6" x14ac:dyDescent="0.25">
      <c r="A636" s="405">
        <v>8436542223</v>
      </c>
      <c r="B636">
        <v>10000308</v>
      </c>
      <c r="C636" t="s">
        <v>2327</v>
      </c>
      <c r="D636" s="406">
        <v>491900</v>
      </c>
      <c r="E636" s="406">
        <v>491900</v>
      </c>
      <c r="F636">
        <v>6</v>
      </c>
    </row>
    <row r="637" spans="1:6" x14ac:dyDescent="0.25">
      <c r="A637" s="405">
        <v>8436690672</v>
      </c>
      <c r="B637">
        <v>10001146</v>
      </c>
      <c r="C637" t="s">
        <v>1359</v>
      </c>
      <c r="D637" s="406">
        <v>426900</v>
      </c>
      <c r="E637" s="406">
        <v>426900</v>
      </c>
      <c r="F637">
        <v>6</v>
      </c>
    </row>
    <row r="638" spans="1:6" x14ac:dyDescent="0.25">
      <c r="A638" s="405">
        <v>8437130026</v>
      </c>
      <c r="B638">
        <v>10001482</v>
      </c>
      <c r="C638" t="s">
        <v>1452</v>
      </c>
      <c r="D638" s="406">
        <v>240933.33333333334</v>
      </c>
      <c r="E638" s="406">
        <v>240933.33333333334</v>
      </c>
      <c r="F638">
        <v>6</v>
      </c>
    </row>
    <row r="639" spans="1:6" x14ac:dyDescent="0.25">
      <c r="A639" s="405">
        <v>8437320062</v>
      </c>
      <c r="B639">
        <v>10001463</v>
      </c>
      <c r="C639" t="s">
        <v>1445</v>
      </c>
      <c r="D639" s="406">
        <v>394253.33333333331</v>
      </c>
      <c r="E639" s="406">
        <v>394253.33333333331</v>
      </c>
      <c r="F639">
        <v>6</v>
      </c>
    </row>
    <row r="640" spans="1:6" x14ac:dyDescent="0.25">
      <c r="A640" s="405">
        <v>8437330769</v>
      </c>
      <c r="B640">
        <v>10001648</v>
      </c>
      <c r="C640" t="s">
        <v>2328</v>
      </c>
      <c r="D640" s="406">
        <v>935000</v>
      </c>
      <c r="E640" s="406">
        <v>935000</v>
      </c>
      <c r="F640">
        <v>6</v>
      </c>
    </row>
    <row r="641" spans="1:6" x14ac:dyDescent="0.25">
      <c r="A641" s="405">
        <v>8437361664</v>
      </c>
      <c r="B641">
        <v>10000621</v>
      </c>
      <c r="C641" t="s">
        <v>1178</v>
      </c>
      <c r="D641" s="406">
        <v>497000</v>
      </c>
      <c r="E641" s="406">
        <v>497000</v>
      </c>
      <c r="F641">
        <v>6</v>
      </c>
    </row>
    <row r="642" spans="1:6" x14ac:dyDescent="0.25">
      <c r="A642" s="405">
        <v>8437401119</v>
      </c>
      <c r="B642">
        <v>10000902</v>
      </c>
      <c r="C642" t="s">
        <v>1276</v>
      </c>
      <c r="D642" s="406">
        <v>440000</v>
      </c>
      <c r="E642" s="406">
        <v>440000</v>
      </c>
      <c r="F642">
        <v>6</v>
      </c>
    </row>
    <row r="643" spans="1:6" x14ac:dyDescent="0.25">
      <c r="A643" s="405">
        <v>8437480957</v>
      </c>
      <c r="B643">
        <v>10001793</v>
      </c>
      <c r="C643" t="s">
        <v>1617</v>
      </c>
      <c r="D643" s="406">
        <v>1077850</v>
      </c>
      <c r="E643" s="406">
        <v>1077850</v>
      </c>
      <c r="F643">
        <v>4</v>
      </c>
    </row>
    <row r="644" spans="1:6" x14ac:dyDescent="0.25">
      <c r="A644" s="405">
        <v>8437650712</v>
      </c>
      <c r="B644">
        <v>10000461</v>
      </c>
      <c r="C644" t="s">
        <v>2329</v>
      </c>
      <c r="D644" s="406">
        <v>352000</v>
      </c>
      <c r="E644" s="406">
        <v>352000</v>
      </c>
      <c r="F644">
        <v>6</v>
      </c>
    </row>
    <row r="645" spans="1:6" x14ac:dyDescent="0.25">
      <c r="A645" s="405">
        <v>8438023282</v>
      </c>
      <c r="B645">
        <v>10000074</v>
      </c>
      <c r="C645" t="s">
        <v>2330</v>
      </c>
      <c r="D645" s="406">
        <v>476900</v>
      </c>
      <c r="E645" s="406">
        <v>476900</v>
      </c>
      <c r="F645">
        <v>6</v>
      </c>
    </row>
    <row r="646" spans="1:6" x14ac:dyDescent="0.25">
      <c r="A646" s="405">
        <v>8438311180</v>
      </c>
      <c r="B646">
        <v>10000251</v>
      </c>
      <c r="C646" t="s">
        <v>2331</v>
      </c>
      <c r="D646" s="406">
        <v>334933.33333333331</v>
      </c>
      <c r="E646" s="406">
        <v>334933.33333333331</v>
      </c>
      <c r="F646">
        <v>6</v>
      </c>
    </row>
    <row r="647" spans="1:6" x14ac:dyDescent="0.25">
      <c r="A647" s="405">
        <v>8438330428</v>
      </c>
      <c r="B647">
        <v>10001744</v>
      </c>
      <c r="C647" t="s">
        <v>2332</v>
      </c>
      <c r="D647" s="406">
        <v>240933.33333333334</v>
      </c>
      <c r="E647" s="406">
        <v>240933.33333333334</v>
      </c>
      <c r="F647">
        <v>6</v>
      </c>
    </row>
    <row r="648" spans="1:6" x14ac:dyDescent="0.25">
      <c r="A648" s="405">
        <v>8438500706</v>
      </c>
      <c r="B648">
        <v>10000506</v>
      </c>
      <c r="C648" t="s">
        <v>2333</v>
      </c>
      <c r="D648" s="406">
        <v>846266.66666666663</v>
      </c>
      <c r="E648" s="406">
        <v>846266.66666666663</v>
      </c>
      <c r="F648">
        <v>6</v>
      </c>
    </row>
    <row r="649" spans="1:6" x14ac:dyDescent="0.25">
      <c r="A649" s="405">
        <v>8438652077</v>
      </c>
      <c r="B649">
        <v>10000984</v>
      </c>
      <c r="C649" t="s">
        <v>1303</v>
      </c>
      <c r="D649" s="406">
        <v>352000</v>
      </c>
      <c r="E649" s="406">
        <v>352000</v>
      </c>
      <c r="F649">
        <v>6</v>
      </c>
    </row>
    <row r="650" spans="1:6" x14ac:dyDescent="0.25">
      <c r="A650" s="405">
        <v>8438731872</v>
      </c>
      <c r="B650">
        <v>10000306</v>
      </c>
      <c r="C650" t="s">
        <v>2334</v>
      </c>
      <c r="D650" s="406">
        <v>1086900</v>
      </c>
      <c r="E650" s="406">
        <v>1086900</v>
      </c>
      <c r="F650">
        <v>6</v>
      </c>
    </row>
    <row r="651" spans="1:6" x14ac:dyDescent="0.25">
      <c r="A651" s="405">
        <v>8438912923</v>
      </c>
      <c r="B651">
        <v>10001232</v>
      </c>
      <c r="C651" t="s">
        <v>1378</v>
      </c>
      <c r="D651" s="406">
        <v>297566.66666666669</v>
      </c>
      <c r="E651" s="406">
        <v>297566.66666666669</v>
      </c>
      <c r="F651">
        <v>6</v>
      </c>
    </row>
    <row r="652" spans="1:6" x14ac:dyDescent="0.25">
      <c r="A652" s="405">
        <v>8438973132</v>
      </c>
      <c r="B652">
        <v>10002039</v>
      </c>
      <c r="C652" t="s">
        <v>1763</v>
      </c>
      <c r="D652" s="406">
        <v>82500</v>
      </c>
      <c r="E652" s="406">
        <v>330000</v>
      </c>
      <c r="F652">
        <v>2</v>
      </c>
    </row>
    <row r="653" spans="1:6" x14ac:dyDescent="0.25">
      <c r="A653" s="405">
        <v>8439131399</v>
      </c>
      <c r="B653">
        <v>10000850</v>
      </c>
      <c r="C653" t="s">
        <v>2335</v>
      </c>
      <c r="D653" s="406">
        <v>497666.66666666669</v>
      </c>
      <c r="E653" s="406">
        <v>497666.66666666669</v>
      </c>
      <c r="F653">
        <v>6</v>
      </c>
    </row>
    <row r="654" spans="1:6" x14ac:dyDescent="0.25">
      <c r="A654" s="405">
        <v>8439201346</v>
      </c>
      <c r="B654">
        <v>10000292</v>
      </c>
      <c r="C654" t="s">
        <v>981</v>
      </c>
      <c r="D654" s="406">
        <v>751966.66666666663</v>
      </c>
      <c r="E654" s="406">
        <v>751966.66666666663</v>
      </c>
      <c r="F654">
        <v>6</v>
      </c>
    </row>
    <row r="655" spans="1:6" x14ac:dyDescent="0.25">
      <c r="A655" s="405">
        <v>8439311400</v>
      </c>
      <c r="B655">
        <v>10002029</v>
      </c>
      <c r="C655" t="s">
        <v>1752</v>
      </c>
      <c r="D655" s="406">
        <v>82500</v>
      </c>
      <c r="E655" s="406">
        <v>330000</v>
      </c>
      <c r="F655">
        <v>2</v>
      </c>
    </row>
    <row r="656" spans="1:6" x14ac:dyDescent="0.25">
      <c r="A656" s="405">
        <v>8439382790</v>
      </c>
      <c r="B656">
        <v>10001986</v>
      </c>
      <c r="C656" t="s">
        <v>2336</v>
      </c>
      <c r="D656" s="406">
        <v>464400</v>
      </c>
      <c r="E656" s="406">
        <v>464400</v>
      </c>
      <c r="F656">
        <v>5</v>
      </c>
    </row>
    <row r="657" spans="1:6" x14ac:dyDescent="0.25">
      <c r="A657" s="405">
        <v>8439610572</v>
      </c>
      <c r="B657">
        <v>10000340</v>
      </c>
      <c r="C657" t="s">
        <v>2337</v>
      </c>
      <c r="D657" s="406">
        <v>844900</v>
      </c>
      <c r="E657" s="406">
        <v>844900</v>
      </c>
      <c r="F657">
        <v>6</v>
      </c>
    </row>
    <row r="658" spans="1:6" x14ac:dyDescent="0.25">
      <c r="A658" s="405">
        <v>8439630735</v>
      </c>
      <c r="B658">
        <v>10000180</v>
      </c>
      <c r="C658" t="s">
        <v>2338</v>
      </c>
      <c r="D658" s="406">
        <v>304933.33333333331</v>
      </c>
      <c r="E658" s="406">
        <v>304933.33333333331</v>
      </c>
      <c r="F658">
        <v>6</v>
      </c>
    </row>
    <row r="659" spans="1:6" x14ac:dyDescent="0.25">
      <c r="A659" s="405">
        <v>8439632215</v>
      </c>
      <c r="B659">
        <v>10001338</v>
      </c>
      <c r="C659" t="s">
        <v>2339</v>
      </c>
      <c r="D659" s="406">
        <v>539666.66666666663</v>
      </c>
      <c r="E659" s="406">
        <v>539666.66666666663</v>
      </c>
      <c r="F659">
        <v>6</v>
      </c>
    </row>
    <row r="660" spans="1:6" x14ac:dyDescent="0.25">
      <c r="A660" s="405">
        <v>8439813473</v>
      </c>
      <c r="B660">
        <v>10000682</v>
      </c>
      <c r="C660" t="s">
        <v>2340</v>
      </c>
      <c r="D660" s="406">
        <v>286000</v>
      </c>
      <c r="E660" s="406">
        <v>286000</v>
      </c>
      <c r="F660">
        <v>6</v>
      </c>
    </row>
    <row r="661" spans="1:6" x14ac:dyDescent="0.25">
      <c r="A661" s="405">
        <v>8439851952</v>
      </c>
      <c r="B661">
        <v>10001791</v>
      </c>
      <c r="C661" t="s">
        <v>1615</v>
      </c>
      <c r="D661" s="406">
        <v>475533.33333333331</v>
      </c>
      <c r="E661" s="406">
        <v>475533.33333333331</v>
      </c>
      <c r="F661">
        <v>6</v>
      </c>
    </row>
    <row r="662" spans="1:6" x14ac:dyDescent="0.25">
      <c r="A662" s="405">
        <v>8440121865</v>
      </c>
      <c r="B662">
        <v>10001959</v>
      </c>
      <c r="C662" t="s">
        <v>1691</v>
      </c>
      <c r="D662" s="406">
        <v>605000</v>
      </c>
      <c r="E662" s="406">
        <v>605000</v>
      </c>
      <c r="F662">
        <v>6</v>
      </c>
    </row>
    <row r="663" spans="1:6" x14ac:dyDescent="0.25">
      <c r="A663" s="405">
        <v>8440150547</v>
      </c>
      <c r="B663">
        <v>10001317</v>
      </c>
      <c r="C663" t="s">
        <v>1402</v>
      </c>
      <c r="D663" s="406">
        <v>301866.66666666669</v>
      </c>
      <c r="E663" s="406">
        <v>301866.66666666669</v>
      </c>
      <c r="F663">
        <v>6</v>
      </c>
    </row>
    <row r="664" spans="1:6" x14ac:dyDescent="0.25">
      <c r="A664" s="405">
        <v>8440181078</v>
      </c>
      <c r="B664">
        <v>10001171</v>
      </c>
      <c r="C664" t="s">
        <v>1369</v>
      </c>
      <c r="D664" s="406">
        <v>343033.33333333331</v>
      </c>
      <c r="E664" s="406">
        <v>343033.33333333331</v>
      </c>
      <c r="F664">
        <v>6</v>
      </c>
    </row>
    <row r="665" spans="1:6" x14ac:dyDescent="0.25">
      <c r="A665" s="405">
        <v>8440460899</v>
      </c>
      <c r="B665">
        <v>10000963</v>
      </c>
      <c r="C665" t="s">
        <v>2341</v>
      </c>
      <c r="D665" s="406">
        <v>251933.33333333334</v>
      </c>
      <c r="E665" s="406">
        <v>251933.33333333334</v>
      </c>
      <c r="F665">
        <v>6</v>
      </c>
    </row>
    <row r="666" spans="1:6" x14ac:dyDescent="0.25">
      <c r="A666" s="405">
        <v>8440502516</v>
      </c>
      <c r="B666">
        <v>10002036</v>
      </c>
      <c r="C666" t="s">
        <v>1760</v>
      </c>
      <c r="D666" s="406">
        <v>300000</v>
      </c>
      <c r="E666" s="406">
        <v>300000</v>
      </c>
      <c r="F666">
        <v>2</v>
      </c>
    </row>
    <row r="667" spans="1:6" x14ac:dyDescent="0.25">
      <c r="A667" s="405">
        <v>8440551258</v>
      </c>
      <c r="B667">
        <v>10001025</v>
      </c>
      <c r="C667" t="s">
        <v>1317</v>
      </c>
      <c r="D667" s="406">
        <v>438916.66666666669</v>
      </c>
      <c r="E667" s="406">
        <v>438916.66666666669</v>
      </c>
      <c r="F667">
        <v>6</v>
      </c>
    </row>
    <row r="668" spans="1:6" x14ac:dyDescent="0.25">
      <c r="A668" s="405">
        <v>8440643195</v>
      </c>
      <c r="B668">
        <v>10000348</v>
      </c>
      <c r="C668" t="s">
        <v>1015</v>
      </c>
      <c r="D668" s="406">
        <v>442083.33333333331</v>
      </c>
      <c r="E668" s="406">
        <v>442083.33333333331</v>
      </c>
      <c r="F668">
        <v>6</v>
      </c>
    </row>
    <row r="669" spans="1:6" x14ac:dyDescent="0.25">
      <c r="A669" s="405">
        <v>8440682115</v>
      </c>
      <c r="B669">
        <v>10000197</v>
      </c>
      <c r="C669" t="s">
        <v>2342</v>
      </c>
      <c r="D669" s="406">
        <v>528000</v>
      </c>
      <c r="E669" s="406">
        <v>528000</v>
      </c>
      <c r="F669">
        <v>6</v>
      </c>
    </row>
    <row r="670" spans="1:6" x14ac:dyDescent="0.25">
      <c r="A670" s="405">
        <v>8440692994</v>
      </c>
      <c r="B670">
        <v>10001182</v>
      </c>
      <c r="C670" t="s">
        <v>2343</v>
      </c>
      <c r="D670" s="406">
        <v>307133.33333333331</v>
      </c>
      <c r="E670" s="406">
        <v>307133.33333333331</v>
      </c>
      <c r="F670">
        <v>6</v>
      </c>
    </row>
    <row r="671" spans="1:6" x14ac:dyDescent="0.25">
      <c r="A671" s="405">
        <v>8440712316</v>
      </c>
      <c r="B671">
        <v>10000208</v>
      </c>
      <c r="C671" t="s">
        <v>2344</v>
      </c>
      <c r="D671" s="406">
        <v>694500</v>
      </c>
      <c r="E671" s="406">
        <v>694500</v>
      </c>
      <c r="F671">
        <v>6</v>
      </c>
    </row>
    <row r="672" spans="1:6" x14ac:dyDescent="0.25">
      <c r="A672" s="405">
        <v>8440864078</v>
      </c>
      <c r="B672">
        <v>10001583</v>
      </c>
      <c r="C672" t="s">
        <v>2345</v>
      </c>
      <c r="D672" s="406">
        <v>398266.66666666669</v>
      </c>
      <c r="E672" s="406">
        <v>398266.66666666669</v>
      </c>
      <c r="F672">
        <v>6</v>
      </c>
    </row>
    <row r="673" spans="1:6" x14ac:dyDescent="0.25">
      <c r="A673" s="405">
        <v>8441030480</v>
      </c>
      <c r="B673">
        <v>10000280</v>
      </c>
      <c r="C673" t="s">
        <v>2346</v>
      </c>
      <c r="D673" s="406">
        <v>558900</v>
      </c>
      <c r="E673" s="406">
        <v>558900</v>
      </c>
      <c r="F673">
        <v>6</v>
      </c>
    </row>
    <row r="674" spans="1:6" x14ac:dyDescent="0.25">
      <c r="A674" s="405">
        <v>8441091919</v>
      </c>
      <c r="B674">
        <v>10001745</v>
      </c>
      <c r="C674" t="s">
        <v>2347</v>
      </c>
      <c r="D674" s="406">
        <v>297066.66666666669</v>
      </c>
      <c r="E674" s="406">
        <v>297066.66666666669</v>
      </c>
      <c r="F674">
        <v>6</v>
      </c>
    </row>
    <row r="675" spans="1:6" x14ac:dyDescent="0.25">
      <c r="A675" s="405">
        <v>8441310858</v>
      </c>
      <c r="B675">
        <v>10001134</v>
      </c>
      <c r="C675" t="s">
        <v>2348</v>
      </c>
      <c r="D675" s="406">
        <v>517000</v>
      </c>
      <c r="E675" s="406">
        <v>517000</v>
      </c>
      <c r="F675">
        <v>6</v>
      </c>
    </row>
    <row r="676" spans="1:6" x14ac:dyDescent="0.25">
      <c r="A676" s="405">
        <v>8441412952</v>
      </c>
      <c r="B676">
        <v>10000866</v>
      </c>
      <c r="C676" t="s">
        <v>2349</v>
      </c>
      <c r="D676" s="406">
        <v>316500</v>
      </c>
      <c r="E676" s="406">
        <v>316500</v>
      </c>
      <c r="F676">
        <v>6</v>
      </c>
    </row>
    <row r="677" spans="1:6" x14ac:dyDescent="0.25">
      <c r="A677" s="405">
        <v>8441923213</v>
      </c>
      <c r="B677">
        <v>10001895</v>
      </c>
      <c r="C677" t="s">
        <v>1659</v>
      </c>
      <c r="D677" s="406">
        <v>418000</v>
      </c>
      <c r="E677" s="406">
        <v>418000</v>
      </c>
      <c r="F677">
        <v>6</v>
      </c>
    </row>
    <row r="678" spans="1:6" x14ac:dyDescent="0.25">
      <c r="A678" s="405">
        <v>8442082794</v>
      </c>
      <c r="B678">
        <v>10001794</v>
      </c>
      <c r="C678" t="s">
        <v>1618</v>
      </c>
      <c r="D678" s="406">
        <v>379200</v>
      </c>
      <c r="E678" s="406">
        <v>379200</v>
      </c>
      <c r="F678">
        <v>6</v>
      </c>
    </row>
    <row r="679" spans="1:6" x14ac:dyDescent="0.25">
      <c r="A679" s="405">
        <v>8442530479</v>
      </c>
      <c r="B679">
        <v>10001799</v>
      </c>
      <c r="C679" t="s">
        <v>2350</v>
      </c>
      <c r="D679" s="406">
        <v>165000</v>
      </c>
      <c r="E679" s="406">
        <v>330000</v>
      </c>
      <c r="F679">
        <v>6</v>
      </c>
    </row>
    <row r="680" spans="1:6" x14ac:dyDescent="0.25">
      <c r="A680" s="405">
        <v>8442550232</v>
      </c>
      <c r="B680">
        <v>10002002</v>
      </c>
      <c r="C680" t="s">
        <v>1723</v>
      </c>
      <c r="D680" s="406">
        <v>500000</v>
      </c>
      <c r="E680" s="406">
        <v>500000</v>
      </c>
      <c r="F680">
        <v>4</v>
      </c>
    </row>
    <row r="681" spans="1:6" x14ac:dyDescent="0.25">
      <c r="A681" s="405">
        <v>8442600442</v>
      </c>
      <c r="B681">
        <v>10001052</v>
      </c>
      <c r="C681" t="s">
        <v>1329</v>
      </c>
      <c r="D681" s="406">
        <v>441866.66666666669</v>
      </c>
      <c r="E681" s="406">
        <v>441866.66666666669</v>
      </c>
      <c r="F681">
        <v>6</v>
      </c>
    </row>
    <row r="682" spans="1:6" x14ac:dyDescent="0.25">
      <c r="A682" s="405">
        <v>8442631402</v>
      </c>
      <c r="B682">
        <v>10001295</v>
      </c>
      <c r="C682" t="s">
        <v>2351</v>
      </c>
      <c r="D682" s="406">
        <v>244000</v>
      </c>
      <c r="E682" s="406">
        <v>244000</v>
      </c>
      <c r="F682">
        <v>6</v>
      </c>
    </row>
    <row r="683" spans="1:6" x14ac:dyDescent="0.25">
      <c r="A683" s="405">
        <v>8442692398</v>
      </c>
      <c r="B683">
        <v>10001131</v>
      </c>
      <c r="C683" t="s">
        <v>2352</v>
      </c>
      <c r="D683" s="406">
        <v>378000</v>
      </c>
      <c r="E683" s="406">
        <v>378000</v>
      </c>
      <c r="F683">
        <v>6</v>
      </c>
    </row>
    <row r="684" spans="1:6" x14ac:dyDescent="0.25">
      <c r="A684" s="405">
        <v>8442761829</v>
      </c>
      <c r="B684">
        <v>10001746</v>
      </c>
      <c r="C684" t="s">
        <v>2353</v>
      </c>
      <c r="D684" s="406">
        <v>264000</v>
      </c>
      <c r="E684" s="406">
        <v>264000</v>
      </c>
      <c r="F684">
        <v>6</v>
      </c>
    </row>
    <row r="685" spans="1:6" x14ac:dyDescent="0.25">
      <c r="A685" s="405">
        <v>8442834311</v>
      </c>
      <c r="B685">
        <v>10001343</v>
      </c>
      <c r="C685" t="s">
        <v>2354</v>
      </c>
      <c r="D685" s="406">
        <v>418000</v>
      </c>
      <c r="E685" s="406">
        <v>418000</v>
      </c>
      <c r="F685">
        <v>6</v>
      </c>
    </row>
    <row r="686" spans="1:6" x14ac:dyDescent="0.25">
      <c r="A686" s="405">
        <v>8442983112</v>
      </c>
      <c r="B686">
        <v>10000360</v>
      </c>
      <c r="C686" t="s">
        <v>2355</v>
      </c>
      <c r="D686" s="406">
        <v>756166.66666666663</v>
      </c>
      <c r="E686" s="406">
        <v>756166.66666666663</v>
      </c>
      <c r="F686">
        <v>6</v>
      </c>
    </row>
    <row r="687" spans="1:6" x14ac:dyDescent="0.25">
      <c r="A687" s="405">
        <v>8442990062</v>
      </c>
      <c r="B687">
        <v>10001009</v>
      </c>
      <c r="C687" t="s">
        <v>2356</v>
      </c>
      <c r="D687" s="406">
        <v>340933.33333333331</v>
      </c>
      <c r="E687" s="406">
        <v>340933.33333333331</v>
      </c>
      <c r="F687">
        <v>6</v>
      </c>
    </row>
    <row r="688" spans="1:6" x14ac:dyDescent="0.25">
      <c r="A688" s="405">
        <v>8443042931</v>
      </c>
      <c r="B688">
        <v>10002025</v>
      </c>
      <c r="C688" t="s">
        <v>1748</v>
      </c>
      <c r="D688" s="406">
        <v>82500</v>
      </c>
      <c r="E688" s="406">
        <v>330000</v>
      </c>
      <c r="F688">
        <v>2</v>
      </c>
    </row>
    <row r="689" spans="1:6" x14ac:dyDescent="0.25">
      <c r="A689" s="405">
        <v>8443273798</v>
      </c>
      <c r="B689">
        <v>10001859</v>
      </c>
      <c r="C689" t="s">
        <v>1644</v>
      </c>
      <c r="D689" s="406">
        <v>252333.33333333334</v>
      </c>
      <c r="E689" s="406">
        <v>252333.33333333334</v>
      </c>
      <c r="F689">
        <v>6</v>
      </c>
    </row>
    <row r="690" spans="1:6" x14ac:dyDescent="0.25">
      <c r="A690" s="405">
        <v>8443330120</v>
      </c>
      <c r="B690">
        <v>10000875</v>
      </c>
      <c r="C690" t="s">
        <v>2357</v>
      </c>
      <c r="D690" s="406">
        <v>847533.33333333337</v>
      </c>
      <c r="E690" s="406">
        <v>847533.33333333337</v>
      </c>
      <c r="F690">
        <v>6</v>
      </c>
    </row>
    <row r="691" spans="1:6" x14ac:dyDescent="0.25">
      <c r="A691" s="405">
        <v>8443481749</v>
      </c>
      <c r="B691">
        <v>10001033</v>
      </c>
      <c r="C691" t="s">
        <v>1320</v>
      </c>
      <c r="D691" s="406">
        <v>539000</v>
      </c>
      <c r="E691" s="406">
        <v>539000</v>
      </c>
      <c r="F691">
        <v>6</v>
      </c>
    </row>
    <row r="692" spans="1:6" x14ac:dyDescent="0.25">
      <c r="A692" s="405">
        <v>8443541296</v>
      </c>
      <c r="B692">
        <v>10001923</v>
      </c>
      <c r="C692" t="s">
        <v>1676</v>
      </c>
      <c r="D692" s="406">
        <v>363000</v>
      </c>
      <c r="E692" s="406">
        <v>363000</v>
      </c>
      <c r="F692">
        <v>6</v>
      </c>
    </row>
    <row r="693" spans="1:6" x14ac:dyDescent="0.25">
      <c r="A693" s="405">
        <v>8443570865</v>
      </c>
      <c r="B693">
        <v>10000927</v>
      </c>
      <c r="C693" t="s">
        <v>2358</v>
      </c>
      <c r="D693" s="406">
        <v>244000</v>
      </c>
      <c r="E693" s="406">
        <v>244000</v>
      </c>
      <c r="F693">
        <v>6</v>
      </c>
    </row>
    <row r="694" spans="1:6" x14ac:dyDescent="0.25">
      <c r="A694" s="405">
        <v>8444583421</v>
      </c>
      <c r="B694">
        <v>10000724</v>
      </c>
      <c r="C694" t="s">
        <v>2359</v>
      </c>
      <c r="D694" s="406">
        <v>263433.33333333331</v>
      </c>
      <c r="E694" s="406">
        <v>263433.33333333331</v>
      </c>
      <c r="F694">
        <v>6</v>
      </c>
    </row>
    <row r="695" spans="1:6" x14ac:dyDescent="0.25">
      <c r="A695" s="405">
        <v>8444651087</v>
      </c>
      <c r="B695">
        <v>10001066</v>
      </c>
      <c r="C695" t="s">
        <v>2360</v>
      </c>
      <c r="D695" s="406">
        <v>594000</v>
      </c>
      <c r="E695" s="406">
        <v>594000</v>
      </c>
      <c r="F695">
        <v>6</v>
      </c>
    </row>
    <row r="696" spans="1:6" x14ac:dyDescent="0.25">
      <c r="A696" s="405">
        <v>8444752533</v>
      </c>
      <c r="B696">
        <v>10001431</v>
      </c>
      <c r="C696" t="s">
        <v>2361</v>
      </c>
      <c r="D696" s="406">
        <v>378000</v>
      </c>
      <c r="E696" s="406">
        <v>378000</v>
      </c>
      <c r="F696">
        <v>6</v>
      </c>
    </row>
    <row r="697" spans="1:6" x14ac:dyDescent="0.25">
      <c r="A697" s="405">
        <v>8445023675</v>
      </c>
      <c r="B697">
        <v>10001408</v>
      </c>
      <c r="C697" t="s">
        <v>2362</v>
      </c>
      <c r="D697" s="406">
        <v>627000</v>
      </c>
      <c r="E697" s="406">
        <v>627000</v>
      </c>
      <c r="F697">
        <v>6</v>
      </c>
    </row>
    <row r="698" spans="1:6" x14ac:dyDescent="0.25">
      <c r="A698" s="405">
        <v>8445030736</v>
      </c>
      <c r="B698">
        <v>10001975</v>
      </c>
      <c r="C698" t="s">
        <v>2363</v>
      </c>
      <c r="D698" s="406">
        <v>341000</v>
      </c>
      <c r="E698" s="406">
        <v>682000</v>
      </c>
      <c r="F698">
        <v>6</v>
      </c>
    </row>
    <row r="699" spans="1:6" x14ac:dyDescent="0.25">
      <c r="A699" s="405">
        <v>8445040871</v>
      </c>
      <c r="B699">
        <v>10001647</v>
      </c>
      <c r="C699" t="s">
        <v>1499</v>
      </c>
      <c r="D699" s="406">
        <v>440000</v>
      </c>
      <c r="E699" s="406">
        <v>440000</v>
      </c>
      <c r="F699">
        <v>6</v>
      </c>
    </row>
    <row r="700" spans="1:6" x14ac:dyDescent="0.25">
      <c r="A700" s="405">
        <v>8445181513</v>
      </c>
      <c r="B700">
        <v>10001638</v>
      </c>
      <c r="C700" t="s">
        <v>1495</v>
      </c>
      <c r="D700" s="406">
        <v>466666.66666666669</v>
      </c>
      <c r="E700" s="406">
        <v>466666.66666666669</v>
      </c>
      <c r="F700">
        <v>6</v>
      </c>
    </row>
    <row r="701" spans="1:6" x14ac:dyDescent="0.25">
      <c r="A701" s="405">
        <v>8445312235</v>
      </c>
      <c r="B701">
        <v>10001747</v>
      </c>
      <c r="C701" t="s">
        <v>2364</v>
      </c>
      <c r="D701" s="406">
        <v>240933.33333333334</v>
      </c>
      <c r="E701" s="406">
        <v>240933.33333333334</v>
      </c>
      <c r="F701">
        <v>6</v>
      </c>
    </row>
    <row r="702" spans="1:6" x14ac:dyDescent="0.25">
      <c r="A702" s="405">
        <v>8445372106</v>
      </c>
      <c r="B702">
        <v>10001251</v>
      </c>
      <c r="C702" t="s">
        <v>1382</v>
      </c>
      <c r="D702" s="406">
        <v>315600</v>
      </c>
      <c r="E702" s="406">
        <v>315600</v>
      </c>
      <c r="F702">
        <v>3</v>
      </c>
    </row>
    <row r="703" spans="1:6" x14ac:dyDescent="0.25">
      <c r="A703" s="405">
        <v>8445401858</v>
      </c>
      <c r="B703">
        <v>10000892</v>
      </c>
      <c r="C703" t="s">
        <v>2365</v>
      </c>
      <c r="D703" s="406">
        <v>634680</v>
      </c>
      <c r="E703" s="406">
        <v>634680</v>
      </c>
      <c r="F703">
        <v>5</v>
      </c>
    </row>
    <row r="704" spans="1:6" x14ac:dyDescent="0.25">
      <c r="A704" s="405">
        <v>8445414666</v>
      </c>
      <c r="B704">
        <v>10001545</v>
      </c>
      <c r="C704" t="s">
        <v>2366</v>
      </c>
      <c r="D704" s="406">
        <v>308000</v>
      </c>
      <c r="E704" s="406">
        <v>308000</v>
      </c>
      <c r="F704">
        <v>6</v>
      </c>
    </row>
    <row r="705" spans="1:6" x14ac:dyDescent="0.25">
      <c r="A705" s="405">
        <v>8445893076</v>
      </c>
      <c r="B705">
        <v>10001971</v>
      </c>
      <c r="C705" t="s">
        <v>2367</v>
      </c>
      <c r="D705" s="406">
        <v>330000</v>
      </c>
      <c r="E705" s="406">
        <v>330000</v>
      </c>
      <c r="F705">
        <v>6</v>
      </c>
    </row>
    <row r="706" spans="1:6" x14ac:dyDescent="0.25">
      <c r="A706" s="405">
        <v>8445951254</v>
      </c>
      <c r="B706">
        <v>10001170</v>
      </c>
      <c r="C706" t="s">
        <v>2368</v>
      </c>
      <c r="D706" s="406">
        <v>244000</v>
      </c>
      <c r="E706" s="406">
        <v>244000</v>
      </c>
      <c r="F706">
        <v>6</v>
      </c>
    </row>
    <row r="707" spans="1:6" x14ac:dyDescent="0.25">
      <c r="A707" s="405">
        <v>8446052717</v>
      </c>
      <c r="B707">
        <v>10001084</v>
      </c>
      <c r="C707" t="s">
        <v>2369</v>
      </c>
      <c r="D707" s="406">
        <v>698166.66666666663</v>
      </c>
      <c r="E707" s="406">
        <v>698166.66666666663</v>
      </c>
      <c r="F707">
        <v>6</v>
      </c>
    </row>
    <row r="708" spans="1:6" x14ac:dyDescent="0.25">
      <c r="A708" s="405">
        <v>8446122928</v>
      </c>
      <c r="B708">
        <v>10001748</v>
      </c>
      <c r="C708" t="s">
        <v>2370</v>
      </c>
      <c r="D708" s="406">
        <v>387666.66666666669</v>
      </c>
      <c r="E708" s="406">
        <v>387666.66666666669</v>
      </c>
      <c r="F708">
        <v>6</v>
      </c>
    </row>
    <row r="709" spans="1:6" x14ac:dyDescent="0.25">
      <c r="A709" s="405">
        <v>8446200813</v>
      </c>
      <c r="B709">
        <v>10001310</v>
      </c>
      <c r="C709" t="s">
        <v>2371</v>
      </c>
      <c r="D709" s="406">
        <v>341000</v>
      </c>
      <c r="E709" s="406">
        <v>341000</v>
      </c>
      <c r="F709">
        <v>6</v>
      </c>
    </row>
    <row r="710" spans="1:6" x14ac:dyDescent="0.25">
      <c r="A710" s="405">
        <v>8446302802</v>
      </c>
      <c r="B710">
        <v>10001447</v>
      </c>
      <c r="C710" t="s">
        <v>2372</v>
      </c>
      <c r="D710" s="406">
        <v>407000</v>
      </c>
      <c r="E710" s="406">
        <v>407000</v>
      </c>
      <c r="F710">
        <v>6</v>
      </c>
    </row>
    <row r="711" spans="1:6" x14ac:dyDescent="0.25">
      <c r="A711" s="405">
        <v>8446352656</v>
      </c>
      <c r="B711">
        <v>10001862</v>
      </c>
      <c r="C711" t="s">
        <v>2373</v>
      </c>
      <c r="D711" s="406">
        <v>221800</v>
      </c>
      <c r="E711" s="406">
        <v>221800</v>
      </c>
      <c r="F711">
        <v>1</v>
      </c>
    </row>
    <row r="712" spans="1:6" x14ac:dyDescent="0.25">
      <c r="A712" s="405">
        <v>8446380846</v>
      </c>
      <c r="B712">
        <v>10000890</v>
      </c>
      <c r="C712" t="s">
        <v>2374</v>
      </c>
      <c r="D712" s="406">
        <v>244000</v>
      </c>
      <c r="E712" s="406">
        <v>244000</v>
      </c>
      <c r="F712">
        <v>6</v>
      </c>
    </row>
    <row r="713" spans="1:6" x14ac:dyDescent="0.25">
      <c r="A713" s="405">
        <v>8446400413</v>
      </c>
      <c r="B713">
        <v>10001754</v>
      </c>
      <c r="C713" t="s">
        <v>2375</v>
      </c>
      <c r="D713" s="406">
        <v>273966.66666666669</v>
      </c>
      <c r="E713" s="406">
        <v>273966.66666666669</v>
      </c>
      <c r="F713">
        <v>6</v>
      </c>
    </row>
    <row r="714" spans="1:6" x14ac:dyDescent="0.25">
      <c r="A714" s="405">
        <v>8446483645</v>
      </c>
      <c r="B714">
        <v>10001050</v>
      </c>
      <c r="C714" t="s">
        <v>2376</v>
      </c>
      <c r="D714" s="406">
        <v>240933.33333333334</v>
      </c>
      <c r="E714" s="406">
        <v>240933.33333333334</v>
      </c>
      <c r="F714">
        <v>6</v>
      </c>
    </row>
    <row r="715" spans="1:6" x14ac:dyDescent="0.25">
      <c r="A715" s="405">
        <v>8446882825</v>
      </c>
      <c r="B715">
        <v>10001749</v>
      </c>
      <c r="C715" t="s">
        <v>2377</v>
      </c>
      <c r="D715" s="406">
        <v>240933.33333333334</v>
      </c>
      <c r="E715" s="406">
        <v>240933.33333333334</v>
      </c>
      <c r="F715">
        <v>6</v>
      </c>
    </row>
    <row r="716" spans="1:6" x14ac:dyDescent="0.25">
      <c r="A716" s="405">
        <v>8446950472</v>
      </c>
      <c r="B716">
        <v>10001041</v>
      </c>
      <c r="C716" t="s">
        <v>2378</v>
      </c>
      <c r="D716" s="406">
        <v>495000</v>
      </c>
      <c r="E716" s="406">
        <v>495000</v>
      </c>
      <c r="F716">
        <v>6</v>
      </c>
    </row>
    <row r="717" spans="1:6" x14ac:dyDescent="0.25">
      <c r="A717" s="405">
        <v>8447171132</v>
      </c>
      <c r="B717">
        <v>10000591</v>
      </c>
      <c r="C717" t="s">
        <v>2379</v>
      </c>
      <c r="D717" s="406">
        <v>251933.33333333334</v>
      </c>
      <c r="E717" s="406">
        <v>251933.33333333334</v>
      </c>
      <c r="F717">
        <v>6</v>
      </c>
    </row>
    <row r="718" spans="1:6" x14ac:dyDescent="0.25">
      <c r="A718" s="405">
        <v>8447411184</v>
      </c>
      <c r="B718">
        <v>10000549</v>
      </c>
      <c r="C718" t="s">
        <v>2380</v>
      </c>
      <c r="D718" s="406">
        <v>800500</v>
      </c>
      <c r="E718" s="406">
        <v>800500</v>
      </c>
      <c r="F718">
        <v>6</v>
      </c>
    </row>
    <row r="719" spans="1:6" x14ac:dyDescent="0.25">
      <c r="A719" s="405">
        <v>8447501310</v>
      </c>
      <c r="B719">
        <v>10000885</v>
      </c>
      <c r="C719" t="s">
        <v>2381</v>
      </c>
      <c r="D719" s="406">
        <v>304933.33333333331</v>
      </c>
      <c r="E719" s="406">
        <v>304933.33333333331</v>
      </c>
      <c r="F719">
        <v>6</v>
      </c>
    </row>
    <row r="720" spans="1:6" x14ac:dyDescent="0.25">
      <c r="A720" s="405">
        <v>8447570010</v>
      </c>
      <c r="B720">
        <v>10000886</v>
      </c>
      <c r="C720" t="s">
        <v>2382</v>
      </c>
      <c r="D720" s="406">
        <v>511733.33333333331</v>
      </c>
      <c r="E720" s="406">
        <v>511733.33333333331</v>
      </c>
      <c r="F720">
        <v>6</v>
      </c>
    </row>
    <row r="721" spans="1:6" x14ac:dyDescent="0.25">
      <c r="A721" s="405">
        <v>8447572374</v>
      </c>
      <c r="B721">
        <v>10001830</v>
      </c>
      <c r="C721" t="s">
        <v>1636</v>
      </c>
      <c r="D721" s="406">
        <v>319000</v>
      </c>
      <c r="E721" s="406">
        <v>319000</v>
      </c>
      <c r="F721">
        <v>6</v>
      </c>
    </row>
    <row r="722" spans="1:6" x14ac:dyDescent="0.25">
      <c r="A722" s="405">
        <v>8447580458</v>
      </c>
      <c r="B722">
        <v>10000993</v>
      </c>
      <c r="C722" t="s">
        <v>2383</v>
      </c>
      <c r="D722" s="406">
        <v>487333.33333333331</v>
      </c>
      <c r="E722" s="406">
        <v>487333.33333333331</v>
      </c>
      <c r="F722">
        <v>6</v>
      </c>
    </row>
    <row r="723" spans="1:6" x14ac:dyDescent="0.25">
      <c r="A723" s="405">
        <v>8447622487</v>
      </c>
      <c r="B723">
        <v>10001951</v>
      </c>
      <c r="C723" t="s">
        <v>1689</v>
      </c>
      <c r="D723" s="406">
        <v>231000</v>
      </c>
      <c r="E723" s="406">
        <v>308000</v>
      </c>
      <c r="F723">
        <v>6</v>
      </c>
    </row>
    <row r="724" spans="1:6" x14ac:dyDescent="0.25">
      <c r="A724" s="405">
        <v>8447632261</v>
      </c>
      <c r="B724">
        <v>10001832</v>
      </c>
      <c r="C724" t="s">
        <v>2384</v>
      </c>
      <c r="D724" s="406">
        <v>120433.33333333333</v>
      </c>
      <c r="E724" s="406">
        <v>240866.66666666666</v>
      </c>
      <c r="F724">
        <v>6</v>
      </c>
    </row>
    <row r="725" spans="1:6" x14ac:dyDescent="0.25">
      <c r="A725" s="405">
        <v>8447772748</v>
      </c>
      <c r="B725">
        <v>10001795</v>
      </c>
      <c r="C725" t="s">
        <v>2385</v>
      </c>
      <c r="D725" s="406">
        <v>367500</v>
      </c>
      <c r="E725" s="406">
        <v>367500</v>
      </c>
      <c r="F725">
        <v>6</v>
      </c>
    </row>
    <row r="726" spans="1:6" x14ac:dyDescent="0.25">
      <c r="A726" s="405">
        <v>8448060083</v>
      </c>
      <c r="B726">
        <v>10000961</v>
      </c>
      <c r="C726" t="s">
        <v>1294</v>
      </c>
      <c r="D726" s="406">
        <v>265233.33333333331</v>
      </c>
      <c r="E726" s="406">
        <v>265233.33333333331</v>
      </c>
      <c r="F726">
        <v>6</v>
      </c>
    </row>
    <row r="727" spans="1:6" x14ac:dyDescent="0.25">
      <c r="A727" s="405">
        <v>8448260430</v>
      </c>
      <c r="B727">
        <v>10000896</v>
      </c>
      <c r="C727" t="s">
        <v>2386</v>
      </c>
      <c r="D727" s="406">
        <v>411966.66666666669</v>
      </c>
      <c r="E727" s="406">
        <v>411966.66666666669</v>
      </c>
      <c r="F727">
        <v>6</v>
      </c>
    </row>
    <row r="728" spans="1:6" x14ac:dyDescent="0.25">
      <c r="A728" s="405">
        <v>8448413687</v>
      </c>
      <c r="B728">
        <v>10001053</v>
      </c>
      <c r="C728" t="s">
        <v>1330</v>
      </c>
      <c r="D728" s="406">
        <v>354100</v>
      </c>
      <c r="E728" s="406">
        <v>354100</v>
      </c>
      <c r="F728">
        <v>6</v>
      </c>
    </row>
    <row r="729" spans="1:6" x14ac:dyDescent="0.25">
      <c r="A729" s="405">
        <v>8448900545</v>
      </c>
      <c r="B729">
        <v>10001040</v>
      </c>
      <c r="C729" t="s">
        <v>1326</v>
      </c>
      <c r="D729" s="406">
        <v>877566.66666666663</v>
      </c>
      <c r="E729" s="406">
        <v>877566.66666666663</v>
      </c>
      <c r="F729">
        <v>6</v>
      </c>
    </row>
    <row r="730" spans="1:6" x14ac:dyDescent="0.25">
      <c r="A730" s="405">
        <v>8449114357</v>
      </c>
      <c r="B730">
        <v>10002027</v>
      </c>
      <c r="C730" t="s">
        <v>1750</v>
      </c>
      <c r="D730" s="406">
        <v>82500</v>
      </c>
      <c r="E730" s="406">
        <v>330000</v>
      </c>
      <c r="F730">
        <v>2</v>
      </c>
    </row>
    <row r="731" spans="1:6" x14ac:dyDescent="0.25">
      <c r="A731" s="405">
        <v>8449600928</v>
      </c>
      <c r="B731">
        <v>10001750</v>
      </c>
      <c r="C731" t="s">
        <v>2387</v>
      </c>
      <c r="D731" s="406">
        <v>458166.66666666669</v>
      </c>
      <c r="E731" s="406">
        <v>458166.66666666669</v>
      </c>
      <c r="F731">
        <v>6</v>
      </c>
    </row>
    <row r="732" spans="1:6" x14ac:dyDescent="0.25">
      <c r="A732" s="405">
        <v>8449770939</v>
      </c>
      <c r="B732">
        <v>10001780</v>
      </c>
      <c r="C732" t="s">
        <v>1610</v>
      </c>
      <c r="D732" s="406">
        <v>612933.33333333337</v>
      </c>
      <c r="E732" s="406">
        <v>612933.33333333337</v>
      </c>
      <c r="F732">
        <v>6</v>
      </c>
    </row>
    <row r="733" spans="1:6" x14ac:dyDescent="0.25">
      <c r="A733" s="405">
        <v>8449900085</v>
      </c>
      <c r="B733">
        <v>10000412</v>
      </c>
      <c r="C733" t="s">
        <v>1058</v>
      </c>
      <c r="D733" s="406">
        <v>273766.66666666669</v>
      </c>
      <c r="E733" s="406">
        <v>273766.66666666669</v>
      </c>
      <c r="F733">
        <v>6</v>
      </c>
    </row>
    <row r="734" spans="1:6" x14ac:dyDescent="0.25">
      <c r="A734" s="405">
        <v>8450030404</v>
      </c>
      <c r="B734">
        <v>10001982</v>
      </c>
      <c r="C734" t="s">
        <v>2388</v>
      </c>
      <c r="D734" s="406">
        <v>336000</v>
      </c>
      <c r="E734" s="406">
        <v>336000</v>
      </c>
      <c r="F734">
        <v>5</v>
      </c>
    </row>
    <row r="735" spans="1:6" x14ac:dyDescent="0.25">
      <c r="A735" s="405">
        <v>8450063418</v>
      </c>
      <c r="B735">
        <v>10000891</v>
      </c>
      <c r="C735" t="s">
        <v>2389</v>
      </c>
      <c r="D735" s="406">
        <v>640500</v>
      </c>
      <c r="E735" s="406">
        <v>640500</v>
      </c>
      <c r="F735">
        <v>6</v>
      </c>
    </row>
    <row r="736" spans="1:6" x14ac:dyDescent="0.25">
      <c r="A736" s="405">
        <v>8450130646</v>
      </c>
      <c r="B736">
        <v>10000967</v>
      </c>
      <c r="C736" t="s">
        <v>1299</v>
      </c>
      <c r="D736" s="406">
        <v>486100</v>
      </c>
      <c r="E736" s="406">
        <v>486100</v>
      </c>
      <c r="F736">
        <v>6</v>
      </c>
    </row>
    <row r="737" spans="1:6" x14ac:dyDescent="0.25">
      <c r="A737" s="405">
        <v>8450163250</v>
      </c>
      <c r="B737">
        <v>10002008</v>
      </c>
      <c r="C737" t="s">
        <v>1729</v>
      </c>
      <c r="D737" s="406">
        <v>277200</v>
      </c>
      <c r="E737" s="406">
        <v>277200</v>
      </c>
      <c r="F737">
        <v>3</v>
      </c>
    </row>
    <row r="738" spans="1:6" x14ac:dyDescent="0.25">
      <c r="A738" s="405">
        <v>8450390338</v>
      </c>
      <c r="B738">
        <v>10001094</v>
      </c>
      <c r="C738" t="s">
        <v>2390</v>
      </c>
      <c r="D738" s="406">
        <v>440000</v>
      </c>
      <c r="E738" s="406">
        <v>440000</v>
      </c>
      <c r="F738">
        <v>6</v>
      </c>
    </row>
    <row r="739" spans="1:6" x14ac:dyDescent="0.25">
      <c r="A739" s="405">
        <v>8450510597</v>
      </c>
      <c r="B739">
        <v>10001989</v>
      </c>
      <c r="C739" t="s">
        <v>1717</v>
      </c>
      <c r="D739" s="406">
        <v>184840</v>
      </c>
      <c r="E739" s="406">
        <v>369680</v>
      </c>
      <c r="F739">
        <v>5</v>
      </c>
    </row>
    <row r="740" spans="1:6" x14ac:dyDescent="0.25">
      <c r="A740" s="405">
        <v>8450532272</v>
      </c>
      <c r="B740">
        <v>10001640</v>
      </c>
      <c r="C740" t="s">
        <v>193</v>
      </c>
      <c r="D740" s="406">
        <v>264000</v>
      </c>
      <c r="E740" s="406">
        <v>264000</v>
      </c>
      <c r="F740">
        <v>6</v>
      </c>
    </row>
    <row r="741" spans="1:6" x14ac:dyDescent="0.25">
      <c r="A741" s="405">
        <v>8450630401</v>
      </c>
      <c r="B741">
        <v>10002032</v>
      </c>
      <c r="C741" t="s">
        <v>1756</v>
      </c>
      <c r="D741" s="406">
        <v>200000</v>
      </c>
      <c r="E741" s="406">
        <v>400000</v>
      </c>
      <c r="F741">
        <v>2</v>
      </c>
    </row>
    <row r="742" spans="1:6" x14ac:dyDescent="0.25">
      <c r="A742" s="405">
        <v>8450852021</v>
      </c>
      <c r="B742">
        <v>10001486</v>
      </c>
      <c r="C742" t="s">
        <v>1453</v>
      </c>
      <c r="D742" s="406">
        <v>412533.33333333331</v>
      </c>
      <c r="E742" s="406">
        <v>412533.33333333331</v>
      </c>
      <c r="F742">
        <v>6</v>
      </c>
    </row>
    <row r="743" spans="1:6" x14ac:dyDescent="0.25">
      <c r="A743" s="405">
        <v>8451322220</v>
      </c>
      <c r="B743">
        <v>10000920</v>
      </c>
      <c r="C743" t="s">
        <v>1283</v>
      </c>
      <c r="D743" s="406">
        <v>372183.33333333331</v>
      </c>
      <c r="E743" s="406">
        <v>372183.33333333331</v>
      </c>
      <c r="F743">
        <v>6</v>
      </c>
    </row>
    <row r="744" spans="1:6" x14ac:dyDescent="0.25">
      <c r="A744" s="405">
        <v>8451324509</v>
      </c>
      <c r="B744">
        <v>10001863</v>
      </c>
      <c r="C744" t="s">
        <v>2391</v>
      </c>
      <c r="D744" s="406">
        <v>330000</v>
      </c>
      <c r="E744" s="406">
        <v>330000</v>
      </c>
      <c r="F744">
        <v>6</v>
      </c>
    </row>
    <row r="745" spans="1:6" x14ac:dyDescent="0.25">
      <c r="A745" s="405">
        <v>8451490050</v>
      </c>
      <c r="B745">
        <v>10002038</v>
      </c>
      <c r="C745" t="s">
        <v>1762</v>
      </c>
      <c r="D745" s="406">
        <v>400000</v>
      </c>
      <c r="E745" s="406">
        <v>400000</v>
      </c>
      <c r="F745">
        <v>2</v>
      </c>
    </row>
    <row r="746" spans="1:6" x14ac:dyDescent="0.25">
      <c r="A746" s="405">
        <v>8451551351</v>
      </c>
      <c r="B746">
        <v>10001386</v>
      </c>
      <c r="C746" t="s">
        <v>2392</v>
      </c>
      <c r="D746" s="406">
        <v>226300</v>
      </c>
      <c r="E746" s="406">
        <v>301733.33333333331</v>
      </c>
      <c r="F746">
        <v>2</v>
      </c>
    </row>
    <row r="747" spans="1:6" x14ac:dyDescent="0.25">
      <c r="A747" s="405">
        <v>8451860338</v>
      </c>
      <c r="B747">
        <v>10001038</v>
      </c>
      <c r="C747" t="s">
        <v>2393</v>
      </c>
      <c r="D747" s="406">
        <v>658733.33333333337</v>
      </c>
      <c r="E747" s="406">
        <v>658733.33333333337</v>
      </c>
      <c r="F747">
        <v>6</v>
      </c>
    </row>
    <row r="748" spans="1:6" x14ac:dyDescent="0.25">
      <c r="A748" s="405">
        <v>8451923488</v>
      </c>
      <c r="B748">
        <v>10001631</v>
      </c>
      <c r="C748" t="s">
        <v>1492</v>
      </c>
      <c r="D748" s="406">
        <v>93818.333333333328</v>
      </c>
      <c r="E748" s="406">
        <v>375273.33333333331</v>
      </c>
      <c r="F748">
        <v>6</v>
      </c>
    </row>
    <row r="749" spans="1:6" x14ac:dyDescent="0.25">
      <c r="A749" s="405">
        <v>8452000928</v>
      </c>
      <c r="B749">
        <v>10000972</v>
      </c>
      <c r="C749" t="s">
        <v>1300</v>
      </c>
      <c r="D749" s="406">
        <v>550000</v>
      </c>
      <c r="E749" s="406">
        <v>550000</v>
      </c>
      <c r="F749">
        <v>6</v>
      </c>
    </row>
    <row r="750" spans="1:6" x14ac:dyDescent="0.25">
      <c r="A750" s="405">
        <v>8452020228</v>
      </c>
      <c r="B750">
        <v>10001059</v>
      </c>
      <c r="C750" t="s">
        <v>2394</v>
      </c>
      <c r="D750" s="406">
        <v>569333.33333333337</v>
      </c>
      <c r="E750" s="406">
        <v>569333.33333333337</v>
      </c>
      <c r="F750">
        <v>6</v>
      </c>
    </row>
    <row r="751" spans="1:6" x14ac:dyDescent="0.25">
      <c r="A751" s="405">
        <v>8452043619</v>
      </c>
      <c r="B751">
        <v>10002053</v>
      </c>
      <c r="C751" t="s">
        <v>1775</v>
      </c>
      <c r="D751" s="406">
        <v>314400</v>
      </c>
      <c r="E751" s="406">
        <v>314400</v>
      </c>
      <c r="F751">
        <v>1</v>
      </c>
    </row>
    <row r="752" spans="1:6" x14ac:dyDescent="0.25">
      <c r="A752" s="405">
        <v>8452330308</v>
      </c>
      <c r="B752">
        <v>10001160</v>
      </c>
      <c r="C752" t="s">
        <v>2395</v>
      </c>
      <c r="D752" s="406">
        <v>377933.33333333331</v>
      </c>
      <c r="E752" s="406">
        <v>377933.33333333331</v>
      </c>
      <c r="F752">
        <v>6</v>
      </c>
    </row>
    <row r="753" spans="1:6" x14ac:dyDescent="0.25">
      <c r="A753" s="405">
        <v>8452442041</v>
      </c>
      <c r="B753">
        <v>10001329</v>
      </c>
      <c r="C753" t="s">
        <v>1406</v>
      </c>
      <c r="D753" s="406">
        <v>440000</v>
      </c>
      <c r="E753" s="406">
        <v>440000</v>
      </c>
      <c r="F753">
        <v>6</v>
      </c>
    </row>
    <row r="754" spans="1:6" x14ac:dyDescent="0.25">
      <c r="A754" s="405">
        <v>8452590628</v>
      </c>
      <c r="B754">
        <v>10001147</v>
      </c>
      <c r="C754" t="s">
        <v>1360</v>
      </c>
      <c r="D754" s="406">
        <v>378433.33333333331</v>
      </c>
      <c r="E754" s="406">
        <v>378433.33333333331</v>
      </c>
      <c r="F754">
        <v>6</v>
      </c>
    </row>
    <row r="755" spans="1:6" x14ac:dyDescent="0.25">
      <c r="A755" s="405">
        <v>8452690312</v>
      </c>
      <c r="B755">
        <v>10001010</v>
      </c>
      <c r="C755" t="s">
        <v>1312</v>
      </c>
      <c r="D755" s="406">
        <v>440000</v>
      </c>
      <c r="E755" s="406">
        <v>440000</v>
      </c>
      <c r="F755">
        <v>6</v>
      </c>
    </row>
    <row r="756" spans="1:6" x14ac:dyDescent="0.25">
      <c r="A756" s="405">
        <v>8452830645</v>
      </c>
      <c r="B756">
        <v>10001275</v>
      </c>
      <c r="C756" t="s">
        <v>2396</v>
      </c>
      <c r="D756" s="406">
        <v>244000</v>
      </c>
      <c r="E756" s="406">
        <v>244000</v>
      </c>
      <c r="F756">
        <v>6</v>
      </c>
    </row>
    <row r="757" spans="1:6" x14ac:dyDescent="0.25">
      <c r="A757" s="405">
        <v>8452851529</v>
      </c>
      <c r="B757">
        <v>10001823</v>
      </c>
      <c r="C757" t="s">
        <v>2397</v>
      </c>
      <c r="D757" s="406">
        <v>327800</v>
      </c>
      <c r="E757" s="406">
        <v>327800</v>
      </c>
      <c r="F757">
        <v>6</v>
      </c>
    </row>
    <row r="758" spans="1:6" x14ac:dyDescent="0.25">
      <c r="A758" s="405">
        <v>8453283079</v>
      </c>
      <c r="B758">
        <v>10001813</v>
      </c>
      <c r="C758" t="s">
        <v>1630</v>
      </c>
      <c r="D758" s="406">
        <v>507316.66666666669</v>
      </c>
      <c r="E758" s="406">
        <v>507316.66666666669</v>
      </c>
      <c r="F758">
        <v>6</v>
      </c>
    </row>
    <row r="759" spans="1:6" x14ac:dyDescent="0.25">
      <c r="A759" s="405">
        <v>8453534012</v>
      </c>
      <c r="B759">
        <v>10001957</v>
      </c>
      <c r="C759" t="s">
        <v>2398</v>
      </c>
      <c r="D759" s="406">
        <v>310000</v>
      </c>
      <c r="E759" s="406">
        <v>310000</v>
      </c>
      <c r="F759">
        <v>2</v>
      </c>
    </row>
    <row r="760" spans="1:6" x14ac:dyDescent="0.25">
      <c r="A760" s="405">
        <v>8453660115</v>
      </c>
      <c r="B760">
        <v>10002026</v>
      </c>
      <c r="C760" t="s">
        <v>1749</v>
      </c>
      <c r="D760" s="406">
        <v>82500</v>
      </c>
      <c r="E760" s="406">
        <v>330000</v>
      </c>
      <c r="F760">
        <v>2</v>
      </c>
    </row>
    <row r="761" spans="1:6" x14ac:dyDescent="0.25">
      <c r="A761" s="405">
        <v>8453751919</v>
      </c>
      <c r="B761">
        <v>10001751</v>
      </c>
      <c r="C761" t="s">
        <v>2399</v>
      </c>
      <c r="D761" s="406">
        <v>408200</v>
      </c>
      <c r="E761" s="406">
        <v>408200</v>
      </c>
      <c r="F761">
        <v>6</v>
      </c>
    </row>
    <row r="762" spans="1:6" x14ac:dyDescent="0.25">
      <c r="A762" s="405">
        <v>8454431039</v>
      </c>
      <c r="B762">
        <v>10001231</v>
      </c>
      <c r="C762" t="s">
        <v>1377</v>
      </c>
      <c r="D762" s="406">
        <v>252433.33333333334</v>
      </c>
      <c r="E762" s="406">
        <v>252433.33333333334</v>
      </c>
      <c r="F762">
        <v>6</v>
      </c>
    </row>
    <row r="763" spans="1:6" x14ac:dyDescent="0.25">
      <c r="A763" s="405">
        <v>8454831045</v>
      </c>
      <c r="B763">
        <v>10001433</v>
      </c>
      <c r="C763" t="s">
        <v>1433</v>
      </c>
      <c r="D763" s="406">
        <v>295266.66666666669</v>
      </c>
      <c r="E763" s="406">
        <v>295266.66666666669</v>
      </c>
      <c r="F763">
        <v>6</v>
      </c>
    </row>
    <row r="764" spans="1:6" x14ac:dyDescent="0.25">
      <c r="A764" s="405">
        <v>8454831525</v>
      </c>
      <c r="B764">
        <v>10001037</v>
      </c>
      <c r="C764" t="s">
        <v>2400</v>
      </c>
      <c r="D764" s="406">
        <v>608333.33333333337</v>
      </c>
      <c r="E764" s="406">
        <v>608333.33333333337</v>
      </c>
      <c r="F764">
        <v>6</v>
      </c>
    </row>
    <row r="765" spans="1:6" x14ac:dyDescent="0.25">
      <c r="A765" s="405">
        <v>8454981969</v>
      </c>
      <c r="B765">
        <v>10001999</v>
      </c>
      <c r="C765" t="s">
        <v>1720</v>
      </c>
      <c r="D765" s="406">
        <v>300000</v>
      </c>
      <c r="E765" s="406">
        <v>300000</v>
      </c>
      <c r="F765">
        <v>4</v>
      </c>
    </row>
    <row r="766" spans="1:6" x14ac:dyDescent="0.25">
      <c r="A766" s="405">
        <v>8455030704</v>
      </c>
      <c r="B766">
        <v>10001157</v>
      </c>
      <c r="C766" t="s">
        <v>2401</v>
      </c>
      <c r="D766" s="406">
        <v>281333.33333333331</v>
      </c>
      <c r="E766" s="406">
        <v>281333.33333333331</v>
      </c>
      <c r="F766">
        <v>6</v>
      </c>
    </row>
    <row r="767" spans="1:6" x14ac:dyDescent="0.25">
      <c r="A767" s="405">
        <v>8455192550</v>
      </c>
      <c r="B767">
        <v>10001988</v>
      </c>
      <c r="C767" t="s">
        <v>1716</v>
      </c>
      <c r="D767" s="406">
        <v>240933.33333333334</v>
      </c>
      <c r="E767" s="406">
        <v>240933.33333333334</v>
      </c>
      <c r="F767">
        <v>3</v>
      </c>
    </row>
    <row r="768" spans="1:6" x14ac:dyDescent="0.25">
      <c r="A768" s="405">
        <v>8455343222</v>
      </c>
      <c r="B768">
        <v>10000939</v>
      </c>
      <c r="C768" t="s">
        <v>2402</v>
      </c>
      <c r="D768" s="406">
        <v>240933.33333333334</v>
      </c>
      <c r="E768" s="406">
        <v>240933.33333333334</v>
      </c>
      <c r="F768">
        <v>6</v>
      </c>
    </row>
    <row r="769" spans="1:6" x14ac:dyDescent="0.25">
      <c r="A769" s="405">
        <v>8455620730</v>
      </c>
      <c r="B769">
        <v>10002011</v>
      </c>
      <c r="C769" t="s">
        <v>2403</v>
      </c>
      <c r="D769" s="406">
        <v>310000</v>
      </c>
      <c r="E769" s="406">
        <v>620000</v>
      </c>
      <c r="F769">
        <v>3</v>
      </c>
    </row>
    <row r="770" spans="1:6" x14ac:dyDescent="0.25">
      <c r="A770" s="405">
        <v>8455681152</v>
      </c>
      <c r="B770">
        <v>10000956</v>
      </c>
      <c r="C770" t="s">
        <v>1292</v>
      </c>
      <c r="D770" s="406">
        <v>456666.66666666669</v>
      </c>
      <c r="E770" s="406">
        <v>456666.66666666669</v>
      </c>
      <c r="F770">
        <v>6</v>
      </c>
    </row>
    <row r="771" spans="1:6" x14ac:dyDescent="0.25">
      <c r="A771" s="405">
        <v>8455691255</v>
      </c>
      <c r="B771">
        <v>10001764</v>
      </c>
      <c r="C771" t="s">
        <v>2404</v>
      </c>
      <c r="D771" s="406">
        <v>215600</v>
      </c>
      <c r="E771" s="406">
        <v>431200</v>
      </c>
      <c r="F771">
        <v>6</v>
      </c>
    </row>
    <row r="772" spans="1:6" x14ac:dyDescent="0.25">
      <c r="A772" s="405">
        <v>8455730277</v>
      </c>
      <c r="B772">
        <v>10000717</v>
      </c>
      <c r="C772" t="s">
        <v>1206</v>
      </c>
      <c r="D772" s="406">
        <v>317266.66666666669</v>
      </c>
      <c r="E772" s="406">
        <v>317266.66666666669</v>
      </c>
      <c r="F772">
        <v>6</v>
      </c>
    </row>
    <row r="773" spans="1:6" x14ac:dyDescent="0.25">
      <c r="A773" s="405">
        <v>8456000604</v>
      </c>
      <c r="B773">
        <v>10002009</v>
      </c>
      <c r="C773" t="s">
        <v>1730</v>
      </c>
      <c r="D773" s="406">
        <v>662600</v>
      </c>
      <c r="E773" s="406">
        <v>662600</v>
      </c>
      <c r="F773">
        <v>3</v>
      </c>
    </row>
    <row r="774" spans="1:6" x14ac:dyDescent="0.25">
      <c r="A774" s="405">
        <v>8456011665</v>
      </c>
      <c r="B774">
        <v>10001983</v>
      </c>
      <c r="C774" t="s">
        <v>2405</v>
      </c>
      <c r="D774" s="406">
        <v>347200</v>
      </c>
      <c r="E774" s="406">
        <v>694400</v>
      </c>
      <c r="F774">
        <v>5</v>
      </c>
    </row>
    <row r="775" spans="1:6" x14ac:dyDescent="0.25">
      <c r="A775" s="405">
        <v>8456232890</v>
      </c>
      <c r="B775">
        <v>10001166</v>
      </c>
      <c r="C775" t="s">
        <v>2406</v>
      </c>
      <c r="D775" s="406">
        <v>252433.33333333334</v>
      </c>
      <c r="E775" s="406">
        <v>252433.33333333334</v>
      </c>
      <c r="F775">
        <v>6</v>
      </c>
    </row>
    <row r="776" spans="1:6" x14ac:dyDescent="0.25">
      <c r="A776" s="405">
        <v>8456490458</v>
      </c>
      <c r="B776">
        <v>10001844</v>
      </c>
      <c r="C776" t="s">
        <v>2407</v>
      </c>
      <c r="D776" s="406">
        <v>109500</v>
      </c>
      <c r="E776" s="406">
        <v>219000</v>
      </c>
      <c r="F776">
        <v>2</v>
      </c>
    </row>
    <row r="777" spans="1:6" x14ac:dyDescent="0.25">
      <c r="A777" s="405">
        <v>8456510645</v>
      </c>
      <c r="B777">
        <v>10001897</v>
      </c>
      <c r="C777" t="s">
        <v>2408</v>
      </c>
      <c r="D777" s="406">
        <v>350000</v>
      </c>
      <c r="E777" s="406">
        <v>350000</v>
      </c>
      <c r="F777">
        <v>6</v>
      </c>
    </row>
    <row r="778" spans="1:6" x14ac:dyDescent="0.25">
      <c r="A778" s="405">
        <v>8456630403</v>
      </c>
      <c r="B778">
        <v>10001782</v>
      </c>
      <c r="C778" t="s">
        <v>1611</v>
      </c>
      <c r="D778" s="406">
        <v>494466.66666666669</v>
      </c>
      <c r="E778" s="406">
        <v>494466.66666666669</v>
      </c>
      <c r="F778">
        <v>6</v>
      </c>
    </row>
    <row r="779" spans="1:6" x14ac:dyDescent="0.25">
      <c r="A779" s="405">
        <v>8456651230</v>
      </c>
      <c r="B779">
        <v>10001803</v>
      </c>
      <c r="C779" t="s">
        <v>2409</v>
      </c>
      <c r="D779" s="406">
        <v>350000</v>
      </c>
      <c r="E779" s="406">
        <v>350000</v>
      </c>
      <c r="F779">
        <v>1</v>
      </c>
    </row>
    <row r="780" spans="1:6" x14ac:dyDescent="0.25">
      <c r="A780" s="405">
        <v>8456811165</v>
      </c>
      <c r="B780">
        <v>10001032</v>
      </c>
      <c r="C780" t="s">
        <v>2410</v>
      </c>
      <c r="D780" s="406">
        <v>151500</v>
      </c>
      <c r="E780" s="406">
        <v>303000</v>
      </c>
      <c r="F780">
        <v>6</v>
      </c>
    </row>
    <row r="781" spans="1:6" x14ac:dyDescent="0.25">
      <c r="A781" s="405">
        <v>8456822582</v>
      </c>
      <c r="B781">
        <v>10001809</v>
      </c>
      <c r="C781" t="s">
        <v>2411</v>
      </c>
      <c r="D781" s="406">
        <v>177000</v>
      </c>
      <c r="E781" s="406">
        <v>354000</v>
      </c>
      <c r="F781">
        <v>6</v>
      </c>
    </row>
    <row r="782" spans="1:6" x14ac:dyDescent="0.25">
      <c r="A782" s="405">
        <v>8456852562</v>
      </c>
      <c r="B782">
        <v>10002010</v>
      </c>
      <c r="C782" t="s">
        <v>1733</v>
      </c>
      <c r="D782" s="406">
        <v>650933.33333333337</v>
      </c>
      <c r="E782" s="406">
        <v>650933.33333333337</v>
      </c>
      <c r="F782">
        <v>3</v>
      </c>
    </row>
    <row r="783" spans="1:6" x14ac:dyDescent="0.25">
      <c r="A783" s="405">
        <v>8456941492</v>
      </c>
      <c r="B783">
        <v>10001680</v>
      </c>
      <c r="C783" t="s">
        <v>2412</v>
      </c>
      <c r="D783" s="406">
        <v>609500</v>
      </c>
      <c r="E783" s="406">
        <v>609500</v>
      </c>
      <c r="F783">
        <v>6</v>
      </c>
    </row>
    <row r="784" spans="1:6" x14ac:dyDescent="0.25">
      <c r="A784" s="405">
        <v>8456992658</v>
      </c>
      <c r="B784">
        <v>10001898</v>
      </c>
      <c r="C784" t="s">
        <v>2413</v>
      </c>
      <c r="D784" s="406">
        <v>365333.33333333331</v>
      </c>
      <c r="E784" s="406">
        <v>365333.33333333331</v>
      </c>
      <c r="F784">
        <v>6</v>
      </c>
    </row>
    <row r="785" spans="1:6" x14ac:dyDescent="0.25">
      <c r="A785" s="405">
        <v>8457043838</v>
      </c>
      <c r="B785">
        <v>10001974</v>
      </c>
      <c r="C785" t="s">
        <v>1700</v>
      </c>
      <c r="D785" s="406">
        <v>440000</v>
      </c>
      <c r="E785" s="406">
        <v>440000</v>
      </c>
      <c r="F785">
        <v>6</v>
      </c>
    </row>
    <row r="786" spans="1:6" x14ac:dyDescent="0.25">
      <c r="A786" s="405">
        <v>8457050281</v>
      </c>
      <c r="B786">
        <v>10001453</v>
      </c>
      <c r="C786" t="s">
        <v>2414</v>
      </c>
      <c r="D786" s="406">
        <v>248950</v>
      </c>
      <c r="E786" s="406">
        <v>248950</v>
      </c>
      <c r="F786">
        <v>6</v>
      </c>
    </row>
    <row r="787" spans="1:6" x14ac:dyDescent="0.25">
      <c r="A787" s="405">
        <v>8457084143</v>
      </c>
      <c r="B787">
        <v>10001778</v>
      </c>
      <c r="C787" t="s">
        <v>2415</v>
      </c>
      <c r="D787" s="406">
        <v>385000</v>
      </c>
      <c r="E787" s="406">
        <v>385000</v>
      </c>
      <c r="F787">
        <v>6</v>
      </c>
    </row>
    <row r="788" spans="1:6" x14ac:dyDescent="0.25">
      <c r="A788" s="405">
        <v>8457232983</v>
      </c>
      <c r="B788">
        <v>10001789</v>
      </c>
      <c r="C788" t="s">
        <v>2416</v>
      </c>
      <c r="D788" s="406">
        <v>261800</v>
      </c>
      <c r="E788" s="406">
        <v>261800</v>
      </c>
      <c r="F788">
        <v>1</v>
      </c>
    </row>
    <row r="789" spans="1:6" x14ac:dyDescent="0.25">
      <c r="A789" s="405">
        <v>8457261002</v>
      </c>
      <c r="B789">
        <v>10001039</v>
      </c>
      <c r="C789" t="s">
        <v>2417</v>
      </c>
      <c r="D789" s="406">
        <v>526250</v>
      </c>
      <c r="E789" s="406">
        <v>526250</v>
      </c>
      <c r="F789">
        <v>6</v>
      </c>
    </row>
    <row r="790" spans="1:6" x14ac:dyDescent="0.25">
      <c r="A790" s="405">
        <v>8457292900</v>
      </c>
      <c r="B790">
        <v>10001615</v>
      </c>
      <c r="C790" t="s">
        <v>1486</v>
      </c>
      <c r="D790" s="406">
        <v>478333.33333333331</v>
      </c>
      <c r="E790" s="406">
        <v>478333.33333333331</v>
      </c>
      <c r="F790">
        <v>6</v>
      </c>
    </row>
    <row r="791" spans="1:6" x14ac:dyDescent="0.25">
      <c r="A791" s="405">
        <v>8457461427</v>
      </c>
      <c r="B791">
        <v>10000903</v>
      </c>
      <c r="C791" t="s">
        <v>2418</v>
      </c>
      <c r="D791" s="406">
        <v>423533.33333333331</v>
      </c>
      <c r="E791" s="406">
        <v>423533.33333333331</v>
      </c>
      <c r="F791">
        <v>6</v>
      </c>
    </row>
    <row r="792" spans="1:6" x14ac:dyDescent="0.25">
      <c r="A792" s="405">
        <v>8457790412</v>
      </c>
      <c r="B792">
        <v>10001575</v>
      </c>
      <c r="C792" t="s">
        <v>2419</v>
      </c>
      <c r="D792" s="406">
        <v>162150</v>
      </c>
      <c r="E792" s="406">
        <v>324300</v>
      </c>
      <c r="F792">
        <v>6</v>
      </c>
    </row>
    <row r="793" spans="1:6" x14ac:dyDescent="0.25">
      <c r="A793" s="405">
        <v>8457891952</v>
      </c>
      <c r="B793">
        <v>10001679</v>
      </c>
      <c r="C793" t="s">
        <v>2420</v>
      </c>
      <c r="D793" s="406">
        <v>288800</v>
      </c>
      <c r="E793" s="406">
        <v>385066.66666666669</v>
      </c>
      <c r="F793">
        <v>6</v>
      </c>
    </row>
    <row r="794" spans="1:6" x14ac:dyDescent="0.25">
      <c r="A794" s="405">
        <v>8458270471</v>
      </c>
      <c r="B794">
        <v>10001384</v>
      </c>
      <c r="C794" t="s">
        <v>2421</v>
      </c>
      <c r="D794" s="406">
        <v>352000</v>
      </c>
      <c r="E794" s="406">
        <v>352000</v>
      </c>
      <c r="F794">
        <v>6</v>
      </c>
    </row>
    <row r="795" spans="1:6" x14ac:dyDescent="0.25">
      <c r="A795" s="405">
        <v>8458363844</v>
      </c>
      <c r="B795">
        <v>10001890</v>
      </c>
      <c r="C795" t="s">
        <v>2422</v>
      </c>
      <c r="D795" s="406">
        <v>157500</v>
      </c>
      <c r="E795" s="406">
        <v>315000</v>
      </c>
      <c r="F795">
        <v>6</v>
      </c>
    </row>
    <row r="796" spans="1:6" x14ac:dyDescent="0.25">
      <c r="A796" s="405">
        <v>8458500310</v>
      </c>
      <c r="B796">
        <v>10001950</v>
      </c>
      <c r="C796" t="s">
        <v>1688</v>
      </c>
      <c r="D796" s="406">
        <v>330000</v>
      </c>
      <c r="E796" s="406">
        <v>660000</v>
      </c>
      <c r="F796">
        <v>6</v>
      </c>
    </row>
    <row r="797" spans="1:6" x14ac:dyDescent="0.25">
      <c r="A797" s="405">
        <v>8458760452</v>
      </c>
      <c r="B797">
        <v>10000999</v>
      </c>
      <c r="C797" t="s">
        <v>1308</v>
      </c>
      <c r="D797" s="406">
        <v>330000</v>
      </c>
      <c r="E797" s="406">
        <v>330000</v>
      </c>
      <c r="F797">
        <v>6</v>
      </c>
    </row>
    <row r="798" spans="1:6" x14ac:dyDescent="0.25">
      <c r="A798" s="405">
        <v>8459031489</v>
      </c>
      <c r="B798">
        <v>10001690</v>
      </c>
      <c r="C798" t="s">
        <v>2423</v>
      </c>
      <c r="D798" s="406">
        <v>395000</v>
      </c>
      <c r="E798" s="406">
        <v>395000</v>
      </c>
      <c r="F798">
        <v>6</v>
      </c>
    </row>
    <row r="799" spans="1:6" x14ac:dyDescent="0.25">
      <c r="A799" s="405">
        <v>8459141144</v>
      </c>
      <c r="B799">
        <v>10001274</v>
      </c>
      <c r="C799" t="s">
        <v>2424</v>
      </c>
      <c r="D799" s="406">
        <v>284133.33333333331</v>
      </c>
      <c r="E799" s="406">
        <v>284133.33333333331</v>
      </c>
      <c r="F799">
        <v>6</v>
      </c>
    </row>
    <row r="800" spans="1:6" x14ac:dyDescent="0.25">
      <c r="A800" s="405">
        <v>8459230287</v>
      </c>
      <c r="B800">
        <v>10001143</v>
      </c>
      <c r="C800" t="s">
        <v>1358</v>
      </c>
      <c r="D800" s="406">
        <v>385000</v>
      </c>
      <c r="E800" s="406">
        <v>385000</v>
      </c>
      <c r="F800">
        <v>6</v>
      </c>
    </row>
    <row r="801" spans="1:6" x14ac:dyDescent="0.25">
      <c r="A801" s="405">
        <v>8459273199</v>
      </c>
      <c r="B801">
        <v>10001818</v>
      </c>
      <c r="C801" t="s">
        <v>2425</v>
      </c>
      <c r="D801" s="406">
        <v>282300</v>
      </c>
      <c r="E801" s="406">
        <v>282300</v>
      </c>
      <c r="F801">
        <v>6</v>
      </c>
    </row>
    <row r="802" spans="1:6" x14ac:dyDescent="0.25">
      <c r="A802" s="405">
        <v>8459312267</v>
      </c>
      <c r="B802">
        <v>10001899</v>
      </c>
      <c r="C802" t="s">
        <v>1663</v>
      </c>
      <c r="D802" s="406">
        <v>369666.66666666669</v>
      </c>
      <c r="E802" s="406">
        <v>369666.66666666669</v>
      </c>
      <c r="F802">
        <v>6</v>
      </c>
    </row>
    <row r="803" spans="1:6" x14ac:dyDescent="0.25">
      <c r="A803" s="405">
        <v>8459382907</v>
      </c>
      <c r="B803">
        <v>10001375</v>
      </c>
      <c r="C803" t="s">
        <v>1414</v>
      </c>
      <c r="D803" s="406">
        <v>152600</v>
      </c>
      <c r="E803" s="406">
        <v>305200</v>
      </c>
      <c r="F803">
        <v>5</v>
      </c>
    </row>
    <row r="804" spans="1:6" x14ac:dyDescent="0.25">
      <c r="A804" s="405">
        <v>8459421406</v>
      </c>
      <c r="B804">
        <v>10001893</v>
      </c>
      <c r="C804" t="s">
        <v>2426</v>
      </c>
      <c r="D804" s="406">
        <v>346533.33333333331</v>
      </c>
      <c r="E804" s="406">
        <v>346533.33333333331</v>
      </c>
      <c r="F804">
        <v>6</v>
      </c>
    </row>
    <row r="805" spans="1:6" x14ac:dyDescent="0.25">
      <c r="A805" s="405">
        <v>8459483118</v>
      </c>
      <c r="B805">
        <v>10001761</v>
      </c>
      <c r="C805" t="s">
        <v>1601</v>
      </c>
      <c r="D805" s="406">
        <v>385000</v>
      </c>
      <c r="E805" s="406">
        <v>385000</v>
      </c>
      <c r="F805">
        <v>6</v>
      </c>
    </row>
    <row r="806" spans="1:6" x14ac:dyDescent="0.25">
      <c r="A806" s="405">
        <v>8459943798</v>
      </c>
      <c r="B806">
        <v>10002052</v>
      </c>
      <c r="C806" t="s">
        <v>1774</v>
      </c>
      <c r="D806" s="406">
        <v>150000</v>
      </c>
      <c r="E806" s="406">
        <v>300000</v>
      </c>
      <c r="F806">
        <v>1</v>
      </c>
    </row>
    <row r="807" spans="1:6" x14ac:dyDescent="0.25">
      <c r="A807" s="405">
        <v>8459972100</v>
      </c>
      <c r="B807">
        <v>10001908</v>
      </c>
      <c r="C807" t="s">
        <v>1668</v>
      </c>
      <c r="D807" s="406">
        <v>220000</v>
      </c>
      <c r="E807" s="406">
        <v>293333.33333333331</v>
      </c>
      <c r="F807">
        <v>6</v>
      </c>
    </row>
    <row r="808" spans="1:6" x14ac:dyDescent="0.25">
      <c r="A808" s="405">
        <v>8460153053</v>
      </c>
      <c r="B808">
        <v>10001399</v>
      </c>
      <c r="C808" t="s">
        <v>2427</v>
      </c>
      <c r="D808" s="406">
        <v>315650</v>
      </c>
      <c r="E808" s="406">
        <v>315650</v>
      </c>
      <c r="F808">
        <v>6</v>
      </c>
    </row>
    <row r="809" spans="1:6" x14ac:dyDescent="0.25">
      <c r="A809" s="405">
        <v>8460271463</v>
      </c>
      <c r="B809">
        <v>10001652</v>
      </c>
      <c r="C809" t="s">
        <v>1505</v>
      </c>
      <c r="D809" s="406">
        <v>440000</v>
      </c>
      <c r="E809" s="406">
        <v>440000</v>
      </c>
      <c r="F809">
        <v>6</v>
      </c>
    </row>
    <row r="810" spans="1:6" x14ac:dyDescent="0.25">
      <c r="A810" s="405">
        <v>8460291359</v>
      </c>
      <c r="B810">
        <v>10001090</v>
      </c>
      <c r="C810" t="s">
        <v>2428</v>
      </c>
      <c r="D810" s="406">
        <v>354166.66666666669</v>
      </c>
      <c r="E810" s="406">
        <v>354166.66666666669</v>
      </c>
      <c r="F810">
        <v>6</v>
      </c>
    </row>
    <row r="811" spans="1:6" x14ac:dyDescent="0.25">
      <c r="A811" s="405">
        <v>8460470792</v>
      </c>
      <c r="B811">
        <v>10001788</v>
      </c>
      <c r="C811" t="s">
        <v>1614</v>
      </c>
      <c r="D811" s="406">
        <v>253450</v>
      </c>
      <c r="E811" s="406">
        <v>253450</v>
      </c>
      <c r="F811">
        <v>4</v>
      </c>
    </row>
    <row r="812" spans="1:6" x14ac:dyDescent="0.25">
      <c r="A812" s="405">
        <v>8460541932</v>
      </c>
      <c r="B812">
        <v>10001357</v>
      </c>
      <c r="C812" t="s">
        <v>2429</v>
      </c>
      <c r="D812" s="406">
        <v>328933.33333333331</v>
      </c>
      <c r="E812" s="406">
        <v>328933.33333333331</v>
      </c>
      <c r="F812">
        <v>6</v>
      </c>
    </row>
    <row r="813" spans="1:6" x14ac:dyDescent="0.25">
      <c r="A813" s="405">
        <v>8460750965</v>
      </c>
      <c r="B813">
        <v>10001425</v>
      </c>
      <c r="C813" t="s">
        <v>2430</v>
      </c>
      <c r="D813" s="406">
        <v>374000</v>
      </c>
      <c r="E813" s="406">
        <v>374000</v>
      </c>
      <c r="F813">
        <v>6</v>
      </c>
    </row>
    <row r="814" spans="1:6" x14ac:dyDescent="0.25">
      <c r="A814" s="405">
        <v>8460780449</v>
      </c>
      <c r="B814">
        <v>10000977</v>
      </c>
      <c r="C814" t="s">
        <v>2431</v>
      </c>
      <c r="D814" s="406">
        <v>374000</v>
      </c>
      <c r="E814" s="406">
        <v>374000</v>
      </c>
      <c r="F814">
        <v>6</v>
      </c>
    </row>
    <row r="815" spans="1:6" x14ac:dyDescent="0.25">
      <c r="A815" s="405">
        <v>8460982173</v>
      </c>
      <c r="B815">
        <v>10002000</v>
      </c>
      <c r="C815" t="s">
        <v>1721</v>
      </c>
      <c r="D815" s="406">
        <v>300000</v>
      </c>
      <c r="E815" s="406">
        <v>300000</v>
      </c>
      <c r="F815">
        <v>4</v>
      </c>
    </row>
    <row r="816" spans="1:6" x14ac:dyDescent="0.25">
      <c r="A816" s="405">
        <v>8461011201</v>
      </c>
      <c r="B816">
        <v>10001624</v>
      </c>
      <c r="C816" t="s">
        <v>2432</v>
      </c>
      <c r="D816" s="406">
        <v>302533.33333333331</v>
      </c>
      <c r="E816" s="406">
        <v>302533.33333333331</v>
      </c>
      <c r="F816">
        <v>6</v>
      </c>
    </row>
    <row r="817" spans="1:6" x14ac:dyDescent="0.25">
      <c r="A817" s="405">
        <v>8461383214</v>
      </c>
      <c r="B817">
        <v>10001654</v>
      </c>
      <c r="C817" t="s">
        <v>2433</v>
      </c>
      <c r="D817" s="406">
        <v>330000</v>
      </c>
      <c r="E817" s="406">
        <v>330000</v>
      </c>
      <c r="F817">
        <v>6</v>
      </c>
    </row>
    <row r="818" spans="1:6" x14ac:dyDescent="0.25">
      <c r="A818" s="405">
        <v>8461520602</v>
      </c>
      <c r="B818">
        <v>10001256</v>
      </c>
      <c r="C818" t="s">
        <v>2434</v>
      </c>
      <c r="D818" s="406">
        <v>470000</v>
      </c>
      <c r="E818" s="406">
        <v>470000</v>
      </c>
      <c r="F818">
        <v>6</v>
      </c>
    </row>
    <row r="819" spans="1:6" x14ac:dyDescent="0.25">
      <c r="A819" s="405">
        <v>8461583191</v>
      </c>
      <c r="B819">
        <v>10001966</v>
      </c>
      <c r="C819" t="s">
        <v>2435</v>
      </c>
      <c r="D819" s="406">
        <v>316866.66666666669</v>
      </c>
      <c r="E819" s="406">
        <v>316866.66666666669</v>
      </c>
      <c r="F819">
        <v>6</v>
      </c>
    </row>
    <row r="820" spans="1:6" x14ac:dyDescent="0.25">
      <c r="A820" s="405">
        <v>8461660684</v>
      </c>
      <c r="B820">
        <v>10001891</v>
      </c>
      <c r="C820" t="s">
        <v>2436</v>
      </c>
      <c r="D820" s="406">
        <v>385000</v>
      </c>
      <c r="E820" s="406">
        <v>385000</v>
      </c>
      <c r="F820">
        <v>6</v>
      </c>
    </row>
    <row r="821" spans="1:6" x14ac:dyDescent="0.25">
      <c r="A821" s="405">
        <v>8461870093</v>
      </c>
      <c r="B821">
        <v>10001101</v>
      </c>
      <c r="C821" t="s">
        <v>2437</v>
      </c>
      <c r="D821" s="406">
        <v>288766.66666666669</v>
      </c>
      <c r="E821" s="406">
        <v>288766.66666666669</v>
      </c>
      <c r="F821">
        <v>6</v>
      </c>
    </row>
    <row r="822" spans="1:6" x14ac:dyDescent="0.25">
      <c r="A822" s="405">
        <v>8462260035</v>
      </c>
      <c r="B822">
        <v>10001467</v>
      </c>
      <c r="C822" t="s">
        <v>1447</v>
      </c>
      <c r="D822" s="406">
        <v>291050</v>
      </c>
      <c r="E822" s="406">
        <v>346700</v>
      </c>
      <c r="F822">
        <v>6</v>
      </c>
    </row>
    <row r="823" spans="1:6" x14ac:dyDescent="0.25">
      <c r="A823" s="405">
        <v>8462701147</v>
      </c>
      <c r="B823">
        <v>10001887</v>
      </c>
      <c r="C823" t="s">
        <v>1651</v>
      </c>
      <c r="D823" s="406">
        <v>357533.33333333331</v>
      </c>
      <c r="E823" s="406">
        <v>357533.33333333331</v>
      </c>
      <c r="F823">
        <v>6</v>
      </c>
    </row>
    <row r="824" spans="1:6" x14ac:dyDescent="0.25">
      <c r="A824" s="405">
        <v>8462721202</v>
      </c>
      <c r="B824">
        <v>10001130</v>
      </c>
      <c r="C824" t="s">
        <v>2438</v>
      </c>
      <c r="D824" s="406">
        <v>275000</v>
      </c>
      <c r="E824" s="406">
        <v>275000</v>
      </c>
      <c r="F824">
        <v>6</v>
      </c>
    </row>
    <row r="825" spans="1:6" x14ac:dyDescent="0.25">
      <c r="A825" s="405">
        <v>8462731127</v>
      </c>
      <c r="B825">
        <v>10001972</v>
      </c>
      <c r="C825" t="s">
        <v>2439</v>
      </c>
      <c r="D825" s="406">
        <v>240933.33333333334</v>
      </c>
      <c r="E825" s="406">
        <v>240933.33333333334</v>
      </c>
      <c r="F825">
        <v>6</v>
      </c>
    </row>
    <row r="826" spans="1:6" x14ac:dyDescent="0.25">
      <c r="A826" s="405">
        <v>8463041248</v>
      </c>
      <c r="B826">
        <v>10001854</v>
      </c>
      <c r="C826" t="s">
        <v>1642</v>
      </c>
      <c r="D826" s="406">
        <v>361266.66666666669</v>
      </c>
      <c r="E826" s="406">
        <v>361266.66666666669</v>
      </c>
      <c r="F826">
        <v>6</v>
      </c>
    </row>
    <row r="827" spans="1:6" x14ac:dyDescent="0.25">
      <c r="A827" s="405">
        <v>8463281443</v>
      </c>
      <c r="B827">
        <v>10001658</v>
      </c>
      <c r="C827" t="s">
        <v>1508</v>
      </c>
      <c r="D827" s="406">
        <v>150000</v>
      </c>
      <c r="E827" s="406">
        <v>300000</v>
      </c>
      <c r="F827">
        <v>3</v>
      </c>
    </row>
    <row r="828" spans="1:6" x14ac:dyDescent="0.25">
      <c r="A828" s="405">
        <v>8463393128</v>
      </c>
      <c r="B828">
        <v>10002057</v>
      </c>
      <c r="C828" t="s">
        <v>2440</v>
      </c>
      <c r="D828" s="406">
        <v>80150</v>
      </c>
      <c r="E828" s="406">
        <v>320600</v>
      </c>
      <c r="F828">
        <v>3</v>
      </c>
    </row>
    <row r="829" spans="1:6" x14ac:dyDescent="0.25">
      <c r="A829" s="405">
        <v>8463660355</v>
      </c>
      <c r="B829">
        <v>10001871</v>
      </c>
      <c r="C829" t="s">
        <v>2441</v>
      </c>
      <c r="D829" s="406">
        <v>180000</v>
      </c>
      <c r="E829" s="406">
        <v>360000</v>
      </c>
      <c r="F829">
        <v>6</v>
      </c>
    </row>
    <row r="830" spans="1:6" x14ac:dyDescent="0.25">
      <c r="A830" s="405">
        <v>8464342063</v>
      </c>
      <c r="B830">
        <v>10001805</v>
      </c>
      <c r="C830" t="s">
        <v>1623</v>
      </c>
      <c r="D830" s="406">
        <v>307433.33333333331</v>
      </c>
      <c r="E830" s="406">
        <v>614866.66666666663</v>
      </c>
      <c r="F830">
        <v>6</v>
      </c>
    </row>
    <row r="831" spans="1:6" x14ac:dyDescent="0.25">
      <c r="A831" s="405">
        <v>8464480210</v>
      </c>
      <c r="B831">
        <v>10001287</v>
      </c>
      <c r="C831" t="s">
        <v>1393</v>
      </c>
      <c r="D831" s="406">
        <v>484000</v>
      </c>
      <c r="E831" s="406">
        <v>484000</v>
      </c>
      <c r="F831">
        <v>6</v>
      </c>
    </row>
    <row r="832" spans="1:6" x14ac:dyDescent="0.25">
      <c r="A832" s="405">
        <v>8464521502</v>
      </c>
      <c r="B832">
        <v>10001573</v>
      </c>
      <c r="C832" t="s">
        <v>1473</v>
      </c>
      <c r="D832" s="406">
        <v>146250</v>
      </c>
      <c r="E832" s="406">
        <v>292500</v>
      </c>
      <c r="F832">
        <v>4</v>
      </c>
    </row>
    <row r="833" spans="1:6" x14ac:dyDescent="0.25">
      <c r="A833" s="405">
        <v>8464542070</v>
      </c>
      <c r="B833">
        <v>10002006</v>
      </c>
      <c r="C833" t="s">
        <v>1727</v>
      </c>
      <c r="D833" s="406">
        <v>450000</v>
      </c>
      <c r="E833" s="406">
        <v>450000</v>
      </c>
      <c r="F833">
        <v>4</v>
      </c>
    </row>
    <row r="834" spans="1:6" x14ac:dyDescent="0.25">
      <c r="A834" s="405">
        <v>8464910525</v>
      </c>
      <c r="B834">
        <v>10001518</v>
      </c>
      <c r="C834" t="s">
        <v>2442</v>
      </c>
      <c r="D834" s="406">
        <v>328933.33333333331</v>
      </c>
      <c r="E834" s="406">
        <v>328933.33333333331</v>
      </c>
      <c r="F834">
        <v>6</v>
      </c>
    </row>
    <row r="835" spans="1:6" x14ac:dyDescent="0.25">
      <c r="A835" s="405">
        <v>8465090238</v>
      </c>
      <c r="B835">
        <v>10001816</v>
      </c>
      <c r="C835" t="s">
        <v>1632</v>
      </c>
      <c r="D835" s="406">
        <v>394266.66666666669</v>
      </c>
      <c r="E835" s="406">
        <v>394266.66666666669</v>
      </c>
      <c r="F835">
        <v>6</v>
      </c>
    </row>
    <row r="836" spans="1:6" x14ac:dyDescent="0.25">
      <c r="A836" s="405">
        <v>8465163111</v>
      </c>
      <c r="B836">
        <v>10002045</v>
      </c>
      <c r="C836" t="s">
        <v>2443</v>
      </c>
      <c r="D836" s="406">
        <v>290000</v>
      </c>
      <c r="E836" s="406">
        <v>290000</v>
      </c>
      <c r="F836">
        <v>2</v>
      </c>
    </row>
    <row r="837" spans="1:6" x14ac:dyDescent="0.25">
      <c r="A837" s="405">
        <v>8465210845</v>
      </c>
      <c r="B837">
        <v>10002058</v>
      </c>
      <c r="C837" t="s">
        <v>1778</v>
      </c>
      <c r="D837" s="406">
        <v>200000</v>
      </c>
      <c r="E837" s="406">
        <v>266666.66666666669</v>
      </c>
      <c r="F837">
        <v>1</v>
      </c>
    </row>
    <row r="838" spans="1:6" x14ac:dyDescent="0.25">
      <c r="A838" s="405">
        <v>8465870039</v>
      </c>
      <c r="B838">
        <v>10001543</v>
      </c>
      <c r="C838" t="s">
        <v>2444</v>
      </c>
      <c r="D838" s="406">
        <v>300000</v>
      </c>
      <c r="E838" s="406">
        <v>300000</v>
      </c>
      <c r="F838">
        <v>2</v>
      </c>
    </row>
    <row r="839" spans="1:6" x14ac:dyDescent="0.25">
      <c r="A839" s="405">
        <v>8465950113</v>
      </c>
      <c r="B839">
        <v>10001356</v>
      </c>
      <c r="C839" t="s">
        <v>1413</v>
      </c>
      <c r="D839" s="406">
        <v>397750</v>
      </c>
      <c r="E839" s="406">
        <v>397750</v>
      </c>
      <c r="F839">
        <v>4</v>
      </c>
    </row>
    <row r="840" spans="1:6" x14ac:dyDescent="0.25">
      <c r="A840" s="405">
        <v>8466610820</v>
      </c>
      <c r="B840">
        <v>10001675</v>
      </c>
      <c r="C840" t="s">
        <v>2445</v>
      </c>
      <c r="D840" s="406">
        <v>240933.33333333334</v>
      </c>
      <c r="E840" s="406">
        <v>240933.33333333334</v>
      </c>
      <c r="F840">
        <v>6</v>
      </c>
    </row>
    <row r="841" spans="1:6" x14ac:dyDescent="0.25">
      <c r="A841" s="405">
        <v>8466910670</v>
      </c>
      <c r="B841">
        <v>10001786</v>
      </c>
      <c r="C841" t="s">
        <v>1613</v>
      </c>
      <c r="D841" s="406">
        <v>424666.66666666669</v>
      </c>
      <c r="E841" s="406">
        <v>424666.66666666669</v>
      </c>
      <c r="F841">
        <v>6</v>
      </c>
    </row>
    <row r="842" spans="1:6" x14ac:dyDescent="0.25">
      <c r="A842" s="405">
        <v>8466920137</v>
      </c>
      <c r="B842">
        <v>10001614</v>
      </c>
      <c r="C842" t="s">
        <v>2446</v>
      </c>
      <c r="D842" s="406">
        <v>165000</v>
      </c>
      <c r="E842" s="406">
        <v>330000</v>
      </c>
      <c r="F842">
        <v>6</v>
      </c>
    </row>
    <row r="843" spans="1:6" x14ac:dyDescent="0.25">
      <c r="A843" s="405">
        <v>8467980052</v>
      </c>
      <c r="B843">
        <v>10001303</v>
      </c>
      <c r="C843" t="s">
        <v>2447</v>
      </c>
      <c r="D843" s="406">
        <v>240933.33333333334</v>
      </c>
      <c r="E843" s="406">
        <v>240933.33333333334</v>
      </c>
      <c r="F843">
        <v>6</v>
      </c>
    </row>
    <row r="844" spans="1:6" x14ac:dyDescent="0.25">
      <c r="A844" s="405">
        <v>8468030554</v>
      </c>
      <c r="B844">
        <v>10001622</v>
      </c>
      <c r="C844" t="s">
        <v>1488</v>
      </c>
      <c r="D844" s="406">
        <v>275000</v>
      </c>
      <c r="E844" s="406">
        <v>275000</v>
      </c>
      <c r="F844">
        <v>6</v>
      </c>
    </row>
    <row r="845" spans="1:6" x14ac:dyDescent="0.25">
      <c r="A845" s="405">
        <v>8468170232</v>
      </c>
      <c r="B845">
        <v>10001626</v>
      </c>
      <c r="C845" t="s">
        <v>1490</v>
      </c>
      <c r="D845" s="406">
        <v>297000</v>
      </c>
      <c r="E845" s="406">
        <v>396000</v>
      </c>
      <c r="F845">
        <v>6</v>
      </c>
    </row>
    <row r="846" spans="1:6" x14ac:dyDescent="0.25">
      <c r="A846" s="405">
        <v>8468362336</v>
      </c>
      <c r="B846">
        <v>10001815</v>
      </c>
      <c r="C846" t="s">
        <v>2448</v>
      </c>
      <c r="D846" s="406">
        <v>66000</v>
      </c>
      <c r="E846" s="406">
        <v>264000</v>
      </c>
      <c r="F846">
        <v>6</v>
      </c>
    </row>
    <row r="847" spans="1:6" x14ac:dyDescent="0.25">
      <c r="A847" s="405">
        <v>8469202529</v>
      </c>
      <c r="B847">
        <v>10001540</v>
      </c>
      <c r="C847" t="s">
        <v>1461</v>
      </c>
      <c r="D847" s="406">
        <v>326533.33333333331</v>
      </c>
      <c r="E847" s="406">
        <v>326533.33333333331</v>
      </c>
      <c r="F847">
        <v>6</v>
      </c>
    </row>
    <row r="848" spans="1:6" x14ac:dyDescent="0.25">
      <c r="A848" s="405">
        <v>8469240358</v>
      </c>
      <c r="B848">
        <v>10001586</v>
      </c>
      <c r="C848" t="s">
        <v>1480</v>
      </c>
      <c r="D848" s="406">
        <v>317266.66666666669</v>
      </c>
      <c r="E848" s="406">
        <v>317266.66666666669</v>
      </c>
      <c r="F848">
        <v>6</v>
      </c>
    </row>
    <row r="849" spans="1:6" x14ac:dyDescent="0.25">
      <c r="A849" s="405">
        <v>8469270311</v>
      </c>
      <c r="B849">
        <v>10001752</v>
      </c>
      <c r="C849" t="s">
        <v>2449</v>
      </c>
      <c r="D849" s="406">
        <v>220000</v>
      </c>
      <c r="E849" s="406">
        <v>220000</v>
      </c>
      <c r="F849">
        <v>2</v>
      </c>
    </row>
    <row r="850" spans="1:6" x14ac:dyDescent="0.25">
      <c r="A850" s="405">
        <v>8469340409</v>
      </c>
      <c r="B850">
        <v>10001900</v>
      </c>
      <c r="C850" t="s">
        <v>1664</v>
      </c>
      <c r="D850" s="406">
        <v>385000</v>
      </c>
      <c r="E850" s="406">
        <v>385000</v>
      </c>
      <c r="F850">
        <v>6</v>
      </c>
    </row>
    <row r="851" spans="1:6" x14ac:dyDescent="0.25">
      <c r="A851" s="405">
        <v>8469560212</v>
      </c>
      <c r="B851">
        <v>10001288</v>
      </c>
      <c r="C851" t="s">
        <v>2450</v>
      </c>
      <c r="D851" s="406">
        <v>646666.66666666663</v>
      </c>
      <c r="E851" s="406">
        <v>646666.66666666663</v>
      </c>
      <c r="F851">
        <v>6</v>
      </c>
    </row>
    <row r="852" spans="1:6" x14ac:dyDescent="0.25">
      <c r="A852" s="405">
        <v>8469730517</v>
      </c>
      <c r="B852">
        <v>10001921</v>
      </c>
      <c r="C852" t="s">
        <v>2451</v>
      </c>
      <c r="D852" s="406">
        <v>247533.33333333334</v>
      </c>
      <c r="E852" s="406">
        <v>330044.44444444444</v>
      </c>
      <c r="F852">
        <v>6</v>
      </c>
    </row>
    <row r="853" spans="1:6" x14ac:dyDescent="0.25">
      <c r="A853" s="405">
        <v>8469970453</v>
      </c>
      <c r="B853">
        <v>10001311</v>
      </c>
      <c r="C853" t="s">
        <v>1400</v>
      </c>
      <c r="D853" s="406">
        <v>330000</v>
      </c>
      <c r="E853" s="406">
        <v>440000</v>
      </c>
      <c r="F853">
        <v>6</v>
      </c>
    </row>
    <row r="854" spans="1:6" x14ac:dyDescent="0.25">
      <c r="A854" s="405">
        <v>8470090275</v>
      </c>
      <c r="B854">
        <v>10001409</v>
      </c>
      <c r="C854" t="s">
        <v>2452</v>
      </c>
      <c r="D854" s="406">
        <v>350000</v>
      </c>
      <c r="E854" s="406">
        <v>350000</v>
      </c>
      <c r="F854">
        <v>2</v>
      </c>
    </row>
    <row r="855" spans="1:6" x14ac:dyDescent="0.25">
      <c r="A855" s="405">
        <v>8470232703</v>
      </c>
      <c r="B855">
        <v>10001361</v>
      </c>
      <c r="C855" t="s">
        <v>2453</v>
      </c>
      <c r="D855" s="406">
        <v>370000</v>
      </c>
      <c r="E855" s="406">
        <v>370000</v>
      </c>
      <c r="F855">
        <v>2</v>
      </c>
    </row>
    <row r="856" spans="1:6" x14ac:dyDescent="0.25">
      <c r="A856" s="405">
        <v>8470592335</v>
      </c>
      <c r="B856">
        <v>10001390</v>
      </c>
      <c r="C856" t="s">
        <v>1417</v>
      </c>
      <c r="D856" s="406">
        <v>154000</v>
      </c>
      <c r="E856" s="406">
        <v>308000</v>
      </c>
      <c r="F856">
        <v>6</v>
      </c>
    </row>
    <row r="857" spans="1:6" x14ac:dyDescent="0.25">
      <c r="A857" s="405">
        <v>8470832808</v>
      </c>
      <c r="B857">
        <v>10001851</v>
      </c>
      <c r="C857" t="s">
        <v>2454</v>
      </c>
      <c r="D857" s="406">
        <v>380000</v>
      </c>
      <c r="E857" s="406">
        <v>380000</v>
      </c>
      <c r="F857">
        <v>6</v>
      </c>
    </row>
    <row r="858" spans="1:6" x14ac:dyDescent="0.25">
      <c r="A858" s="405">
        <v>8470952773</v>
      </c>
      <c r="B858">
        <v>10001942</v>
      </c>
      <c r="C858" t="s">
        <v>1684</v>
      </c>
      <c r="D858" s="406">
        <v>297000</v>
      </c>
      <c r="E858" s="406">
        <v>297000</v>
      </c>
      <c r="F858">
        <v>6</v>
      </c>
    </row>
    <row r="859" spans="1:6" x14ac:dyDescent="0.25">
      <c r="A859" s="405">
        <v>8470991035</v>
      </c>
      <c r="B859">
        <v>10001965</v>
      </c>
      <c r="C859" t="s">
        <v>2455</v>
      </c>
      <c r="D859" s="406">
        <v>264000</v>
      </c>
      <c r="E859" s="406">
        <v>264000</v>
      </c>
      <c r="F859">
        <v>6</v>
      </c>
    </row>
    <row r="860" spans="1:6" x14ac:dyDescent="0.25">
      <c r="A860" s="405">
        <v>8471092190</v>
      </c>
      <c r="B860">
        <v>10002003</v>
      </c>
      <c r="C860" t="s">
        <v>1724</v>
      </c>
      <c r="D860" s="406">
        <v>219000</v>
      </c>
      <c r="E860" s="406">
        <v>219000</v>
      </c>
      <c r="F860">
        <v>4</v>
      </c>
    </row>
    <row r="861" spans="1:6" x14ac:dyDescent="0.25">
      <c r="A861" s="405">
        <v>8471190532</v>
      </c>
      <c r="B861">
        <v>10002014</v>
      </c>
      <c r="C861" t="s">
        <v>1737</v>
      </c>
      <c r="D861" s="406">
        <v>320000</v>
      </c>
      <c r="E861" s="406">
        <v>320000</v>
      </c>
      <c r="F861">
        <v>3</v>
      </c>
    </row>
    <row r="862" spans="1:6" x14ac:dyDescent="0.25">
      <c r="A862" s="405">
        <v>8471202522</v>
      </c>
      <c r="B862">
        <v>10001936</v>
      </c>
      <c r="C862" t="s">
        <v>1139</v>
      </c>
      <c r="D862" s="406">
        <v>375000</v>
      </c>
      <c r="E862" s="406">
        <v>375000</v>
      </c>
      <c r="F862">
        <v>3</v>
      </c>
    </row>
    <row r="863" spans="1:6" x14ac:dyDescent="0.25">
      <c r="A863" s="405">
        <v>8471310406</v>
      </c>
      <c r="B863">
        <v>10001557</v>
      </c>
      <c r="C863" t="s">
        <v>1467</v>
      </c>
      <c r="D863" s="406">
        <v>244000</v>
      </c>
      <c r="E863" s="406">
        <v>244000</v>
      </c>
      <c r="F863">
        <v>6</v>
      </c>
    </row>
    <row r="864" spans="1:6" x14ac:dyDescent="0.25">
      <c r="A864" s="405">
        <v>8471840170</v>
      </c>
      <c r="B864">
        <v>10001629</v>
      </c>
      <c r="C864" t="s">
        <v>2456</v>
      </c>
      <c r="D864" s="406">
        <v>392666.66666666669</v>
      </c>
      <c r="E864" s="406">
        <v>392666.66666666669</v>
      </c>
      <c r="F864">
        <v>6</v>
      </c>
    </row>
    <row r="865" spans="1:6" x14ac:dyDescent="0.25">
      <c r="A865" s="405">
        <v>8471932784</v>
      </c>
      <c r="B865">
        <v>10001655</v>
      </c>
      <c r="C865" t="s">
        <v>2457</v>
      </c>
      <c r="D865" s="406">
        <v>278200</v>
      </c>
      <c r="E865" s="406">
        <v>278200</v>
      </c>
      <c r="F865">
        <v>6</v>
      </c>
    </row>
    <row r="866" spans="1:6" x14ac:dyDescent="0.25">
      <c r="A866" s="405">
        <v>8472241629</v>
      </c>
      <c r="B866">
        <v>10001443</v>
      </c>
      <c r="C866" t="s">
        <v>2458</v>
      </c>
      <c r="D866" s="406">
        <v>385000</v>
      </c>
      <c r="E866" s="406">
        <v>385000</v>
      </c>
      <c r="F866">
        <v>6</v>
      </c>
    </row>
    <row r="867" spans="1:6" x14ac:dyDescent="0.25">
      <c r="A867" s="405">
        <v>8472250296</v>
      </c>
      <c r="B867">
        <v>10001649</v>
      </c>
      <c r="C867" t="s">
        <v>2459</v>
      </c>
      <c r="D867" s="406">
        <v>278200</v>
      </c>
      <c r="E867" s="406">
        <v>278200</v>
      </c>
      <c r="F867">
        <v>6</v>
      </c>
    </row>
    <row r="868" spans="1:6" x14ac:dyDescent="0.25">
      <c r="A868" s="405">
        <v>8472472035</v>
      </c>
      <c r="B868">
        <v>10001973</v>
      </c>
      <c r="C868" t="s">
        <v>2460</v>
      </c>
      <c r="D868" s="406">
        <v>240933.33333333334</v>
      </c>
      <c r="E868" s="406">
        <v>240933.33333333334</v>
      </c>
      <c r="F868">
        <v>6</v>
      </c>
    </row>
    <row r="869" spans="1:6" x14ac:dyDescent="0.25">
      <c r="A869" s="405">
        <v>8472651363</v>
      </c>
      <c r="B869">
        <v>10001984</v>
      </c>
      <c r="C869" t="s">
        <v>1710</v>
      </c>
      <c r="D869" s="406">
        <v>473000</v>
      </c>
      <c r="E869" s="406">
        <v>473000</v>
      </c>
      <c r="F869">
        <v>3</v>
      </c>
    </row>
    <row r="870" spans="1:6" x14ac:dyDescent="0.25">
      <c r="A870" s="405">
        <v>8473390040</v>
      </c>
      <c r="B870">
        <v>10001667</v>
      </c>
      <c r="C870" t="s">
        <v>1511</v>
      </c>
      <c r="D870" s="406">
        <v>398833.33333333331</v>
      </c>
      <c r="E870" s="406">
        <v>398833.33333333331</v>
      </c>
      <c r="F870">
        <v>6</v>
      </c>
    </row>
    <row r="871" spans="1:6" x14ac:dyDescent="0.25">
      <c r="A871" s="405">
        <v>8473392310</v>
      </c>
      <c r="B871">
        <v>10001280</v>
      </c>
      <c r="C871" t="s">
        <v>2461</v>
      </c>
      <c r="D871" s="406">
        <v>330000</v>
      </c>
      <c r="E871" s="406">
        <v>330000</v>
      </c>
      <c r="F871">
        <v>6</v>
      </c>
    </row>
    <row r="872" spans="1:6" x14ac:dyDescent="0.25">
      <c r="A872" s="405">
        <v>8473562283</v>
      </c>
      <c r="B872">
        <v>10001831</v>
      </c>
      <c r="C872" t="s">
        <v>2462</v>
      </c>
      <c r="D872" s="406">
        <v>325000</v>
      </c>
      <c r="E872" s="406">
        <v>325000</v>
      </c>
      <c r="F872">
        <v>2</v>
      </c>
    </row>
    <row r="873" spans="1:6" x14ac:dyDescent="0.25">
      <c r="A873" s="405">
        <v>8473740297</v>
      </c>
      <c r="B873">
        <v>10002042</v>
      </c>
      <c r="C873" t="s">
        <v>1766</v>
      </c>
      <c r="D873" s="406">
        <v>219000</v>
      </c>
      <c r="E873" s="406">
        <v>219000</v>
      </c>
      <c r="F873">
        <v>2</v>
      </c>
    </row>
    <row r="874" spans="1:6" x14ac:dyDescent="0.25">
      <c r="A874" s="405">
        <v>8473952286</v>
      </c>
      <c r="B874">
        <v>10002017</v>
      </c>
      <c r="C874" t="s">
        <v>1739</v>
      </c>
      <c r="D874" s="406">
        <v>250000</v>
      </c>
      <c r="E874" s="406">
        <v>250000</v>
      </c>
      <c r="F874">
        <v>3</v>
      </c>
    </row>
    <row r="875" spans="1:6" x14ac:dyDescent="0.25">
      <c r="A875" s="405">
        <v>8474010640</v>
      </c>
      <c r="B875">
        <v>10001755</v>
      </c>
      <c r="C875" t="s">
        <v>2463</v>
      </c>
      <c r="D875" s="406">
        <v>268666.66666666669</v>
      </c>
      <c r="E875" s="406">
        <v>268666.66666666669</v>
      </c>
      <c r="F875">
        <v>6</v>
      </c>
    </row>
    <row r="876" spans="1:6" x14ac:dyDescent="0.25">
      <c r="A876" s="405">
        <v>8474180449</v>
      </c>
      <c r="B876">
        <v>10001574</v>
      </c>
      <c r="C876" t="s">
        <v>1474</v>
      </c>
      <c r="D876" s="406">
        <v>155000</v>
      </c>
      <c r="E876" s="406">
        <v>310000</v>
      </c>
      <c r="F876">
        <v>3</v>
      </c>
    </row>
    <row r="877" spans="1:6" x14ac:dyDescent="0.25">
      <c r="A877" s="405">
        <v>8474940427</v>
      </c>
      <c r="B877">
        <v>10001877</v>
      </c>
      <c r="C877" t="s">
        <v>1648</v>
      </c>
      <c r="D877" s="406">
        <v>319000</v>
      </c>
      <c r="E877" s="406">
        <v>319000</v>
      </c>
      <c r="F877">
        <v>6</v>
      </c>
    </row>
    <row r="878" spans="1:6" x14ac:dyDescent="0.25">
      <c r="A878" s="405">
        <v>8476082037</v>
      </c>
      <c r="B878">
        <v>10001889</v>
      </c>
      <c r="C878" t="s">
        <v>1653</v>
      </c>
      <c r="D878" s="406">
        <v>284260</v>
      </c>
      <c r="E878" s="406">
        <v>284260</v>
      </c>
      <c r="F878">
        <v>6</v>
      </c>
    </row>
    <row r="879" spans="1:6" x14ac:dyDescent="0.25">
      <c r="A879" s="405">
        <v>8476162324</v>
      </c>
      <c r="B879">
        <v>10001410</v>
      </c>
      <c r="C879" t="s">
        <v>2464</v>
      </c>
      <c r="D879" s="406">
        <v>385000</v>
      </c>
      <c r="E879" s="406">
        <v>385000</v>
      </c>
      <c r="F879">
        <v>6</v>
      </c>
    </row>
    <row r="880" spans="1:6" x14ac:dyDescent="0.25">
      <c r="A880" s="405">
        <v>8476222777</v>
      </c>
      <c r="B880">
        <v>10001569</v>
      </c>
      <c r="C880" t="s">
        <v>2465</v>
      </c>
      <c r="D880" s="406">
        <v>578666.66666666663</v>
      </c>
      <c r="E880" s="406">
        <v>578666.66666666663</v>
      </c>
      <c r="F880">
        <v>6</v>
      </c>
    </row>
    <row r="881" spans="1:6" x14ac:dyDescent="0.25">
      <c r="A881" s="405">
        <v>8476922108</v>
      </c>
      <c r="B881">
        <v>10001351</v>
      </c>
      <c r="C881" t="s">
        <v>2466</v>
      </c>
      <c r="D881" s="406">
        <v>275000</v>
      </c>
      <c r="E881" s="406">
        <v>275000</v>
      </c>
      <c r="F881">
        <v>6</v>
      </c>
    </row>
    <row r="882" spans="1:6" x14ac:dyDescent="0.25">
      <c r="A882" s="405">
        <v>8477121125</v>
      </c>
      <c r="B882">
        <v>10001768</v>
      </c>
      <c r="C882" t="s">
        <v>1606</v>
      </c>
      <c r="D882" s="406">
        <v>451000</v>
      </c>
      <c r="E882" s="406">
        <v>451000</v>
      </c>
      <c r="F882">
        <v>6</v>
      </c>
    </row>
    <row r="883" spans="1:6" x14ac:dyDescent="0.25">
      <c r="A883" s="405">
        <v>8477402981</v>
      </c>
      <c r="B883">
        <v>10001845</v>
      </c>
      <c r="C883" t="s">
        <v>1639</v>
      </c>
      <c r="D883" s="406">
        <v>131583.33333333334</v>
      </c>
      <c r="E883" s="406">
        <v>374066.66666666669</v>
      </c>
      <c r="F883">
        <v>6</v>
      </c>
    </row>
    <row r="884" spans="1:6" x14ac:dyDescent="0.25">
      <c r="A884" s="405">
        <v>8477530106</v>
      </c>
      <c r="B884">
        <v>10001684</v>
      </c>
      <c r="C884" t="s">
        <v>1516</v>
      </c>
      <c r="D884" s="406">
        <v>494800</v>
      </c>
      <c r="E884" s="406">
        <v>494800</v>
      </c>
      <c r="F884">
        <v>6</v>
      </c>
    </row>
    <row r="885" spans="1:6" x14ac:dyDescent="0.25">
      <c r="A885" s="405">
        <v>8477853010</v>
      </c>
      <c r="B885">
        <v>10001779</v>
      </c>
      <c r="C885" t="s">
        <v>2467</v>
      </c>
      <c r="D885" s="406">
        <v>440000</v>
      </c>
      <c r="E885" s="406">
        <v>440000</v>
      </c>
      <c r="F885">
        <v>6</v>
      </c>
    </row>
    <row r="886" spans="1:6" x14ac:dyDescent="0.25">
      <c r="A886" s="405">
        <v>8477940371</v>
      </c>
      <c r="B886">
        <v>10001947</v>
      </c>
      <c r="C886" t="s">
        <v>2468</v>
      </c>
      <c r="D886" s="406">
        <v>200000</v>
      </c>
      <c r="E886" s="406">
        <v>266666.66666666669</v>
      </c>
      <c r="F886">
        <v>1</v>
      </c>
    </row>
    <row r="887" spans="1:6" x14ac:dyDescent="0.25">
      <c r="A887" s="405">
        <v>8477941602</v>
      </c>
      <c r="B887">
        <v>10002012</v>
      </c>
      <c r="C887" t="s">
        <v>1735</v>
      </c>
      <c r="D887" s="406">
        <v>105000</v>
      </c>
      <c r="E887" s="406">
        <v>420000</v>
      </c>
      <c r="F887">
        <v>3</v>
      </c>
    </row>
    <row r="888" spans="1:6" x14ac:dyDescent="0.25">
      <c r="A888" s="405">
        <v>8479172010</v>
      </c>
      <c r="B888">
        <v>10000960</v>
      </c>
      <c r="C888" t="s">
        <v>2469</v>
      </c>
      <c r="D888" s="406">
        <v>319000</v>
      </c>
      <c r="E888" s="406">
        <v>319000</v>
      </c>
      <c r="F888">
        <v>6</v>
      </c>
    </row>
    <row r="889" spans="1:6" x14ac:dyDescent="0.25">
      <c r="A889" s="405">
        <v>8479450444</v>
      </c>
      <c r="B889">
        <v>10002021</v>
      </c>
      <c r="C889" t="s">
        <v>2470</v>
      </c>
      <c r="D889" s="406">
        <v>82500</v>
      </c>
      <c r="E889" s="406">
        <v>330000</v>
      </c>
      <c r="F889">
        <v>2</v>
      </c>
    </row>
    <row r="890" spans="1:6" x14ac:dyDescent="0.25">
      <c r="A890" s="405">
        <v>8479521163</v>
      </c>
      <c r="B890">
        <v>10001977</v>
      </c>
      <c r="C890" t="s">
        <v>1703</v>
      </c>
      <c r="D890" s="406">
        <v>313600</v>
      </c>
      <c r="E890" s="406">
        <v>313600</v>
      </c>
      <c r="F890">
        <v>5</v>
      </c>
    </row>
    <row r="891" spans="1:6" x14ac:dyDescent="0.25">
      <c r="A891" s="405">
        <v>8479830956</v>
      </c>
      <c r="B891">
        <v>10001945</v>
      </c>
      <c r="C891" t="s">
        <v>2471</v>
      </c>
      <c r="D891" s="406">
        <v>233000</v>
      </c>
      <c r="E891" s="406">
        <v>466000</v>
      </c>
      <c r="F891">
        <v>6</v>
      </c>
    </row>
    <row r="892" spans="1:6" x14ac:dyDescent="0.25">
      <c r="A892" s="405">
        <v>8480090987</v>
      </c>
      <c r="B892">
        <v>10002047</v>
      </c>
      <c r="C892" t="s">
        <v>1771</v>
      </c>
      <c r="D892" s="406">
        <v>320000</v>
      </c>
      <c r="E892" s="406">
        <v>320000</v>
      </c>
      <c r="F892">
        <v>1</v>
      </c>
    </row>
    <row r="893" spans="1:6" x14ac:dyDescent="0.25">
      <c r="A893" s="405">
        <v>8481051845</v>
      </c>
      <c r="B893">
        <v>10002056</v>
      </c>
      <c r="C893" t="s">
        <v>1776</v>
      </c>
      <c r="D893" s="406">
        <v>270000</v>
      </c>
      <c r="E893" s="406">
        <v>270000</v>
      </c>
      <c r="F893">
        <v>1</v>
      </c>
    </row>
    <row r="894" spans="1:6" x14ac:dyDescent="0.25">
      <c r="A894" s="405">
        <v>8481082155</v>
      </c>
      <c r="B894">
        <v>10002041</v>
      </c>
      <c r="C894" t="s">
        <v>1765</v>
      </c>
      <c r="D894" s="406">
        <v>200000</v>
      </c>
      <c r="E894" s="406">
        <v>400000</v>
      </c>
      <c r="F894">
        <v>2</v>
      </c>
    </row>
    <row r="895" spans="1:6" x14ac:dyDescent="0.25">
      <c r="A895" s="405">
        <v>8482380842</v>
      </c>
      <c r="B895">
        <v>10001239</v>
      </c>
      <c r="C895" t="s">
        <v>2472</v>
      </c>
      <c r="D895" s="406">
        <v>341666.66666666669</v>
      </c>
      <c r="E895" s="406">
        <v>341666.66666666669</v>
      </c>
      <c r="F895">
        <v>6</v>
      </c>
    </row>
    <row r="896" spans="1:6" x14ac:dyDescent="0.25">
      <c r="A896" s="405">
        <v>8482470434</v>
      </c>
      <c r="B896">
        <v>10001424</v>
      </c>
      <c r="C896" t="s">
        <v>2473</v>
      </c>
      <c r="D896" s="406">
        <v>319000</v>
      </c>
      <c r="E896" s="406">
        <v>319000</v>
      </c>
      <c r="F896">
        <v>6</v>
      </c>
    </row>
    <row r="897" spans="1:6" x14ac:dyDescent="0.25">
      <c r="A897" s="405">
        <v>8483220415</v>
      </c>
      <c r="B897">
        <v>10001892</v>
      </c>
      <c r="C897" t="s">
        <v>2474</v>
      </c>
      <c r="D897" s="406">
        <v>313533.33333333331</v>
      </c>
      <c r="E897" s="406">
        <v>313533.33333333331</v>
      </c>
      <c r="F897">
        <v>6</v>
      </c>
    </row>
    <row r="898" spans="1:6" x14ac:dyDescent="0.25">
      <c r="A898" s="405">
        <v>8485252772</v>
      </c>
      <c r="B898">
        <v>10001445</v>
      </c>
      <c r="C898" t="s">
        <v>2475</v>
      </c>
      <c r="D898" s="406">
        <v>285633.33333333331</v>
      </c>
      <c r="E898" s="406">
        <v>285633.33333333331</v>
      </c>
      <c r="F898">
        <v>6</v>
      </c>
    </row>
    <row r="899" spans="1:6" x14ac:dyDescent="0.25">
      <c r="A899" s="405">
        <v>8485391136</v>
      </c>
      <c r="B899">
        <v>10002049</v>
      </c>
      <c r="C899" t="s">
        <v>1772</v>
      </c>
      <c r="D899" s="406">
        <v>75000</v>
      </c>
      <c r="E899" s="406">
        <v>300000</v>
      </c>
      <c r="F899">
        <v>1</v>
      </c>
    </row>
    <row r="900" spans="1:6" x14ac:dyDescent="0.25">
      <c r="A900" s="405">
        <v>8486242665</v>
      </c>
      <c r="B900">
        <v>10001985</v>
      </c>
      <c r="C900" t="s">
        <v>1711</v>
      </c>
      <c r="D900" s="406">
        <v>302400</v>
      </c>
      <c r="E900" s="406">
        <v>302400</v>
      </c>
      <c r="F900">
        <v>5</v>
      </c>
    </row>
    <row r="901" spans="1:6" x14ac:dyDescent="0.25">
      <c r="A901" s="405">
        <v>8486551374</v>
      </c>
      <c r="B901">
        <v>10002020</v>
      </c>
      <c r="C901" t="s">
        <v>1743</v>
      </c>
      <c r="D901" s="406">
        <v>85000</v>
      </c>
      <c r="E901" s="406">
        <v>340000</v>
      </c>
      <c r="F901">
        <v>3</v>
      </c>
    </row>
    <row r="902" spans="1:6" x14ac:dyDescent="0.25">
      <c r="A902" s="405">
        <v>8486570808</v>
      </c>
      <c r="B902">
        <v>10001931</v>
      </c>
      <c r="C902" t="s">
        <v>2476</v>
      </c>
      <c r="D902" s="406">
        <v>275000</v>
      </c>
      <c r="E902" s="406">
        <v>275000</v>
      </c>
      <c r="F902">
        <v>6</v>
      </c>
    </row>
    <row r="903" spans="1:6" x14ac:dyDescent="0.25">
      <c r="A903" s="405">
        <v>8488942230</v>
      </c>
      <c r="B903">
        <v>10002019</v>
      </c>
      <c r="C903" t="s">
        <v>1741</v>
      </c>
      <c r="D903" s="406">
        <v>300000</v>
      </c>
      <c r="E903" s="406">
        <v>300000</v>
      </c>
      <c r="F903">
        <v>3</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C4145-554C-4EDB-B87A-1750D7B37111}">
  <sheetPr codeName="Munka11"/>
  <dimension ref="A1:N44"/>
  <sheetViews>
    <sheetView zoomScale="80" zoomScaleNormal="80" workbookViewId="0">
      <selection activeCell="A24" sqref="A24"/>
    </sheetView>
  </sheetViews>
  <sheetFormatPr defaultRowHeight="15" x14ac:dyDescent="0.25"/>
  <cols>
    <col min="1" max="1" width="35.28515625" customWidth="1"/>
    <col min="2" max="2" width="24.28515625" bestFit="1" customWidth="1"/>
    <col min="3" max="3" width="24.7109375" bestFit="1" customWidth="1"/>
    <col min="4" max="4" width="15.7109375" bestFit="1" customWidth="1"/>
    <col min="5" max="5" width="18.7109375" customWidth="1"/>
    <col min="6" max="6" width="13.28515625" bestFit="1" customWidth="1"/>
    <col min="7" max="7" width="13.28515625" customWidth="1"/>
    <col min="8" max="9" width="14.140625" customWidth="1"/>
    <col min="10" max="11" width="13.42578125" customWidth="1"/>
    <col min="12" max="13" width="15" customWidth="1"/>
    <col min="14" max="14" width="14.28515625" bestFit="1" customWidth="1"/>
  </cols>
  <sheetData>
    <row r="1" spans="1:14" x14ac:dyDescent="0.25">
      <c r="A1" s="301" t="s">
        <v>115</v>
      </c>
      <c r="B1" s="302" t="s">
        <v>119</v>
      </c>
      <c r="C1" s="303">
        <v>160700002</v>
      </c>
      <c r="D1" s="311">
        <f>C1/$C$7</f>
        <v>0.20730067562991605</v>
      </c>
      <c r="E1" s="351">
        <f>D1*$D$7</f>
        <v>8427290.7160451617</v>
      </c>
    </row>
    <row r="2" spans="1:14" x14ac:dyDescent="0.25">
      <c r="A2" s="304" t="s">
        <v>116</v>
      </c>
      <c r="B2" s="302" t="s">
        <v>120</v>
      </c>
      <c r="C2" s="305">
        <v>90505200</v>
      </c>
      <c r="D2" s="311">
        <f t="shared" ref="D2:D5" si="0">C2/$C$7</f>
        <v>0.11675039747678832</v>
      </c>
      <c r="E2" s="351">
        <f t="shared" ref="E2:E5" si="1">D2*$D$7</f>
        <v>4746195.5334251374</v>
      </c>
    </row>
    <row r="3" spans="1:14" x14ac:dyDescent="0.25">
      <c r="A3" s="304" t="s">
        <v>117</v>
      </c>
      <c r="B3" s="302" t="s">
        <v>121</v>
      </c>
      <c r="C3" s="305">
        <v>285000023</v>
      </c>
      <c r="D3" s="311">
        <f t="shared" si="0"/>
        <v>0.36764590284474058</v>
      </c>
      <c r="E3" s="351">
        <f t="shared" si="1"/>
        <v>14945725.065395817</v>
      </c>
    </row>
    <row r="4" spans="1:14" x14ac:dyDescent="0.25">
      <c r="A4" s="304" t="s">
        <v>118</v>
      </c>
      <c r="B4" s="302" t="s">
        <v>124</v>
      </c>
      <c r="C4" s="305">
        <v>45800000</v>
      </c>
      <c r="D4" s="311">
        <f t="shared" si="0"/>
        <v>5.9081336811994282E-2</v>
      </c>
      <c r="E4" s="351">
        <f t="shared" si="1"/>
        <v>2401804.0447495976</v>
      </c>
    </row>
    <row r="5" spans="1:14" x14ac:dyDescent="0.25">
      <c r="A5" s="306" t="s">
        <v>150</v>
      </c>
      <c r="B5" s="302" t="s">
        <v>125</v>
      </c>
      <c r="C5" s="307">
        <v>193197275</v>
      </c>
      <c r="D5" s="311">
        <f t="shared" si="0"/>
        <v>0.24922168723656077</v>
      </c>
      <c r="E5" s="351">
        <f t="shared" si="1"/>
        <v>10131484.640384287</v>
      </c>
    </row>
    <row r="6" spans="1:14" x14ac:dyDescent="0.25">
      <c r="A6" s="306"/>
      <c r="B6" s="309"/>
      <c r="C6" s="307"/>
      <c r="D6" s="311"/>
      <c r="E6" s="311"/>
    </row>
    <row r="7" spans="1:14" x14ac:dyDescent="0.25">
      <c r="A7" s="306"/>
      <c r="B7" s="309"/>
      <c r="C7" s="307">
        <f>SUM(C1:C5)</f>
        <v>775202500</v>
      </c>
      <c r="D7" s="348">
        <v>40652500</v>
      </c>
      <c r="E7" s="354">
        <f>SUM(E1:E5)</f>
        <v>40652500</v>
      </c>
    </row>
    <row r="8" spans="1:14" x14ac:dyDescent="0.25">
      <c r="A8" s="306"/>
      <c r="B8" s="309"/>
      <c r="C8" s="307"/>
    </row>
    <row r="9" spans="1:14" ht="15.75" thickBot="1" x14ac:dyDescent="0.3">
      <c r="A9" s="308" t="s">
        <v>107</v>
      </c>
      <c r="B9" s="309" t="s">
        <v>126</v>
      </c>
      <c r="C9" s="310">
        <v>46797500</v>
      </c>
    </row>
    <row r="10" spans="1:14" ht="15.75" thickBot="1" x14ac:dyDescent="0.3">
      <c r="D10" s="323" t="s">
        <v>119</v>
      </c>
      <c r="E10" s="324" t="s">
        <v>236</v>
      </c>
      <c r="F10" s="325" t="s">
        <v>120</v>
      </c>
      <c r="G10" s="326" t="s">
        <v>236</v>
      </c>
      <c r="H10" s="327" t="s">
        <v>121</v>
      </c>
      <c r="I10" s="328" t="s">
        <v>236</v>
      </c>
      <c r="J10" s="329" t="s">
        <v>124</v>
      </c>
      <c r="K10" s="330" t="s">
        <v>236</v>
      </c>
      <c r="L10" s="331" t="s">
        <v>125</v>
      </c>
      <c r="M10" s="332" t="s">
        <v>236</v>
      </c>
    </row>
    <row r="11" spans="1:14" ht="38.25" x14ac:dyDescent="0.25">
      <c r="A11" s="312" t="s">
        <v>131</v>
      </c>
      <c r="B11" s="317" t="s">
        <v>34</v>
      </c>
      <c r="C11" s="334">
        <v>484461969</v>
      </c>
      <c r="D11" s="337">
        <f>C11*$D$1</f>
        <v>100429293.49069944</v>
      </c>
      <c r="E11" s="337">
        <f>D11/41*12</f>
        <v>29393939.558253497</v>
      </c>
      <c r="F11" s="338">
        <f>C11*$D$2</f>
        <v>56561127.443137504</v>
      </c>
      <c r="G11" s="338">
        <f>F11/41*12</f>
        <v>16554476.324820731</v>
      </c>
      <c r="H11" s="339">
        <f>C11*$D$3</f>
        <v>178110457.98694572</v>
      </c>
      <c r="I11" s="339">
        <f>H11/41*12</f>
        <v>52129890.142520696</v>
      </c>
      <c r="J11" s="340">
        <f>C11*$D$4</f>
        <v>28622660.763090935</v>
      </c>
      <c r="K11" s="340">
        <f>J11/41*12</f>
        <v>8377364.1257827124</v>
      </c>
      <c r="L11" s="341">
        <f>C11*$D$5</f>
        <v>120738429.31612639</v>
      </c>
      <c r="M11" s="341">
        <f>L11/41*12</f>
        <v>35338076.873012602</v>
      </c>
      <c r="N11" s="322">
        <f>D11+F11+H11+J11+L11</f>
        <v>484461969</v>
      </c>
    </row>
    <row r="12" spans="1:14" ht="39" thickBot="1" x14ac:dyDescent="0.3">
      <c r="A12" s="313" t="s">
        <v>131</v>
      </c>
      <c r="B12" s="318" t="s">
        <v>235</v>
      </c>
      <c r="C12" s="335">
        <v>63070396</v>
      </c>
      <c r="D12" s="342">
        <f t="shared" ref="D12:D16" si="2">C12*$D$1</f>
        <v>13074535.703046355</v>
      </c>
      <c r="E12" s="337">
        <f t="shared" ref="E12:E16" si="3">D12/41*12</f>
        <v>3826693.3765013725</v>
      </c>
      <c r="F12" s="343">
        <f t="shared" ref="F12:F16" si="4">C12*$D$2</f>
        <v>7363493.8020184403</v>
      </c>
      <c r="G12" s="338">
        <f t="shared" ref="G12:G16" si="5">F12/41*12</f>
        <v>2155168.9176639337</v>
      </c>
      <c r="H12" s="344">
        <f t="shared" ref="H12:H16" si="6">C12*$D$3</f>
        <v>23187572.680195317</v>
      </c>
      <c r="I12" s="339">
        <f t="shared" ref="I12:I16" si="7">H12/41*12</f>
        <v>6786606.6381059457</v>
      </c>
      <c r="J12" s="345">
        <f t="shared" ref="J12:J16" si="8">C12*$D$4</f>
        <v>3726283.308941857</v>
      </c>
      <c r="K12" s="340">
        <f t="shared" ref="K12:K16" si="9">J12/41*12</f>
        <v>1090619.5050561533</v>
      </c>
      <c r="L12" s="346">
        <f t="shared" ref="L12:L16" si="10">C12*$D$5</f>
        <v>15718510.505798033</v>
      </c>
      <c r="M12" s="341">
        <f t="shared" ref="M12:M16" si="11">L12/41*12</f>
        <v>4600539.6602335703</v>
      </c>
      <c r="N12" s="322">
        <f t="shared" ref="N12:N16" si="12">D12+F12+H12+J12+L12</f>
        <v>63070396.000000007</v>
      </c>
    </row>
    <row r="13" spans="1:14" ht="38.25" x14ac:dyDescent="0.25">
      <c r="A13" s="314" t="s">
        <v>68</v>
      </c>
      <c r="B13" s="319" t="s">
        <v>84</v>
      </c>
      <c r="C13" s="335">
        <v>10550000</v>
      </c>
      <c r="D13" s="342">
        <f t="shared" si="2"/>
        <v>2187022.1278956141</v>
      </c>
      <c r="E13" s="337">
        <f t="shared" si="3"/>
        <v>640104.03743286268</v>
      </c>
      <c r="F13" s="343">
        <f t="shared" si="4"/>
        <v>1231716.6933801167</v>
      </c>
      <c r="G13" s="338">
        <f t="shared" si="5"/>
        <v>360502.44684296101</v>
      </c>
      <c r="H13" s="344">
        <f t="shared" si="6"/>
        <v>3878664.275012013</v>
      </c>
      <c r="I13" s="339">
        <f t="shared" si="7"/>
        <v>1135218.812198638</v>
      </c>
      <c r="J13" s="345">
        <f t="shared" si="8"/>
        <v>623308.1033665397</v>
      </c>
      <c r="K13" s="340">
        <f t="shared" si="9"/>
        <v>182431.64000971895</v>
      </c>
      <c r="L13" s="346">
        <f t="shared" si="10"/>
        <v>2629288.8003457161</v>
      </c>
      <c r="M13" s="341">
        <f t="shared" si="11"/>
        <v>769547.94156459987</v>
      </c>
      <c r="N13" s="322">
        <f t="shared" si="12"/>
        <v>10550000</v>
      </c>
    </row>
    <row r="14" spans="1:14" ht="25.5" x14ac:dyDescent="0.25">
      <c r="A14" s="315" t="s">
        <v>132</v>
      </c>
      <c r="B14" s="320" t="s">
        <v>33</v>
      </c>
      <c r="C14" s="335">
        <v>36994800</v>
      </c>
      <c r="D14" s="342">
        <f t="shared" si="2"/>
        <v>7669047.0347936181</v>
      </c>
      <c r="E14" s="337">
        <f t="shared" si="3"/>
        <v>2244599.1321347179</v>
      </c>
      <c r="F14" s="343">
        <f t="shared" si="4"/>
        <v>4319157.6045742882</v>
      </c>
      <c r="G14" s="338">
        <f t="shared" si="5"/>
        <v>1264143.689143694</v>
      </c>
      <c r="H14" s="344">
        <f t="shared" si="6"/>
        <v>13600986.646560609</v>
      </c>
      <c r="I14" s="339">
        <f t="shared" si="7"/>
        <v>3980776.5794811537</v>
      </c>
      <c r="J14" s="345">
        <f t="shared" si="8"/>
        <v>2185702.2390923663</v>
      </c>
      <c r="K14" s="340">
        <f t="shared" si="9"/>
        <v>639717.72851483896</v>
      </c>
      <c r="L14" s="346">
        <f t="shared" si="10"/>
        <v>9219906.4749791175</v>
      </c>
      <c r="M14" s="341">
        <f t="shared" si="11"/>
        <v>2698509.2121890099</v>
      </c>
      <c r="N14" s="322">
        <f t="shared" si="12"/>
        <v>36994800</v>
      </c>
    </row>
    <row r="15" spans="1:14" ht="25.5" x14ac:dyDescent="0.25">
      <c r="A15" s="316" t="s">
        <v>133</v>
      </c>
      <c r="B15" s="320" t="s">
        <v>136</v>
      </c>
      <c r="C15" s="335">
        <v>6000000</v>
      </c>
      <c r="D15" s="342">
        <f t="shared" si="2"/>
        <v>1243804.0537794963</v>
      </c>
      <c r="E15" s="337">
        <f t="shared" si="3"/>
        <v>364040.21086229163</v>
      </c>
      <c r="F15" s="343">
        <f t="shared" si="4"/>
        <v>700502.38486072992</v>
      </c>
      <c r="G15" s="338">
        <f t="shared" si="5"/>
        <v>205025.08825192097</v>
      </c>
      <c r="H15" s="344">
        <f t="shared" si="6"/>
        <v>2205875.4170684433</v>
      </c>
      <c r="I15" s="339">
        <f t="shared" si="7"/>
        <v>645622.07328832487</v>
      </c>
      <c r="J15" s="345">
        <f t="shared" si="8"/>
        <v>354488.02087196568</v>
      </c>
      <c r="K15" s="340">
        <f t="shared" si="9"/>
        <v>103752.59147472166</v>
      </c>
      <c r="L15" s="346">
        <f t="shared" si="10"/>
        <v>1495330.1234193647</v>
      </c>
      <c r="M15" s="341">
        <f t="shared" si="11"/>
        <v>437657.59709835064</v>
      </c>
      <c r="N15" s="322">
        <f t="shared" si="12"/>
        <v>6000000</v>
      </c>
    </row>
    <row r="16" spans="1:14" ht="16.5" thickBot="1" x14ac:dyDescent="0.3">
      <c r="A16" s="333" t="s">
        <v>134</v>
      </c>
      <c r="B16" s="321" t="s">
        <v>137</v>
      </c>
      <c r="C16" s="336">
        <v>98005200</v>
      </c>
      <c r="D16" s="342">
        <f t="shared" si="2"/>
        <v>20316544.17524505</v>
      </c>
      <c r="E16" s="337">
        <f t="shared" si="3"/>
        <v>5946305.6122668441</v>
      </c>
      <c r="F16" s="343">
        <f t="shared" si="4"/>
        <v>11442146.054792134</v>
      </c>
      <c r="G16" s="338">
        <f t="shared" si="5"/>
        <v>3348920.796524527</v>
      </c>
      <c r="H16" s="344">
        <f t="shared" si="6"/>
        <v>36031210.237479366</v>
      </c>
      <c r="I16" s="339">
        <f t="shared" si="7"/>
        <v>10545720.069506155</v>
      </c>
      <c r="J16" s="345">
        <f t="shared" si="8"/>
        <v>5790278.2305268617</v>
      </c>
      <c r="K16" s="340">
        <f t="shared" si="9"/>
        <v>1694715.5796663985</v>
      </c>
      <c r="L16" s="346">
        <f t="shared" si="10"/>
        <v>24425021.301956587</v>
      </c>
      <c r="M16" s="341">
        <f t="shared" si="11"/>
        <v>7148786.7225238793</v>
      </c>
      <c r="N16" s="322">
        <f t="shared" si="12"/>
        <v>98005200</v>
      </c>
    </row>
    <row r="17" spans="2:14" ht="31.15" customHeight="1" x14ac:dyDescent="0.25"/>
    <row r="18" spans="2:14" ht="47.45" customHeight="1" x14ac:dyDescent="0.25">
      <c r="B18" s="347" t="s">
        <v>237</v>
      </c>
      <c r="D18" s="322"/>
      <c r="E18" s="322">
        <f t="shared" ref="E18:M18" si="13">E11+E12</f>
        <v>33220632.934754871</v>
      </c>
      <c r="F18" s="322"/>
      <c r="G18" s="322">
        <f t="shared" si="13"/>
        <v>18709645.242484666</v>
      </c>
      <c r="H18" s="322"/>
      <c r="I18" s="322">
        <f t="shared" si="13"/>
        <v>58916496.78062664</v>
      </c>
      <c r="J18" s="322"/>
      <c r="K18" s="322">
        <f t="shared" si="13"/>
        <v>9467983.6308388654</v>
      </c>
      <c r="L18" s="322"/>
      <c r="M18" s="322">
        <f t="shared" si="13"/>
        <v>39938616.533246174</v>
      </c>
      <c r="N18" s="322">
        <f>SUM(N11:N16)</f>
        <v>699082365</v>
      </c>
    </row>
    <row r="19" spans="2:14" ht="29.45" customHeight="1" x14ac:dyDescent="0.25">
      <c r="B19" s="347" t="s">
        <v>238</v>
      </c>
      <c r="D19" s="322"/>
      <c r="E19" s="322">
        <f>E13+E14+E15</f>
        <v>3248743.3804298718</v>
      </c>
      <c r="F19" s="322"/>
      <c r="G19" s="322">
        <f t="shared" ref="G19:M19" si="14">G13+G14+G15</f>
        <v>1829671.2242385759</v>
      </c>
      <c r="H19" s="322"/>
      <c r="I19" s="322">
        <f t="shared" si="14"/>
        <v>5761617.464968117</v>
      </c>
      <c r="J19" s="322"/>
      <c r="K19" s="322">
        <f t="shared" si="14"/>
        <v>925901.95999927958</v>
      </c>
      <c r="L19" s="322"/>
      <c r="M19" s="322">
        <f t="shared" si="14"/>
        <v>3905714.7508519604</v>
      </c>
    </row>
    <row r="20" spans="2:14" ht="24.6" customHeight="1" x14ac:dyDescent="0.25">
      <c r="B20" s="347" t="s">
        <v>239</v>
      </c>
      <c r="D20" s="322"/>
      <c r="E20" s="322">
        <f t="shared" ref="E20:M20" si="15">E16</f>
        <v>5946305.6122668441</v>
      </c>
      <c r="F20" s="322"/>
      <c r="G20" s="322">
        <f t="shared" si="15"/>
        <v>3348920.796524527</v>
      </c>
      <c r="H20" s="322"/>
      <c r="I20" s="322">
        <f t="shared" si="15"/>
        <v>10545720.069506155</v>
      </c>
      <c r="J20" s="322"/>
      <c r="K20" s="322">
        <f t="shared" si="15"/>
        <v>1694715.5796663985</v>
      </c>
      <c r="L20" s="322"/>
      <c r="M20" s="322">
        <f t="shared" si="15"/>
        <v>7148786.7225238793</v>
      </c>
    </row>
    <row r="22" spans="2:14" x14ac:dyDescent="0.25">
      <c r="C22" t="s">
        <v>241</v>
      </c>
    </row>
    <row r="23" spans="2:14" x14ac:dyDescent="0.25">
      <c r="B23" s="347" t="s">
        <v>240</v>
      </c>
      <c r="C23" s="348">
        <f>45303818+228600</f>
        <v>45532418</v>
      </c>
      <c r="D23" t="s">
        <v>244</v>
      </c>
    </row>
    <row r="24" spans="2:14" x14ac:dyDescent="0.25">
      <c r="C24" s="349">
        <f>C23/41*12</f>
        <v>13326561.36585366</v>
      </c>
    </row>
    <row r="25" spans="2:14" x14ac:dyDescent="0.25">
      <c r="C25" s="349">
        <f>C24*0.79</f>
        <v>10527983.479024392</v>
      </c>
    </row>
    <row r="26" spans="2:14" x14ac:dyDescent="0.25">
      <c r="C26" s="349">
        <f>C24-C25</f>
        <v>2798577.8868292682</v>
      </c>
    </row>
    <row r="28" spans="2:14" x14ac:dyDescent="0.25">
      <c r="B28" t="s">
        <v>242</v>
      </c>
    </row>
    <row r="29" spans="2:14" x14ac:dyDescent="0.25">
      <c r="B29" s="352">
        <v>734550000</v>
      </c>
    </row>
    <row r="30" spans="2:14" x14ac:dyDescent="0.25">
      <c r="B30" s="352">
        <v>87450000</v>
      </c>
    </row>
    <row r="31" spans="2:14" x14ac:dyDescent="0.25">
      <c r="B31" s="6">
        <f>B29+B30</f>
        <v>822000000</v>
      </c>
      <c r="C31" s="353">
        <f>B30/B31</f>
        <v>0.10638686131386861</v>
      </c>
    </row>
    <row r="33" spans="2:5" x14ac:dyDescent="0.25">
      <c r="B33" s="352">
        <v>87450000</v>
      </c>
    </row>
    <row r="34" spans="2:5" x14ac:dyDescent="0.25">
      <c r="B34" s="352">
        <v>46797500</v>
      </c>
      <c r="C34" t="s">
        <v>243</v>
      </c>
      <c r="D34" s="6">
        <f>C23/41*12</f>
        <v>13326561.36585366</v>
      </c>
      <c r="E34" s="6">
        <f>D34-4145928</f>
        <v>9180633.3658536598</v>
      </c>
    </row>
    <row r="35" spans="2:5" x14ac:dyDescent="0.25">
      <c r="B35" s="352">
        <f>B33-B34</f>
        <v>40652500</v>
      </c>
      <c r="C35" s="272">
        <f>C31*B35</f>
        <v>4324891.8795620436</v>
      </c>
    </row>
    <row r="36" spans="2:5" ht="15.75" thickBot="1" x14ac:dyDescent="0.3"/>
    <row r="37" spans="2:5" ht="15.75" thickBot="1" x14ac:dyDescent="0.3">
      <c r="B37" s="355">
        <v>0.20730067562991605</v>
      </c>
      <c r="C37" s="356">
        <v>8427290.7160451617</v>
      </c>
      <c r="D37" s="278" t="s">
        <v>119</v>
      </c>
      <c r="E37" s="357">
        <f>ROUND(C37/41*12,0)</f>
        <v>2466524</v>
      </c>
    </row>
    <row r="38" spans="2:5" ht="15.75" thickBot="1" x14ac:dyDescent="0.3">
      <c r="B38" s="358">
        <v>0.11675039747678832</v>
      </c>
      <c r="C38" s="291">
        <v>4746195.5334251374</v>
      </c>
      <c r="D38" t="s">
        <v>120</v>
      </c>
      <c r="E38" s="357">
        <f t="shared" ref="E38:E41" si="16">ROUND(C38/41*12,0)</f>
        <v>1389130</v>
      </c>
    </row>
    <row r="39" spans="2:5" ht="15.75" thickBot="1" x14ac:dyDescent="0.3">
      <c r="B39" s="358">
        <v>0.36764590284474058</v>
      </c>
      <c r="C39" s="291">
        <v>14945725.065395817</v>
      </c>
      <c r="D39" t="s">
        <v>121</v>
      </c>
      <c r="E39" s="357">
        <f t="shared" si="16"/>
        <v>4374359</v>
      </c>
    </row>
    <row r="40" spans="2:5" ht="15.75" thickBot="1" x14ac:dyDescent="0.3">
      <c r="B40" s="358">
        <v>5.9081336811994282E-2</v>
      </c>
      <c r="C40" s="291">
        <v>2401804.0447495976</v>
      </c>
      <c r="D40" t="s">
        <v>124</v>
      </c>
      <c r="E40" s="357">
        <f t="shared" si="16"/>
        <v>702967</v>
      </c>
    </row>
    <row r="41" spans="2:5" x14ac:dyDescent="0.25">
      <c r="B41" s="358">
        <v>0.24922168723656077</v>
      </c>
      <c r="C41" s="291">
        <v>10131484.640384287</v>
      </c>
      <c r="D41" t="s">
        <v>125</v>
      </c>
      <c r="E41" s="357">
        <f t="shared" si="16"/>
        <v>2965313</v>
      </c>
    </row>
    <row r="42" spans="2:5" x14ac:dyDescent="0.25">
      <c r="B42" s="358"/>
      <c r="C42" s="359"/>
      <c r="E42" s="283"/>
    </row>
    <row r="43" spans="2:5" x14ac:dyDescent="0.25">
      <c r="B43" s="360">
        <v>40652500</v>
      </c>
      <c r="C43" s="354">
        <v>40652500</v>
      </c>
      <c r="E43" s="283"/>
    </row>
    <row r="44" spans="2:5" ht="15.75" thickBot="1" x14ac:dyDescent="0.3">
      <c r="B44" s="284"/>
      <c r="C44" s="285"/>
      <c r="D44" s="285"/>
      <c r="E44" s="28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748C2-42BD-41FF-B056-1B97C9091DD8}">
  <sheetPr codeName="Munka3"/>
  <dimension ref="A1:D34"/>
  <sheetViews>
    <sheetView workbookViewId="0">
      <selection activeCell="J12" sqref="J12"/>
    </sheetView>
  </sheetViews>
  <sheetFormatPr defaultRowHeight="15" x14ac:dyDescent="0.25"/>
  <cols>
    <col min="1" max="1" width="27.5703125" bestFit="1" customWidth="1"/>
    <col min="2" max="2" width="29.85546875" style="426" bestFit="1" customWidth="1"/>
    <col min="3" max="3" width="33" style="426" bestFit="1" customWidth="1"/>
    <col min="4" max="4" width="20.28515625" style="426" customWidth="1"/>
  </cols>
  <sheetData>
    <row r="1" spans="1:4" x14ac:dyDescent="0.25">
      <c r="A1" s="424" t="s">
        <v>2502</v>
      </c>
      <c r="B1" s="426" t="s">
        <v>2504</v>
      </c>
      <c r="C1" s="426" t="s">
        <v>2505</v>
      </c>
    </row>
    <row r="2" spans="1:4" x14ac:dyDescent="0.25">
      <c r="A2" s="425" t="s">
        <v>172</v>
      </c>
      <c r="B2" s="426">
        <v>3646553</v>
      </c>
      <c r="C2" s="426">
        <v>474053</v>
      </c>
      <c r="D2" s="426">
        <f>SUM(B2:C2)</f>
        <v>4120606</v>
      </c>
    </row>
    <row r="3" spans="1:4" x14ac:dyDescent="0.25">
      <c r="A3" s="425" t="s">
        <v>166</v>
      </c>
      <c r="B3" s="426">
        <v>1167391</v>
      </c>
      <c r="C3" s="426">
        <v>151761</v>
      </c>
      <c r="D3" s="426">
        <f t="shared" ref="D3:D34" si="0">SUM(B3:C3)</f>
        <v>1319152</v>
      </c>
    </row>
    <row r="4" spans="1:4" x14ac:dyDescent="0.25">
      <c r="A4" s="425" t="s">
        <v>226</v>
      </c>
      <c r="B4" s="426">
        <v>3799999</v>
      </c>
      <c r="C4" s="426">
        <v>494000</v>
      </c>
      <c r="D4" s="426">
        <f t="shared" si="0"/>
        <v>4293999</v>
      </c>
    </row>
    <row r="5" spans="1:4" x14ac:dyDescent="0.25">
      <c r="A5" s="425" t="s">
        <v>210</v>
      </c>
      <c r="B5" s="426">
        <v>2586894</v>
      </c>
      <c r="C5" s="426">
        <v>336294</v>
      </c>
      <c r="D5" s="426">
        <f t="shared" si="0"/>
        <v>2923188</v>
      </c>
    </row>
    <row r="6" spans="1:4" x14ac:dyDescent="0.25">
      <c r="A6" s="425" t="s">
        <v>214</v>
      </c>
      <c r="B6" s="426">
        <v>921921.36363636365</v>
      </c>
      <c r="C6" s="426">
        <v>119849</v>
      </c>
      <c r="D6" s="426">
        <f t="shared" si="0"/>
        <v>1041770.3636363636</v>
      </c>
    </row>
    <row r="7" spans="1:4" x14ac:dyDescent="0.25">
      <c r="A7" s="425" t="s">
        <v>160</v>
      </c>
      <c r="B7" s="426">
        <v>2555313</v>
      </c>
      <c r="C7" s="426">
        <v>332192</v>
      </c>
      <c r="D7" s="426">
        <f t="shared" si="0"/>
        <v>2887505</v>
      </c>
    </row>
    <row r="8" spans="1:4" x14ac:dyDescent="0.25">
      <c r="A8" s="425" t="s">
        <v>200</v>
      </c>
      <c r="B8" s="426">
        <v>1858410</v>
      </c>
      <c r="C8" s="426">
        <v>143481</v>
      </c>
      <c r="D8" s="426">
        <f t="shared" si="0"/>
        <v>2001891</v>
      </c>
    </row>
    <row r="9" spans="1:4" x14ac:dyDescent="0.25">
      <c r="A9" s="425" t="s">
        <v>150</v>
      </c>
      <c r="B9" s="426">
        <v>3645616</v>
      </c>
      <c r="C9" s="426">
        <v>473928</v>
      </c>
      <c r="D9" s="426">
        <f t="shared" si="0"/>
        <v>4119544</v>
      </c>
    </row>
    <row r="10" spans="1:4" x14ac:dyDescent="0.25">
      <c r="A10" s="425" t="s">
        <v>222</v>
      </c>
      <c r="B10" s="426">
        <v>565518</v>
      </c>
      <c r="C10" s="426">
        <v>73518</v>
      </c>
      <c r="D10" s="426">
        <f t="shared" si="0"/>
        <v>639036</v>
      </c>
    </row>
    <row r="11" spans="1:4" x14ac:dyDescent="0.25">
      <c r="A11" s="425" t="s">
        <v>127</v>
      </c>
      <c r="B11" s="426">
        <v>4758618</v>
      </c>
      <c r="C11" s="426">
        <v>618618</v>
      </c>
      <c r="D11" s="426">
        <f t="shared" si="0"/>
        <v>5377236</v>
      </c>
    </row>
    <row r="12" spans="1:4" x14ac:dyDescent="0.25">
      <c r="A12" s="425" t="s">
        <v>258</v>
      </c>
      <c r="B12" s="426">
        <v>939885</v>
      </c>
      <c r="C12" s="426">
        <v>122184</v>
      </c>
      <c r="D12" s="426">
        <f t="shared" si="0"/>
        <v>1062069</v>
      </c>
    </row>
    <row r="13" spans="1:4" x14ac:dyDescent="0.25">
      <c r="A13" s="425" t="s">
        <v>149</v>
      </c>
      <c r="B13" s="426">
        <v>2310000</v>
      </c>
      <c r="C13" s="426">
        <v>300300</v>
      </c>
      <c r="D13" s="426">
        <f t="shared" si="0"/>
        <v>2610300</v>
      </c>
    </row>
    <row r="14" spans="1:4" x14ac:dyDescent="0.25">
      <c r="A14" s="425" t="s">
        <v>190</v>
      </c>
      <c r="B14" s="426">
        <v>1581462</v>
      </c>
      <c r="C14" s="426">
        <v>205590</v>
      </c>
      <c r="D14" s="426">
        <f t="shared" si="0"/>
        <v>1787052</v>
      </c>
    </row>
    <row r="15" spans="1:4" x14ac:dyDescent="0.25">
      <c r="A15" s="425" t="s">
        <v>193</v>
      </c>
      <c r="B15" s="426">
        <v>1498967</v>
      </c>
      <c r="C15" s="426">
        <v>194868</v>
      </c>
      <c r="D15" s="426">
        <f t="shared" si="0"/>
        <v>1693835</v>
      </c>
    </row>
    <row r="16" spans="1:4" x14ac:dyDescent="0.25">
      <c r="A16" s="425" t="s">
        <v>156</v>
      </c>
      <c r="B16" s="426">
        <v>6300000</v>
      </c>
      <c r="C16" s="426">
        <v>819000</v>
      </c>
      <c r="D16" s="426">
        <f t="shared" si="0"/>
        <v>7119000</v>
      </c>
    </row>
    <row r="17" spans="1:4" x14ac:dyDescent="0.25">
      <c r="A17" s="425" t="s">
        <v>196</v>
      </c>
      <c r="B17" s="426">
        <v>1280630</v>
      </c>
      <c r="C17" s="426">
        <v>166480</v>
      </c>
      <c r="D17" s="426">
        <f t="shared" si="0"/>
        <v>1447110</v>
      </c>
    </row>
    <row r="18" spans="1:4" x14ac:dyDescent="0.25">
      <c r="A18" s="425" t="s">
        <v>261</v>
      </c>
      <c r="B18" s="426">
        <v>277692</v>
      </c>
      <c r="C18" s="426">
        <v>36099</v>
      </c>
      <c r="D18" s="426">
        <f t="shared" si="0"/>
        <v>313791</v>
      </c>
    </row>
    <row r="19" spans="1:4" x14ac:dyDescent="0.25">
      <c r="A19" s="425" t="s">
        <v>138</v>
      </c>
      <c r="B19" s="426">
        <v>1946901</v>
      </c>
      <c r="C19" s="426">
        <v>253099</v>
      </c>
      <c r="D19" s="426">
        <f t="shared" si="0"/>
        <v>2200000</v>
      </c>
    </row>
    <row r="20" spans="1:4" x14ac:dyDescent="0.25">
      <c r="A20" s="425" t="s">
        <v>202</v>
      </c>
      <c r="B20" s="426">
        <v>836280</v>
      </c>
      <c r="C20" s="426">
        <v>44349</v>
      </c>
      <c r="D20" s="426">
        <f t="shared" si="0"/>
        <v>880629</v>
      </c>
    </row>
    <row r="21" spans="1:4" x14ac:dyDescent="0.25">
      <c r="A21" s="425" t="s">
        <v>140</v>
      </c>
      <c r="B21" s="426">
        <v>8839391</v>
      </c>
      <c r="C21" s="426">
        <v>1149126</v>
      </c>
      <c r="D21" s="426">
        <f t="shared" si="0"/>
        <v>9988517</v>
      </c>
    </row>
    <row r="22" spans="1:4" x14ac:dyDescent="0.25">
      <c r="A22" s="425" t="s">
        <v>167</v>
      </c>
      <c r="B22" s="426">
        <v>3005172</v>
      </c>
      <c r="C22" s="426">
        <v>241848</v>
      </c>
      <c r="D22" s="426">
        <f t="shared" si="0"/>
        <v>3247020</v>
      </c>
    </row>
    <row r="23" spans="1:4" x14ac:dyDescent="0.25">
      <c r="A23" s="425" t="s">
        <v>204</v>
      </c>
      <c r="B23" s="426">
        <v>2140229</v>
      </c>
      <c r="C23" s="426">
        <v>278229</v>
      </c>
      <c r="D23" s="426">
        <f t="shared" si="0"/>
        <v>2418458</v>
      </c>
    </row>
    <row r="24" spans="1:4" x14ac:dyDescent="0.25">
      <c r="A24" s="425" t="s">
        <v>177</v>
      </c>
      <c r="B24" s="426">
        <v>1188075</v>
      </c>
      <c r="C24" s="426">
        <v>154449</v>
      </c>
      <c r="D24" s="426">
        <f t="shared" si="0"/>
        <v>1342524</v>
      </c>
    </row>
    <row r="25" spans="1:4" x14ac:dyDescent="0.25">
      <c r="A25" s="425" t="s">
        <v>159</v>
      </c>
      <c r="B25" s="426">
        <v>3356727</v>
      </c>
      <c r="C25" s="426">
        <v>436370</v>
      </c>
      <c r="D25" s="426">
        <f t="shared" si="0"/>
        <v>3793097</v>
      </c>
    </row>
    <row r="26" spans="1:4" x14ac:dyDescent="0.25">
      <c r="A26" s="425" t="s">
        <v>207</v>
      </c>
      <c r="B26" s="426">
        <v>2441256</v>
      </c>
      <c r="C26" s="426">
        <v>317364</v>
      </c>
      <c r="D26" s="426">
        <f t="shared" si="0"/>
        <v>2758620</v>
      </c>
    </row>
    <row r="27" spans="1:4" x14ac:dyDescent="0.25">
      <c r="A27" s="425" t="s">
        <v>143</v>
      </c>
      <c r="B27" s="426">
        <v>6892490</v>
      </c>
      <c r="C27" s="426">
        <v>896027</v>
      </c>
      <c r="D27" s="426">
        <f t="shared" si="0"/>
        <v>7788517</v>
      </c>
    </row>
    <row r="28" spans="1:4" x14ac:dyDescent="0.25">
      <c r="A28" s="425" t="s">
        <v>245</v>
      </c>
      <c r="B28" s="426">
        <v>979045</v>
      </c>
      <c r="C28" s="426">
        <v>127275</v>
      </c>
      <c r="D28" s="426">
        <f t="shared" si="0"/>
        <v>1106320</v>
      </c>
    </row>
    <row r="29" spans="1:4" x14ac:dyDescent="0.25">
      <c r="A29" s="425" t="s">
        <v>203</v>
      </c>
      <c r="B29" s="426">
        <v>1858405</v>
      </c>
      <c r="C29" s="426">
        <v>241591</v>
      </c>
      <c r="D29" s="426">
        <f t="shared" si="0"/>
        <v>2099996</v>
      </c>
    </row>
    <row r="30" spans="1:4" x14ac:dyDescent="0.25">
      <c r="A30" s="425" t="s">
        <v>164</v>
      </c>
      <c r="B30" s="426">
        <v>1238936</v>
      </c>
      <c r="C30" s="426">
        <v>66608</v>
      </c>
      <c r="D30" s="426">
        <f t="shared" si="0"/>
        <v>1305544</v>
      </c>
    </row>
    <row r="31" spans="1:4" x14ac:dyDescent="0.25">
      <c r="A31" s="425" t="s">
        <v>234</v>
      </c>
      <c r="B31" s="426">
        <v>1280000</v>
      </c>
      <c r="C31" s="426">
        <v>166400</v>
      </c>
      <c r="D31" s="426">
        <f t="shared" si="0"/>
        <v>1446400</v>
      </c>
    </row>
    <row r="32" spans="1:4" x14ac:dyDescent="0.25">
      <c r="A32" s="425" t="s">
        <v>152</v>
      </c>
      <c r="B32" s="426">
        <v>8439654</v>
      </c>
      <c r="C32" s="426">
        <v>1097154</v>
      </c>
      <c r="D32" s="426">
        <f t="shared" si="0"/>
        <v>9536808</v>
      </c>
    </row>
    <row r="33" spans="1:4" x14ac:dyDescent="0.25">
      <c r="A33" s="425" t="s">
        <v>147</v>
      </c>
      <c r="B33" s="426">
        <v>2772000</v>
      </c>
      <c r="C33" s="426">
        <v>100666</v>
      </c>
      <c r="D33" s="426">
        <f t="shared" si="0"/>
        <v>2872666</v>
      </c>
    </row>
    <row r="34" spans="1:4" x14ac:dyDescent="0.25">
      <c r="A34" s="425" t="s">
        <v>2503</v>
      </c>
      <c r="B34" s="426">
        <v>86909430.36363636</v>
      </c>
      <c r="C34" s="426">
        <v>10632770</v>
      </c>
      <c r="D34" s="426">
        <f t="shared" si="0"/>
        <v>97542200.36363636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61716-FE80-4F4E-84D9-CB1CA3694748}">
  <sheetPr codeName="Munka9"/>
  <dimension ref="A1:K1126"/>
  <sheetViews>
    <sheetView zoomScale="70" zoomScaleNormal="70" workbookViewId="0">
      <pane ySplit="1" topLeftCell="A1107" activePane="bottomLeft" state="frozen"/>
      <selection pane="bottomLeft" activeCell="A1127" sqref="A1127"/>
    </sheetView>
  </sheetViews>
  <sheetFormatPr defaultColWidth="9.140625" defaultRowHeight="12.75" x14ac:dyDescent="0.25"/>
  <cols>
    <col min="1" max="1" width="10" style="397" bestFit="1" customWidth="1"/>
    <col min="2" max="2" width="12" style="397" customWidth="1"/>
    <col min="3" max="3" width="38" style="397" bestFit="1" customWidth="1"/>
    <col min="4" max="4" width="12.7109375" style="398" customWidth="1"/>
    <col min="5" max="5" width="5" style="397" bestFit="1" customWidth="1"/>
    <col min="6" max="7" width="27" style="397" bestFit="1" customWidth="1"/>
    <col min="8" max="8" width="12" style="399" bestFit="1" customWidth="1"/>
    <col min="9" max="9" width="83" style="397" bestFit="1" customWidth="1"/>
    <col min="10" max="10" width="10.140625" style="397" bestFit="1" customWidth="1"/>
    <col min="11" max="11" width="14.28515625" style="397" customWidth="1"/>
    <col min="12" max="16384" width="9.140625" style="397"/>
  </cols>
  <sheetData>
    <row r="1" spans="1:10" ht="51" x14ac:dyDescent="0.25">
      <c r="A1" s="393" t="s">
        <v>752</v>
      </c>
      <c r="B1" s="394" t="s">
        <v>753</v>
      </c>
      <c r="C1" s="393" t="s">
        <v>754</v>
      </c>
      <c r="D1" s="395" t="s">
        <v>755</v>
      </c>
      <c r="E1" s="394" t="s">
        <v>756</v>
      </c>
      <c r="F1" s="393" t="s">
        <v>756</v>
      </c>
      <c r="G1" s="393" t="s">
        <v>757</v>
      </c>
      <c r="H1" s="396" t="s">
        <v>758</v>
      </c>
      <c r="I1" s="393" t="s">
        <v>759</v>
      </c>
      <c r="J1" s="393" t="s">
        <v>760</v>
      </c>
    </row>
    <row r="2" spans="1:10" ht="15" x14ac:dyDescent="0.25">
      <c r="A2" s="397">
        <v>10000002</v>
      </c>
      <c r="B2" s="397">
        <v>8392423828</v>
      </c>
      <c r="C2" s="397" t="s">
        <v>761</v>
      </c>
      <c r="D2" s="398">
        <v>27191</v>
      </c>
      <c r="E2" s="397" t="s">
        <v>762</v>
      </c>
      <c r="F2" s="397" t="s">
        <v>763</v>
      </c>
      <c r="G2" s="397" t="s">
        <v>764</v>
      </c>
      <c r="H2" s="423">
        <v>2117</v>
      </c>
      <c r="I2" s="397" t="s">
        <v>295</v>
      </c>
      <c r="J2" s="400">
        <f ca="1">YEAR(TODAY())-YEAR(D2)</f>
        <v>49</v>
      </c>
    </row>
    <row r="3" spans="1:10" ht="15" x14ac:dyDescent="0.25">
      <c r="A3" s="397">
        <v>10000003</v>
      </c>
      <c r="B3" s="397">
        <v>8329823474</v>
      </c>
      <c r="C3" s="397" t="s">
        <v>765</v>
      </c>
      <c r="D3" s="398">
        <v>20931</v>
      </c>
      <c r="E3" s="397" t="s">
        <v>766</v>
      </c>
      <c r="F3" s="397" t="s">
        <v>767</v>
      </c>
      <c r="G3" s="397" t="s">
        <v>768</v>
      </c>
      <c r="H3" s="423">
        <v>2410</v>
      </c>
      <c r="I3" s="397" t="s">
        <v>366</v>
      </c>
      <c r="J3" s="400">
        <f t="shared" ref="J3:J66" ca="1" si="0">YEAR(TODAY())-YEAR(D3)</f>
        <v>66</v>
      </c>
    </row>
    <row r="4" spans="1:10" ht="15" x14ac:dyDescent="0.25">
      <c r="A4" s="397">
        <v>10000007</v>
      </c>
      <c r="B4" s="397">
        <v>8352710532</v>
      </c>
      <c r="C4" s="397" t="s">
        <v>769</v>
      </c>
      <c r="D4" s="398">
        <v>23220</v>
      </c>
      <c r="E4" s="397" t="s">
        <v>766</v>
      </c>
      <c r="F4" s="397" t="s">
        <v>767</v>
      </c>
      <c r="G4" s="397" t="s">
        <v>768</v>
      </c>
      <c r="H4" s="423">
        <v>2410</v>
      </c>
      <c r="I4" s="397" t="s">
        <v>366</v>
      </c>
      <c r="J4" s="400">
        <f t="shared" ca="1" si="0"/>
        <v>60</v>
      </c>
    </row>
    <row r="5" spans="1:10" ht="15" x14ac:dyDescent="0.25">
      <c r="A5" s="397">
        <v>10000013</v>
      </c>
      <c r="B5" s="397">
        <v>8327581902</v>
      </c>
      <c r="C5" s="397" t="s">
        <v>770</v>
      </c>
      <c r="D5" s="398">
        <v>20707</v>
      </c>
      <c r="E5" s="397" t="s">
        <v>771</v>
      </c>
      <c r="F5" s="397" t="s">
        <v>772</v>
      </c>
      <c r="G5" s="397" t="s">
        <v>768</v>
      </c>
      <c r="H5" s="423">
        <v>2410</v>
      </c>
      <c r="I5" s="397" t="s">
        <v>366</v>
      </c>
      <c r="J5" s="400">
        <f t="shared" ca="1" si="0"/>
        <v>67</v>
      </c>
    </row>
    <row r="6" spans="1:10" ht="15" x14ac:dyDescent="0.25">
      <c r="A6" s="397">
        <v>10000014</v>
      </c>
      <c r="B6" s="397">
        <v>8415403542</v>
      </c>
      <c r="C6" s="397" t="s">
        <v>773</v>
      </c>
      <c r="D6" s="398">
        <v>29489</v>
      </c>
      <c r="E6" s="397" t="s">
        <v>774</v>
      </c>
      <c r="F6" s="397" t="s">
        <v>775</v>
      </c>
      <c r="G6" s="397" t="s">
        <v>776</v>
      </c>
      <c r="H6" s="423">
        <v>2410</v>
      </c>
      <c r="I6" s="397" t="s">
        <v>366</v>
      </c>
      <c r="J6" s="400">
        <f t="shared" ca="1" si="0"/>
        <v>43</v>
      </c>
    </row>
    <row r="7" spans="1:10" ht="15" x14ac:dyDescent="0.25">
      <c r="A7" s="397">
        <v>10000015</v>
      </c>
      <c r="B7" s="397">
        <v>8424680057</v>
      </c>
      <c r="C7" s="397" t="s">
        <v>777</v>
      </c>
      <c r="D7" s="398">
        <v>30417</v>
      </c>
      <c r="E7" s="397" t="s">
        <v>778</v>
      </c>
      <c r="F7" s="397" t="s">
        <v>779</v>
      </c>
      <c r="G7" s="397" t="s">
        <v>768</v>
      </c>
      <c r="H7" s="423">
        <v>2410</v>
      </c>
      <c r="I7" s="397" t="s">
        <v>366</v>
      </c>
      <c r="J7" s="400">
        <f t="shared" ca="1" si="0"/>
        <v>40</v>
      </c>
    </row>
    <row r="8" spans="1:10" ht="15" x14ac:dyDescent="0.25">
      <c r="A8" s="397">
        <v>10000017</v>
      </c>
      <c r="B8" s="397">
        <v>8390681331</v>
      </c>
      <c r="C8" s="397" t="s">
        <v>780</v>
      </c>
      <c r="D8" s="398">
        <v>27017</v>
      </c>
      <c r="E8" s="397" t="s">
        <v>781</v>
      </c>
      <c r="F8" s="397" t="s">
        <v>782</v>
      </c>
      <c r="G8" s="397" t="s">
        <v>768</v>
      </c>
      <c r="H8" s="423">
        <v>2410</v>
      </c>
      <c r="I8" s="397" t="s">
        <v>366</v>
      </c>
      <c r="J8" s="400">
        <f t="shared" ca="1" si="0"/>
        <v>50</v>
      </c>
    </row>
    <row r="9" spans="1:10" ht="15" x14ac:dyDescent="0.25">
      <c r="A9" s="397">
        <v>10000020</v>
      </c>
      <c r="B9" s="397">
        <v>8432804142</v>
      </c>
      <c r="C9" s="397" t="s">
        <v>783</v>
      </c>
      <c r="D9" s="398">
        <v>31229</v>
      </c>
      <c r="E9" s="397" t="s">
        <v>784</v>
      </c>
      <c r="F9" s="397" t="s">
        <v>785</v>
      </c>
      <c r="G9" s="397" t="s">
        <v>776</v>
      </c>
      <c r="H9" s="423">
        <v>2410</v>
      </c>
      <c r="I9" s="397" t="s">
        <v>366</v>
      </c>
      <c r="J9" s="400">
        <f t="shared" ca="1" si="0"/>
        <v>38</v>
      </c>
    </row>
    <row r="10" spans="1:10" ht="15" x14ac:dyDescent="0.25">
      <c r="A10" s="397">
        <v>10000021</v>
      </c>
      <c r="B10" s="397">
        <v>8346442386</v>
      </c>
      <c r="C10" s="397" t="s">
        <v>786</v>
      </c>
      <c r="D10" s="398">
        <v>22593</v>
      </c>
      <c r="E10" s="397" t="s">
        <v>762</v>
      </c>
      <c r="F10" s="397" t="s">
        <v>763</v>
      </c>
      <c r="G10" s="397" t="s">
        <v>764</v>
      </c>
      <c r="H10" s="423">
        <v>2410</v>
      </c>
      <c r="I10" s="397" t="s">
        <v>366</v>
      </c>
      <c r="J10" s="400">
        <f t="shared" ca="1" si="0"/>
        <v>62</v>
      </c>
    </row>
    <row r="11" spans="1:10" ht="15" x14ac:dyDescent="0.25">
      <c r="A11" s="397">
        <v>10000027</v>
      </c>
      <c r="B11" s="397">
        <v>8399633682</v>
      </c>
      <c r="C11" s="397" t="s">
        <v>787</v>
      </c>
      <c r="D11" s="398">
        <v>27912</v>
      </c>
      <c r="E11" s="397" t="s">
        <v>788</v>
      </c>
      <c r="F11" s="397" t="s">
        <v>789</v>
      </c>
      <c r="G11" s="397" t="s">
        <v>768</v>
      </c>
      <c r="H11" s="423">
        <v>2410</v>
      </c>
      <c r="I11" s="397" t="s">
        <v>366</v>
      </c>
      <c r="J11" s="400">
        <f t="shared" ca="1" si="0"/>
        <v>47</v>
      </c>
    </row>
    <row r="12" spans="1:10" ht="15" x14ac:dyDescent="0.25">
      <c r="A12" s="397">
        <v>10000028</v>
      </c>
      <c r="B12" s="397">
        <v>8322883846</v>
      </c>
      <c r="C12" s="397" t="s">
        <v>790</v>
      </c>
      <c r="D12" s="398">
        <v>20237</v>
      </c>
      <c r="E12" s="397" t="s">
        <v>781</v>
      </c>
      <c r="F12" s="397" t="s">
        <v>782</v>
      </c>
      <c r="G12" s="397" t="s">
        <v>764</v>
      </c>
      <c r="H12" s="423">
        <v>2410</v>
      </c>
      <c r="I12" s="397" t="s">
        <v>366</v>
      </c>
      <c r="J12" s="400">
        <f t="shared" ca="1" si="0"/>
        <v>68</v>
      </c>
    </row>
    <row r="13" spans="1:10" ht="15" x14ac:dyDescent="0.25">
      <c r="A13" s="397">
        <v>10000030</v>
      </c>
      <c r="B13" s="397">
        <v>8382052894</v>
      </c>
      <c r="C13" s="397" t="s">
        <v>791</v>
      </c>
      <c r="D13" s="398">
        <v>26154</v>
      </c>
      <c r="E13" s="397" t="s">
        <v>792</v>
      </c>
      <c r="F13" s="397" t="s">
        <v>793</v>
      </c>
      <c r="G13" s="397" t="s">
        <v>768</v>
      </c>
      <c r="H13" s="423">
        <v>2410</v>
      </c>
      <c r="I13" s="397" t="s">
        <v>366</v>
      </c>
      <c r="J13" s="400">
        <f t="shared" ca="1" si="0"/>
        <v>52</v>
      </c>
    </row>
    <row r="14" spans="1:10" ht="15" x14ac:dyDescent="0.25">
      <c r="A14" s="397">
        <v>10000032</v>
      </c>
      <c r="B14" s="397">
        <v>8417011455</v>
      </c>
      <c r="C14" s="397" t="s">
        <v>794</v>
      </c>
      <c r="D14" s="398">
        <v>29650</v>
      </c>
      <c r="E14" s="397" t="s">
        <v>795</v>
      </c>
      <c r="F14" s="397" t="s">
        <v>796</v>
      </c>
      <c r="G14" s="397" t="s">
        <v>776</v>
      </c>
      <c r="H14" s="423">
        <v>2410</v>
      </c>
      <c r="I14" s="397" t="s">
        <v>366</v>
      </c>
      <c r="J14" s="400">
        <f t="shared" ca="1" si="0"/>
        <v>42</v>
      </c>
    </row>
    <row r="15" spans="1:10" ht="15" x14ac:dyDescent="0.25">
      <c r="A15" s="397">
        <v>10000033</v>
      </c>
      <c r="B15" s="397">
        <v>8368763134</v>
      </c>
      <c r="C15" s="397" t="s">
        <v>797</v>
      </c>
      <c r="D15" s="398">
        <v>24825</v>
      </c>
      <c r="E15" s="397" t="s">
        <v>774</v>
      </c>
      <c r="F15" s="397" t="s">
        <v>775</v>
      </c>
      <c r="G15" s="397" t="s">
        <v>764</v>
      </c>
      <c r="H15" s="423">
        <v>1328</v>
      </c>
      <c r="I15" s="397" t="s">
        <v>295</v>
      </c>
      <c r="J15" s="400">
        <f t="shared" ca="1" si="0"/>
        <v>56</v>
      </c>
    </row>
    <row r="16" spans="1:10" ht="15" x14ac:dyDescent="0.25">
      <c r="A16" s="397">
        <v>10000035</v>
      </c>
      <c r="B16" s="397">
        <v>8432490555</v>
      </c>
      <c r="C16" s="397" t="s">
        <v>798</v>
      </c>
      <c r="D16" s="398">
        <v>31198</v>
      </c>
      <c r="E16" s="397" t="s">
        <v>771</v>
      </c>
      <c r="F16" s="397" t="s">
        <v>772</v>
      </c>
      <c r="G16" s="397" t="s">
        <v>768</v>
      </c>
      <c r="H16" s="423">
        <v>2410</v>
      </c>
      <c r="I16" s="397" t="s">
        <v>366</v>
      </c>
      <c r="J16" s="400">
        <f t="shared" ca="1" si="0"/>
        <v>38</v>
      </c>
    </row>
    <row r="17" spans="1:10" ht="15" x14ac:dyDescent="0.25">
      <c r="A17" s="397">
        <v>10000037</v>
      </c>
      <c r="B17" s="397">
        <v>8370773583</v>
      </c>
      <c r="C17" s="397" t="s">
        <v>799</v>
      </c>
      <c r="D17" s="398">
        <v>25026</v>
      </c>
      <c r="E17" s="397" t="s">
        <v>800</v>
      </c>
      <c r="F17" s="397" t="s">
        <v>801</v>
      </c>
      <c r="G17" s="397" t="s">
        <v>768</v>
      </c>
      <c r="H17" s="423">
        <v>1328</v>
      </c>
      <c r="I17" s="397" t="s">
        <v>295</v>
      </c>
      <c r="J17" s="400">
        <f t="shared" ca="1" si="0"/>
        <v>55</v>
      </c>
    </row>
    <row r="18" spans="1:10" ht="15" x14ac:dyDescent="0.25">
      <c r="A18" s="397">
        <v>10000040</v>
      </c>
      <c r="B18" s="397">
        <v>8357612733</v>
      </c>
      <c r="C18" s="397" t="s">
        <v>802</v>
      </c>
      <c r="D18" s="398">
        <v>23710</v>
      </c>
      <c r="E18" s="397" t="s">
        <v>803</v>
      </c>
      <c r="F18" s="397" t="s">
        <v>804</v>
      </c>
      <c r="G18" s="397" t="s">
        <v>768</v>
      </c>
      <c r="H18" s="423">
        <v>2410</v>
      </c>
      <c r="I18" s="397" t="s">
        <v>366</v>
      </c>
      <c r="J18" s="400">
        <f t="shared" ca="1" si="0"/>
        <v>59</v>
      </c>
    </row>
    <row r="19" spans="1:10" ht="15" x14ac:dyDescent="0.25">
      <c r="A19" s="397">
        <v>10000041</v>
      </c>
      <c r="B19" s="397">
        <v>8363523275</v>
      </c>
      <c r="C19" s="397" t="s">
        <v>805</v>
      </c>
      <c r="D19" s="398">
        <v>24301</v>
      </c>
      <c r="E19" s="397" t="s">
        <v>806</v>
      </c>
      <c r="F19" s="397" t="s">
        <v>807</v>
      </c>
      <c r="G19" s="397" t="s">
        <v>768</v>
      </c>
      <c r="H19" s="423">
        <v>2410</v>
      </c>
      <c r="I19" s="397" t="s">
        <v>366</v>
      </c>
      <c r="J19" s="400">
        <f t="shared" ca="1" si="0"/>
        <v>57</v>
      </c>
    </row>
    <row r="20" spans="1:10" ht="15" x14ac:dyDescent="0.25">
      <c r="A20" s="397">
        <v>10000045</v>
      </c>
      <c r="B20" s="397">
        <v>8374362774</v>
      </c>
      <c r="C20" s="397" t="s">
        <v>808</v>
      </c>
      <c r="D20" s="398">
        <v>25385</v>
      </c>
      <c r="E20" s="397" t="s">
        <v>806</v>
      </c>
      <c r="F20" s="397" t="s">
        <v>807</v>
      </c>
      <c r="G20" s="397" t="s">
        <v>768</v>
      </c>
      <c r="H20" s="423">
        <v>2410</v>
      </c>
      <c r="I20" s="397" t="s">
        <v>366</v>
      </c>
      <c r="J20" s="400">
        <f t="shared" ca="1" si="0"/>
        <v>54</v>
      </c>
    </row>
    <row r="21" spans="1:10" ht="15" x14ac:dyDescent="0.25">
      <c r="A21" s="397">
        <v>10000047</v>
      </c>
      <c r="B21" s="397">
        <v>8386912812</v>
      </c>
      <c r="C21" s="397" t="s">
        <v>809</v>
      </c>
      <c r="D21" s="398">
        <v>26640</v>
      </c>
      <c r="E21" s="397" t="s">
        <v>810</v>
      </c>
      <c r="F21" s="397" t="s">
        <v>811</v>
      </c>
      <c r="G21" s="397" t="s">
        <v>768</v>
      </c>
      <c r="H21" s="423">
        <v>1328</v>
      </c>
      <c r="I21" s="397" t="s">
        <v>295</v>
      </c>
      <c r="J21" s="400">
        <f t="shared" ca="1" si="0"/>
        <v>51</v>
      </c>
    </row>
    <row r="22" spans="1:10" ht="15" x14ac:dyDescent="0.25">
      <c r="A22" s="397">
        <v>10000051</v>
      </c>
      <c r="B22" s="397">
        <v>8310213476</v>
      </c>
      <c r="C22" s="397" t="s">
        <v>812</v>
      </c>
      <c r="D22" s="398">
        <v>18970</v>
      </c>
      <c r="E22" s="397" t="s">
        <v>784</v>
      </c>
      <c r="F22" s="397" t="s">
        <v>785</v>
      </c>
      <c r="G22" s="397" t="s">
        <v>764</v>
      </c>
      <c r="H22" s="423">
        <v>2410</v>
      </c>
      <c r="I22" s="397" t="s">
        <v>366</v>
      </c>
      <c r="J22" s="400">
        <f t="shared" ca="1" si="0"/>
        <v>72</v>
      </c>
    </row>
    <row r="23" spans="1:10" ht="15" x14ac:dyDescent="0.25">
      <c r="A23" s="397">
        <v>10000052</v>
      </c>
      <c r="B23" s="397">
        <v>8419020923</v>
      </c>
      <c r="C23" s="397" t="s">
        <v>813</v>
      </c>
      <c r="D23" s="398">
        <v>29851</v>
      </c>
      <c r="E23" s="397" t="s">
        <v>771</v>
      </c>
      <c r="F23" s="397" t="s">
        <v>772</v>
      </c>
      <c r="G23" s="397" t="s">
        <v>768</v>
      </c>
      <c r="H23" s="423">
        <v>2410</v>
      </c>
      <c r="I23" s="397" t="s">
        <v>366</v>
      </c>
      <c r="J23" s="400">
        <f t="shared" ca="1" si="0"/>
        <v>42</v>
      </c>
    </row>
    <row r="24" spans="1:10" ht="15" x14ac:dyDescent="0.25">
      <c r="A24" s="397">
        <v>10000053</v>
      </c>
      <c r="B24" s="397">
        <v>8413122988</v>
      </c>
      <c r="C24" s="397" t="s">
        <v>814</v>
      </c>
      <c r="D24" s="398">
        <v>29261</v>
      </c>
      <c r="E24" s="397" t="s">
        <v>771</v>
      </c>
      <c r="F24" s="397" t="s">
        <v>772</v>
      </c>
      <c r="G24" s="397" t="s">
        <v>768</v>
      </c>
      <c r="H24" s="423">
        <v>2410</v>
      </c>
      <c r="I24" s="397" t="s">
        <v>366</v>
      </c>
      <c r="J24" s="400">
        <f t="shared" ca="1" si="0"/>
        <v>43</v>
      </c>
    </row>
    <row r="25" spans="1:10" ht="15" x14ac:dyDescent="0.25">
      <c r="A25" s="397">
        <v>10000054</v>
      </c>
      <c r="B25" s="397">
        <v>8387294322</v>
      </c>
      <c r="C25" s="397" t="s">
        <v>815</v>
      </c>
      <c r="D25" s="398">
        <v>26678</v>
      </c>
      <c r="E25" s="397" t="s">
        <v>784</v>
      </c>
      <c r="F25" s="397" t="s">
        <v>785</v>
      </c>
      <c r="G25" s="397" t="s">
        <v>764</v>
      </c>
      <c r="H25" s="423">
        <v>2410</v>
      </c>
      <c r="I25" s="397" t="s">
        <v>366</v>
      </c>
      <c r="J25" s="400">
        <f t="shared" ca="1" si="0"/>
        <v>50</v>
      </c>
    </row>
    <row r="26" spans="1:10" ht="15" x14ac:dyDescent="0.25">
      <c r="A26" s="397">
        <v>10000056</v>
      </c>
      <c r="B26" s="397">
        <v>8396640823</v>
      </c>
      <c r="C26" s="397" t="s">
        <v>816</v>
      </c>
      <c r="D26" s="398">
        <v>27613</v>
      </c>
      <c r="E26" s="397" t="s">
        <v>771</v>
      </c>
      <c r="F26" s="397" t="s">
        <v>772</v>
      </c>
      <c r="G26" s="397" t="s">
        <v>768</v>
      </c>
      <c r="H26" s="423">
        <v>1328</v>
      </c>
      <c r="I26" s="397" t="s">
        <v>295</v>
      </c>
      <c r="J26" s="400">
        <f t="shared" ca="1" si="0"/>
        <v>48</v>
      </c>
    </row>
    <row r="27" spans="1:10" ht="15" x14ac:dyDescent="0.25">
      <c r="A27" s="397">
        <v>10000057</v>
      </c>
      <c r="B27" s="397">
        <v>8397652094</v>
      </c>
      <c r="C27" s="397" t="s">
        <v>817</v>
      </c>
      <c r="D27" s="398">
        <v>27714</v>
      </c>
      <c r="E27" s="397" t="s">
        <v>778</v>
      </c>
      <c r="F27" s="397" t="s">
        <v>779</v>
      </c>
      <c r="G27" s="397" t="s">
        <v>768</v>
      </c>
      <c r="H27" s="423">
        <v>2410</v>
      </c>
      <c r="I27" s="397" t="s">
        <v>366</v>
      </c>
      <c r="J27" s="400">
        <f t="shared" ca="1" si="0"/>
        <v>48</v>
      </c>
    </row>
    <row r="28" spans="1:10" ht="15" x14ac:dyDescent="0.25">
      <c r="A28" s="397">
        <v>10000061</v>
      </c>
      <c r="B28" s="397">
        <v>8403740913</v>
      </c>
      <c r="C28" s="397" t="s">
        <v>818</v>
      </c>
      <c r="D28" s="398">
        <v>28323</v>
      </c>
      <c r="E28" s="397" t="s">
        <v>810</v>
      </c>
      <c r="F28" s="397" t="s">
        <v>811</v>
      </c>
      <c r="G28" s="397" t="s">
        <v>776</v>
      </c>
      <c r="H28" s="423">
        <v>2410</v>
      </c>
      <c r="I28" s="397" t="s">
        <v>366</v>
      </c>
      <c r="J28" s="400">
        <f t="shared" ca="1" si="0"/>
        <v>46</v>
      </c>
    </row>
    <row r="29" spans="1:10" ht="15" x14ac:dyDescent="0.25">
      <c r="A29" s="397">
        <v>10000064</v>
      </c>
      <c r="B29" s="397">
        <v>8393082064</v>
      </c>
      <c r="C29" s="397" t="s">
        <v>819</v>
      </c>
      <c r="D29" s="398">
        <v>27257</v>
      </c>
      <c r="E29" s="397" t="s">
        <v>762</v>
      </c>
      <c r="F29" s="397" t="s">
        <v>763</v>
      </c>
      <c r="G29" s="397" t="s">
        <v>768</v>
      </c>
      <c r="H29" s="423">
        <v>1328</v>
      </c>
      <c r="I29" s="397" t="s">
        <v>295</v>
      </c>
      <c r="J29" s="400">
        <f t="shared" ca="1" si="0"/>
        <v>49</v>
      </c>
    </row>
    <row r="30" spans="1:10" ht="15" x14ac:dyDescent="0.25">
      <c r="A30" s="397">
        <v>10000065</v>
      </c>
      <c r="B30" s="397">
        <v>8352592858</v>
      </c>
      <c r="C30" s="397" t="s">
        <v>820</v>
      </c>
      <c r="D30" s="398">
        <v>23208</v>
      </c>
      <c r="E30" s="397" t="s">
        <v>781</v>
      </c>
      <c r="F30" s="397" t="s">
        <v>782</v>
      </c>
      <c r="G30" s="397" t="s">
        <v>764</v>
      </c>
      <c r="H30" s="423">
        <v>2410</v>
      </c>
      <c r="I30" s="397" t="s">
        <v>366</v>
      </c>
      <c r="J30" s="400">
        <f t="shared" ca="1" si="0"/>
        <v>60</v>
      </c>
    </row>
    <row r="31" spans="1:10" ht="15" x14ac:dyDescent="0.25">
      <c r="A31" s="397">
        <v>10000067</v>
      </c>
      <c r="B31" s="397">
        <v>8409231832</v>
      </c>
      <c r="C31" s="397" t="s">
        <v>821</v>
      </c>
      <c r="D31" s="398">
        <v>28872</v>
      </c>
      <c r="E31" s="397" t="s">
        <v>810</v>
      </c>
      <c r="F31" s="397" t="s">
        <v>811</v>
      </c>
      <c r="G31" s="397" t="s">
        <v>822</v>
      </c>
      <c r="H31" s="423">
        <v>2410</v>
      </c>
      <c r="I31" s="397" t="s">
        <v>366</v>
      </c>
      <c r="J31" s="400">
        <f t="shared" ca="1" si="0"/>
        <v>44</v>
      </c>
    </row>
    <row r="32" spans="1:10" ht="15" x14ac:dyDescent="0.25">
      <c r="A32" s="397">
        <v>10000070</v>
      </c>
      <c r="B32" s="397">
        <v>8377123479</v>
      </c>
      <c r="C32" s="397" t="s">
        <v>823</v>
      </c>
      <c r="D32" s="398">
        <v>25661</v>
      </c>
      <c r="E32" s="397" t="s">
        <v>824</v>
      </c>
      <c r="F32" s="397" t="s">
        <v>825</v>
      </c>
      <c r="G32" s="397" t="s">
        <v>768</v>
      </c>
      <c r="H32" s="423">
        <v>1328</v>
      </c>
      <c r="I32" s="397" t="s">
        <v>295</v>
      </c>
      <c r="J32" s="400">
        <f t="shared" ca="1" si="0"/>
        <v>53</v>
      </c>
    </row>
    <row r="33" spans="1:10" ht="15" x14ac:dyDescent="0.25">
      <c r="A33" s="397">
        <v>10000072</v>
      </c>
      <c r="B33" s="397">
        <v>8405063064</v>
      </c>
      <c r="C33" s="397" t="s">
        <v>826</v>
      </c>
      <c r="D33" s="398">
        <v>28455</v>
      </c>
      <c r="E33" s="397" t="s">
        <v>792</v>
      </c>
      <c r="F33" s="397" t="s">
        <v>793</v>
      </c>
      <c r="G33" s="397" t="s">
        <v>768</v>
      </c>
      <c r="H33" s="423">
        <v>2410</v>
      </c>
      <c r="I33" s="397" t="s">
        <v>366</v>
      </c>
      <c r="J33" s="400">
        <f t="shared" ca="1" si="0"/>
        <v>46</v>
      </c>
    </row>
    <row r="34" spans="1:10" ht="15" x14ac:dyDescent="0.25">
      <c r="A34" s="397">
        <v>10000073</v>
      </c>
      <c r="B34" s="397">
        <v>8333893694</v>
      </c>
      <c r="C34" s="397" t="s">
        <v>827</v>
      </c>
      <c r="D34" s="398">
        <v>21338</v>
      </c>
      <c r="E34" s="397" t="s">
        <v>784</v>
      </c>
      <c r="F34" s="397" t="s">
        <v>785</v>
      </c>
      <c r="G34" s="397" t="s">
        <v>768</v>
      </c>
      <c r="H34" s="423">
        <v>2410</v>
      </c>
      <c r="I34" s="397" t="s">
        <v>366</v>
      </c>
      <c r="J34" s="400">
        <f t="shared" ca="1" si="0"/>
        <v>65</v>
      </c>
    </row>
    <row r="35" spans="1:10" ht="15" x14ac:dyDescent="0.25">
      <c r="A35" s="397">
        <v>10000074</v>
      </c>
      <c r="B35" s="397">
        <v>8438023282</v>
      </c>
      <c r="C35" s="397" t="s">
        <v>828</v>
      </c>
      <c r="D35" s="398">
        <v>31751</v>
      </c>
      <c r="E35" s="397" t="s">
        <v>774</v>
      </c>
      <c r="F35" s="397" t="s">
        <v>775</v>
      </c>
      <c r="G35" s="397" t="s">
        <v>768</v>
      </c>
      <c r="H35" s="423">
        <v>2410</v>
      </c>
      <c r="I35" s="397" t="s">
        <v>366</v>
      </c>
      <c r="J35" s="400">
        <f t="shared" ca="1" si="0"/>
        <v>37</v>
      </c>
    </row>
    <row r="36" spans="1:10" ht="15" x14ac:dyDescent="0.25">
      <c r="A36" s="397">
        <v>10000075</v>
      </c>
      <c r="B36" s="397">
        <v>8346201834</v>
      </c>
      <c r="C36" s="397" t="s">
        <v>829</v>
      </c>
      <c r="D36" s="398">
        <v>22569</v>
      </c>
      <c r="E36" s="397" t="s">
        <v>806</v>
      </c>
      <c r="F36" s="397" t="s">
        <v>807</v>
      </c>
      <c r="G36" s="397" t="s">
        <v>768</v>
      </c>
      <c r="H36" s="423">
        <v>2410</v>
      </c>
      <c r="I36" s="397" t="s">
        <v>366</v>
      </c>
      <c r="J36" s="400">
        <f t="shared" ca="1" si="0"/>
        <v>62</v>
      </c>
    </row>
    <row r="37" spans="1:10" ht="15" x14ac:dyDescent="0.25">
      <c r="A37" s="397">
        <v>10000076</v>
      </c>
      <c r="B37" s="397">
        <v>8414153305</v>
      </c>
      <c r="C37" s="397" t="s">
        <v>830</v>
      </c>
      <c r="D37" s="398">
        <v>29364</v>
      </c>
      <c r="E37" s="397" t="s">
        <v>762</v>
      </c>
      <c r="F37" s="397" t="s">
        <v>763</v>
      </c>
      <c r="G37" s="397" t="s">
        <v>831</v>
      </c>
      <c r="H37" s="423">
        <v>2139</v>
      </c>
      <c r="I37" s="397" t="s">
        <v>329</v>
      </c>
      <c r="J37" s="400">
        <f t="shared" ca="1" si="0"/>
        <v>43</v>
      </c>
    </row>
    <row r="38" spans="1:10" ht="15" x14ac:dyDescent="0.25">
      <c r="A38" s="397">
        <v>10000078</v>
      </c>
      <c r="B38" s="397">
        <v>8399753726</v>
      </c>
      <c r="C38" s="397" t="s">
        <v>832</v>
      </c>
      <c r="D38" s="398">
        <v>27924</v>
      </c>
      <c r="E38" s="397" t="s">
        <v>833</v>
      </c>
      <c r="F38" s="397" t="s">
        <v>834</v>
      </c>
      <c r="G38" s="397" t="s">
        <v>768</v>
      </c>
      <c r="H38" s="423">
        <v>2410</v>
      </c>
      <c r="I38" s="397" t="s">
        <v>366</v>
      </c>
      <c r="J38" s="400">
        <f t="shared" ca="1" si="0"/>
        <v>47</v>
      </c>
    </row>
    <row r="39" spans="1:10" ht="15" x14ac:dyDescent="0.25">
      <c r="A39" s="397">
        <v>10000079</v>
      </c>
      <c r="B39" s="397">
        <v>8398703792</v>
      </c>
      <c r="C39" s="397" t="s">
        <v>835</v>
      </c>
      <c r="D39" s="398">
        <v>27819</v>
      </c>
      <c r="E39" s="397" t="s">
        <v>833</v>
      </c>
      <c r="F39" s="397" t="s">
        <v>834</v>
      </c>
      <c r="G39" s="397" t="s">
        <v>768</v>
      </c>
      <c r="H39" s="423">
        <v>1328</v>
      </c>
      <c r="I39" s="397" t="s">
        <v>295</v>
      </c>
      <c r="J39" s="400">
        <f t="shared" ca="1" si="0"/>
        <v>47</v>
      </c>
    </row>
    <row r="40" spans="1:10" ht="15" x14ac:dyDescent="0.25">
      <c r="A40" s="397">
        <v>10000080</v>
      </c>
      <c r="B40" s="397">
        <v>8391122948</v>
      </c>
      <c r="C40" s="397" t="s">
        <v>836</v>
      </c>
      <c r="D40" s="398">
        <v>27061</v>
      </c>
      <c r="E40" s="397" t="s">
        <v>762</v>
      </c>
      <c r="F40" s="397" t="s">
        <v>763</v>
      </c>
      <c r="G40" s="397" t="s">
        <v>768</v>
      </c>
      <c r="H40" s="423">
        <v>2410</v>
      </c>
      <c r="I40" s="397" t="s">
        <v>366</v>
      </c>
      <c r="J40" s="400">
        <f t="shared" ca="1" si="0"/>
        <v>49</v>
      </c>
    </row>
    <row r="41" spans="1:10" ht="15" x14ac:dyDescent="0.25">
      <c r="A41" s="397">
        <v>10000081</v>
      </c>
      <c r="B41" s="397">
        <v>8399783617</v>
      </c>
      <c r="C41" s="397" t="s">
        <v>837</v>
      </c>
      <c r="D41" s="398">
        <v>27927</v>
      </c>
      <c r="E41" s="397" t="s">
        <v>833</v>
      </c>
      <c r="F41" s="397" t="s">
        <v>834</v>
      </c>
      <c r="G41" s="397" t="s">
        <v>768</v>
      </c>
      <c r="H41" s="423">
        <v>2410</v>
      </c>
      <c r="I41" s="397" t="s">
        <v>366</v>
      </c>
      <c r="J41" s="400">
        <f t="shared" ca="1" si="0"/>
        <v>47</v>
      </c>
    </row>
    <row r="42" spans="1:10" ht="15" x14ac:dyDescent="0.25">
      <c r="A42" s="397">
        <v>10000082</v>
      </c>
      <c r="B42" s="397">
        <v>8409541254</v>
      </c>
      <c r="C42" s="397" t="s">
        <v>838</v>
      </c>
      <c r="D42" s="398">
        <v>28903</v>
      </c>
      <c r="E42" s="397" t="s">
        <v>810</v>
      </c>
      <c r="F42" s="397" t="s">
        <v>811</v>
      </c>
      <c r="G42" s="397" t="s">
        <v>768</v>
      </c>
      <c r="H42" s="423">
        <v>1328</v>
      </c>
      <c r="I42" s="397" t="s">
        <v>295</v>
      </c>
      <c r="J42" s="400">
        <f t="shared" ca="1" si="0"/>
        <v>44</v>
      </c>
    </row>
    <row r="43" spans="1:10" ht="15" x14ac:dyDescent="0.25">
      <c r="A43" s="397">
        <v>10000083</v>
      </c>
      <c r="B43" s="397">
        <v>8359153914</v>
      </c>
      <c r="C43" s="397" t="s">
        <v>839</v>
      </c>
      <c r="D43" s="398">
        <v>23864</v>
      </c>
      <c r="E43" s="397" t="s">
        <v>840</v>
      </c>
      <c r="F43" s="397" t="s">
        <v>841</v>
      </c>
      <c r="G43" s="397" t="s">
        <v>768</v>
      </c>
      <c r="H43" s="423">
        <v>2410</v>
      </c>
      <c r="I43" s="397" t="s">
        <v>366</v>
      </c>
      <c r="J43" s="400">
        <f t="shared" ca="1" si="0"/>
        <v>58</v>
      </c>
    </row>
    <row r="44" spans="1:10" ht="15" x14ac:dyDescent="0.25">
      <c r="A44" s="397">
        <v>10000084</v>
      </c>
      <c r="B44" s="397">
        <v>8380183029</v>
      </c>
      <c r="C44" s="397" t="s">
        <v>842</v>
      </c>
      <c r="D44" s="398">
        <v>25967</v>
      </c>
      <c r="E44" s="397" t="s">
        <v>774</v>
      </c>
      <c r="F44" s="397" t="s">
        <v>775</v>
      </c>
      <c r="G44" s="397" t="s">
        <v>776</v>
      </c>
      <c r="H44" s="423">
        <v>2410</v>
      </c>
      <c r="I44" s="397" t="s">
        <v>366</v>
      </c>
      <c r="J44" s="400">
        <f t="shared" ca="1" si="0"/>
        <v>52</v>
      </c>
    </row>
    <row r="45" spans="1:10" ht="15" x14ac:dyDescent="0.25">
      <c r="A45" s="397">
        <v>10000086</v>
      </c>
      <c r="B45" s="397">
        <v>8389220210</v>
      </c>
      <c r="C45" s="397" t="s">
        <v>843</v>
      </c>
      <c r="D45" s="398">
        <v>26871</v>
      </c>
      <c r="E45" s="397" t="s">
        <v>788</v>
      </c>
      <c r="F45" s="397" t="s">
        <v>789</v>
      </c>
      <c r="G45" s="397" t="s">
        <v>768</v>
      </c>
      <c r="H45" s="423">
        <v>1328</v>
      </c>
      <c r="I45" s="397" t="s">
        <v>295</v>
      </c>
      <c r="J45" s="400">
        <f t="shared" ca="1" si="0"/>
        <v>50</v>
      </c>
    </row>
    <row r="46" spans="1:10" ht="15" x14ac:dyDescent="0.25">
      <c r="A46" s="397">
        <v>10000087</v>
      </c>
      <c r="B46" s="397">
        <v>8361012761</v>
      </c>
      <c r="C46" s="397" t="s">
        <v>844</v>
      </c>
      <c r="D46" s="398">
        <v>24050</v>
      </c>
      <c r="E46" s="397" t="s">
        <v>806</v>
      </c>
      <c r="F46" s="397" t="s">
        <v>807</v>
      </c>
      <c r="G46" s="397" t="s">
        <v>768</v>
      </c>
      <c r="H46" s="423">
        <v>1328</v>
      </c>
      <c r="I46" s="397" t="s">
        <v>295</v>
      </c>
      <c r="J46" s="400">
        <f t="shared" ca="1" si="0"/>
        <v>58</v>
      </c>
    </row>
    <row r="47" spans="1:10" ht="15" x14ac:dyDescent="0.25">
      <c r="A47" s="397">
        <v>10000088</v>
      </c>
      <c r="B47" s="397">
        <v>8333952534</v>
      </c>
      <c r="C47" s="397" t="s">
        <v>845</v>
      </c>
      <c r="D47" s="398">
        <v>21344</v>
      </c>
      <c r="E47" s="397" t="s">
        <v>846</v>
      </c>
      <c r="F47" s="397" t="s">
        <v>847</v>
      </c>
      <c r="G47" s="397" t="s">
        <v>764</v>
      </c>
      <c r="H47" s="423">
        <v>2410</v>
      </c>
      <c r="I47" s="397" t="s">
        <v>366</v>
      </c>
      <c r="J47" s="400">
        <f t="shared" ca="1" si="0"/>
        <v>65</v>
      </c>
    </row>
    <row r="48" spans="1:10" ht="15" x14ac:dyDescent="0.25">
      <c r="A48" s="397">
        <v>10000092</v>
      </c>
      <c r="B48" s="397">
        <v>8363972193</v>
      </c>
      <c r="C48" s="397" t="s">
        <v>848</v>
      </c>
      <c r="D48" s="398">
        <v>24346</v>
      </c>
      <c r="E48" s="397" t="s">
        <v>849</v>
      </c>
      <c r="F48" s="397" t="s">
        <v>850</v>
      </c>
      <c r="G48" s="397" t="s">
        <v>764</v>
      </c>
      <c r="H48" s="423">
        <v>1210</v>
      </c>
      <c r="I48" s="397" t="s">
        <v>284</v>
      </c>
      <c r="J48" s="400">
        <f t="shared" ca="1" si="0"/>
        <v>57</v>
      </c>
    </row>
    <row r="49" spans="1:10" ht="15" x14ac:dyDescent="0.25">
      <c r="A49" s="397">
        <v>10000093</v>
      </c>
      <c r="B49" s="397">
        <v>8340202553</v>
      </c>
      <c r="C49" s="397" t="s">
        <v>851</v>
      </c>
      <c r="D49" s="398">
        <v>21969</v>
      </c>
      <c r="E49" s="397" t="s">
        <v>810</v>
      </c>
      <c r="F49" s="397" t="s">
        <v>811</v>
      </c>
      <c r="G49" s="397" t="s">
        <v>768</v>
      </c>
      <c r="H49" s="423">
        <v>2410</v>
      </c>
      <c r="I49" s="397" t="s">
        <v>366</v>
      </c>
      <c r="J49" s="400">
        <f t="shared" ca="1" si="0"/>
        <v>63</v>
      </c>
    </row>
    <row r="50" spans="1:10" ht="15" x14ac:dyDescent="0.25">
      <c r="A50" s="397">
        <v>10000095</v>
      </c>
      <c r="B50" s="397">
        <v>8357833284</v>
      </c>
      <c r="C50" s="397" t="s">
        <v>852</v>
      </c>
      <c r="D50" s="398">
        <v>23732</v>
      </c>
      <c r="E50" s="397" t="s">
        <v>810</v>
      </c>
      <c r="F50" s="397" t="s">
        <v>811</v>
      </c>
      <c r="G50" s="397" t="s">
        <v>768</v>
      </c>
      <c r="H50" s="423">
        <v>2410</v>
      </c>
      <c r="I50" s="397" t="s">
        <v>366</v>
      </c>
      <c r="J50" s="400">
        <f t="shared" ca="1" si="0"/>
        <v>59</v>
      </c>
    </row>
    <row r="51" spans="1:10" ht="15" x14ac:dyDescent="0.25">
      <c r="A51" s="397">
        <v>10000096</v>
      </c>
      <c r="B51" s="397">
        <v>8385173412</v>
      </c>
      <c r="C51" s="397" t="s">
        <v>853</v>
      </c>
      <c r="D51" s="398">
        <v>26466</v>
      </c>
      <c r="E51" s="397" t="s">
        <v>810</v>
      </c>
      <c r="F51" s="397" t="s">
        <v>811</v>
      </c>
      <c r="G51" s="397" t="s">
        <v>776</v>
      </c>
      <c r="H51" s="423">
        <v>2410</v>
      </c>
      <c r="I51" s="397" t="s">
        <v>366</v>
      </c>
      <c r="J51" s="400">
        <f t="shared" ca="1" si="0"/>
        <v>51</v>
      </c>
    </row>
    <row r="52" spans="1:10" ht="15" x14ac:dyDescent="0.25">
      <c r="A52" s="397">
        <v>10000098</v>
      </c>
      <c r="B52" s="397">
        <v>8358022476</v>
      </c>
      <c r="C52" s="397" t="s">
        <v>854</v>
      </c>
      <c r="D52" s="398">
        <v>23751</v>
      </c>
      <c r="E52" s="397" t="s">
        <v>840</v>
      </c>
      <c r="F52" s="397" t="s">
        <v>841</v>
      </c>
      <c r="G52" s="397" t="s">
        <v>768</v>
      </c>
      <c r="H52" s="423">
        <v>2410</v>
      </c>
      <c r="I52" s="397" t="s">
        <v>366</v>
      </c>
      <c r="J52" s="400">
        <f t="shared" ca="1" si="0"/>
        <v>58</v>
      </c>
    </row>
    <row r="53" spans="1:10" ht="15" x14ac:dyDescent="0.25">
      <c r="A53" s="397">
        <v>10000099</v>
      </c>
      <c r="B53" s="397">
        <v>8381280249</v>
      </c>
      <c r="C53" s="397" t="s">
        <v>855</v>
      </c>
      <c r="D53" s="398">
        <v>26077</v>
      </c>
      <c r="E53" s="397" t="s">
        <v>774</v>
      </c>
      <c r="F53" s="397" t="s">
        <v>775</v>
      </c>
      <c r="G53" s="397" t="s">
        <v>768</v>
      </c>
      <c r="H53" s="423">
        <v>2410</v>
      </c>
      <c r="I53" s="397" t="s">
        <v>366</v>
      </c>
      <c r="J53" s="400">
        <f t="shared" ca="1" si="0"/>
        <v>52</v>
      </c>
    </row>
    <row r="54" spans="1:10" ht="15" x14ac:dyDescent="0.25">
      <c r="A54" s="397">
        <v>10000100</v>
      </c>
      <c r="B54" s="397">
        <v>8320030072</v>
      </c>
      <c r="C54" s="397" t="s">
        <v>856</v>
      </c>
      <c r="D54" s="398">
        <v>19952</v>
      </c>
      <c r="E54" s="397" t="s">
        <v>849</v>
      </c>
      <c r="F54" s="397" t="s">
        <v>850</v>
      </c>
      <c r="G54" s="397" t="s">
        <v>764</v>
      </c>
      <c r="H54" s="423">
        <v>2410</v>
      </c>
      <c r="I54" s="397" t="s">
        <v>366</v>
      </c>
      <c r="J54" s="400">
        <f t="shared" ca="1" si="0"/>
        <v>69</v>
      </c>
    </row>
    <row r="55" spans="1:10" ht="15" x14ac:dyDescent="0.25">
      <c r="A55" s="397">
        <v>10000101</v>
      </c>
      <c r="B55" s="397">
        <v>8330322432</v>
      </c>
      <c r="C55" s="397" t="s">
        <v>857</v>
      </c>
      <c r="D55" s="398">
        <v>20981</v>
      </c>
      <c r="E55" s="397" t="s">
        <v>858</v>
      </c>
      <c r="F55" s="397" t="s">
        <v>859</v>
      </c>
      <c r="G55" s="397" t="s">
        <v>768</v>
      </c>
      <c r="H55" s="423">
        <v>2410</v>
      </c>
      <c r="I55" s="397" t="s">
        <v>366</v>
      </c>
      <c r="J55" s="400">
        <f t="shared" ca="1" si="0"/>
        <v>66</v>
      </c>
    </row>
    <row r="56" spans="1:10" ht="15" x14ac:dyDescent="0.25">
      <c r="A56" s="397">
        <v>10000102</v>
      </c>
      <c r="B56" s="397">
        <v>8422122847</v>
      </c>
      <c r="C56" s="397" t="s">
        <v>860</v>
      </c>
      <c r="D56" s="398">
        <v>30161</v>
      </c>
      <c r="E56" s="397" t="s">
        <v>833</v>
      </c>
      <c r="F56" s="397" t="s">
        <v>834</v>
      </c>
      <c r="G56" s="397" t="s">
        <v>768</v>
      </c>
      <c r="H56" s="423">
        <v>1419</v>
      </c>
      <c r="I56" s="397" t="s">
        <v>310</v>
      </c>
      <c r="J56" s="400">
        <f t="shared" ca="1" si="0"/>
        <v>41</v>
      </c>
    </row>
    <row r="57" spans="1:10" ht="15" x14ac:dyDescent="0.25">
      <c r="A57" s="397">
        <v>10000103</v>
      </c>
      <c r="B57" s="397">
        <v>8422031841</v>
      </c>
      <c r="C57" s="397" t="s">
        <v>861</v>
      </c>
      <c r="D57" s="398">
        <v>30152</v>
      </c>
      <c r="E57" s="397" t="s">
        <v>840</v>
      </c>
      <c r="F57" s="397" t="s">
        <v>841</v>
      </c>
      <c r="G57" s="397" t="s">
        <v>768</v>
      </c>
      <c r="H57" s="423">
        <v>2410</v>
      </c>
      <c r="I57" s="397" t="s">
        <v>366</v>
      </c>
      <c r="J57" s="400">
        <f t="shared" ca="1" si="0"/>
        <v>41</v>
      </c>
    </row>
    <row r="58" spans="1:10" ht="15" x14ac:dyDescent="0.25">
      <c r="A58" s="397">
        <v>10000105</v>
      </c>
      <c r="B58" s="397">
        <v>8328852489</v>
      </c>
      <c r="C58" s="397" t="s">
        <v>862</v>
      </c>
      <c r="D58" s="398">
        <v>20834</v>
      </c>
      <c r="E58" s="397" t="s">
        <v>795</v>
      </c>
      <c r="F58" s="397" t="s">
        <v>796</v>
      </c>
      <c r="G58" s="397" t="s">
        <v>768</v>
      </c>
      <c r="H58" s="423">
        <v>2410</v>
      </c>
      <c r="I58" s="397" t="s">
        <v>366</v>
      </c>
      <c r="J58" s="400">
        <f t="shared" ca="1" si="0"/>
        <v>66</v>
      </c>
    </row>
    <row r="59" spans="1:10" ht="15" x14ac:dyDescent="0.25">
      <c r="A59" s="397">
        <v>10000107</v>
      </c>
      <c r="B59" s="397">
        <v>8313154187</v>
      </c>
      <c r="C59" s="397" t="s">
        <v>863</v>
      </c>
      <c r="D59" s="398">
        <v>19264</v>
      </c>
      <c r="E59" s="397" t="s">
        <v>810</v>
      </c>
      <c r="F59" s="397" t="s">
        <v>811</v>
      </c>
      <c r="G59" s="397" t="s">
        <v>764</v>
      </c>
      <c r="H59" s="423">
        <v>2410</v>
      </c>
      <c r="I59" s="397" t="s">
        <v>366</v>
      </c>
      <c r="J59" s="400">
        <f t="shared" ca="1" si="0"/>
        <v>71</v>
      </c>
    </row>
    <row r="60" spans="1:10" ht="15" x14ac:dyDescent="0.25">
      <c r="A60" s="397">
        <v>10000109</v>
      </c>
      <c r="B60" s="397">
        <v>8348530169</v>
      </c>
      <c r="C60" s="397" t="s">
        <v>864</v>
      </c>
      <c r="D60" s="398">
        <v>22802</v>
      </c>
      <c r="E60" s="397" t="s">
        <v>781</v>
      </c>
      <c r="F60" s="397" t="s">
        <v>782</v>
      </c>
      <c r="G60" s="397" t="s">
        <v>764</v>
      </c>
      <c r="H60" s="423">
        <v>1328</v>
      </c>
      <c r="I60" s="397" t="s">
        <v>295</v>
      </c>
      <c r="J60" s="400">
        <f t="shared" ca="1" si="0"/>
        <v>61</v>
      </c>
    </row>
    <row r="61" spans="1:10" ht="15" x14ac:dyDescent="0.25">
      <c r="A61" s="397">
        <v>10000110</v>
      </c>
      <c r="B61" s="397">
        <v>8400900790</v>
      </c>
      <c r="C61" s="397" t="s">
        <v>865</v>
      </c>
      <c r="D61" s="398">
        <v>28039</v>
      </c>
      <c r="E61" s="397" t="s">
        <v>788</v>
      </c>
      <c r="F61" s="397" t="s">
        <v>789</v>
      </c>
      <c r="G61" s="397" t="s">
        <v>768</v>
      </c>
      <c r="H61" s="423">
        <v>2410</v>
      </c>
      <c r="I61" s="397" t="s">
        <v>366</v>
      </c>
      <c r="J61" s="400">
        <f t="shared" ca="1" si="0"/>
        <v>47</v>
      </c>
    </row>
    <row r="62" spans="1:10" ht="15" x14ac:dyDescent="0.25">
      <c r="A62" s="397">
        <v>10000111</v>
      </c>
      <c r="B62" s="397">
        <v>8432052701</v>
      </c>
      <c r="C62" s="397" t="s">
        <v>866</v>
      </c>
      <c r="D62" s="398">
        <v>31154</v>
      </c>
      <c r="E62" s="397" t="s">
        <v>771</v>
      </c>
      <c r="F62" s="397" t="s">
        <v>772</v>
      </c>
      <c r="G62" s="397" t="s">
        <v>768</v>
      </c>
      <c r="H62" s="423">
        <v>2410</v>
      </c>
      <c r="I62" s="397" t="s">
        <v>366</v>
      </c>
      <c r="J62" s="400">
        <f t="shared" ca="1" si="0"/>
        <v>38</v>
      </c>
    </row>
    <row r="63" spans="1:10" ht="15" x14ac:dyDescent="0.25">
      <c r="A63" s="397">
        <v>10000113</v>
      </c>
      <c r="B63" s="397">
        <v>8405671307</v>
      </c>
      <c r="C63" s="397" t="s">
        <v>867</v>
      </c>
      <c r="D63" s="398">
        <v>28516</v>
      </c>
      <c r="E63" s="397" t="s">
        <v>868</v>
      </c>
      <c r="F63" s="397" t="s">
        <v>869</v>
      </c>
      <c r="G63" s="397" t="s">
        <v>768</v>
      </c>
      <c r="H63" s="423">
        <v>2410</v>
      </c>
      <c r="I63" s="397" t="s">
        <v>366</v>
      </c>
      <c r="J63" s="400">
        <f t="shared" ca="1" si="0"/>
        <v>45</v>
      </c>
    </row>
    <row r="64" spans="1:10" ht="15" x14ac:dyDescent="0.25">
      <c r="A64" s="397">
        <v>10000115</v>
      </c>
      <c r="B64" s="397">
        <v>8423011275</v>
      </c>
      <c r="C64" s="397" t="s">
        <v>870</v>
      </c>
      <c r="D64" s="398">
        <v>30250</v>
      </c>
      <c r="E64" s="397" t="s">
        <v>795</v>
      </c>
      <c r="F64" s="397" t="s">
        <v>796</v>
      </c>
      <c r="G64" s="397" t="s">
        <v>776</v>
      </c>
      <c r="H64" s="423">
        <v>2410</v>
      </c>
      <c r="I64" s="397" t="s">
        <v>366</v>
      </c>
      <c r="J64" s="400">
        <f t="shared" ca="1" si="0"/>
        <v>41</v>
      </c>
    </row>
    <row r="65" spans="1:10" ht="15" x14ac:dyDescent="0.25">
      <c r="A65" s="397">
        <v>10000117</v>
      </c>
      <c r="B65" s="397">
        <v>8388423770</v>
      </c>
      <c r="C65" s="397" t="s">
        <v>871</v>
      </c>
      <c r="D65" s="398">
        <v>26791</v>
      </c>
      <c r="E65" s="397" t="s">
        <v>803</v>
      </c>
      <c r="F65" s="397" t="s">
        <v>804</v>
      </c>
      <c r="G65" s="397" t="s">
        <v>768</v>
      </c>
      <c r="H65" s="423">
        <v>1328</v>
      </c>
      <c r="I65" s="397" t="s">
        <v>295</v>
      </c>
      <c r="J65" s="400">
        <f t="shared" ca="1" si="0"/>
        <v>50</v>
      </c>
    </row>
    <row r="66" spans="1:10" ht="15" x14ac:dyDescent="0.25">
      <c r="A66" s="397">
        <v>10000120</v>
      </c>
      <c r="B66" s="397">
        <v>8341024020</v>
      </c>
      <c r="C66" s="397" t="s">
        <v>872</v>
      </c>
      <c r="D66" s="398">
        <v>22051</v>
      </c>
      <c r="E66" s="397" t="s">
        <v>806</v>
      </c>
      <c r="F66" s="397" t="s">
        <v>807</v>
      </c>
      <c r="G66" s="397" t="s">
        <v>768</v>
      </c>
      <c r="H66" s="423">
        <v>1328</v>
      </c>
      <c r="I66" s="397" t="s">
        <v>295</v>
      </c>
      <c r="J66" s="400">
        <f t="shared" ca="1" si="0"/>
        <v>63</v>
      </c>
    </row>
    <row r="67" spans="1:10" ht="15" x14ac:dyDescent="0.25">
      <c r="A67" s="397">
        <v>10000121</v>
      </c>
      <c r="B67" s="397">
        <v>8425551579</v>
      </c>
      <c r="C67" s="397" t="s">
        <v>873</v>
      </c>
      <c r="D67" s="398">
        <v>30504</v>
      </c>
      <c r="E67" s="397" t="s">
        <v>774</v>
      </c>
      <c r="F67" s="397" t="s">
        <v>775</v>
      </c>
      <c r="G67" s="397" t="s">
        <v>776</v>
      </c>
      <c r="H67" s="423">
        <v>2410</v>
      </c>
      <c r="I67" s="397" t="s">
        <v>366</v>
      </c>
      <c r="J67" s="400">
        <f t="shared" ref="J67:J130" ca="1" si="1">YEAR(TODAY())-YEAR(D67)</f>
        <v>40</v>
      </c>
    </row>
    <row r="68" spans="1:10" ht="15" x14ac:dyDescent="0.25">
      <c r="A68" s="397">
        <v>10000124</v>
      </c>
      <c r="B68" s="397">
        <v>8407181587</v>
      </c>
      <c r="C68" s="397" t="s">
        <v>874</v>
      </c>
      <c r="D68" s="398">
        <v>28667</v>
      </c>
      <c r="E68" s="397" t="s">
        <v>774</v>
      </c>
      <c r="F68" s="397" t="s">
        <v>775</v>
      </c>
      <c r="G68" s="397" t="s">
        <v>768</v>
      </c>
      <c r="H68" s="423">
        <v>1328</v>
      </c>
      <c r="I68" s="397" t="s">
        <v>295</v>
      </c>
      <c r="J68" s="400">
        <f t="shared" ca="1" si="1"/>
        <v>45</v>
      </c>
    </row>
    <row r="69" spans="1:10" ht="15" x14ac:dyDescent="0.25">
      <c r="A69" s="397">
        <v>10000125</v>
      </c>
      <c r="B69" s="397">
        <v>8337772778</v>
      </c>
      <c r="C69" s="397" t="s">
        <v>875</v>
      </c>
      <c r="D69" s="398">
        <v>21726</v>
      </c>
      <c r="E69" s="397" t="s">
        <v>781</v>
      </c>
      <c r="F69" s="397" t="s">
        <v>782</v>
      </c>
      <c r="G69" s="397" t="s">
        <v>768</v>
      </c>
      <c r="H69" s="423">
        <v>2410</v>
      </c>
      <c r="I69" s="397" t="s">
        <v>366</v>
      </c>
      <c r="J69" s="400">
        <f t="shared" ca="1" si="1"/>
        <v>64</v>
      </c>
    </row>
    <row r="70" spans="1:10" ht="15" x14ac:dyDescent="0.25">
      <c r="A70" s="397">
        <v>10000126</v>
      </c>
      <c r="B70" s="397">
        <v>8332743370</v>
      </c>
      <c r="C70" s="397" t="s">
        <v>876</v>
      </c>
      <c r="D70" s="398">
        <v>21223</v>
      </c>
      <c r="E70" s="397" t="s">
        <v>774</v>
      </c>
      <c r="F70" s="397" t="s">
        <v>775</v>
      </c>
      <c r="G70" s="397" t="s">
        <v>764</v>
      </c>
      <c r="H70" s="423">
        <v>1328</v>
      </c>
      <c r="I70" s="397" t="s">
        <v>295</v>
      </c>
      <c r="J70" s="400">
        <f t="shared" ca="1" si="1"/>
        <v>65</v>
      </c>
    </row>
    <row r="71" spans="1:10" ht="15" x14ac:dyDescent="0.25">
      <c r="A71" s="397">
        <v>10000128</v>
      </c>
      <c r="B71" s="397">
        <v>8389024780</v>
      </c>
      <c r="C71" s="397" t="s">
        <v>877</v>
      </c>
      <c r="D71" s="398">
        <v>26851</v>
      </c>
      <c r="E71" s="397" t="s">
        <v>833</v>
      </c>
      <c r="F71" s="397" t="s">
        <v>834</v>
      </c>
      <c r="G71" s="397" t="s">
        <v>776</v>
      </c>
      <c r="H71" s="423">
        <v>2410</v>
      </c>
      <c r="I71" s="397" t="s">
        <v>366</v>
      </c>
      <c r="J71" s="400">
        <f t="shared" ca="1" si="1"/>
        <v>50</v>
      </c>
    </row>
    <row r="72" spans="1:10" ht="15" x14ac:dyDescent="0.25">
      <c r="A72" s="397">
        <v>10000130</v>
      </c>
      <c r="B72" s="397">
        <v>8432360317</v>
      </c>
      <c r="C72" s="397" t="s">
        <v>878</v>
      </c>
      <c r="D72" s="398">
        <v>31185</v>
      </c>
      <c r="E72" s="397" t="s">
        <v>774</v>
      </c>
      <c r="F72" s="397" t="s">
        <v>775</v>
      </c>
      <c r="G72" s="397" t="s">
        <v>776</v>
      </c>
      <c r="H72" s="423">
        <v>2410</v>
      </c>
      <c r="I72" s="397" t="s">
        <v>366</v>
      </c>
      <c r="J72" s="400">
        <f t="shared" ca="1" si="1"/>
        <v>38</v>
      </c>
    </row>
    <row r="73" spans="1:10" ht="15" x14ac:dyDescent="0.25">
      <c r="A73" s="397">
        <v>10000131</v>
      </c>
      <c r="B73" s="397">
        <v>8392552407</v>
      </c>
      <c r="C73" s="397" t="s">
        <v>879</v>
      </c>
      <c r="D73" s="398">
        <v>27204</v>
      </c>
      <c r="E73" s="397" t="s">
        <v>849</v>
      </c>
      <c r="F73" s="397" t="s">
        <v>850</v>
      </c>
      <c r="G73" s="397" t="s">
        <v>880</v>
      </c>
      <c r="H73" s="423">
        <v>2169</v>
      </c>
      <c r="I73" s="397" t="s">
        <v>346</v>
      </c>
      <c r="J73" s="400">
        <f t="shared" ca="1" si="1"/>
        <v>49</v>
      </c>
    </row>
    <row r="74" spans="1:10" ht="15" x14ac:dyDescent="0.25">
      <c r="A74" s="397">
        <v>10000132</v>
      </c>
      <c r="B74" s="397">
        <v>8411063054</v>
      </c>
      <c r="C74" s="397" t="s">
        <v>881</v>
      </c>
      <c r="D74" s="398">
        <v>29055</v>
      </c>
      <c r="E74" s="397" t="s">
        <v>803</v>
      </c>
      <c r="F74" s="397" t="s">
        <v>804</v>
      </c>
      <c r="G74" s="397" t="s">
        <v>768</v>
      </c>
      <c r="H74" s="423">
        <v>1328</v>
      </c>
      <c r="I74" s="397" t="s">
        <v>295</v>
      </c>
      <c r="J74" s="400">
        <f t="shared" ca="1" si="1"/>
        <v>44</v>
      </c>
    </row>
    <row r="75" spans="1:10" ht="15" x14ac:dyDescent="0.25">
      <c r="A75" s="397">
        <v>10000133</v>
      </c>
      <c r="B75" s="397">
        <v>8323705771</v>
      </c>
      <c r="C75" s="397" t="s">
        <v>882</v>
      </c>
      <c r="D75" s="398">
        <v>20319</v>
      </c>
      <c r="E75" s="397" t="s">
        <v>883</v>
      </c>
      <c r="F75" s="397" t="s">
        <v>884</v>
      </c>
      <c r="G75" s="397" t="s">
        <v>768</v>
      </c>
      <c r="H75" s="423">
        <v>2410</v>
      </c>
      <c r="I75" s="397" t="s">
        <v>366</v>
      </c>
      <c r="J75" s="400">
        <f t="shared" ca="1" si="1"/>
        <v>68</v>
      </c>
    </row>
    <row r="76" spans="1:10" ht="15" x14ac:dyDescent="0.25">
      <c r="A76" s="397">
        <v>10000134</v>
      </c>
      <c r="B76" s="397">
        <v>8341254700</v>
      </c>
      <c r="C76" s="397" t="s">
        <v>885</v>
      </c>
      <c r="D76" s="398">
        <v>22074</v>
      </c>
      <c r="E76" s="397" t="s">
        <v>784</v>
      </c>
      <c r="F76" s="397" t="s">
        <v>785</v>
      </c>
      <c r="G76" s="397" t="s">
        <v>764</v>
      </c>
      <c r="H76" s="423">
        <v>2410</v>
      </c>
      <c r="I76" s="397" t="s">
        <v>366</v>
      </c>
      <c r="J76" s="400">
        <f t="shared" ca="1" si="1"/>
        <v>63</v>
      </c>
    </row>
    <row r="77" spans="1:10" ht="15" x14ac:dyDescent="0.25">
      <c r="A77" s="397">
        <v>10000135</v>
      </c>
      <c r="B77" s="397">
        <v>8359470707</v>
      </c>
      <c r="C77" s="397" t="s">
        <v>886</v>
      </c>
      <c r="D77" s="398">
        <v>23896</v>
      </c>
      <c r="E77" s="397" t="s">
        <v>810</v>
      </c>
      <c r="F77" s="397" t="s">
        <v>811</v>
      </c>
      <c r="G77" s="397" t="s">
        <v>768</v>
      </c>
      <c r="H77" s="423">
        <v>2410</v>
      </c>
      <c r="I77" s="397" t="s">
        <v>366</v>
      </c>
      <c r="J77" s="400">
        <f t="shared" ca="1" si="1"/>
        <v>58</v>
      </c>
    </row>
    <row r="78" spans="1:10" ht="15" x14ac:dyDescent="0.25">
      <c r="A78" s="397">
        <v>10000136</v>
      </c>
      <c r="B78" s="397">
        <v>8403195265</v>
      </c>
      <c r="C78" s="397" t="s">
        <v>887</v>
      </c>
      <c r="D78" s="398">
        <v>28268</v>
      </c>
      <c r="E78" s="397" t="s">
        <v>762</v>
      </c>
      <c r="F78" s="397" t="s">
        <v>763</v>
      </c>
      <c r="G78" s="397" t="s">
        <v>768</v>
      </c>
      <c r="H78" s="423">
        <v>2410</v>
      </c>
      <c r="I78" s="397" t="s">
        <v>366</v>
      </c>
      <c r="J78" s="400">
        <f t="shared" ca="1" si="1"/>
        <v>46</v>
      </c>
    </row>
    <row r="79" spans="1:10" ht="15" x14ac:dyDescent="0.25">
      <c r="A79" s="397">
        <v>10000137</v>
      </c>
      <c r="B79" s="397">
        <v>8368651034</v>
      </c>
      <c r="C79" s="397" t="s">
        <v>888</v>
      </c>
      <c r="D79" s="398">
        <v>24814</v>
      </c>
      <c r="E79" s="397" t="s">
        <v>774</v>
      </c>
      <c r="F79" s="397" t="s">
        <v>775</v>
      </c>
      <c r="G79" s="397" t="s">
        <v>764</v>
      </c>
      <c r="H79" s="423">
        <v>2410</v>
      </c>
      <c r="I79" s="397" t="s">
        <v>366</v>
      </c>
      <c r="J79" s="400">
        <f t="shared" ca="1" si="1"/>
        <v>56</v>
      </c>
    </row>
    <row r="80" spans="1:10" ht="15" x14ac:dyDescent="0.25">
      <c r="A80" s="397">
        <v>10000138</v>
      </c>
      <c r="B80" s="397">
        <v>8365062305</v>
      </c>
      <c r="C80" s="397" t="s">
        <v>889</v>
      </c>
      <c r="D80" s="398">
        <v>24455</v>
      </c>
      <c r="E80" s="397" t="s">
        <v>766</v>
      </c>
      <c r="F80" s="397" t="s">
        <v>767</v>
      </c>
      <c r="G80" s="397" t="s">
        <v>768</v>
      </c>
      <c r="H80" s="423">
        <v>2410</v>
      </c>
      <c r="I80" s="397" t="s">
        <v>366</v>
      </c>
      <c r="J80" s="400">
        <f t="shared" ca="1" si="1"/>
        <v>57</v>
      </c>
    </row>
    <row r="81" spans="1:10" ht="15" x14ac:dyDescent="0.25">
      <c r="A81" s="397">
        <v>10000139</v>
      </c>
      <c r="B81" s="397">
        <v>8369201563</v>
      </c>
      <c r="C81" s="397" t="s">
        <v>890</v>
      </c>
      <c r="D81" s="398">
        <v>24869</v>
      </c>
      <c r="E81" s="397" t="s">
        <v>810</v>
      </c>
      <c r="F81" s="397" t="s">
        <v>811</v>
      </c>
      <c r="G81" s="397" t="s">
        <v>891</v>
      </c>
      <c r="H81" s="423">
        <v>2410</v>
      </c>
      <c r="I81" s="397" t="s">
        <v>366</v>
      </c>
      <c r="J81" s="400">
        <f t="shared" ca="1" si="1"/>
        <v>55</v>
      </c>
    </row>
    <row r="82" spans="1:10" ht="15" x14ac:dyDescent="0.25">
      <c r="A82" s="397">
        <v>10000142</v>
      </c>
      <c r="B82" s="397">
        <v>8373761691</v>
      </c>
      <c r="C82" s="397" t="s">
        <v>892</v>
      </c>
      <c r="D82" s="398">
        <v>25325</v>
      </c>
      <c r="E82" s="397" t="s">
        <v>778</v>
      </c>
      <c r="F82" s="397" t="s">
        <v>779</v>
      </c>
      <c r="G82" s="397" t="s">
        <v>768</v>
      </c>
      <c r="H82" s="423">
        <v>2410</v>
      </c>
      <c r="I82" s="397" t="s">
        <v>366</v>
      </c>
      <c r="J82" s="400">
        <f t="shared" ca="1" si="1"/>
        <v>54</v>
      </c>
    </row>
    <row r="83" spans="1:10" ht="15" x14ac:dyDescent="0.25">
      <c r="A83" s="397">
        <v>10000143</v>
      </c>
      <c r="B83" s="397">
        <v>8395304986</v>
      </c>
      <c r="C83" s="397" t="s">
        <v>893</v>
      </c>
      <c r="D83" s="398">
        <v>27479</v>
      </c>
      <c r="E83" s="397" t="s">
        <v>810</v>
      </c>
      <c r="F83" s="397" t="s">
        <v>811</v>
      </c>
      <c r="G83" s="397" t="s">
        <v>891</v>
      </c>
      <c r="H83" s="423">
        <v>2410</v>
      </c>
      <c r="I83" s="397" t="s">
        <v>366</v>
      </c>
      <c r="J83" s="400">
        <f t="shared" ca="1" si="1"/>
        <v>48</v>
      </c>
    </row>
    <row r="84" spans="1:10" ht="15" x14ac:dyDescent="0.25">
      <c r="A84" s="397">
        <v>10000144</v>
      </c>
      <c r="B84" s="397">
        <v>8401964733</v>
      </c>
      <c r="C84" s="397" t="s">
        <v>894</v>
      </c>
      <c r="D84" s="398">
        <v>28145</v>
      </c>
      <c r="E84" s="397" t="s">
        <v>784</v>
      </c>
      <c r="F84" s="397" t="s">
        <v>785</v>
      </c>
      <c r="G84" s="397" t="s">
        <v>768</v>
      </c>
      <c r="H84" s="423">
        <v>2410</v>
      </c>
      <c r="I84" s="397" t="s">
        <v>366</v>
      </c>
      <c r="J84" s="400">
        <f t="shared" ca="1" si="1"/>
        <v>46</v>
      </c>
    </row>
    <row r="85" spans="1:10" ht="15" x14ac:dyDescent="0.25">
      <c r="A85" s="397">
        <v>10000145</v>
      </c>
      <c r="B85" s="397">
        <v>8408294245</v>
      </c>
      <c r="C85" s="397" t="s">
        <v>895</v>
      </c>
      <c r="D85" s="398">
        <v>28778</v>
      </c>
      <c r="E85" s="397" t="s">
        <v>778</v>
      </c>
      <c r="F85" s="397" t="s">
        <v>779</v>
      </c>
      <c r="G85" s="397" t="s">
        <v>776</v>
      </c>
      <c r="H85" s="423">
        <v>2410</v>
      </c>
      <c r="I85" s="397" t="s">
        <v>366</v>
      </c>
      <c r="J85" s="400">
        <f t="shared" ca="1" si="1"/>
        <v>45</v>
      </c>
    </row>
    <row r="86" spans="1:10" ht="15" x14ac:dyDescent="0.25">
      <c r="A86" s="397">
        <v>10000150</v>
      </c>
      <c r="B86" s="397">
        <v>8349432063</v>
      </c>
      <c r="C86" s="397" t="s">
        <v>896</v>
      </c>
      <c r="D86" s="398">
        <v>22892</v>
      </c>
      <c r="E86" s="397" t="s">
        <v>840</v>
      </c>
      <c r="F86" s="397" t="s">
        <v>841</v>
      </c>
      <c r="G86" s="397" t="s">
        <v>768</v>
      </c>
      <c r="H86" s="423">
        <v>1328</v>
      </c>
      <c r="I86" s="397" t="s">
        <v>295</v>
      </c>
      <c r="J86" s="400">
        <f t="shared" ca="1" si="1"/>
        <v>61</v>
      </c>
    </row>
    <row r="87" spans="1:10" ht="15" x14ac:dyDescent="0.25">
      <c r="A87" s="397">
        <v>10000152</v>
      </c>
      <c r="B87" s="397">
        <v>8404621748</v>
      </c>
      <c r="C87" s="397" t="s">
        <v>897</v>
      </c>
      <c r="D87" s="398">
        <v>28411</v>
      </c>
      <c r="E87" s="397" t="s">
        <v>771</v>
      </c>
      <c r="F87" s="397" t="s">
        <v>772</v>
      </c>
      <c r="G87" s="397" t="s">
        <v>764</v>
      </c>
      <c r="H87" s="423">
        <v>2410</v>
      </c>
      <c r="I87" s="397" t="s">
        <v>366</v>
      </c>
      <c r="J87" s="400">
        <f t="shared" ca="1" si="1"/>
        <v>46</v>
      </c>
    </row>
    <row r="88" spans="1:10" ht="15" x14ac:dyDescent="0.25">
      <c r="A88" s="397">
        <v>10000156</v>
      </c>
      <c r="B88" s="397">
        <v>8413511798</v>
      </c>
      <c r="C88" s="397" t="s">
        <v>898</v>
      </c>
      <c r="D88" s="398">
        <v>29300</v>
      </c>
      <c r="E88" s="397" t="s">
        <v>784</v>
      </c>
      <c r="F88" s="397" t="s">
        <v>785</v>
      </c>
      <c r="G88" s="397" t="s">
        <v>768</v>
      </c>
      <c r="H88" s="423">
        <v>2410</v>
      </c>
      <c r="I88" s="397" t="s">
        <v>366</v>
      </c>
      <c r="J88" s="400">
        <f t="shared" ca="1" si="1"/>
        <v>43</v>
      </c>
    </row>
    <row r="89" spans="1:10" ht="15" x14ac:dyDescent="0.25">
      <c r="A89" s="397">
        <v>10000160</v>
      </c>
      <c r="B89" s="397">
        <v>8400442539</v>
      </c>
      <c r="C89" s="397" t="s">
        <v>899</v>
      </c>
      <c r="D89" s="398">
        <v>27993</v>
      </c>
      <c r="E89" s="397" t="s">
        <v>774</v>
      </c>
      <c r="F89" s="397" t="s">
        <v>775</v>
      </c>
      <c r="G89" s="397" t="s">
        <v>776</v>
      </c>
      <c r="H89" s="423">
        <v>2410</v>
      </c>
      <c r="I89" s="397" t="s">
        <v>366</v>
      </c>
      <c r="J89" s="400">
        <f t="shared" ca="1" si="1"/>
        <v>47</v>
      </c>
    </row>
    <row r="90" spans="1:10" ht="15" x14ac:dyDescent="0.25">
      <c r="A90" s="397">
        <v>10000163</v>
      </c>
      <c r="B90" s="397">
        <v>8372881383</v>
      </c>
      <c r="C90" s="397" t="s">
        <v>900</v>
      </c>
      <c r="D90" s="398">
        <v>25237</v>
      </c>
      <c r="E90" s="397" t="s">
        <v>762</v>
      </c>
      <c r="F90" s="397" t="s">
        <v>763</v>
      </c>
      <c r="G90" s="397" t="s">
        <v>768</v>
      </c>
      <c r="H90" s="423">
        <v>2410</v>
      </c>
      <c r="I90" s="397" t="s">
        <v>366</v>
      </c>
      <c r="J90" s="400">
        <f t="shared" ca="1" si="1"/>
        <v>54</v>
      </c>
    </row>
    <row r="91" spans="1:10" ht="15" x14ac:dyDescent="0.25">
      <c r="A91" s="397">
        <v>10000164</v>
      </c>
      <c r="B91" s="397">
        <v>8324893164</v>
      </c>
      <c r="C91" s="397" t="s">
        <v>901</v>
      </c>
      <c r="D91" s="398">
        <v>20438</v>
      </c>
      <c r="E91" s="397" t="s">
        <v>771</v>
      </c>
      <c r="F91" s="397" t="s">
        <v>772</v>
      </c>
      <c r="G91" s="397" t="s">
        <v>764</v>
      </c>
      <c r="H91" s="423">
        <v>2410</v>
      </c>
      <c r="I91" s="397" t="s">
        <v>366</v>
      </c>
      <c r="J91" s="400">
        <f t="shared" ca="1" si="1"/>
        <v>68</v>
      </c>
    </row>
    <row r="92" spans="1:10" ht="15" x14ac:dyDescent="0.25">
      <c r="A92" s="397">
        <v>10000165</v>
      </c>
      <c r="B92" s="397">
        <v>8417671102</v>
      </c>
      <c r="C92" s="397" t="s">
        <v>115</v>
      </c>
      <c r="D92" s="398">
        <v>29716</v>
      </c>
      <c r="E92" s="397" t="s">
        <v>762</v>
      </c>
      <c r="F92" s="397" t="s">
        <v>763</v>
      </c>
      <c r="G92" s="397" t="s">
        <v>902</v>
      </c>
      <c r="H92" s="423">
        <v>2169</v>
      </c>
      <c r="I92" s="397" t="s">
        <v>346</v>
      </c>
      <c r="J92" s="400">
        <f t="shared" ca="1" si="1"/>
        <v>42</v>
      </c>
    </row>
    <row r="93" spans="1:10" ht="15" x14ac:dyDescent="0.25">
      <c r="A93" s="397">
        <v>10000166</v>
      </c>
      <c r="B93" s="397">
        <v>8354973050</v>
      </c>
      <c r="C93" s="397" t="s">
        <v>903</v>
      </c>
      <c r="D93" s="398">
        <v>23446</v>
      </c>
      <c r="E93" s="397" t="s">
        <v>774</v>
      </c>
      <c r="F93" s="397" t="s">
        <v>775</v>
      </c>
      <c r="G93" s="397" t="s">
        <v>768</v>
      </c>
      <c r="H93" s="423">
        <v>2410</v>
      </c>
      <c r="I93" s="397" t="s">
        <v>366</v>
      </c>
      <c r="J93" s="400">
        <f t="shared" ca="1" si="1"/>
        <v>59</v>
      </c>
    </row>
    <row r="94" spans="1:10" ht="15" x14ac:dyDescent="0.25">
      <c r="A94" s="397">
        <v>10000168</v>
      </c>
      <c r="B94" s="397">
        <v>8393305691</v>
      </c>
      <c r="C94" s="397" t="s">
        <v>904</v>
      </c>
      <c r="D94" s="398">
        <v>27279</v>
      </c>
      <c r="E94" s="397" t="s">
        <v>771</v>
      </c>
      <c r="F94" s="397" t="s">
        <v>772</v>
      </c>
      <c r="G94" s="397" t="s">
        <v>768</v>
      </c>
      <c r="H94" s="423">
        <v>2410</v>
      </c>
      <c r="I94" s="397" t="s">
        <v>366</v>
      </c>
      <c r="J94" s="400">
        <f t="shared" ca="1" si="1"/>
        <v>49</v>
      </c>
    </row>
    <row r="95" spans="1:10" ht="15" x14ac:dyDescent="0.25">
      <c r="A95" s="397">
        <v>10000169</v>
      </c>
      <c r="B95" s="397">
        <v>8390182424</v>
      </c>
      <c r="C95" s="397" t="s">
        <v>905</v>
      </c>
      <c r="D95" s="398">
        <v>26967</v>
      </c>
      <c r="E95" s="397" t="s">
        <v>781</v>
      </c>
      <c r="F95" s="397" t="s">
        <v>782</v>
      </c>
      <c r="G95" s="397" t="s">
        <v>776</v>
      </c>
      <c r="H95" s="423">
        <v>2410</v>
      </c>
      <c r="I95" s="397" t="s">
        <v>366</v>
      </c>
      <c r="J95" s="400">
        <f t="shared" ca="1" si="1"/>
        <v>50</v>
      </c>
    </row>
    <row r="96" spans="1:10" ht="15" x14ac:dyDescent="0.25">
      <c r="A96" s="397">
        <v>10000172</v>
      </c>
      <c r="B96" s="397">
        <v>8350662190</v>
      </c>
      <c r="C96" s="397" t="s">
        <v>906</v>
      </c>
      <c r="D96" s="398">
        <v>23015</v>
      </c>
      <c r="E96" s="397" t="s">
        <v>774</v>
      </c>
      <c r="F96" s="397" t="s">
        <v>775</v>
      </c>
      <c r="G96" s="397" t="s">
        <v>768</v>
      </c>
      <c r="H96" s="423">
        <v>2410</v>
      </c>
      <c r="I96" s="397" t="s">
        <v>366</v>
      </c>
      <c r="J96" s="400">
        <f t="shared" ca="1" si="1"/>
        <v>60</v>
      </c>
    </row>
    <row r="97" spans="1:10" ht="15" x14ac:dyDescent="0.25">
      <c r="A97" s="397">
        <v>10000173</v>
      </c>
      <c r="B97" s="397">
        <v>8363851310</v>
      </c>
      <c r="C97" s="397" t="s">
        <v>907</v>
      </c>
      <c r="D97" s="398">
        <v>24334</v>
      </c>
      <c r="E97" s="397" t="s">
        <v>840</v>
      </c>
      <c r="F97" s="397" t="s">
        <v>841</v>
      </c>
      <c r="G97" s="397" t="s">
        <v>768</v>
      </c>
      <c r="H97" s="423">
        <v>2410</v>
      </c>
      <c r="I97" s="397" t="s">
        <v>366</v>
      </c>
      <c r="J97" s="400">
        <f t="shared" ca="1" si="1"/>
        <v>57</v>
      </c>
    </row>
    <row r="98" spans="1:10" ht="15" x14ac:dyDescent="0.25">
      <c r="A98" s="397">
        <v>10000174</v>
      </c>
      <c r="B98" s="397">
        <v>8422512769</v>
      </c>
      <c r="C98" s="397" t="s">
        <v>908</v>
      </c>
      <c r="D98" s="398">
        <v>30200</v>
      </c>
      <c r="E98" s="397" t="s">
        <v>858</v>
      </c>
      <c r="F98" s="397" t="s">
        <v>859</v>
      </c>
      <c r="G98" s="397" t="s">
        <v>768</v>
      </c>
      <c r="H98" s="423">
        <v>2410</v>
      </c>
      <c r="I98" s="397" t="s">
        <v>366</v>
      </c>
      <c r="J98" s="400">
        <f t="shared" ca="1" si="1"/>
        <v>41</v>
      </c>
    </row>
    <row r="99" spans="1:10" ht="15" x14ac:dyDescent="0.25">
      <c r="A99" s="397">
        <v>10000176</v>
      </c>
      <c r="B99" s="397">
        <v>8395913354</v>
      </c>
      <c r="C99" s="397" t="s">
        <v>909</v>
      </c>
      <c r="D99" s="398">
        <v>27540</v>
      </c>
      <c r="E99" s="397" t="s">
        <v>762</v>
      </c>
      <c r="F99" s="397" t="s">
        <v>763</v>
      </c>
      <c r="G99" s="397" t="s">
        <v>768</v>
      </c>
      <c r="H99" s="423">
        <v>1328</v>
      </c>
      <c r="I99" s="397" t="s">
        <v>295</v>
      </c>
      <c r="J99" s="400">
        <f t="shared" ca="1" si="1"/>
        <v>48</v>
      </c>
    </row>
    <row r="100" spans="1:10" ht="15" x14ac:dyDescent="0.25">
      <c r="A100" s="397">
        <v>10000177</v>
      </c>
      <c r="B100" s="397">
        <v>8353533073</v>
      </c>
      <c r="C100" s="397" t="s">
        <v>910</v>
      </c>
      <c r="D100" s="398">
        <v>23302</v>
      </c>
      <c r="E100" s="397" t="s">
        <v>784</v>
      </c>
      <c r="F100" s="397" t="s">
        <v>785</v>
      </c>
      <c r="G100" s="397" t="s">
        <v>768</v>
      </c>
      <c r="H100" s="423">
        <v>2410</v>
      </c>
      <c r="I100" s="397" t="s">
        <v>366</v>
      </c>
      <c r="J100" s="400">
        <f t="shared" ca="1" si="1"/>
        <v>60</v>
      </c>
    </row>
    <row r="101" spans="1:10" ht="15" x14ac:dyDescent="0.25">
      <c r="A101" s="397">
        <v>10000178</v>
      </c>
      <c r="B101" s="397">
        <v>8393375789</v>
      </c>
      <c r="C101" s="397" t="s">
        <v>911</v>
      </c>
      <c r="D101" s="398">
        <v>27286</v>
      </c>
      <c r="E101" s="397" t="s">
        <v>766</v>
      </c>
      <c r="F101" s="397" t="s">
        <v>767</v>
      </c>
      <c r="G101" s="397" t="s">
        <v>776</v>
      </c>
      <c r="H101" s="423">
        <v>2410</v>
      </c>
      <c r="I101" s="397" t="s">
        <v>366</v>
      </c>
      <c r="J101" s="400">
        <f t="shared" ca="1" si="1"/>
        <v>49</v>
      </c>
    </row>
    <row r="102" spans="1:10" ht="15" x14ac:dyDescent="0.25">
      <c r="A102" s="397">
        <v>10000180</v>
      </c>
      <c r="B102" s="397">
        <v>8439630735</v>
      </c>
      <c r="C102" s="397" t="s">
        <v>912</v>
      </c>
      <c r="D102" s="398">
        <v>31912</v>
      </c>
      <c r="E102" s="397" t="s">
        <v>774</v>
      </c>
      <c r="F102" s="397" t="s">
        <v>775</v>
      </c>
      <c r="G102" s="397" t="s">
        <v>776</v>
      </c>
      <c r="H102" s="423">
        <v>2410</v>
      </c>
      <c r="I102" s="397" t="s">
        <v>366</v>
      </c>
      <c r="J102" s="400">
        <f t="shared" ca="1" si="1"/>
        <v>36</v>
      </c>
    </row>
    <row r="103" spans="1:10" ht="15" x14ac:dyDescent="0.25">
      <c r="A103" s="397">
        <v>10000182</v>
      </c>
      <c r="B103" s="397">
        <v>8344203074</v>
      </c>
      <c r="C103" s="397" t="s">
        <v>913</v>
      </c>
      <c r="D103" s="398">
        <v>22369</v>
      </c>
      <c r="E103" s="397" t="s">
        <v>781</v>
      </c>
      <c r="F103" s="397" t="s">
        <v>782</v>
      </c>
      <c r="G103" s="397" t="s">
        <v>768</v>
      </c>
      <c r="H103" s="423">
        <v>1328</v>
      </c>
      <c r="I103" s="397" t="s">
        <v>295</v>
      </c>
      <c r="J103" s="400">
        <f t="shared" ca="1" si="1"/>
        <v>62</v>
      </c>
    </row>
    <row r="104" spans="1:10" ht="15" x14ac:dyDescent="0.25">
      <c r="A104" s="397">
        <v>10000183</v>
      </c>
      <c r="B104" s="397">
        <v>8324113819</v>
      </c>
      <c r="C104" s="397" t="s">
        <v>914</v>
      </c>
      <c r="D104" s="398">
        <v>20360</v>
      </c>
      <c r="E104" s="397" t="s">
        <v>774</v>
      </c>
      <c r="F104" s="397" t="s">
        <v>775</v>
      </c>
      <c r="G104" s="397" t="s">
        <v>764</v>
      </c>
      <c r="H104" s="423">
        <v>2410</v>
      </c>
      <c r="I104" s="397" t="s">
        <v>366</v>
      </c>
      <c r="J104" s="400">
        <f t="shared" ca="1" si="1"/>
        <v>68</v>
      </c>
    </row>
    <row r="105" spans="1:10" ht="15" x14ac:dyDescent="0.25">
      <c r="A105" s="397">
        <v>10000184</v>
      </c>
      <c r="B105" s="397">
        <v>8360760632</v>
      </c>
      <c r="C105" s="397" t="s">
        <v>915</v>
      </c>
      <c r="D105" s="398">
        <v>24025</v>
      </c>
      <c r="E105" s="397" t="s">
        <v>774</v>
      </c>
      <c r="F105" s="397" t="s">
        <v>775</v>
      </c>
      <c r="G105" s="397" t="s">
        <v>764</v>
      </c>
      <c r="H105" s="423">
        <v>2410</v>
      </c>
      <c r="I105" s="397" t="s">
        <v>366</v>
      </c>
      <c r="J105" s="400">
        <f t="shared" ca="1" si="1"/>
        <v>58</v>
      </c>
    </row>
    <row r="106" spans="1:10" ht="15" x14ac:dyDescent="0.25">
      <c r="A106" s="397">
        <v>10000187</v>
      </c>
      <c r="B106" s="397">
        <v>8384390509</v>
      </c>
      <c r="C106" s="397" t="s">
        <v>916</v>
      </c>
      <c r="D106" s="398">
        <v>26388</v>
      </c>
      <c r="E106" s="397" t="s">
        <v>833</v>
      </c>
      <c r="F106" s="397" t="s">
        <v>834</v>
      </c>
      <c r="G106" s="397" t="s">
        <v>768</v>
      </c>
      <c r="H106" s="423">
        <v>1328</v>
      </c>
      <c r="I106" s="397" t="s">
        <v>295</v>
      </c>
      <c r="J106" s="400">
        <f t="shared" ca="1" si="1"/>
        <v>51</v>
      </c>
    </row>
    <row r="107" spans="1:10" ht="15" x14ac:dyDescent="0.25">
      <c r="A107" s="397">
        <v>10000188</v>
      </c>
      <c r="B107" s="397">
        <v>8414223338</v>
      </c>
      <c r="C107" s="397" t="s">
        <v>917</v>
      </c>
      <c r="D107" s="398">
        <v>29371</v>
      </c>
      <c r="E107" s="397" t="s">
        <v>918</v>
      </c>
      <c r="F107" s="397" t="s">
        <v>919</v>
      </c>
      <c r="G107" s="397" t="s">
        <v>768</v>
      </c>
      <c r="H107" s="423">
        <v>1328</v>
      </c>
      <c r="I107" s="397" t="s">
        <v>295</v>
      </c>
      <c r="J107" s="400">
        <f t="shared" ca="1" si="1"/>
        <v>43</v>
      </c>
    </row>
    <row r="108" spans="1:10" ht="15" x14ac:dyDescent="0.25">
      <c r="A108" s="397">
        <v>10000190</v>
      </c>
      <c r="B108" s="397">
        <v>8402144543</v>
      </c>
      <c r="C108" s="397" t="s">
        <v>920</v>
      </c>
      <c r="D108" s="398">
        <v>28163</v>
      </c>
      <c r="E108" s="397" t="s">
        <v>833</v>
      </c>
      <c r="F108" s="397" t="s">
        <v>834</v>
      </c>
      <c r="G108" s="397" t="s">
        <v>768</v>
      </c>
      <c r="H108" s="423">
        <v>2410</v>
      </c>
      <c r="I108" s="397" t="s">
        <v>366</v>
      </c>
      <c r="J108" s="400">
        <f t="shared" ca="1" si="1"/>
        <v>46</v>
      </c>
    </row>
    <row r="109" spans="1:10" ht="15" x14ac:dyDescent="0.25">
      <c r="A109" s="397">
        <v>10000191</v>
      </c>
      <c r="B109" s="397">
        <v>8412140524</v>
      </c>
      <c r="C109" s="397" t="s">
        <v>921</v>
      </c>
      <c r="D109" s="398">
        <v>29163</v>
      </c>
      <c r="E109" s="397" t="s">
        <v>810</v>
      </c>
      <c r="F109" s="397" t="s">
        <v>811</v>
      </c>
      <c r="G109" s="397" t="s">
        <v>768</v>
      </c>
      <c r="H109" s="423">
        <v>2410</v>
      </c>
      <c r="I109" s="397" t="s">
        <v>366</v>
      </c>
      <c r="J109" s="400">
        <f t="shared" ca="1" si="1"/>
        <v>44</v>
      </c>
    </row>
    <row r="110" spans="1:10" ht="15" x14ac:dyDescent="0.25">
      <c r="A110" s="397">
        <v>10000193</v>
      </c>
      <c r="B110" s="397">
        <v>8311924805</v>
      </c>
      <c r="C110" s="397" t="s">
        <v>922</v>
      </c>
      <c r="D110" s="398">
        <v>19141</v>
      </c>
      <c r="E110" s="397" t="s">
        <v>784</v>
      </c>
      <c r="F110" s="397" t="s">
        <v>785</v>
      </c>
      <c r="G110" s="397" t="s">
        <v>764</v>
      </c>
      <c r="H110" s="423">
        <v>2410</v>
      </c>
      <c r="I110" s="397" t="s">
        <v>366</v>
      </c>
      <c r="J110" s="400">
        <f t="shared" ca="1" si="1"/>
        <v>71</v>
      </c>
    </row>
    <row r="111" spans="1:10" ht="15" x14ac:dyDescent="0.25">
      <c r="A111" s="397">
        <v>10000195</v>
      </c>
      <c r="B111" s="397">
        <v>8433111051</v>
      </c>
      <c r="C111" s="397" t="s">
        <v>923</v>
      </c>
      <c r="D111" s="398">
        <v>31260</v>
      </c>
      <c r="E111" s="397" t="s">
        <v>840</v>
      </c>
      <c r="F111" s="397" t="s">
        <v>841</v>
      </c>
      <c r="G111" s="397" t="s">
        <v>776</v>
      </c>
      <c r="H111" s="423">
        <v>2410</v>
      </c>
      <c r="I111" s="397" t="s">
        <v>366</v>
      </c>
      <c r="J111" s="400">
        <f t="shared" ca="1" si="1"/>
        <v>38</v>
      </c>
    </row>
    <row r="112" spans="1:10" ht="15" x14ac:dyDescent="0.25">
      <c r="A112" s="397">
        <v>10000197</v>
      </c>
      <c r="B112" s="397">
        <v>8440682115</v>
      </c>
      <c r="C112" s="397" t="s">
        <v>924</v>
      </c>
      <c r="D112" s="398">
        <v>32017</v>
      </c>
      <c r="E112" s="397" t="s">
        <v>918</v>
      </c>
      <c r="F112" s="397" t="s">
        <v>919</v>
      </c>
      <c r="G112" s="397" t="s">
        <v>925</v>
      </c>
      <c r="H112" s="423">
        <v>2410</v>
      </c>
      <c r="I112" s="397" t="s">
        <v>366</v>
      </c>
      <c r="J112" s="400">
        <f t="shared" ca="1" si="1"/>
        <v>36</v>
      </c>
    </row>
    <row r="113" spans="1:10" ht="15" x14ac:dyDescent="0.25">
      <c r="A113" s="397">
        <v>10000198</v>
      </c>
      <c r="B113" s="397">
        <v>8349842210</v>
      </c>
      <c r="C113" s="397" t="s">
        <v>926</v>
      </c>
      <c r="D113" s="398">
        <v>22933</v>
      </c>
      <c r="E113" s="397" t="s">
        <v>781</v>
      </c>
      <c r="F113" s="397" t="s">
        <v>782</v>
      </c>
      <c r="G113" s="397" t="s">
        <v>768</v>
      </c>
      <c r="H113" s="423">
        <v>2410</v>
      </c>
      <c r="I113" s="397" t="s">
        <v>366</v>
      </c>
      <c r="J113" s="400">
        <f t="shared" ca="1" si="1"/>
        <v>61</v>
      </c>
    </row>
    <row r="114" spans="1:10" ht="15" x14ac:dyDescent="0.25">
      <c r="A114" s="397">
        <v>10000199</v>
      </c>
      <c r="B114" s="397">
        <v>8356021898</v>
      </c>
      <c r="C114" s="397" t="s">
        <v>927</v>
      </c>
      <c r="D114" s="398">
        <v>23551</v>
      </c>
      <c r="E114" s="397" t="s">
        <v>781</v>
      </c>
      <c r="F114" s="397" t="s">
        <v>782</v>
      </c>
      <c r="G114" s="397" t="s">
        <v>768</v>
      </c>
      <c r="H114" s="423">
        <v>2410</v>
      </c>
      <c r="I114" s="397" t="s">
        <v>366</v>
      </c>
      <c r="J114" s="400">
        <f t="shared" ca="1" si="1"/>
        <v>59</v>
      </c>
    </row>
    <row r="115" spans="1:10" ht="15" x14ac:dyDescent="0.25">
      <c r="A115" s="397">
        <v>10000200</v>
      </c>
      <c r="B115" s="397">
        <v>8405472754</v>
      </c>
      <c r="C115" s="397" t="s">
        <v>928</v>
      </c>
      <c r="D115" s="398">
        <v>28496</v>
      </c>
      <c r="E115" s="397" t="s">
        <v>795</v>
      </c>
      <c r="F115" s="397" t="s">
        <v>796</v>
      </c>
      <c r="G115" s="397" t="s">
        <v>768</v>
      </c>
      <c r="H115" s="423">
        <v>2410</v>
      </c>
      <c r="I115" s="397" t="s">
        <v>366</v>
      </c>
      <c r="J115" s="400">
        <f t="shared" ca="1" si="1"/>
        <v>45</v>
      </c>
    </row>
    <row r="116" spans="1:10" ht="15" x14ac:dyDescent="0.25">
      <c r="A116" s="397">
        <v>10000201</v>
      </c>
      <c r="B116" s="397">
        <v>8319363632</v>
      </c>
      <c r="C116" s="397" t="s">
        <v>929</v>
      </c>
      <c r="D116" s="398">
        <v>19885</v>
      </c>
      <c r="E116" s="397" t="s">
        <v>883</v>
      </c>
      <c r="F116" s="397" t="s">
        <v>884</v>
      </c>
      <c r="G116" s="397" t="s">
        <v>764</v>
      </c>
      <c r="H116" s="423">
        <v>2410</v>
      </c>
      <c r="I116" s="397" t="s">
        <v>366</v>
      </c>
      <c r="J116" s="400">
        <f t="shared" ca="1" si="1"/>
        <v>69</v>
      </c>
    </row>
    <row r="117" spans="1:10" ht="15" x14ac:dyDescent="0.25">
      <c r="A117" s="397">
        <v>10000202</v>
      </c>
      <c r="B117" s="397">
        <v>8356902746</v>
      </c>
      <c r="C117" s="397" t="s">
        <v>930</v>
      </c>
      <c r="D117" s="398">
        <v>23639</v>
      </c>
      <c r="E117" s="397" t="s">
        <v>778</v>
      </c>
      <c r="F117" s="397" t="s">
        <v>779</v>
      </c>
      <c r="G117" s="397" t="s">
        <v>764</v>
      </c>
      <c r="H117" s="423">
        <v>1328</v>
      </c>
      <c r="I117" s="397" t="s">
        <v>295</v>
      </c>
      <c r="J117" s="400">
        <f t="shared" ca="1" si="1"/>
        <v>59</v>
      </c>
    </row>
    <row r="118" spans="1:10" ht="15" x14ac:dyDescent="0.25">
      <c r="A118" s="397">
        <v>10000203</v>
      </c>
      <c r="B118" s="397">
        <v>8407302430</v>
      </c>
      <c r="C118" s="397" t="s">
        <v>931</v>
      </c>
      <c r="D118" s="398">
        <v>28679</v>
      </c>
      <c r="E118" s="397" t="s">
        <v>833</v>
      </c>
      <c r="F118" s="397" t="s">
        <v>834</v>
      </c>
      <c r="G118" s="397" t="s">
        <v>768</v>
      </c>
      <c r="H118" s="423">
        <v>1328</v>
      </c>
      <c r="I118" s="397" t="s">
        <v>295</v>
      </c>
      <c r="J118" s="400">
        <f t="shared" ca="1" si="1"/>
        <v>45</v>
      </c>
    </row>
    <row r="119" spans="1:10" ht="15" x14ac:dyDescent="0.25">
      <c r="A119" s="397">
        <v>10000207</v>
      </c>
      <c r="B119" s="397">
        <v>8326653225</v>
      </c>
      <c r="C119" s="397" t="s">
        <v>932</v>
      </c>
      <c r="D119" s="398">
        <v>20614</v>
      </c>
      <c r="E119" s="397" t="s">
        <v>883</v>
      </c>
      <c r="F119" s="397" t="s">
        <v>884</v>
      </c>
      <c r="G119" s="397" t="s">
        <v>768</v>
      </c>
      <c r="H119" s="423">
        <v>2410</v>
      </c>
      <c r="I119" s="397" t="s">
        <v>366</v>
      </c>
      <c r="J119" s="400">
        <f t="shared" ca="1" si="1"/>
        <v>67</v>
      </c>
    </row>
    <row r="120" spans="1:10" ht="15" x14ac:dyDescent="0.25">
      <c r="A120" s="397">
        <v>10000208</v>
      </c>
      <c r="B120" s="397">
        <v>8440712316</v>
      </c>
      <c r="C120" s="397" t="s">
        <v>933</v>
      </c>
      <c r="D120" s="398">
        <v>32020</v>
      </c>
      <c r="E120" s="397" t="s">
        <v>762</v>
      </c>
      <c r="F120" s="397" t="s">
        <v>763</v>
      </c>
      <c r="G120" s="397" t="s">
        <v>776</v>
      </c>
      <c r="H120" s="423">
        <v>2410</v>
      </c>
      <c r="I120" s="397" t="s">
        <v>366</v>
      </c>
      <c r="J120" s="400">
        <f t="shared" ca="1" si="1"/>
        <v>36</v>
      </c>
    </row>
    <row r="121" spans="1:10" ht="15" x14ac:dyDescent="0.25">
      <c r="A121" s="397">
        <v>10000209</v>
      </c>
      <c r="B121" s="397">
        <v>8348782737</v>
      </c>
      <c r="C121" s="397" t="s">
        <v>934</v>
      </c>
      <c r="D121" s="398">
        <v>22827</v>
      </c>
      <c r="E121" s="397" t="s">
        <v>762</v>
      </c>
      <c r="F121" s="397" t="s">
        <v>763</v>
      </c>
      <c r="G121" s="397" t="s">
        <v>768</v>
      </c>
      <c r="H121" s="423">
        <v>2410</v>
      </c>
      <c r="I121" s="397" t="s">
        <v>366</v>
      </c>
      <c r="J121" s="400">
        <f t="shared" ca="1" si="1"/>
        <v>61</v>
      </c>
    </row>
    <row r="122" spans="1:10" ht="15" x14ac:dyDescent="0.25">
      <c r="A122" s="397">
        <v>10000213</v>
      </c>
      <c r="B122" s="397">
        <v>8341813394</v>
      </c>
      <c r="C122" s="397" t="s">
        <v>935</v>
      </c>
      <c r="D122" s="398">
        <v>22130</v>
      </c>
      <c r="E122" s="397" t="s">
        <v>784</v>
      </c>
      <c r="F122" s="397" t="s">
        <v>785</v>
      </c>
      <c r="G122" s="397" t="s">
        <v>764</v>
      </c>
      <c r="H122" s="423">
        <v>1328</v>
      </c>
      <c r="I122" s="397" t="s">
        <v>295</v>
      </c>
      <c r="J122" s="400">
        <f t="shared" ca="1" si="1"/>
        <v>63</v>
      </c>
    </row>
    <row r="123" spans="1:10" ht="15" x14ac:dyDescent="0.25">
      <c r="A123" s="397">
        <v>10000214</v>
      </c>
      <c r="B123" s="397">
        <v>8399760935</v>
      </c>
      <c r="C123" s="397" t="s">
        <v>936</v>
      </c>
      <c r="D123" s="398">
        <v>27925</v>
      </c>
      <c r="E123" s="397" t="s">
        <v>762</v>
      </c>
      <c r="F123" s="397" t="s">
        <v>763</v>
      </c>
      <c r="G123" s="397" t="s">
        <v>768</v>
      </c>
      <c r="H123" s="423">
        <v>2410</v>
      </c>
      <c r="I123" s="397" t="s">
        <v>366</v>
      </c>
      <c r="J123" s="400">
        <f t="shared" ca="1" si="1"/>
        <v>47</v>
      </c>
    </row>
    <row r="124" spans="1:10" ht="15" x14ac:dyDescent="0.25">
      <c r="A124" s="397">
        <v>10000215</v>
      </c>
      <c r="B124" s="397">
        <v>8352692267</v>
      </c>
      <c r="C124" s="397" t="s">
        <v>937</v>
      </c>
      <c r="D124" s="398">
        <v>23218</v>
      </c>
      <c r="E124" s="397" t="s">
        <v>774</v>
      </c>
      <c r="F124" s="397" t="s">
        <v>775</v>
      </c>
      <c r="G124" s="397" t="s">
        <v>768</v>
      </c>
      <c r="H124" s="423">
        <v>2410</v>
      </c>
      <c r="I124" s="397" t="s">
        <v>366</v>
      </c>
      <c r="J124" s="400">
        <f t="shared" ca="1" si="1"/>
        <v>60</v>
      </c>
    </row>
    <row r="125" spans="1:10" ht="15" x14ac:dyDescent="0.25">
      <c r="A125" s="397">
        <v>10000216</v>
      </c>
      <c r="B125" s="397">
        <v>8415163150</v>
      </c>
      <c r="C125" s="397" t="s">
        <v>938</v>
      </c>
      <c r="D125" s="398">
        <v>29465</v>
      </c>
      <c r="E125" s="397" t="s">
        <v>792</v>
      </c>
      <c r="F125" s="397" t="s">
        <v>793</v>
      </c>
      <c r="G125" s="397" t="s">
        <v>768</v>
      </c>
      <c r="H125" s="423">
        <v>1328</v>
      </c>
      <c r="I125" s="397" t="s">
        <v>295</v>
      </c>
      <c r="J125" s="400">
        <f t="shared" ca="1" si="1"/>
        <v>43</v>
      </c>
    </row>
    <row r="126" spans="1:10" ht="15" x14ac:dyDescent="0.25">
      <c r="A126" s="397">
        <v>10000217</v>
      </c>
      <c r="B126" s="397">
        <v>8353332485</v>
      </c>
      <c r="C126" s="397" t="s">
        <v>118</v>
      </c>
      <c r="D126" s="398">
        <v>23282</v>
      </c>
      <c r="E126" s="397" t="s">
        <v>762</v>
      </c>
      <c r="F126" s="397" t="s">
        <v>763</v>
      </c>
      <c r="G126" s="397" t="s">
        <v>768</v>
      </c>
      <c r="H126" s="423">
        <v>1328</v>
      </c>
      <c r="I126" s="397" t="s">
        <v>295</v>
      </c>
      <c r="J126" s="400">
        <f t="shared" ca="1" si="1"/>
        <v>60</v>
      </c>
    </row>
    <row r="127" spans="1:10" ht="15" x14ac:dyDescent="0.25">
      <c r="A127" s="397">
        <v>10000220</v>
      </c>
      <c r="B127" s="397">
        <v>8362763639</v>
      </c>
      <c r="C127" s="397" t="s">
        <v>939</v>
      </c>
      <c r="D127" s="398">
        <v>24225</v>
      </c>
      <c r="E127" s="397" t="s">
        <v>778</v>
      </c>
      <c r="F127" s="397" t="s">
        <v>779</v>
      </c>
      <c r="G127" s="397" t="s">
        <v>768</v>
      </c>
      <c r="H127" s="423">
        <v>2410</v>
      </c>
      <c r="I127" s="397" t="s">
        <v>366</v>
      </c>
      <c r="J127" s="400">
        <f t="shared" ca="1" si="1"/>
        <v>57</v>
      </c>
    </row>
    <row r="128" spans="1:10" ht="15" x14ac:dyDescent="0.25">
      <c r="A128" s="397">
        <v>10000221</v>
      </c>
      <c r="B128" s="397">
        <v>8403762941</v>
      </c>
      <c r="C128" s="397" t="s">
        <v>940</v>
      </c>
      <c r="D128" s="398">
        <v>28325</v>
      </c>
      <c r="E128" s="397" t="s">
        <v>771</v>
      </c>
      <c r="F128" s="397" t="s">
        <v>772</v>
      </c>
      <c r="G128" s="397" t="s">
        <v>768</v>
      </c>
      <c r="H128" s="423">
        <v>2410</v>
      </c>
      <c r="I128" s="397" t="s">
        <v>366</v>
      </c>
      <c r="J128" s="400">
        <f t="shared" ca="1" si="1"/>
        <v>46</v>
      </c>
    </row>
    <row r="129" spans="1:10" ht="15" x14ac:dyDescent="0.25">
      <c r="A129" s="397">
        <v>10000222</v>
      </c>
      <c r="B129" s="397">
        <v>8342323544</v>
      </c>
      <c r="C129" s="397" t="s">
        <v>941</v>
      </c>
      <c r="D129" s="398">
        <v>22181</v>
      </c>
      <c r="E129" s="397" t="s">
        <v>846</v>
      </c>
      <c r="F129" s="397" t="s">
        <v>847</v>
      </c>
      <c r="G129" s="397" t="s">
        <v>768</v>
      </c>
      <c r="H129" s="423">
        <v>2410</v>
      </c>
      <c r="I129" s="397" t="s">
        <v>366</v>
      </c>
      <c r="J129" s="400">
        <f t="shared" ca="1" si="1"/>
        <v>63</v>
      </c>
    </row>
    <row r="130" spans="1:10" ht="15" x14ac:dyDescent="0.25">
      <c r="A130" s="397">
        <v>10000223</v>
      </c>
      <c r="B130" s="397">
        <v>8324144846</v>
      </c>
      <c r="C130" s="397" t="s">
        <v>942</v>
      </c>
      <c r="D130" s="398">
        <v>20363</v>
      </c>
      <c r="E130" s="397" t="s">
        <v>774</v>
      </c>
      <c r="F130" s="397" t="s">
        <v>775</v>
      </c>
      <c r="G130" s="397" t="s">
        <v>764</v>
      </c>
      <c r="H130" s="423">
        <v>2410</v>
      </c>
      <c r="I130" s="397" t="s">
        <v>366</v>
      </c>
      <c r="J130" s="400">
        <f t="shared" ca="1" si="1"/>
        <v>68</v>
      </c>
    </row>
    <row r="131" spans="1:10" ht="15" x14ac:dyDescent="0.25">
      <c r="A131" s="397">
        <v>10000226</v>
      </c>
      <c r="B131" s="397">
        <v>8403181604</v>
      </c>
      <c r="C131" s="397" t="s">
        <v>943</v>
      </c>
      <c r="D131" s="398">
        <v>28267</v>
      </c>
      <c r="E131" s="397" t="s">
        <v>833</v>
      </c>
      <c r="F131" s="397" t="s">
        <v>834</v>
      </c>
      <c r="G131" s="397" t="s">
        <v>768</v>
      </c>
      <c r="H131" s="423">
        <v>2410</v>
      </c>
      <c r="I131" s="397" t="s">
        <v>366</v>
      </c>
      <c r="J131" s="400">
        <f t="shared" ref="J131:J194" ca="1" si="2">YEAR(TODAY())-YEAR(D131)</f>
        <v>46</v>
      </c>
    </row>
    <row r="132" spans="1:10" ht="15" x14ac:dyDescent="0.25">
      <c r="A132" s="397">
        <v>10000228</v>
      </c>
      <c r="B132" s="397">
        <v>8410460823</v>
      </c>
      <c r="C132" s="397" t="s">
        <v>944</v>
      </c>
      <c r="D132" s="398">
        <v>28995</v>
      </c>
      <c r="E132" s="397" t="s">
        <v>792</v>
      </c>
      <c r="F132" s="397" t="s">
        <v>793</v>
      </c>
      <c r="G132" s="397" t="s">
        <v>768</v>
      </c>
      <c r="H132" s="423">
        <v>2410</v>
      </c>
      <c r="I132" s="397" t="s">
        <v>366</v>
      </c>
      <c r="J132" s="400">
        <f t="shared" ca="1" si="2"/>
        <v>44</v>
      </c>
    </row>
    <row r="133" spans="1:10" ht="15" x14ac:dyDescent="0.25">
      <c r="A133" s="397">
        <v>10000230</v>
      </c>
      <c r="B133" s="397">
        <v>8421732463</v>
      </c>
      <c r="C133" s="397" t="s">
        <v>945</v>
      </c>
      <c r="D133" s="398">
        <v>30122</v>
      </c>
      <c r="E133" s="397" t="s">
        <v>868</v>
      </c>
      <c r="F133" s="397" t="s">
        <v>869</v>
      </c>
      <c r="G133" s="397" t="s">
        <v>768</v>
      </c>
      <c r="H133" s="423">
        <v>2410</v>
      </c>
      <c r="I133" s="397" t="s">
        <v>366</v>
      </c>
      <c r="J133" s="400">
        <f t="shared" ca="1" si="2"/>
        <v>41</v>
      </c>
    </row>
    <row r="134" spans="1:10" ht="15" x14ac:dyDescent="0.25">
      <c r="A134" s="397">
        <v>10000231</v>
      </c>
      <c r="B134" s="397">
        <v>8350062770</v>
      </c>
      <c r="C134" s="397" t="s">
        <v>946</v>
      </c>
      <c r="D134" s="398">
        <v>22955</v>
      </c>
      <c r="E134" s="397" t="s">
        <v>781</v>
      </c>
      <c r="F134" s="397" t="s">
        <v>782</v>
      </c>
      <c r="G134" s="397" t="s">
        <v>764</v>
      </c>
      <c r="H134" s="423">
        <v>2410</v>
      </c>
      <c r="I134" s="397" t="s">
        <v>366</v>
      </c>
      <c r="J134" s="400">
        <f t="shared" ca="1" si="2"/>
        <v>61</v>
      </c>
    </row>
    <row r="135" spans="1:10" ht="15" x14ac:dyDescent="0.25">
      <c r="A135" s="397">
        <v>10000236</v>
      </c>
      <c r="B135" s="397">
        <v>8351710237</v>
      </c>
      <c r="C135" s="397" t="s">
        <v>947</v>
      </c>
      <c r="D135" s="398">
        <v>23120</v>
      </c>
      <c r="E135" s="397" t="s">
        <v>849</v>
      </c>
      <c r="F135" s="397" t="s">
        <v>850</v>
      </c>
      <c r="G135" s="397" t="s">
        <v>764</v>
      </c>
      <c r="H135" s="423">
        <v>2410</v>
      </c>
      <c r="I135" s="397" t="s">
        <v>366</v>
      </c>
      <c r="J135" s="400">
        <f t="shared" ca="1" si="2"/>
        <v>60</v>
      </c>
    </row>
    <row r="136" spans="1:10" ht="15" x14ac:dyDescent="0.25">
      <c r="A136" s="397">
        <v>10000237</v>
      </c>
      <c r="B136" s="397">
        <v>8395470916</v>
      </c>
      <c r="C136" s="397" t="s">
        <v>948</v>
      </c>
      <c r="D136" s="398">
        <v>27496</v>
      </c>
      <c r="E136" s="397" t="s">
        <v>781</v>
      </c>
      <c r="F136" s="397" t="s">
        <v>782</v>
      </c>
      <c r="G136" s="397" t="s">
        <v>891</v>
      </c>
      <c r="H136" s="423">
        <v>2410</v>
      </c>
      <c r="I136" s="397" t="s">
        <v>366</v>
      </c>
      <c r="J136" s="400">
        <f t="shared" ca="1" si="2"/>
        <v>48</v>
      </c>
    </row>
    <row r="137" spans="1:10" ht="15" x14ac:dyDescent="0.25">
      <c r="A137" s="397">
        <v>10000239</v>
      </c>
      <c r="B137" s="397">
        <v>8338093564</v>
      </c>
      <c r="C137" s="397" t="s">
        <v>949</v>
      </c>
      <c r="D137" s="398">
        <v>21758</v>
      </c>
      <c r="E137" s="397" t="s">
        <v>846</v>
      </c>
      <c r="F137" s="397" t="s">
        <v>847</v>
      </c>
      <c r="G137" s="397" t="s">
        <v>768</v>
      </c>
      <c r="H137" s="423">
        <v>2410</v>
      </c>
      <c r="I137" s="397" t="s">
        <v>366</v>
      </c>
      <c r="J137" s="400">
        <f t="shared" ca="1" si="2"/>
        <v>64</v>
      </c>
    </row>
    <row r="138" spans="1:10" ht="15" x14ac:dyDescent="0.25">
      <c r="A138" s="397">
        <v>10000240</v>
      </c>
      <c r="B138" s="397">
        <v>8400144694</v>
      </c>
      <c r="C138" s="397" t="s">
        <v>950</v>
      </c>
      <c r="D138" s="398">
        <v>27963</v>
      </c>
      <c r="E138" s="397" t="s">
        <v>833</v>
      </c>
      <c r="F138" s="397" t="s">
        <v>834</v>
      </c>
      <c r="G138" s="397" t="s">
        <v>776</v>
      </c>
      <c r="H138" s="423">
        <v>2410</v>
      </c>
      <c r="I138" s="397" t="s">
        <v>366</v>
      </c>
      <c r="J138" s="400">
        <f t="shared" ca="1" si="2"/>
        <v>47</v>
      </c>
    </row>
    <row r="139" spans="1:10" ht="15" x14ac:dyDescent="0.25">
      <c r="A139" s="397">
        <v>10000241</v>
      </c>
      <c r="B139" s="397">
        <v>8395384386</v>
      </c>
      <c r="C139" s="397" t="s">
        <v>951</v>
      </c>
      <c r="D139" s="398">
        <v>27487</v>
      </c>
      <c r="E139" s="397" t="s">
        <v>833</v>
      </c>
      <c r="F139" s="397" t="s">
        <v>834</v>
      </c>
      <c r="G139" s="397" t="s">
        <v>768</v>
      </c>
      <c r="H139" s="423">
        <v>2410</v>
      </c>
      <c r="I139" s="397" t="s">
        <v>366</v>
      </c>
      <c r="J139" s="400">
        <f t="shared" ca="1" si="2"/>
        <v>48</v>
      </c>
    </row>
    <row r="140" spans="1:10" ht="15" x14ac:dyDescent="0.25">
      <c r="A140" s="397">
        <v>10000242</v>
      </c>
      <c r="B140" s="397">
        <v>8424470087</v>
      </c>
      <c r="C140" s="397" t="s">
        <v>952</v>
      </c>
      <c r="D140" s="398">
        <v>30396</v>
      </c>
      <c r="E140" s="397" t="s">
        <v>795</v>
      </c>
      <c r="F140" s="397" t="s">
        <v>796</v>
      </c>
      <c r="G140" s="397" t="s">
        <v>768</v>
      </c>
      <c r="H140" s="423">
        <v>2410</v>
      </c>
      <c r="I140" s="397" t="s">
        <v>366</v>
      </c>
      <c r="J140" s="400">
        <f t="shared" ca="1" si="2"/>
        <v>40</v>
      </c>
    </row>
    <row r="141" spans="1:10" ht="15" x14ac:dyDescent="0.25">
      <c r="A141" s="397">
        <v>10000243</v>
      </c>
      <c r="B141" s="397">
        <v>8361703136</v>
      </c>
      <c r="C141" s="397" t="s">
        <v>953</v>
      </c>
      <c r="D141" s="398">
        <v>24119</v>
      </c>
      <c r="E141" s="397" t="s">
        <v>833</v>
      </c>
      <c r="F141" s="397" t="s">
        <v>834</v>
      </c>
      <c r="G141" s="397" t="s">
        <v>891</v>
      </c>
      <c r="H141" s="423">
        <v>2410</v>
      </c>
      <c r="I141" s="397" t="s">
        <v>366</v>
      </c>
      <c r="J141" s="400">
        <f t="shared" ca="1" si="2"/>
        <v>57</v>
      </c>
    </row>
    <row r="142" spans="1:10" ht="15" x14ac:dyDescent="0.25">
      <c r="A142" s="397">
        <v>10000244</v>
      </c>
      <c r="B142" s="397">
        <v>8342612481</v>
      </c>
      <c r="C142" s="397" t="s">
        <v>954</v>
      </c>
      <c r="D142" s="398">
        <v>22210</v>
      </c>
      <c r="E142" s="397" t="s">
        <v>810</v>
      </c>
      <c r="F142" s="397" t="s">
        <v>811</v>
      </c>
      <c r="G142" s="397" t="s">
        <v>891</v>
      </c>
      <c r="H142" s="423">
        <v>2410</v>
      </c>
      <c r="I142" s="397" t="s">
        <v>366</v>
      </c>
      <c r="J142" s="400">
        <f t="shared" ca="1" si="2"/>
        <v>63</v>
      </c>
    </row>
    <row r="143" spans="1:10" ht="15" x14ac:dyDescent="0.25">
      <c r="A143" s="397">
        <v>10000245</v>
      </c>
      <c r="B143" s="397">
        <v>8418752394</v>
      </c>
      <c r="C143" s="397" t="s">
        <v>955</v>
      </c>
      <c r="D143" s="398">
        <v>29824</v>
      </c>
      <c r="E143" s="397" t="s">
        <v>849</v>
      </c>
      <c r="F143" s="397" t="s">
        <v>850</v>
      </c>
      <c r="G143" s="397" t="s">
        <v>880</v>
      </c>
      <c r="H143" s="423">
        <v>1328</v>
      </c>
      <c r="I143" s="397" t="s">
        <v>295</v>
      </c>
      <c r="J143" s="400">
        <f t="shared" ca="1" si="2"/>
        <v>42</v>
      </c>
    </row>
    <row r="144" spans="1:10" ht="15" x14ac:dyDescent="0.25">
      <c r="A144" s="397">
        <v>10000248</v>
      </c>
      <c r="B144" s="397">
        <v>8382142222</v>
      </c>
      <c r="C144" s="397" t="s">
        <v>956</v>
      </c>
      <c r="D144" s="398">
        <v>26163</v>
      </c>
      <c r="E144" s="397" t="s">
        <v>833</v>
      </c>
      <c r="F144" s="397" t="s">
        <v>834</v>
      </c>
      <c r="G144" s="397" t="s">
        <v>768</v>
      </c>
      <c r="H144" s="423">
        <v>1328</v>
      </c>
      <c r="I144" s="397" t="s">
        <v>295</v>
      </c>
      <c r="J144" s="400">
        <f t="shared" ca="1" si="2"/>
        <v>52</v>
      </c>
    </row>
    <row r="145" spans="1:10" ht="15" x14ac:dyDescent="0.25">
      <c r="A145" s="397">
        <v>10000250</v>
      </c>
      <c r="B145" s="397">
        <v>8414102573</v>
      </c>
      <c r="C145" s="397" t="s">
        <v>957</v>
      </c>
      <c r="D145" s="398">
        <v>29359</v>
      </c>
      <c r="E145" s="397" t="s">
        <v>803</v>
      </c>
      <c r="F145" s="397" t="s">
        <v>804</v>
      </c>
      <c r="G145" s="397" t="s">
        <v>822</v>
      </c>
      <c r="H145" s="423">
        <v>2410</v>
      </c>
      <c r="I145" s="397" t="s">
        <v>366</v>
      </c>
      <c r="J145" s="400">
        <f t="shared" ca="1" si="2"/>
        <v>43</v>
      </c>
    </row>
    <row r="146" spans="1:10" ht="15" x14ac:dyDescent="0.25">
      <c r="A146" s="397">
        <v>10000251</v>
      </c>
      <c r="B146" s="397">
        <v>8438311180</v>
      </c>
      <c r="C146" s="397" t="s">
        <v>958</v>
      </c>
      <c r="D146" s="398">
        <v>31780</v>
      </c>
      <c r="E146" s="397" t="s">
        <v>774</v>
      </c>
      <c r="F146" s="397" t="s">
        <v>775</v>
      </c>
      <c r="G146" s="397" t="s">
        <v>776</v>
      </c>
      <c r="H146" s="423">
        <v>2410</v>
      </c>
      <c r="I146" s="397" t="s">
        <v>366</v>
      </c>
      <c r="J146" s="400">
        <f t="shared" ca="1" si="2"/>
        <v>36</v>
      </c>
    </row>
    <row r="147" spans="1:10" ht="15" x14ac:dyDescent="0.25">
      <c r="A147" s="397">
        <v>10000253</v>
      </c>
      <c r="B147" s="397">
        <v>8338001759</v>
      </c>
      <c r="C147" s="397" t="s">
        <v>959</v>
      </c>
      <c r="D147" s="398">
        <v>21749</v>
      </c>
      <c r="E147" s="397" t="s">
        <v>810</v>
      </c>
      <c r="F147" s="397" t="s">
        <v>811</v>
      </c>
      <c r="G147" s="397" t="s">
        <v>764</v>
      </c>
      <c r="H147" s="423">
        <v>2410</v>
      </c>
      <c r="I147" s="397" t="s">
        <v>366</v>
      </c>
      <c r="J147" s="400">
        <f t="shared" ca="1" si="2"/>
        <v>64</v>
      </c>
    </row>
    <row r="148" spans="1:10" ht="15" x14ac:dyDescent="0.25">
      <c r="A148" s="397">
        <v>10000258</v>
      </c>
      <c r="B148" s="397">
        <v>8353562642</v>
      </c>
      <c r="C148" s="397" t="s">
        <v>960</v>
      </c>
      <c r="D148" s="398">
        <v>23305</v>
      </c>
      <c r="E148" s="397" t="s">
        <v>774</v>
      </c>
      <c r="F148" s="397" t="s">
        <v>775</v>
      </c>
      <c r="G148" s="397" t="s">
        <v>764</v>
      </c>
      <c r="H148" s="423">
        <v>2410</v>
      </c>
      <c r="I148" s="397" t="s">
        <v>366</v>
      </c>
      <c r="J148" s="400">
        <f t="shared" ca="1" si="2"/>
        <v>60</v>
      </c>
    </row>
    <row r="149" spans="1:10" ht="15" x14ac:dyDescent="0.25">
      <c r="A149" s="397">
        <v>10000261</v>
      </c>
      <c r="B149" s="397">
        <v>8410920832</v>
      </c>
      <c r="C149" s="397" t="s">
        <v>961</v>
      </c>
      <c r="D149" s="398">
        <v>29041</v>
      </c>
      <c r="E149" s="397" t="s">
        <v>762</v>
      </c>
      <c r="F149" s="397" t="s">
        <v>763</v>
      </c>
      <c r="G149" s="397" t="s">
        <v>768</v>
      </c>
      <c r="H149" s="423">
        <v>2410</v>
      </c>
      <c r="I149" s="397" t="s">
        <v>366</v>
      </c>
      <c r="J149" s="400">
        <f t="shared" ca="1" si="2"/>
        <v>44</v>
      </c>
    </row>
    <row r="150" spans="1:10" ht="15" x14ac:dyDescent="0.25">
      <c r="A150" s="397">
        <v>10000262</v>
      </c>
      <c r="B150" s="397">
        <v>8411262855</v>
      </c>
      <c r="C150" s="397" t="s">
        <v>962</v>
      </c>
      <c r="D150" s="398">
        <v>29075</v>
      </c>
      <c r="E150" s="397" t="s">
        <v>800</v>
      </c>
      <c r="F150" s="397" t="s">
        <v>801</v>
      </c>
      <c r="G150" s="397" t="s">
        <v>776</v>
      </c>
      <c r="H150" s="423">
        <v>2410</v>
      </c>
      <c r="I150" s="397" t="s">
        <v>366</v>
      </c>
      <c r="J150" s="400">
        <f t="shared" ca="1" si="2"/>
        <v>44</v>
      </c>
    </row>
    <row r="151" spans="1:10" ht="15" x14ac:dyDescent="0.25">
      <c r="A151" s="397">
        <v>10000264</v>
      </c>
      <c r="B151" s="397">
        <v>8409040328</v>
      </c>
      <c r="C151" s="397" t="s">
        <v>963</v>
      </c>
      <c r="D151" s="398">
        <v>28853</v>
      </c>
      <c r="E151" s="397" t="s">
        <v>840</v>
      </c>
      <c r="F151" s="397" t="s">
        <v>841</v>
      </c>
      <c r="G151" s="397" t="s">
        <v>776</v>
      </c>
      <c r="H151" s="423">
        <v>2410</v>
      </c>
      <c r="I151" s="397" t="s">
        <v>366</v>
      </c>
      <c r="J151" s="400">
        <f t="shared" ca="1" si="2"/>
        <v>45</v>
      </c>
    </row>
    <row r="152" spans="1:10" ht="15" x14ac:dyDescent="0.25">
      <c r="A152" s="397">
        <v>10000266</v>
      </c>
      <c r="B152" s="397">
        <v>8354942813</v>
      </c>
      <c r="C152" s="397" t="s">
        <v>964</v>
      </c>
      <c r="D152" s="398">
        <v>23443</v>
      </c>
      <c r="E152" s="397" t="s">
        <v>810</v>
      </c>
      <c r="F152" s="397" t="s">
        <v>811</v>
      </c>
      <c r="G152" s="397" t="s">
        <v>768</v>
      </c>
      <c r="H152" s="423">
        <v>1328</v>
      </c>
      <c r="I152" s="397" t="s">
        <v>295</v>
      </c>
      <c r="J152" s="400">
        <f t="shared" ca="1" si="2"/>
        <v>59</v>
      </c>
    </row>
    <row r="153" spans="1:10" ht="15" x14ac:dyDescent="0.25">
      <c r="A153" s="397">
        <v>10000267</v>
      </c>
      <c r="B153" s="397">
        <v>8411312577</v>
      </c>
      <c r="C153" s="397" t="s">
        <v>965</v>
      </c>
      <c r="D153" s="398">
        <v>29080</v>
      </c>
      <c r="E153" s="397" t="s">
        <v>774</v>
      </c>
      <c r="F153" s="397" t="s">
        <v>775</v>
      </c>
      <c r="G153" s="397" t="s">
        <v>768</v>
      </c>
      <c r="H153" s="423">
        <v>2410</v>
      </c>
      <c r="I153" s="397" t="s">
        <v>366</v>
      </c>
      <c r="J153" s="400">
        <f t="shared" ca="1" si="2"/>
        <v>44</v>
      </c>
    </row>
    <row r="154" spans="1:10" ht="15" x14ac:dyDescent="0.25">
      <c r="A154" s="397">
        <v>10000268</v>
      </c>
      <c r="B154" s="397">
        <v>8405474196</v>
      </c>
      <c r="C154" s="397" t="s">
        <v>966</v>
      </c>
      <c r="D154" s="398">
        <v>28496</v>
      </c>
      <c r="E154" s="397" t="s">
        <v>967</v>
      </c>
      <c r="F154" s="397" t="s">
        <v>968</v>
      </c>
      <c r="G154" s="397" t="s">
        <v>880</v>
      </c>
      <c r="H154" s="423">
        <v>2624</v>
      </c>
      <c r="I154" s="397" t="s">
        <v>401</v>
      </c>
      <c r="J154" s="400">
        <f t="shared" ca="1" si="2"/>
        <v>45</v>
      </c>
    </row>
    <row r="155" spans="1:10" ht="15" x14ac:dyDescent="0.25">
      <c r="A155" s="397">
        <v>10000269</v>
      </c>
      <c r="B155" s="397">
        <v>8413880491</v>
      </c>
      <c r="C155" s="397" t="s">
        <v>969</v>
      </c>
      <c r="D155" s="398">
        <v>29337</v>
      </c>
      <c r="E155" s="397" t="s">
        <v>788</v>
      </c>
      <c r="F155" s="397" t="s">
        <v>789</v>
      </c>
      <c r="G155" s="397" t="s">
        <v>768</v>
      </c>
      <c r="H155" s="423">
        <v>1328</v>
      </c>
      <c r="I155" s="397" t="s">
        <v>295</v>
      </c>
      <c r="J155" s="400">
        <f t="shared" ca="1" si="2"/>
        <v>43</v>
      </c>
    </row>
    <row r="156" spans="1:10" ht="15" x14ac:dyDescent="0.25">
      <c r="A156" s="397">
        <v>10000270</v>
      </c>
      <c r="B156" s="397">
        <v>8382493424</v>
      </c>
      <c r="C156" s="397" t="s">
        <v>970</v>
      </c>
      <c r="D156" s="398">
        <v>26198</v>
      </c>
      <c r="E156" s="397" t="s">
        <v>806</v>
      </c>
      <c r="F156" s="397" t="s">
        <v>807</v>
      </c>
      <c r="G156" s="397" t="s">
        <v>768</v>
      </c>
      <c r="H156" s="423">
        <v>1328</v>
      </c>
      <c r="I156" s="397" t="s">
        <v>295</v>
      </c>
      <c r="J156" s="400">
        <f t="shared" ca="1" si="2"/>
        <v>52</v>
      </c>
    </row>
    <row r="157" spans="1:10" ht="15" x14ac:dyDescent="0.25">
      <c r="A157" s="397">
        <v>10000271</v>
      </c>
      <c r="B157" s="397">
        <v>8421761048</v>
      </c>
      <c r="C157" s="397" t="s">
        <v>971</v>
      </c>
      <c r="D157" s="398">
        <v>30125</v>
      </c>
      <c r="E157" s="397" t="s">
        <v>810</v>
      </c>
      <c r="F157" s="397" t="s">
        <v>811</v>
      </c>
      <c r="G157" s="397" t="s">
        <v>768</v>
      </c>
      <c r="H157" s="423">
        <v>2410</v>
      </c>
      <c r="I157" s="397" t="s">
        <v>366</v>
      </c>
      <c r="J157" s="400">
        <f t="shared" ca="1" si="2"/>
        <v>41</v>
      </c>
    </row>
    <row r="158" spans="1:10" ht="15" x14ac:dyDescent="0.25">
      <c r="A158" s="397">
        <v>10000276</v>
      </c>
      <c r="B158" s="397">
        <v>8349921730</v>
      </c>
      <c r="C158" s="397" t="s">
        <v>972</v>
      </c>
      <c r="D158" s="398">
        <v>22941</v>
      </c>
      <c r="E158" s="397" t="s">
        <v>774</v>
      </c>
      <c r="F158" s="397" t="s">
        <v>775</v>
      </c>
      <c r="G158" s="397" t="s">
        <v>768</v>
      </c>
      <c r="H158" s="423">
        <v>2410</v>
      </c>
      <c r="I158" s="397" t="s">
        <v>366</v>
      </c>
      <c r="J158" s="400">
        <f t="shared" ca="1" si="2"/>
        <v>61</v>
      </c>
    </row>
    <row r="159" spans="1:10" ht="15" x14ac:dyDescent="0.25">
      <c r="A159" s="397">
        <v>10000279</v>
      </c>
      <c r="B159" s="397">
        <v>8325913762</v>
      </c>
      <c r="C159" s="397" t="s">
        <v>973</v>
      </c>
      <c r="D159" s="398">
        <v>20540</v>
      </c>
      <c r="E159" s="397" t="s">
        <v>840</v>
      </c>
      <c r="F159" s="397" t="s">
        <v>841</v>
      </c>
      <c r="G159" s="397" t="s">
        <v>764</v>
      </c>
      <c r="H159" s="423">
        <v>2410</v>
      </c>
      <c r="I159" s="397" t="s">
        <v>366</v>
      </c>
      <c r="J159" s="400">
        <f t="shared" ca="1" si="2"/>
        <v>67</v>
      </c>
    </row>
    <row r="160" spans="1:10" ht="15" x14ac:dyDescent="0.25">
      <c r="A160" s="397">
        <v>10000280</v>
      </c>
      <c r="B160" s="397">
        <v>8441030480</v>
      </c>
      <c r="C160" s="397" t="s">
        <v>974</v>
      </c>
      <c r="D160" s="398">
        <v>32052</v>
      </c>
      <c r="E160" s="397" t="s">
        <v>840</v>
      </c>
      <c r="F160" s="397" t="s">
        <v>841</v>
      </c>
      <c r="G160" s="397" t="s">
        <v>925</v>
      </c>
      <c r="H160" s="423">
        <v>2410</v>
      </c>
      <c r="I160" s="397" t="s">
        <v>366</v>
      </c>
      <c r="J160" s="400">
        <f t="shared" ca="1" si="2"/>
        <v>36</v>
      </c>
    </row>
    <row r="161" spans="1:10" ht="15" x14ac:dyDescent="0.25">
      <c r="A161" s="397">
        <v>10000281</v>
      </c>
      <c r="B161" s="397">
        <v>8341372746</v>
      </c>
      <c r="C161" s="397" t="s">
        <v>975</v>
      </c>
      <c r="D161" s="398">
        <v>22086</v>
      </c>
      <c r="E161" s="397" t="s">
        <v>781</v>
      </c>
      <c r="F161" s="397" t="s">
        <v>782</v>
      </c>
      <c r="G161" s="397" t="s">
        <v>768</v>
      </c>
      <c r="H161" s="423">
        <v>2410</v>
      </c>
      <c r="I161" s="397" t="s">
        <v>366</v>
      </c>
      <c r="J161" s="400">
        <f t="shared" ca="1" si="2"/>
        <v>63</v>
      </c>
    </row>
    <row r="162" spans="1:10" ht="15" x14ac:dyDescent="0.25">
      <c r="A162" s="397">
        <v>10000283</v>
      </c>
      <c r="B162" s="397">
        <v>8371460325</v>
      </c>
      <c r="C162" s="397" t="s">
        <v>976</v>
      </c>
      <c r="D162" s="398">
        <v>25095</v>
      </c>
      <c r="E162" s="397" t="s">
        <v>784</v>
      </c>
      <c r="F162" s="397" t="s">
        <v>785</v>
      </c>
      <c r="G162" s="397" t="s">
        <v>768</v>
      </c>
      <c r="H162" s="423">
        <v>2410</v>
      </c>
      <c r="I162" s="397" t="s">
        <v>366</v>
      </c>
      <c r="J162" s="400">
        <f t="shared" ca="1" si="2"/>
        <v>55</v>
      </c>
    </row>
    <row r="163" spans="1:10" ht="15" x14ac:dyDescent="0.25">
      <c r="A163" s="397">
        <v>10000285</v>
      </c>
      <c r="B163" s="397">
        <v>8381323010</v>
      </c>
      <c r="C163" s="397" t="s">
        <v>977</v>
      </c>
      <c r="D163" s="398">
        <v>26081</v>
      </c>
      <c r="E163" s="397" t="s">
        <v>806</v>
      </c>
      <c r="F163" s="397" t="s">
        <v>807</v>
      </c>
      <c r="G163" s="397" t="s">
        <v>768</v>
      </c>
      <c r="H163" s="423">
        <v>1328</v>
      </c>
      <c r="I163" s="397" t="s">
        <v>295</v>
      </c>
      <c r="J163" s="400">
        <f t="shared" ca="1" si="2"/>
        <v>52</v>
      </c>
    </row>
    <row r="164" spans="1:10" ht="15" x14ac:dyDescent="0.25">
      <c r="A164" s="397">
        <v>10000286</v>
      </c>
      <c r="B164" s="397">
        <v>8396600406</v>
      </c>
      <c r="C164" s="397" t="s">
        <v>978</v>
      </c>
      <c r="D164" s="398">
        <v>27609</v>
      </c>
      <c r="E164" s="397" t="s">
        <v>778</v>
      </c>
      <c r="F164" s="397" t="s">
        <v>779</v>
      </c>
      <c r="G164" s="397" t="s">
        <v>768</v>
      </c>
      <c r="H164" s="423">
        <v>2410</v>
      </c>
      <c r="I164" s="397" t="s">
        <v>366</v>
      </c>
      <c r="J164" s="400">
        <f t="shared" ca="1" si="2"/>
        <v>48</v>
      </c>
    </row>
    <row r="165" spans="1:10" ht="15" x14ac:dyDescent="0.25">
      <c r="A165" s="397">
        <v>10000289</v>
      </c>
      <c r="B165" s="397">
        <v>8327942409</v>
      </c>
      <c r="C165" s="397" t="s">
        <v>979</v>
      </c>
      <c r="D165" s="398">
        <v>20743</v>
      </c>
      <c r="E165" s="397" t="s">
        <v>833</v>
      </c>
      <c r="F165" s="397" t="s">
        <v>834</v>
      </c>
      <c r="G165" s="397" t="s">
        <v>768</v>
      </c>
      <c r="H165" s="423">
        <v>2410</v>
      </c>
      <c r="I165" s="397" t="s">
        <v>366</v>
      </c>
      <c r="J165" s="400">
        <f t="shared" ca="1" si="2"/>
        <v>67</v>
      </c>
    </row>
    <row r="166" spans="1:10" ht="15" x14ac:dyDescent="0.25">
      <c r="A166" s="397">
        <v>10000290</v>
      </c>
      <c r="B166" s="397">
        <v>8386243686</v>
      </c>
      <c r="C166" s="397" t="s">
        <v>980</v>
      </c>
      <c r="D166" s="398">
        <v>26573</v>
      </c>
      <c r="E166" s="397" t="s">
        <v>810</v>
      </c>
      <c r="F166" s="397" t="s">
        <v>811</v>
      </c>
      <c r="G166" s="397" t="s">
        <v>768</v>
      </c>
      <c r="H166" s="423">
        <v>2410</v>
      </c>
      <c r="I166" s="397" t="s">
        <v>366</v>
      </c>
      <c r="J166" s="400">
        <f t="shared" ca="1" si="2"/>
        <v>51</v>
      </c>
    </row>
    <row r="167" spans="1:10" ht="15" x14ac:dyDescent="0.25">
      <c r="A167" s="397">
        <v>10000292</v>
      </c>
      <c r="B167" s="397">
        <v>8439201346</v>
      </c>
      <c r="C167" s="397" t="s">
        <v>981</v>
      </c>
      <c r="D167" s="398">
        <v>31869</v>
      </c>
      <c r="E167" s="397" t="s">
        <v>762</v>
      </c>
      <c r="F167" s="397" t="s">
        <v>763</v>
      </c>
      <c r="G167" s="397" t="s">
        <v>768</v>
      </c>
      <c r="H167" s="423">
        <v>2410</v>
      </c>
      <c r="I167" s="397" t="s">
        <v>366</v>
      </c>
      <c r="J167" s="400">
        <f t="shared" ca="1" si="2"/>
        <v>36</v>
      </c>
    </row>
    <row r="168" spans="1:10" ht="15" x14ac:dyDescent="0.25">
      <c r="A168" s="397">
        <v>10000294</v>
      </c>
      <c r="B168" s="397">
        <v>8403263651</v>
      </c>
      <c r="C168" s="397" t="s">
        <v>982</v>
      </c>
      <c r="D168" s="398">
        <v>28275</v>
      </c>
      <c r="E168" s="397" t="s">
        <v>788</v>
      </c>
      <c r="F168" s="397" t="s">
        <v>789</v>
      </c>
      <c r="G168" s="397" t="s">
        <v>776</v>
      </c>
      <c r="H168" s="423">
        <v>2410</v>
      </c>
      <c r="I168" s="397" t="s">
        <v>366</v>
      </c>
      <c r="J168" s="400">
        <f t="shared" ca="1" si="2"/>
        <v>46</v>
      </c>
    </row>
    <row r="169" spans="1:10" ht="15" x14ac:dyDescent="0.25">
      <c r="A169" s="397">
        <v>10000296</v>
      </c>
      <c r="B169" s="397">
        <v>8325703113</v>
      </c>
      <c r="C169" s="397" t="s">
        <v>983</v>
      </c>
      <c r="D169" s="398">
        <v>20519</v>
      </c>
      <c r="E169" s="397" t="s">
        <v>771</v>
      </c>
      <c r="F169" s="397" t="s">
        <v>772</v>
      </c>
      <c r="G169" s="397" t="s">
        <v>764</v>
      </c>
      <c r="H169" s="423">
        <v>2410</v>
      </c>
      <c r="I169" s="397" t="s">
        <v>366</v>
      </c>
      <c r="J169" s="400">
        <f t="shared" ca="1" si="2"/>
        <v>67</v>
      </c>
    </row>
    <row r="170" spans="1:10" ht="15" x14ac:dyDescent="0.25">
      <c r="A170" s="397">
        <v>10000299</v>
      </c>
      <c r="B170" s="397">
        <v>8310853262</v>
      </c>
      <c r="C170" s="397" t="s">
        <v>984</v>
      </c>
      <c r="D170" s="398">
        <v>19034</v>
      </c>
      <c r="E170" s="397" t="s">
        <v>840</v>
      </c>
      <c r="F170" s="397" t="s">
        <v>841</v>
      </c>
      <c r="G170" s="397" t="s">
        <v>985</v>
      </c>
      <c r="H170" s="423">
        <v>2118</v>
      </c>
      <c r="I170" s="397" t="s">
        <v>318</v>
      </c>
      <c r="J170" s="400">
        <f t="shared" ca="1" si="2"/>
        <v>71</v>
      </c>
    </row>
    <row r="171" spans="1:10" ht="15" x14ac:dyDescent="0.25">
      <c r="A171" s="397">
        <v>10000303</v>
      </c>
      <c r="B171" s="397">
        <v>8350671920</v>
      </c>
      <c r="C171" s="397" t="s">
        <v>986</v>
      </c>
      <c r="D171" s="398">
        <v>23016</v>
      </c>
      <c r="E171" s="397" t="s">
        <v>846</v>
      </c>
      <c r="F171" s="397" t="s">
        <v>847</v>
      </c>
      <c r="G171" s="397" t="s">
        <v>768</v>
      </c>
      <c r="H171" s="423">
        <v>1328</v>
      </c>
      <c r="I171" s="397" t="s">
        <v>295</v>
      </c>
      <c r="J171" s="400">
        <f t="shared" ca="1" si="2"/>
        <v>60</v>
      </c>
    </row>
    <row r="172" spans="1:10" ht="15" x14ac:dyDescent="0.25">
      <c r="A172" s="397">
        <v>10000305</v>
      </c>
      <c r="B172" s="397">
        <v>8408031821</v>
      </c>
      <c r="C172" s="397" t="s">
        <v>987</v>
      </c>
      <c r="D172" s="398">
        <v>28752</v>
      </c>
      <c r="E172" s="397" t="s">
        <v>762</v>
      </c>
      <c r="F172" s="397" t="s">
        <v>763</v>
      </c>
      <c r="G172" s="397" t="s">
        <v>768</v>
      </c>
      <c r="H172" s="423">
        <v>2410</v>
      </c>
      <c r="I172" s="397" t="s">
        <v>366</v>
      </c>
      <c r="J172" s="400">
        <f t="shared" ca="1" si="2"/>
        <v>45</v>
      </c>
    </row>
    <row r="173" spans="1:10" ht="15" x14ac:dyDescent="0.25">
      <c r="A173" s="397">
        <v>10000306</v>
      </c>
      <c r="B173" s="397">
        <v>8438731872</v>
      </c>
      <c r="C173" s="397" t="s">
        <v>988</v>
      </c>
      <c r="D173" s="398">
        <v>31822</v>
      </c>
      <c r="E173" s="397" t="s">
        <v>792</v>
      </c>
      <c r="F173" s="397" t="s">
        <v>793</v>
      </c>
      <c r="G173" s="397" t="s">
        <v>768</v>
      </c>
      <c r="H173" s="423">
        <v>2624</v>
      </c>
      <c r="I173" s="397" t="s">
        <v>295</v>
      </c>
      <c r="J173" s="400">
        <f t="shared" ca="1" si="2"/>
        <v>36</v>
      </c>
    </row>
    <row r="174" spans="1:10" ht="15" x14ac:dyDescent="0.25">
      <c r="A174" s="397">
        <v>10000307</v>
      </c>
      <c r="B174" s="397">
        <v>8313412607</v>
      </c>
      <c r="C174" s="397" t="s">
        <v>989</v>
      </c>
      <c r="D174" s="398">
        <v>19290</v>
      </c>
      <c r="E174" s="397" t="s">
        <v>778</v>
      </c>
      <c r="F174" s="397" t="s">
        <v>779</v>
      </c>
      <c r="G174" s="397" t="s">
        <v>764</v>
      </c>
      <c r="H174" s="423">
        <v>2410</v>
      </c>
      <c r="I174" s="397" t="s">
        <v>366</v>
      </c>
      <c r="J174" s="400">
        <f t="shared" ca="1" si="2"/>
        <v>71</v>
      </c>
    </row>
    <row r="175" spans="1:10" ht="15" x14ac:dyDescent="0.25">
      <c r="A175" s="397">
        <v>10000308</v>
      </c>
      <c r="B175" s="397">
        <v>8436542223</v>
      </c>
      <c r="C175" s="397" t="s">
        <v>990</v>
      </c>
      <c r="D175" s="398">
        <v>31603</v>
      </c>
      <c r="E175" s="397" t="s">
        <v>810</v>
      </c>
      <c r="F175" s="397" t="s">
        <v>811</v>
      </c>
      <c r="G175" s="397" t="s">
        <v>768</v>
      </c>
      <c r="H175" s="423">
        <v>2410</v>
      </c>
      <c r="I175" s="397" t="s">
        <v>366</v>
      </c>
      <c r="J175" s="400">
        <f t="shared" ca="1" si="2"/>
        <v>37</v>
      </c>
    </row>
    <row r="176" spans="1:10" ht="15" x14ac:dyDescent="0.25">
      <c r="A176" s="397">
        <v>10000309</v>
      </c>
      <c r="B176" s="397">
        <v>8316733579</v>
      </c>
      <c r="C176" s="397" t="s">
        <v>991</v>
      </c>
      <c r="D176" s="398">
        <v>19622</v>
      </c>
      <c r="E176" s="397" t="s">
        <v>788</v>
      </c>
      <c r="F176" s="397" t="s">
        <v>789</v>
      </c>
      <c r="G176" s="397" t="s">
        <v>764</v>
      </c>
      <c r="H176" s="423">
        <v>2410</v>
      </c>
      <c r="I176" s="397" t="s">
        <v>366</v>
      </c>
      <c r="J176" s="400">
        <f t="shared" ca="1" si="2"/>
        <v>70</v>
      </c>
    </row>
    <row r="177" spans="1:10" ht="15" x14ac:dyDescent="0.25">
      <c r="A177" s="397">
        <v>10000310</v>
      </c>
      <c r="B177" s="397">
        <v>8364652524</v>
      </c>
      <c r="C177" s="397" t="s">
        <v>992</v>
      </c>
      <c r="D177" s="398">
        <v>24414</v>
      </c>
      <c r="E177" s="397" t="s">
        <v>762</v>
      </c>
      <c r="F177" s="397" t="s">
        <v>763</v>
      </c>
      <c r="G177" s="397" t="s">
        <v>768</v>
      </c>
      <c r="H177" s="423">
        <v>2410</v>
      </c>
      <c r="I177" s="397" t="s">
        <v>366</v>
      </c>
      <c r="J177" s="400">
        <f t="shared" ca="1" si="2"/>
        <v>57</v>
      </c>
    </row>
    <row r="178" spans="1:10" ht="15" x14ac:dyDescent="0.25">
      <c r="A178" s="397">
        <v>10000312</v>
      </c>
      <c r="B178" s="397">
        <v>8369293506</v>
      </c>
      <c r="C178" s="397" t="s">
        <v>993</v>
      </c>
      <c r="D178" s="398">
        <v>24878</v>
      </c>
      <c r="E178" s="397" t="s">
        <v>846</v>
      </c>
      <c r="F178" s="397" t="s">
        <v>847</v>
      </c>
      <c r="G178" s="397" t="s">
        <v>768</v>
      </c>
      <c r="H178" s="423">
        <v>2410</v>
      </c>
      <c r="I178" s="397" t="s">
        <v>366</v>
      </c>
      <c r="J178" s="400">
        <f t="shared" ca="1" si="2"/>
        <v>55</v>
      </c>
    </row>
    <row r="179" spans="1:10" ht="15" x14ac:dyDescent="0.25">
      <c r="A179" s="397">
        <v>10000313</v>
      </c>
      <c r="B179" s="397">
        <v>8410933446</v>
      </c>
      <c r="C179" s="397" t="s">
        <v>994</v>
      </c>
      <c r="D179" s="398">
        <v>29042</v>
      </c>
      <c r="E179" s="397" t="s">
        <v>774</v>
      </c>
      <c r="F179" s="397" t="s">
        <v>775</v>
      </c>
      <c r="G179" s="397" t="s">
        <v>776</v>
      </c>
      <c r="H179" s="423">
        <v>2410</v>
      </c>
      <c r="I179" s="397" t="s">
        <v>366</v>
      </c>
      <c r="J179" s="400">
        <f t="shared" ca="1" si="2"/>
        <v>44</v>
      </c>
    </row>
    <row r="180" spans="1:10" ht="15" x14ac:dyDescent="0.25">
      <c r="A180" s="397">
        <v>10000315</v>
      </c>
      <c r="B180" s="397">
        <v>8412803434</v>
      </c>
      <c r="C180" s="397" t="s">
        <v>995</v>
      </c>
      <c r="D180" s="398">
        <v>29229</v>
      </c>
      <c r="E180" s="397" t="s">
        <v>774</v>
      </c>
      <c r="F180" s="397" t="s">
        <v>775</v>
      </c>
      <c r="G180" s="397" t="s">
        <v>768</v>
      </c>
      <c r="H180" s="423">
        <v>2410</v>
      </c>
      <c r="I180" s="397" t="s">
        <v>366</v>
      </c>
      <c r="J180" s="400">
        <f t="shared" ca="1" si="2"/>
        <v>43</v>
      </c>
    </row>
    <row r="181" spans="1:10" ht="15" x14ac:dyDescent="0.25">
      <c r="A181" s="397">
        <v>10000316</v>
      </c>
      <c r="B181" s="397">
        <v>8397553649</v>
      </c>
      <c r="C181" s="397" t="s">
        <v>996</v>
      </c>
      <c r="D181" s="398">
        <v>27704</v>
      </c>
      <c r="E181" s="397" t="s">
        <v>774</v>
      </c>
      <c r="F181" s="397" t="s">
        <v>775</v>
      </c>
      <c r="G181" s="397" t="s">
        <v>768</v>
      </c>
      <c r="H181" s="423">
        <v>2410</v>
      </c>
      <c r="I181" s="397" t="s">
        <v>366</v>
      </c>
      <c r="J181" s="400">
        <f t="shared" ca="1" si="2"/>
        <v>48</v>
      </c>
    </row>
    <row r="182" spans="1:10" ht="15" x14ac:dyDescent="0.25">
      <c r="A182" s="397">
        <v>10000319</v>
      </c>
      <c r="B182" s="397">
        <v>8423011763</v>
      </c>
      <c r="C182" s="397" t="s">
        <v>997</v>
      </c>
      <c r="D182" s="398">
        <v>30250</v>
      </c>
      <c r="E182" s="397" t="s">
        <v>762</v>
      </c>
      <c r="F182" s="397" t="s">
        <v>763</v>
      </c>
      <c r="G182" s="397" t="s">
        <v>880</v>
      </c>
      <c r="H182" s="423">
        <v>2117</v>
      </c>
      <c r="I182" s="397" t="s">
        <v>317</v>
      </c>
      <c r="J182" s="400">
        <f t="shared" ca="1" si="2"/>
        <v>41</v>
      </c>
    </row>
    <row r="183" spans="1:10" ht="15" x14ac:dyDescent="0.25">
      <c r="A183" s="397">
        <v>10000320</v>
      </c>
      <c r="B183" s="397">
        <v>8387271209</v>
      </c>
      <c r="C183" s="397" t="s">
        <v>998</v>
      </c>
      <c r="D183" s="398">
        <v>26676</v>
      </c>
      <c r="E183" s="397" t="s">
        <v>774</v>
      </c>
      <c r="F183" s="397" t="s">
        <v>775</v>
      </c>
      <c r="G183" s="397" t="s">
        <v>768</v>
      </c>
      <c r="H183" s="423">
        <v>2410</v>
      </c>
      <c r="I183" s="397" t="s">
        <v>366</v>
      </c>
      <c r="J183" s="400">
        <f t="shared" ca="1" si="2"/>
        <v>50</v>
      </c>
    </row>
    <row r="184" spans="1:10" ht="15" x14ac:dyDescent="0.25">
      <c r="A184" s="397">
        <v>10000321</v>
      </c>
      <c r="B184" s="397">
        <v>8416043760</v>
      </c>
      <c r="C184" s="397" t="s">
        <v>999</v>
      </c>
      <c r="D184" s="398">
        <v>29553</v>
      </c>
      <c r="E184" s="397" t="s">
        <v>762</v>
      </c>
      <c r="F184" s="397" t="s">
        <v>763</v>
      </c>
      <c r="G184" s="397" t="s">
        <v>768</v>
      </c>
      <c r="H184" s="423">
        <v>2410</v>
      </c>
      <c r="I184" s="397" t="s">
        <v>366</v>
      </c>
      <c r="J184" s="400">
        <f t="shared" ca="1" si="2"/>
        <v>43</v>
      </c>
    </row>
    <row r="185" spans="1:10" ht="15" x14ac:dyDescent="0.25">
      <c r="A185" s="397">
        <v>10000323</v>
      </c>
      <c r="B185" s="397">
        <v>8374654287</v>
      </c>
      <c r="C185" s="397" t="s">
        <v>1000</v>
      </c>
      <c r="D185" s="398">
        <v>25414</v>
      </c>
      <c r="E185" s="397" t="s">
        <v>810</v>
      </c>
      <c r="F185" s="397" t="s">
        <v>811</v>
      </c>
      <c r="G185" s="397" t="s">
        <v>768</v>
      </c>
      <c r="H185" s="423">
        <v>2410</v>
      </c>
      <c r="I185" s="397" t="s">
        <v>366</v>
      </c>
      <c r="J185" s="400">
        <f t="shared" ca="1" si="2"/>
        <v>54</v>
      </c>
    </row>
    <row r="186" spans="1:10" ht="15" x14ac:dyDescent="0.25">
      <c r="A186" s="397">
        <v>10000325</v>
      </c>
      <c r="B186" s="397">
        <v>8315302531</v>
      </c>
      <c r="C186" s="397" t="s">
        <v>1001</v>
      </c>
      <c r="D186" s="398">
        <v>19479</v>
      </c>
      <c r="E186" s="397" t="s">
        <v>833</v>
      </c>
      <c r="F186" s="397" t="s">
        <v>834</v>
      </c>
      <c r="G186" s="397" t="s">
        <v>764</v>
      </c>
      <c r="H186" s="423">
        <v>2410</v>
      </c>
      <c r="I186" s="397" t="s">
        <v>366</v>
      </c>
      <c r="J186" s="400">
        <f t="shared" ca="1" si="2"/>
        <v>70</v>
      </c>
    </row>
    <row r="187" spans="1:10" ht="15" x14ac:dyDescent="0.25">
      <c r="A187" s="397">
        <v>10000327</v>
      </c>
      <c r="B187" s="397">
        <v>8393730538</v>
      </c>
      <c r="C187" s="397" t="s">
        <v>1002</v>
      </c>
      <c r="D187" s="398">
        <v>27322</v>
      </c>
      <c r="E187" s="397" t="s">
        <v>784</v>
      </c>
      <c r="F187" s="397" t="s">
        <v>785</v>
      </c>
      <c r="G187" s="397" t="s">
        <v>776</v>
      </c>
      <c r="H187" s="423">
        <v>2410</v>
      </c>
      <c r="I187" s="397" t="s">
        <v>366</v>
      </c>
      <c r="J187" s="400">
        <f t="shared" ca="1" si="2"/>
        <v>49</v>
      </c>
    </row>
    <row r="188" spans="1:10" ht="15" x14ac:dyDescent="0.25">
      <c r="A188" s="397">
        <v>10000328</v>
      </c>
      <c r="B188" s="397">
        <v>8334552580</v>
      </c>
      <c r="C188" s="397" t="s">
        <v>1003</v>
      </c>
      <c r="D188" s="398">
        <v>21404</v>
      </c>
      <c r="E188" s="397" t="s">
        <v>849</v>
      </c>
      <c r="F188" s="397" t="s">
        <v>850</v>
      </c>
      <c r="G188" s="397" t="s">
        <v>764</v>
      </c>
      <c r="H188" s="423">
        <v>1328</v>
      </c>
      <c r="I188" s="397" t="s">
        <v>295</v>
      </c>
      <c r="J188" s="400">
        <f t="shared" ca="1" si="2"/>
        <v>65</v>
      </c>
    </row>
    <row r="189" spans="1:10" ht="15" x14ac:dyDescent="0.25">
      <c r="A189" s="397">
        <v>10000329</v>
      </c>
      <c r="B189" s="397">
        <v>8409140497</v>
      </c>
      <c r="C189" s="397" t="s">
        <v>1004</v>
      </c>
      <c r="D189" s="398">
        <v>28863</v>
      </c>
      <c r="E189" s="397" t="s">
        <v>810</v>
      </c>
      <c r="F189" s="397" t="s">
        <v>811</v>
      </c>
      <c r="G189" s="397" t="s">
        <v>776</v>
      </c>
      <c r="H189" s="423">
        <v>2410</v>
      </c>
      <c r="I189" s="397" t="s">
        <v>366</v>
      </c>
      <c r="J189" s="400">
        <f t="shared" ca="1" si="2"/>
        <v>44</v>
      </c>
    </row>
    <row r="190" spans="1:10" ht="15" x14ac:dyDescent="0.25">
      <c r="A190" s="397">
        <v>10000334</v>
      </c>
      <c r="B190" s="397">
        <v>8365743329</v>
      </c>
      <c r="C190" s="397" t="s">
        <v>1005</v>
      </c>
      <c r="D190" s="398">
        <v>24523</v>
      </c>
      <c r="E190" s="397" t="s">
        <v>846</v>
      </c>
      <c r="F190" s="397" t="s">
        <v>847</v>
      </c>
      <c r="G190" s="397" t="s">
        <v>768</v>
      </c>
      <c r="H190" s="423">
        <v>2410</v>
      </c>
      <c r="I190" s="397" t="s">
        <v>366</v>
      </c>
      <c r="J190" s="400">
        <f t="shared" ca="1" si="2"/>
        <v>56</v>
      </c>
    </row>
    <row r="191" spans="1:10" ht="15" x14ac:dyDescent="0.25">
      <c r="A191" s="397">
        <v>10000335</v>
      </c>
      <c r="B191" s="397">
        <v>8433500570</v>
      </c>
      <c r="C191" s="397" t="s">
        <v>1006</v>
      </c>
      <c r="D191" s="398">
        <v>31299</v>
      </c>
      <c r="E191" s="397" t="s">
        <v>762</v>
      </c>
      <c r="F191" s="397" t="s">
        <v>763</v>
      </c>
      <c r="G191" s="397" t="s">
        <v>880</v>
      </c>
      <c r="H191" s="423">
        <v>2139</v>
      </c>
      <c r="I191" s="397" t="s">
        <v>329</v>
      </c>
      <c r="J191" s="400">
        <f t="shared" ca="1" si="2"/>
        <v>38</v>
      </c>
    </row>
    <row r="192" spans="1:10" ht="15" x14ac:dyDescent="0.25">
      <c r="A192" s="397">
        <v>10000336</v>
      </c>
      <c r="B192" s="397">
        <v>8433880187</v>
      </c>
      <c r="C192" s="397" t="s">
        <v>1007</v>
      </c>
      <c r="D192" s="398">
        <v>31337</v>
      </c>
      <c r="E192" s="397" t="s">
        <v>788</v>
      </c>
      <c r="F192" s="397" t="s">
        <v>789</v>
      </c>
      <c r="G192" s="397" t="s">
        <v>831</v>
      </c>
      <c r="H192" s="423">
        <v>2139</v>
      </c>
      <c r="I192" s="397" t="s">
        <v>329</v>
      </c>
      <c r="J192" s="400">
        <f t="shared" ca="1" si="2"/>
        <v>38</v>
      </c>
    </row>
    <row r="193" spans="1:10" ht="15" x14ac:dyDescent="0.25">
      <c r="A193" s="397">
        <v>10000340</v>
      </c>
      <c r="B193" s="397">
        <v>8439610572</v>
      </c>
      <c r="C193" s="397" t="s">
        <v>1008</v>
      </c>
      <c r="D193" s="398">
        <v>31910</v>
      </c>
      <c r="E193" s="397" t="s">
        <v>762</v>
      </c>
      <c r="F193" s="397" t="s">
        <v>763</v>
      </c>
      <c r="G193" s="397" t="s">
        <v>768</v>
      </c>
      <c r="H193" s="423">
        <v>2410</v>
      </c>
      <c r="I193" s="397" t="s">
        <v>366</v>
      </c>
      <c r="J193" s="400">
        <f t="shared" ca="1" si="2"/>
        <v>36</v>
      </c>
    </row>
    <row r="194" spans="1:10" ht="15" x14ac:dyDescent="0.25">
      <c r="A194" s="397">
        <v>10000341</v>
      </c>
      <c r="B194" s="397">
        <v>8433263439</v>
      </c>
      <c r="C194" s="397" t="s">
        <v>1009</v>
      </c>
      <c r="D194" s="398">
        <v>31275</v>
      </c>
      <c r="E194" s="397" t="s">
        <v>795</v>
      </c>
      <c r="F194" s="397" t="s">
        <v>796</v>
      </c>
      <c r="G194" s="397" t="s">
        <v>776</v>
      </c>
      <c r="H194" s="423">
        <v>2117</v>
      </c>
      <c r="I194" s="397" t="s">
        <v>317</v>
      </c>
      <c r="J194" s="400">
        <f t="shared" ca="1" si="2"/>
        <v>38</v>
      </c>
    </row>
    <row r="195" spans="1:10" ht="15" x14ac:dyDescent="0.25">
      <c r="A195" s="397">
        <v>10000342</v>
      </c>
      <c r="B195" s="397">
        <v>8436381068</v>
      </c>
      <c r="C195" s="397" t="s">
        <v>1010</v>
      </c>
      <c r="D195" s="398">
        <v>31587</v>
      </c>
      <c r="E195" s="397" t="s">
        <v>840</v>
      </c>
      <c r="F195" s="397" t="s">
        <v>841</v>
      </c>
      <c r="G195" s="397" t="s">
        <v>902</v>
      </c>
      <c r="H195" s="423">
        <v>2139</v>
      </c>
      <c r="I195" s="397" t="s">
        <v>329</v>
      </c>
      <c r="J195" s="400">
        <f t="shared" ref="J195:J258" ca="1" si="3">YEAR(TODAY())-YEAR(D195)</f>
        <v>37</v>
      </c>
    </row>
    <row r="196" spans="1:10" ht="15" x14ac:dyDescent="0.25">
      <c r="A196" s="397">
        <v>10000343</v>
      </c>
      <c r="B196" s="397">
        <v>8406163348</v>
      </c>
      <c r="C196" s="397" t="s">
        <v>1011</v>
      </c>
      <c r="D196" s="398">
        <v>28565</v>
      </c>
      <c r="E196" s="397" t="s">
        <v>868</v>
      </c>
      <c r="F196" s="397" t="s">
        <v>869</v>
      </c>
      <c r="G196" s="397" t="s">
        <v>768</v>
      </c>
      <c r="H196" s="423">
        <v>1328</v>
      </c>
      <c r="I196" s="397" t="s">
        <v>295</v>
      </c>
      <c r="J196" s="400">
        <f t="shared" ca="1" si="3"/>
        <v>45</v>
      </c>
    </row>
    <row r="197" spans="1:10" ht="15" x14ac:dyDescent="0.25">
      <c r="A197" s="397">
        <v>10000344</v>
      </c>
      <c r="B197" s="397">
        <v>8407900273</v>
      </c>
      <c r="C197" s="397" t="s">
        <v>150</v>
      </c>
      <c r="D197" s="398">
        <v>28739</v>
      </c>
      <c r="E197" s="397" t="s">
        <v>868</v>
      </c>
      <c r="F197" s="397" t="s">
        <v>869</v>
      </c>
      <c r="G197" s="397" t="s">
        <v>902</v>
      </c>
      <c r="H197" s="423">
        <v>1413</v>
      </c>
      <c r="I197" s="397" t="s">
        <v>295</v>
      </c>
      <c r="J197" s="400">
        <f t="shared" ca="1" si="3"/>
        <v>45</v>
      </c>
    </row>
    <row r="198" spans="1:10" ht="15" x14ac:dyDescent="0.25">
      <c r="A198" s="397">
        <v>10000346</v>
      </c>
      <c r="B198" s="397">
        <v>8396661065</v>
      </c>
      <c r="C198" s="397" t="s">
        <v>1012</v>
      </c>
      <c r="D198" s="398">
        <v>27615</v>
      </c>
      <c r="E198" s="397" t="s">
        <v>849</v>
      </c>
      <c r="F198" s="397" t="s">
        <v>850</v>
      </c>
      <c r="G198" s="397" t="s">
        <v>880</v>
      </c>
      <c r="H198" s="423">
        <v>2117</v>
      </c>
      <c r="I198" s="397" t="s">
        <v>317</v>
      </c>
      <c r="J198" s="400">
        <f t="shared" ca="1" si="3"/>
        <v>48</v>
      </c>
    </row>
    <row r="199" spans="1:10" ht="15" x14ac:dyDescent="0.25">
      <c r="A199" s="397">
        <v>10000347</v>
      </c>
      <c r="B199" s="397">
        <v>8355472470</v>
      </c>
      <c r="C199" s="397" t="s">
        <v>1013</v>
      </c>
      <c r="D199" s="398">
        <v>23496</v>
      </c>
      <c r="E199" s="397" t="s">
        <v>788</v>
      </c>
      <c r="F199" s="397" t="s">
        <v>789</v>
      </c>
      <c r="G199" s="397" t="s">
        <v>1014</v>
      </c>
      <c r="H199" s="423">
        <v>2910</v>
      </c>
      <c r="I199" s="397" t="s">
        <v>422</v>
      </c>
      <c r="J199" s="400">
        <f t="shared" ca="1" si="3"/>
        <v>59</v>
      </c>
    </row>
    <row r="200" spans="1:10" ht="15" x14ac:dyDescent="0.25">
      <c r="A200" s="397">
        <v>10000348</v>
      </c>
      <c r="B200" s="397">
        <v>8440643195</v>
      </c>
      <c r="C200" s="397" t="s">
        <v>1015</v>
      </c>
      <c r="D200" s="398">
        <v>32013</v>
      </c>
      <c r="E200" s="397" t="s">
        <v>833</v>
      </c>
      <c r="F200" s="397" t="s">
        <v>834</v>
      </c>
      <c r="G200" s="397" t="s">
        <v>768</v>
      </c>
      <c r="H200" s="423">
        <v>2410</v>
      </c>
      <c r="I200" s="397" t="s">
        <v>366</v>
      </c>
      <c r="J200" s="400">
        <f t="shared" ca="1" si="3"/>
        <v>36</v>
      </c>
    </row>
    <row r="201" spans="1:10" ht="15" x14ac:dyDescent="0.25">
      <c r="A201" s="397">
        <v>10000350</v>
      </c>
      <c r="B201" s="397">
        <v>8410220024</v>
      </c>
      <c r="C201" s="397" t="s">
        <v>1016</v>
      </c>
      <c r="D201" s="398">
        <v>28971</v>
      </c>
      <c r="E201" s="397" t="s">
        <v>840</v>
      </c>
      <c r="F201" s="397" t="s">
        <v>841</v>
      </c>
      <c r="G201" s="397" t="s">
        <v>880</v>
      </c>
      <c r="H201" s="423">
        <v>2117</v>
      </c>
      <c r="I201" s="397" t="s">
        <v>317</v>
      </c>
      <c r="J201" s="400">
        <f t="shared" ca="1" si="3"/>
        <v>44</v>
      </c>
    </row>
    <row r="202" spans="1:10" ht="15" x14ac:dyDescent="0.25">
      <c r="A202" s="397">
        <v>10000353</v>
      </c>
      <c r="B202" s="397">
        <v>8348102639</v>
      </c>
      <c r="C202" s="397" t="s">
        <v>1017</v>
      </c>
      <c r="D202" s="398">
        <v>22759</v>
      </c>
      <c r="E202" s="397" t="s">
        <v>810</v>
      </c>
      <c r="F202" s="397" t="s">
        <v>811</v>
      </c>
      <c r="G202" s="397" t="s">
        <v>880</v>
      </c>
      <c r="H202" s="423">
        <v>2211</v>
      </c>
      <c r="I202" s="397" t="s">
        <v>347</v>
      </c>
      <c r="J202" s="400">
        <f t="shared" ca="1" si="3"/>
        <v>61</v>
      </c>
    </row>
    <row r="203" spans="1:10" ht="15" x14ac:dyDescent="0.25">
      <c r="A203" s="397">
        <v>10000355</v>
      </c>
      <c r="B203" s="397">
        <v>8376711709</v>
      </c>
      <c r="C203" s="397" t="s">
        <v>1018</v>
      </c>
      <c r="D203" s="398">
        <v>25620</v>
      </c>
      <c r="E203" s="397" t="s">
        <v>781</v>
      </c>
      <c r="F203" s="397" t="s">
        <v>782</v>
      </c>
      <c r="G203" s="397" t="s">
        <v>831</v>
      </c>
      <c r="H203" s="423">
        <v>2166</v>
      </c>
      <c r="I203" s="397" t="s">
        <v>343</v>
      </c>
      <c r="J203" s="400">
        <f t="shared" ca="1" si="3"/>
        <v>53</v>
      </c>
    </row>
    <row r="204" spans="1:10" ht="15" x14ac:dyDescent="0.25">
      <c r="A204" s="397">
        <v>10000357</v>
      </c>
      <c r="B204" s="397">
        <v>8416232512</v>
      </c>
      <c r="C204" s="397" t="s">
        <v>1019</v>
      </c>
      <c r="D204" s="398">
        <v>29572</v>
      </c>
      <c r="E204" s="397" t="s">
        <v>795</v>
      </c>
      <c r="F204" s="397" t="s">
        <v>796</v>
      </c>
      <c r="G204" s="397" t="s">
        <v>880</v>
      </c>
      <c r="H204" s="423">
        <v>2117</v>
      </c>
      <c r="I204" s="397" t="s">
        <v>317</v>
      </c>
      <c r="J204" s="400">
        <f t="shared" ca="1" si="3"/>
        <v>43</v>
      </c>
    </row>
    <row r="205" spans="1:10" ht="15" x14ac:dyDescent="0.25">
      <c r="A205" s="397">
        <v>10000358</v>
      </c>
      <c r="B205" s="397">
        <v>8426141927</v>
      </c>
      <c r="C205" s="397" t="s">
        <v>1020</v>
      </c>
      <c r="D205" s="398">
        <v>30563</v>
      </c>
      <c r="E205" s="397" t="s">
        <v>771</v>
      </c>
      <c r="F205" s="397" t="s">
        <v>772</v>
      </c>
      <c r="G205" s="397" t="s">
        <v>776</v>
      </c>
      <c r="H205" s="423">
        <v>2410</v>
      </c>
      <c r="I205" s="397" t="s">
        <v>366</v>
      </c>
      <c r="J205" s="400">
        <f t="shared" ca="1" si="3"/>
        <v>40</v>
      </c>
    </row>
    <row r="206" spans="1:10" ht="15" x14ac:dyDescent="0.25">
      <c r="A206" s="397">
        <v>10000360</v>
      </c>
      <c r="B206" s="397">
        <v>8442983112</v>
      </c>
      <c r="C206" s="397" t="s">
        <v>116</v>
      </c>
      <c r="D206" s="398">
        <v>32247</v>
      </c>
      <c r="E206" s="397" t="s">
        <v>762</v>
      </c>
      <c r="F206" s="397" t="s">
        <v>763</v>
      </c>
      <c r="G206" s="397" t="s">
        <v>880</v>
      </c>
      <c r="H206" s="423">
        <v>2139</v>
      </c>
      <c r="I206" s="397" t="s">
        <v>329</v>
      </c>
      <c r="J206" s="400">
        <f t="shared" ca="1" si="3"/>
        <v>35</v>
      </c>
    </row>
    <row r="207" spans="1:10" ht="15" x14ac:dyDescent="0.25">
      <c r="A207" s="397">
        <v>10000361</v>
      </c>
      <c r="B207" s="397">
        <v>8424702352</v>
      </c>
      <c r="C207" s="397" t="s">
        <v>1021</v>
      </c>
      <c r="D207" s="398">
        <v>30419</v>
      </c>
      <c r="E207" s="397" t="s">
        <v>774</v>
      </c>
      <c r="F207" s="397" t="s">
        <v>775</v>
      </c>
      <c r="G207" s="397" t="s">
        <v>902</v>
      </c>
      <c r="H207" s="423">
        <v>2167</v>
      </c>
      <c r="I207" s="397" t="s">
        <v>344</v>
      </c>
      <c r="J207" s="400">
        <f t="shared" ca="1" si="3"/>
        <v>40</v>
      </c>
    </row>
    <row r="208" spans="1:10" ht="15" x14ac:dyDescent="0.25">
      <c r="A208" s="397">
        <v>10000366</v>
      </c>
      <c r="B208" s="397">
        <v>8426142613</v>
      </c>
      <c r="C208" s="397" t="s">
        <v>1022</v>
      </c>
      <c r="D208" s="398">
        <v>30563</v>
      </c>
      <c r="E208" s="397" t="s">
        <v>762</v>
      </c>
      <c r="F208" s="397" t="s">
        <v>763</v>
      </c>
      <c r="G208" s="397" t="s">
        <v>902</v>
      </c>
      <c r="H208" s="423">
        <v>2139</v>
      </c>
      <c r="I208" s="397" t="s">
        <v>329</v>
      </c>
      <c r="J208" s="400">
        <f t="shared" ca="1" si="3"/>
        <v>40</v>
      </c>
    </row>
    <row r="209" spans="1:10" ht="15" x14ac:dyDescent="0.25">
      <c r="A209" s="397">
        <v>10000367</v>
      </c>
      <c r="B209" s="397">
        <v>8327793829</v>
      </c>
      <c r="C209" s="397" t="s">
        <v>1023</v>
      </c>
      <c r="D209" s="398">
        <v>20728</v>
      </c>
      <c r="E209" s="397" t="s">
        <v>849</v>
      </c>
      <c r="F209" s="397" t="s">
        <v>850</v>
      </c>
      <c r="G209" s="397" t="s">
        <v>880</v>
      </c>
      <c r="H209" s="423">
        <v>2117</v>
      </c>
      <c r="I209" s="397" t="s">
        <v>317</v>
      </c>
      <c r="J209" s="400">
        <f t="shared" ca="1" si="3"/>
        <v>67</v>
      </c>
    </row>
    <row r="210" spans="1:10" ht="15" x14ac:dyDescent="0.25">
      <c r="A210" s="397">
        <v>10000368</v>
      </c>
      <c r="B210" s="397">
        <v>8376941402</v>
      </c>
      <c r="C210" s="397" t="s">
        <v>1024</v>
      </c>
      <c r="D210" s="398">
        <v>25643</v>
      </c>
      <c r="E210" s="397" t="s">
        <v>1025</v>
      </c>
      <c r="F210" s="397" t="s">
        <v>1026</v>
      </c>
      <c r="G210" s="397" t="s">
        <v>1027</v>
      </c>
      <c r="H210" s="423">
        <v>2410</v>
      </c>
      <c r="I210" s="397" t="s">
        <v>366</v>
      </c>
      <c r="J210" s="400">
        <f t="shared" ca="1" si="3"/>
        <v>53</v>
      </c>
    </row>
    <row r="211" spans="1:10" ht="15" x14ac:dyDescent="0.25">
      <c r="A211" s="397">
        <v>10000371</v>
      </c>
      <c r="B211" s="397">
        <v>8405303510</v>
      </c>
      <c r="C211" s="397" t="s">
        <v>1028</v>
      </c>
      <c r="D211" s="398">
        <v>28479</v>
      </c>
      <c r="E211" s="397" t="s">
        <v>778</v>
      </c>
      <c r="F211" s="397" t="s">
        <v>779</v>
      </c>
      <c r="G211" s="397" t="s">
        <v>768</v>
      </c>
      <c r="H211" s="423">
        <v>1328</v>
      </c>
      <c r="I211" s="397" t="s">
        <v>295</v>
      </c>
      <c r="J211" s="400">
        <f t="shared" ca="1" si="3"/>
        <v>46</v>
      </c>
    </row>
    <row r="212" spans="1:10" ht="15" x14ac:dyDescent="0.25">
      <c r="A212" s="397">
        <v>10000372</v>
      </c>
      <c r="B212" s="397">
        <v>8338103594</v>
      </c>
      <c r="C212" s="397" t="s">
        <v>1029</v>
      </c>
      <c r="D212" s="398">
        <v>21759</v>
      </c>
      <c r="E212" s="397" t="s">
        <v>1030</v>
      </c>
      <c r="F212" s="397" t="s">
        <v>1031</v>
      </c>
      <c r="G212" s="397" t="s">
        <v>1032</v>
      </c>
      <c r="H212" s="423">
        <v>2410</v>
      </c>
      <c r="I212" s="397" t="s">
        <v>366</v>
      </c>
      <c r="J212" s="400">
        <f t="shared" ca="1" si="3"/>
        <v>64</v>
      </c>
    </row>
    <row r="213" spans="1:10" ht="15" x14ac:dyDescent="0.25">
      <c r="A213" s="397">
        <v>10000382</v>
      </c>
      <c r="B213" s="397">
        <v>8340833502</v>
      </c>
      <c r="C213" s="397" t="s">
        <v>1033</v>
      </c>
      <c r="D213" s="398">
        <v>22032</v>
      </c>
      <c r="E213" s="397" t="s">
        <v>778</v>
      </c>
      <c r="F213" s="397" t="s">
        <v>779</v>
      </c>
      <c r="G213" s="397" t="s">
        <v>891</v>
      </c>
      <c r="H213" s="423">
        <v>2410</v>
      </c>
      <c r="I213" s="397" t="s">
        <v>366</v>
      </c>
      <c r="J213" s="400">
        <f t="shared" ca="1" si="3"/>
        <v>63</v>
      </c>
    </row>
    <row r="214" spans="1:10" ht="15" x14ac:dyDescent="0.25">
      <c r="A214" s="397">
        <v>10000383</v>
      </c>
      <c r="B214" s="397">
        <v>8412822315</v>
      </c>
      <c r="C214" s="397" t="s">
        <v>1034</v>
      </c>
      <c r="D214" s="398">
        <v>29231</v>
      </c>
      <c r="E214" s="397" t="s">
        <v>771</v>
      </c>
      <c r="F214" s="397" t="s">
        <v>772</v>
      </c>
      <c r="G214" s="397" t="s">
        <v>891</v>
      </c>
      <c r="H214" s="423">
        <v>2410</v>
      </c>
      <c r="I214" s="397" t="s">
        <v>366</v>
      </c>
      <c r="J214" s="400">
        <f t="shared" ca="1" si="3"/>
        <v>43</v>
      </c>
    </row>
    <row r="215" spans="1:10" ht="15" x14ac:dyDescent="0.25">
      <c r="A215" s="397">
        <v>10000384</v>
      </c>
      <c r="B215" s="397">
        <v>8371831331</v>
      </c>
      <c r="C215" s="397" t="s">
        <v>1035</v>
      </c>
      <c r="D215" s="398">
        <v>25132</v>
      </c>
      <c r="E215" s="397" t="s">
        <v>824</v>
      </c>
      <c r="F215" s="397" t="s">
        <v>825</v>
      </c>
      <c r="G215" s="397" t="s">
        <v>1027</v>
      </c>
      <c r="H215" s="423">
        <v>2410</v>
      </c>
      <c r="I215" s="397" t="s">
        <v>366</v>
      </c>
      <c r="J215" s="400">
        <f t="shared" ca="1" si="3"/>
        <v>55</v>
      </c>
    </row>
    <row r="216" spans="1:10" ht="15" x14ac:dyDescent="0.25">
      <c r="A216" s="397">
        <v>10000385</v>
      </c>
      <c r="B216" s="397">
        <v>8402301541</v>
      </c>
      <c r="C216" s="397" t="s">
        <v>1036</v>
      </c>
      <c r="D216" s="398">
        <v>28179</v>
      </c>
      <c r="E216" s="397" t="s">
        <v>1030</v>
      </c>
      <c r="F216" s="397" t="s">
        <v>1031</v>
      </c>
      <c r="G216" s="397" t="s">
        <v>1032</v>
      </c>
      <c r="H216" s="423">
        <v>2421</v>
      </c>
      <c r="I216" s="397" t="s">
        <v>368</v>
      </c>
      <c r="J216" s="400">
        <f t="shared" ca="1" si="3"/>
        <v>46</v>
      </c>
    </row>
    <row r="217" spans="1:10" ht="15" x14ac:dyDescent="0.25">
      <c r="A217" s="397">
        <v>10000386</v>
      </c>
      <c r="B217" s="397">
        <v>8372793190</v>
      </c>
      <c r="C217" s="397" t="s">
        <v>1037</v>
      </c>
      <c r="D217" s="398">
        <v>25228</v>
      </c>
      <c r="E217" s="397" t="s">
        <v>792</v>
      </c>
      <c r="F217" s="397" t="s">
        <v>793</v>
      </c>
      <c r="G217" s="397" t="s">
        <v>902</v>
      </c>
      <c r="H217" s="423">
        <v>2410</v>
      </c>
      <c r="I217" s="397" t="s">
        <v>366</v>
      </c>
      <c r="J217" s="400">
        <f t="shared" ca="1" si="3"/>
        <v>54</v>
      </c>
    </row>
    <row r="218" spans="1:10" ht="15" x14ac:dyDescent="0.25">
      <c r="A218" s="397">
        <v>10000388</v>
      </c>
      <c r="B218" s="397">
        <v>8415210264</v>
      </c>
      <c r="C218" s="397" t="s">
        <v>1038</v>
      </c>
      <c r="D218" s="398">
        <v>29470</v>
      </c>
      <c r="E218" s="397" t="s">
        <v>1039</v>
      </c>
      <c r="F218" s="397" t="s">
        <v>1040</v>
      </c>
      <c r="G218" s="397" t="s">
        <v>1014</v>
      </c>
      <c r="H218" s="423">
        <v>4229</v>
      </c>
      <c r="I218" s="397" t="s">
        <v>545</v>
      </c>
      <c r="J218" s="400">
        <f t="shared" ca="1" si="3"/>
        <v>43</v>
      </c>
    </row>
    <row r="219" spans="1:10" ht="15" x14ac:dyDescent="0.25">
      <c r="A219" s="397">
        <v>10000394</v>
      </c>
      <c r="B219" s="397">
        <v>8351102644</v>
      </c>
      <c r="C219" s="397" t="s">
        <v>1041</v>
      </c>
      <c r="D219" s="398">
        <v>23059</v>
      </c>
      <c r="E219" s="397" t="s">
        <v>1042</v>
      </c>
      <c r="F219" s="397" t="s">
        <v>1043</v>
      </c>
      <c r="G219" s="397" t="s">
        <v>1014</v>
      </c>
      <c r="H219" s="423">
        <v>1419</v>
      </c>
      <c r="I219" s="397" t="s">
        <v>310</v>
      </c>
      <c r="J219" s="400">
        <f t="shared" ca="1" si="3"/>
        <v>60</v>
      </c>
    </row>
    <row r="220" spans="1:10" ht="15" x14ac:dyDescent="0.25">
      <c r="A220" s="397">
        <v>10000395</v>
      </c>
      <c r="B220" s="397">
        <v>8350062436</v>
      </c>
      <c r="C220" s="397" t="s">
        <v>1044</v>
      </c>
      <c r="D220" s="398">
        <v>22955</v>
      </c>
      <c r="E220" s="397" t="s">
        <v>1045</v>
      </c>
      <c r="F220" s="397" t="s">
        <v>1046</v>
      </c>
      <c r="G220" s="397" t="s">
        <v>1014</v>
      </c>
      <c r="H220" s="423">
        <v>3611</v>
      </c>
      <c r="I220" s="397" t="s">
        <v>485</v>
      </c>
      <c r="J220" s="400">
        <f t="shared" ca="1" si="3"/>
        <v>61</v>
      </c>
    </row>
    <row r="221" spans="1:10" ht="15" x14ac:dyDescent="0.25">
      <c r="A221" s="397">
        <v>10000396</v>
      </c>
      <c r="B221" s="397">
        <v>8387944947</v>
      </c>
      <c r="C221" s="397" t="s">
        <v>1047</v>
      </c>
      <c r="D221" s="398">
        <v>26743</v>
      </c>
      <c r="E221" s="397" t="s">
        <v>1045</v>
      </c>
      <c r="F221" s="397" t="s">
        <v>1046</v>
      </c>
      <c r="G221" s="397" t="s">
        <v>1014</v>
      </c>
      <c r="H221" s="423">
        <v>3611</v>
      </c>
      <c r="I221" s="397" t="s">
        <v>485</v>
      </c>
      <c r="J221" s="400">
        <f t="shared" ca="1" si="3"/>
        <v>50</v>
      </c>
    </row>
    <row r="222" spans="1:10" ht="15" x14ac:dyDescent="0.25">
      <c r="A222" s="397">
        <v>10000407</v>
      </c>
      <c r="B222" s="397">
        <v>8393403200</v>
      </c>
      <c r="C222" s="397" t="s">
        <v>1048</v>
      </c>
      <c r="D222" s="398">
        <v>27289</v>
      </c>
      <c r="E222" s="397" t="s">
        <v>1045</v>
      </c>
      <c r="F222" s="397" t="s">
        <v>1046</v>
      </c>
      <c r="G222" s="397" t="s">
        <v>1049</v>
      </c>
      <c r="H222" s="423">
        <v>2624</v>
      </c>
      <c r="I222" s="397" t="s">
        <v>401</v>
      </c>
      <c r="J222" s="400">
        <f t="shared" ca="1" si="3"/>
        <v>49</v>
      </c>
    </row>
    <row r="223" spans="1:10" ht="15" x14ac:dyDescent="0.25">
      <c r="A223" s="397">
        <v>10000408</v>
      </c>
      <c r="B223" s="397">
        <v>8406592389</v>
      </c>
      <c r="C223" s="397" t="s">
        <v>1050</v>
      </c>
      <c r="D223" s="398">
        <v>28608</v>
      </c>
      <c r="E223" s="397" t="s">
        <v>1051</v>
      </c>
      <c r="F223" s="397" t="s">
        <v>1052</v>
      </c>
      <c r="G223" s="397" t="s">
        <v>1014</v>
      </c>
      <c r="H223" s="423">
        <v>4134</v>
      </c>
      <c r="I223" s="397" t="s">
        <v>534</v>
      </c>
      <c r="J223" s="400">
        <f t="shared" ca="1" si="3"/>
        <v>45</v>
      </c>
    </row>
    <row r="224" spans="1:10" ht="15" x14ac:dyDescent="0.25">
      <c r="A224" s="397">
        <v>10000409</v>
      </c>
      <c r="B224" s="397">
        <v>8396515204</v>
      </c>
      <c r="C224" s="397" t="s">
        <v>1053</v>
      </c>
      <c r="D224" s="398">
        <v>27600</v>
      </c>
      <c r="E224" s="397" t="s">
        <v>1054</v>
      </c>
      <c r="F224" s="397" t="s">
        <v>1055</v>
      </c>
      <c r="G224" s="397" t="s">
        <v>1049</v>
      </c>
      <c r="H224" s="423">
        <v>2152</v>
      </c>
      <c r="I224" s="397" t="s">
        <v>336</v>
      </c>
      <c r="J224" s="400">
        <f t="shared" ca="1" si="3"/>
        <v>48</v>
      </c>
    </row>
    <row r="225" spans="1:10" ht="15" x14ac:dyDescent="0.25">
      <c r="A225" s="397">
        <v>10000410</v>
      </c>
      <c r="B225" s="397">
        <v>8403482019</v>
      </c>
      <c r="C225" s="397" t="s">
        <v>1056</v>
      </c>
      <c r="D225" s="398">
        <v>28297</v>
      </c>
      <c r="E225" s="397" t="s">
        <v>784</v>
      </c>
      <c r="F225" s="397" t="s">
        <v>785</v>
      </c>
      <c r="G225" s="397" t="s">
        <v>1049</v>
      </c>
      <c r="H225" s="423">
        <v>3910</v>
      </c>
      <c r="I225" s="397" t="s">
        <v>520</v>
      </c>
      <c r="J225" s="400">
        <f t="shared" ca="1" si="3"/>
        <v>46</v>
      </c>
    </row>
    <row r="226" spans="1:10" ht="15" x14ac:dyDescent="0.25">
      <c r="A226" s="397">
        <v>10000411</v>
      </c>
      <c r="B226" s="397">
        <v>8363372080</v>
      </c>
      <c r="C226" s="397" t="s">
        <v>1057</v>
      </c>
      <c r="D226" s="398">
        <v>24286</v>
      </c>
      <c r="E226" s="397" t="s">
        <v>824</v>
      </c>
      <c r="F226" s="397" t="s">
        <v>825</v>
      </c>
      <c r="G226" s="397" t="s">
        <v>1049</v>
      </c>
      <c r="H226" s="423">
        <v>3649</v>
      </c>
      <c r="I226" s="397" t="s">
        <v>502</v>
      </c>
      <c r="J226" s="400">
        <f t="shared" ca="1" si="3"/>
        <v>57</v>
      </c>
    </row>
    <row r="227" spans="1:10" ht="15" x14ac:dyDescent="0.25">
      <c r="A227" s="397">
        <v>10000412</v>
      </c>
      <c r="B227" s="397">
        <v>8449900085</v>
      </c>
      <c r="C227" s="397" t="s">
        <v>1058</v>
      </c>
      <c r="D227" s="398">
        <v>32939</v>
      </c>
      <c r="E227" s="397" t="s">
        <v>1045</v>
      </c>
      <c r="F227" s="397" t="s">
        <v>1046</v>
      </c>
      <c r="G227" s="397" t="s">
        <v>1014</v>
      </c>
      <c r="H227" s="423">
        <v>2624</v>
      </c>
      <c r="I227" s="397" t="s">
        <v>401</v>
      </c>
      <c r="J227" s="400">
        <f t="shared" ca="1" si="3"/>
        <v>33</v>
      </c>
    </row>
    <row r="228" spans="1:10" ht="15" x14ac:dyDescent="0.25">
      <c r="A228" s="397">
        <v>10000416</v>
      </c>
      <c r="B228" s="397">
        <v>8352431714</v>
      </c>
      <c r="C228" s="397" t="s">
        <v>1059</v>
      </c>
      <c r="D228" s="398">
        <v>23192</v>
      </c>
      <c r="E228" s="397" t="s">
        <v>840</v>
      </c>
      <c r="F228" s="397" t="s">
        <v>841</v>
      </c>
      <c r="G228" s="397" t="s">
        <v>1049</v>
      </c>
      <c r="H228" s="423">
        <v>4111</v>
      </c>
      <c r="I228" s="397" t="s">
        <v>522</v>
      </c>
      <c r="J228" s="400">
        <f t="shared" ca="1" si="3"/>
        <v>60</v>
      </c>
    </row>
    <row r="229" spans="1:10" ht="15" x14ac:dyDescent="0.25">
      <c r="A229" s="397">
        <v>10000418</v>
      </c>
      <c r="B229" s="397">
        <v>8370861563</v>
      </c>
      <c r="C229" s="397" t="s">
        <v>1060</v>
      </c>
      <c r="D229" s="398">
        <v>25035</v>
      </c>
      <c r="E229" s="397" t="s">
        <v>1061</v>
      </c>
      <c r="F229" s="397" t="s">
        <v>1062</v>
      </c>
      <c r="G229" s="397" t="s">
        <v>1049</v>
      </c>
      <c r="H229" s="423">
        <v>3910</v>
      </c>
      <c r="I229" s="397" t="s">
        <v>520</v>
      </c>
      <c r="J229" s="400">
        <f t="shared" ca="1" si="3"/>
        <v>55</v>
      </c>
    </row>
    <row r="230" spans="1:10" ht="15" x14ac:dyDescent="0.25">
      <c r="A230" s="397">
        <v>10000422</v>
      </c>
      <c r="B230" s="397">
        <v>8375151610</v>
      </c>
      <c r="C230" s="397" t="s">
        <v>1063</v>
      </c>
      <c r="D230" s="398">
        <v>25464</v>
      </c>
      <c r="E230" s="397" t="s">
        <v>1064</v>
      </c>
      <c r="F230" s="397" t="s">
        <v>1065</v>
      </c>
      <c r="G230" s="397" t="s">
        <v>1066</v>
      </c>
      <c r="H230" s="423">
        <v>3719</v>
      </c>
      <c r="I230" s="397" t="s">
        <v>517</v>
      </c>
      <c r="J230" s="400">
        <f t="shared" ca="1" si="3"/>
        <v>54</v>
      </c>
    </row>
    <row r="231" spans="1:10" ht="15" x14ac:dyDescent="0.25">
      <c r="A231" s="397">
        <v>10000423</v>
      </c>
      <c r="B231" s="397">
        <v>8371162944</v>
      </c>
      <c r="C231" s="397" t="s">
        <v>1067</v>
      </c>
      <c r="D231" s="398">
        <v>25065</v>
      </c>
      <c r="E231" s="397" t="s">
        <v>1042</v>
      </c>
      <c r="F231" s="397" t="s">
        <v>1043</v>
      </c>
      <c r="G231" s="397" t="s">
        <v>1068</v>
      </c>
      <c r="H231" s="423">
        <v>7524</v>
      </c>
      <c r="I231" s="397" t="s">
        <v>655</v>
      </c>
      <c r="J231" s="400">
        <f t="shared" ca="1" si="3"/>
        <v>55</v>
      </c>
    </row>
    <row r="232" spans="1:10" ht="15" x14ac:dyDescent="0.25">
      <c r="A232" s="397">
        <v>10000428</v>
      </c>
      <c r="B232" s="397">
        <v>8405784101</v>
      </c>
      <c r="C232" s="397" t="s">
        <v>1069</v>
      </c>
      <c r="D232" s="398">
        <v>28527</v>
      </c>
      <c r="E232" s="397" t="s">
        <v>792</v>
      </c>
      <c r="F232" s="397" t="s">
        <v>793</v>
      </c>
      <c r="G232" s="397" t="s">
        <v>776</v>
      </c>
      <c r="H232" s="423">
        <v>2410</v>
      </c>
      <c r="I232" s="397" t="s">
        <v>366</v>
      </c>
      <c r="J232" s="400">
        <f t="shared" ca="1" si="3"/>
        <v>45</v>
      </c>
    </row>
    <row r="233" spans="1:10" ht="15" x14ac:dyDescent="0.25">
      <c r="A233" s="397">
        <v>10000430</v>
      </c>
      <c r="B233" s="397">
        <v>8388711881</v>
      </c>
      <c r="C233" s="397" t="s">
        <v>1070</v>
      </c>
      <c r="D233" s="398">
        <v>26820</v>
      </c>
      <c r="E233" s="397" t="s">
        <v>1071</v>
      </c>
      <c r="F233" s="397" t="s">
        <v>1072</v>
      </c>
      <c r="G233" s="397" t="s">
        <v>1014</v>
      </c>
      <c r="H233" s="423">
        <v>2910</v>
      </c>
      <c r="I233" s="397" t="s">
        <v>422</v>
      </c>
      <c r="J233" s="400">
        <f t="shared" ca="1" si="3"/>
        <v>50</v>
      </c>
    </row>
    <row r="234" spans="1:10" ht="15" x14ac:dyDescent="0.25">
      <c r="A234" s="397">
        <v>10000432</v>
      </c>
      <c r="B234" s="397">
        <v>8398384042</v>
      </c>
      <c r="C234" s="397" t="s">
        <v>1073</v>
      </c>
      <c r="D234" s="398">
        <v>27787</v>
      </c>
      <c r="E234" s="397" t="s">
        <v>1039</v>
      </c>
      <c r="F234" s="397" t="s">
        <v>1040</v>
      </c>
      <c r="G234" s="397" t="s">
        <v>1014</v>
      </c>
      <c r="H234" s="423">
        <v>4229</v>
      </c>
      <c r="I234" s="397" t="s">
        <v>545</v>
      </c>
      <c r="J234" s="400">
        <f t="shared" ca="1" si="3"/>
        <v>47</v>
      </c>
    </row>
    <row r="235" spans="1:10" ht="15" x14ac:dyDescent="0.25">
      <c r="A235" s="397">
        <v>10000433</v>
      </c>
      <c r="B235" s="397">
        <v>8415712928</v>
      </c>
      <c r="C235" s="397" t="s">
        <v>1074</v>
      </c>
      <c r="D235" s="398">
        <v>29520</v>
      </c>
      <c r="E235" s="397" t="s">
        <v>868</v>
      </c>
      <c r="F235" s="397" t="s">
        <v>869</v>
      </c>
      <c r="G235" s="397" t="s">
        <v>902</v>
      </c>
      <c r="H235" s="423">
        <v>2167</v>
      </c>
      <c r="I235" s="397" t="s">
        <v>344</v>
      </c>
      <c r="J235" s="400">
        <f t="shared" ca="1" si="3"/>
        <v>43</v>
      </c>
    </row>
    <row r="236" spans="1:10" ht="15" x14ac:dyDescent="0.25">
      <c r="A236" s="397">
        <v>10000435</v>
      </c>
      <c r="B236" s="397">
        <v>8334653166</v>
      </c>
      <c r="C236" s="397" t="s">
        <v>1075</v>
      </c>
      <c r="D236" s="398">
        <v>21414</v>
      </c>
      <c r="E236" s="397" t="s">
        <v>1076</v>
      </c>
      <c r="F236" s="397" t="s">
        <v>1077</v>
      </c>
      <c r="G236" s="397" t="s">
        <v>1014</v>
      </c>
      <c r="H236" s="423">
        <v>2910</v>
      </c>
      <c r="I236" s="397" t="s">
        <v>422</v>
      </c>
      <c r="J236" s="400">
        <f t="shared" ca="1" si="3"/>
        <v>65</v>
      </c>
    </row>
    <row r="237" spans="1:10" ht="15" x14ac:dyDescent="0.25">
      <c r="A237" s="397">
        <v>10000437</v>
      </c>
      <c r="B237" s="397">
        <v>8399050482</v>
      </c>
      <c r="C237" s="397" t="s">
        <v>1078</v>
      </c>
      <c r="D237" s="398">
        <v>27854</v>
      </c>
      <c r="E237" s="397" t="s">
        <v>849</v>
      </c>
      <c r="F237" s="397" t="s">
        <v>850</v>
      </c>
      <c r="G237" s="397" t="s">
        <v>1049</v>
      </c>
      <c r="H237" s="423">
        <v>4111</v>
      </c>
      <c r="I237" s="397" t="s">
        <v>522</v>
      </c>
      <c r="J237" s="400">
        <f t="shared" ca="1" si="3"/>
        <v>47</v>
      </c>
    </row>
    <row r="238" spans="1:10" ht="15" x14ac:dyDescent="0.25">
      <c r="A238" s="397">
        <v>10000438</v>
      </c>
      <c r="B238" s="397">
        <v>8374741791</v>
      </c>
      <c r="C238" s="397" t="s">
        <v>1079</v>
      </c>
      <c r="D238" s="398">
        <v>25423</v>
      </c>
      <c r="E238" s="397" t="s">
        <v>771</v>
      </c>
      <c r="F238" s="397" t="s">
        <v>772</v>
      </c>
      <c r="G238" s="397" t="s">
        <v>1014</v>
      </c>
      <c r="H238" s="423">
        <v>2910</v>
      </c>
      <c r="I238" s="397" t="s">
        <v>422</v>
      </c>
      <c r="J238" s="400">
        <f t="shared" ca="1" si="3"/>
        <v>54</v>
      </c>
    </row>
    <row r="239" spans="1:10" ht="15" x14ac:dyDescent="0.25">
      <c r="A239" s="397">
        <v>10000439</v>
      </c>
      <c r="B239" s="397">
        <v>8375791911</v>
      </c>
      <c r="C239" s="397" t="s">
        <v>1080</v>
      </c>
      <c r="D239" s="398">
        <v>25528</v>
      </c>
      <c r="E239" s="397" t="s">
        <v>1039</v>
      </c>
      <c r="F239" s="397" t="s">
        <v>1040</v>
      </c>
      <c r="G239" s="397" t="s">
        <v>1049</v>
      </c>
      <c r="H239" s="423">
        <v>4229</v>
      </c>
      <c r="I239" s="397" t="s">
        <v>545</v>
      </c>
      <c r="J239" s="400">
        <f t="shared" ca="1" si="3"/>
        <v>54</v>
      </c>
    </row>
    <row r="240" spans="1:10" ht="15" x14ac:dyDescent="0.25">
      <c r="A240" s="397">
        <v>10000441</v>
      </c>
      <c r="B240" s="397">
        <v>8391703703</v>
      </c>
      <c r="C240" s="397" t="s">
        <v>1081</v>
      </c>
      <c r="D240" s="398">
        <v>27119</v>
      </c>
      <c r="E240" s="397" t="s">
        <v>1045</v>
      </c>
      <c r="F240" s="397" t="s">
        <v>1046</v>
      </c>
      <c r="G240" s="397" t="s">
        <v>1014</v>
      </c>
      <c r="H240" s="423">
        <v>3611</v>
      </c>
      <c r="I240" s="397" t="s">
        <v>485</v>
      </c>
      <c r="J240" s="400">
        <f t="shared" ca="1" si="3"/>
        <v>49</v>
      </c>
    </row>
    <row r="241" spans="1:10" ht="15" x14ac:dyDescent="0.25">
      <c r="A241" s="397">
        <v>10000442</v>
      </c>
      <c r="B241" s="397">
        <v>8383633823</v>
      </c>
      <c r="C241" s="397" t="s">
        <v>1082</v>
      </c>
      <c r="D241" s="398">
        <v>26312</v>
      </c>
      <c r="E241" s="397" t="s">
        <v>788</v>
      </c>
      <c r="F241" s="397" t="s">
        <v>789</v>
      </c>
      <c r="G241" s="397" t="s">
        <v>1014</v>
      </c>
      <c r="H241" s="423">
        <v>2121</v>
      </c>
      <c r="I241" s="397" t="s">
        <v>319</v>
      </c>
      <c r="J241" s="400">
        <f t="shared" ca="1" si="3"/>
        <v>51</v>
      </c>
    </row>
    <row r="242" spans="1:10" ht="15" x14ac:dyDescent="0.25">
      <c r="A242" s="397">
        <v>10000443</v>
      </c>
      <c r="B242" s="397">
        <v>8340680668</v>
      </c>
      <c r="C242" s="397" t="s">
        <v>1083</v>
      </c>
      <c r="D242" s="398">
        <v>22017</v>
      </c>
      <c r="E242" s="397" t="s">
        <v>762</v>
      </c>
      <c r="F242" s="397" t="s">
        <v>763</v>
      </c>
      <c r="G242" s="397" t="s">
        <v>1084</v>
      </c>
      <c r="H242" s="423">
        <v>2159</v>
      </c>
      <c r="I242" s="397" t="s">
        <v>338</v>
      </c>
      <c r="J242" s="400">
        <f t="shared" ca="1" si="3"/>
        <v>63</v>
      </c>
    </row>
    <row r="243" spans="1:10" ht="15" x14ac:dyDescent="0.25">
      <c r="A243" s="397">
        <v>10000451</v>
      </c>
      <c r="B243" s="397">
        <v>8351583782</v>
      </c>
      <c r="C243" s="397" t="s">
        <v>1085</v>
      </c>
      <c r="D243" s="398">
        <v>23107</v>
      </c>
      <c r="E243" s="397" t="s">
        <v>771</v>
      </c>
      <c r="F243" s="397" t="s">
        <v>772</v>
      </c>
      <c r="G243" s="397" t="s">
        <v>1049</v>
      </c>
      <c r="H243" s="423">
        <v>3910</v>
      </c>
      <c r="I243" s="397" t="s">
        <v>520</v>
      </c>
      <c r="J243" s="400">
        <f t="shared" ca="1" si="3"/>
        <v>60</v>
      </c>
    </row>
    <row r="244" spans="1:10" ht="15" x14ac:dyDescent="0.25">
      <c r="A244" s="397">
        <v>10000457</v>
      </c>
      <c r="B244" s="397">
        <v>8419450189</v>
      </c>
      <c r="C244" s="397" t="s">
        <v>1086</v>
      </c>
      <c r="D244" s="398">
        <v>29894</v>
      </c>
      <c r="E244" s="397" t="s">
        <v>1076</v>
      </c>
      <c r="F244" s="397" t="s">
        <v>1077</v>
      </c>
      <c r="G244" s="397" t="s">
        <v>1087</v>
      </c>
      <c r="H244" s="423">
        <v>1210</v>
      </c>
      <c r="I244" s="397" t="s">
        <v>284</v>
      </c>
      <c r="J244" s="400">
        <f t="shared" ca="1" si="3"/>
        <v>42</v>
      </c>
    </row>
    <row r="245" spans="1:10" ht="15" x14ac:dyDescent="0.25">
      <c r="A245" s="397">
        <v>10000460</v>
      </c>
      <c r="B245" s="397">
        <v>8375073423</v>
      </c>
      <c r="C245" s="397" t="s">
        <v>1088</v>
      </c>
      <c r="D245" s="398">
        <v>25456</v>
      </c>
      <c r="E245" s="397" t="s">
        <v>810</v>
      </c>
      <c r="F245" s="397" t="s">
        <v>811</v>
      </c>
      <c r="G245" s="397" t="s">
        <v>985</v>
      </c>
      <c r="H245" s="423">
        <v>2122</v>
      </c>
      <c r="I245" s="397" t="s">
        <v>320</v>
      </c>
      <c r="J245" s="400">
        <f t="shared" ca="1" si="3"/>
        <v>54</v>
      </c>
    </row>
    <row r="246" spans="1:10" ht="15" x14ac:dyDescent="0.25">
      <c r="A246" s="397">
        <v>10000461</v>
      </c>
      <c r="B246" s="397">
        <v>8437650712</v>
      </c>
      <c r="C246" s="397" t="s">
        <v>1089</v>
      </c>
      <c r="D246" s="398">
        <v>31714</v>
      </c>
      <c r="E246" s="397" t="s">
        <v>1054</v>
      </c>
      <c r="F246" s="397" t="s">
        <v>1055</v>
      </c>
      <c r="G246" s="397" t="s">
        <v>1049</v>
      </c>
      <c r="H246" s="423">
        <v>2910</v>
      </c>
      <c r="I246" s="397" t="s">
        <v>422</v>
      </c>
      <c r="J246" s="400">
        <f t="shared" ca="1" si="3"/>
        <v>37</v>
      </c>
    </row>
    <row r="247" spans="1:10" ht="15" x14ac:dyDescent="0.25">
      <c r="A247" s="397">
        <v>10000463</v>
      </c>
      <c r="B247" s="397">
        <v>8369322778</v>
      </c>
      <c r="C247" s="397" t="s">
        <v>1090</v>
      </c>
      <c r="D247" s="398">
        <v>24881</v>
      </c>
      <c r="E247" s="397" t="s">
        <v>1039</v>
      </c>
      <c r="F247" s="397" t="s">
        <v>1040</v>
      </c>
      <c r="G247" s="397" t="s">
        <v>1049</v>
      </c>
      <c r="H247" s="423">
        <v>4229</v>
      </c>
      <c r="I247" s="397" t="s">
        <v>545</v>
      </c>
      <c r="J247" s="400">
        <f t="shared" ca="1" si="3"/>
        <v>55</v>
      </c>
    </row>
    <row r="248" spans="1:10" ht="15" x14ac:dyDescent="0.25">
      <c r="A248" s="397">
        <v>10000464</v>
      </c>
      <c r="B248" s="397">
        <v>8397243569</v>
      </c>
      <c r="C248" s="397" t="s">
        <v>1091</v>
      </c>
      <c r="D248" s="398">
        <v>27673</v>
      </c>
      <c r="E248" s="397" t="s">
        <v>810</v>
      </c>
      <c r="F248" s="397" t="s">
        <v>811</v>
      </c>
      <c r="G248" s="397" t="s">
        <v>902</v>
      </c>
      <c r="H248" s="423">
        <v>2122</v>
      </c>
      <c r="I248" s="397" t="s">
        <v>320</v>
      </c>
      <c r="J248" s="400">
        <f t="shared" ca="1" si="3"/>
        <v>48</v>
      </c>
    </row>
    <row r="249" spans="1:10" ht="15" x14ac:dyDescent="0.25">
      <c r="A249" s="397">
        <v>10000469</v>
      </c>
      <c r="B249" s="397">
        <v>8375183237</v>
      </c>
      <c r="C249" s="397" t="s">
        <v>1092</v>
      </c>
      <c r="D249" s="398">
        <v>25467</v>
      </c>
      <c r="E249" s="397" t="s">
        <v>846</v>
      </c>
      <c r="F249" s="397" t="s">
        <v>847</v>
      </c>
      <c r="G249" s="397" t="s">
        <v>1049</v>
      </c>
      <c r="H249" s="423">
        <v>3910</v>
      </c>
      <c r="I249" s="397" t="s">
        <v>520</v>
      </c>
      <c r="J249" s="400">
        <f t="shared" ca="1" si="3"/>
        <v>54</v>
      </c>
    </row>
    <row r="250" spans="1:10" ht="15" x14ac:dyDescent="0.25">
      <c r="A250" s="397">
        <v>10000470</v>
      </c>
      <c r="B250" s="397">
        <v>8427102364</v>
      </c>
      <c r="C250" s="397" t="s">
        <v>1093</v>
      </c>
      <c r="D250" s="398">
        <v>30659</v>
      </c>
      <c r="E250" s="397" t="s">
        <v>1045</v>
      </c>
      <c r="F250" s="397" t="s">
        <v>1046</v>
      </c>
      <c r="G250" s="397" t="s">
        <v>1014</v>
      </c>
      <c r="H250" s="423">
        <v>2624</v>
      </c>
      <c r="I250" s="397" t="s">
        <v>401</v>
      </c>
      <c r="J250" s="400">
        <f t="shared" ca="1" si="3"/>
        <v>40</v>
      </c>
    </row>
    <row r="251" spans="1:10" ht="15" x14ac:dyDescent="0.25">
      <c r="A251" s="397">
        <v>10000482</v>
      </c>
      <c r="B251" s="397">
        <v>8331781015</v>
      </c>
      <c r="C251" s="397" t="s">
        <v>1094</v>
      </c>
      <c r="D251" s="398">
        <v>21127</v>
      </c>
      <c r="E251" s="397" t="s">
        <v>1042</v>
      </c>
      <c r="F251" s="397" t="s">
        <v>1043</v>
      </c>
      <c r="G251" s="397" t="s">
        <v>1068</v>
      </c>
      <c r="H251" s="423">
        <v>7535</v>
      </c>
      <c r="I251" s="397" t="s">
        <v>661</v>
      </c>
      <c r="J251" s="400">
        <f t="shared" ca="1" si="3"/>
        <v>66</v>
      </c>
    </row>
    <row r="252" spans="1:10" ht="15" x14ac:dyDescent="0.25">
      <c r="A252" s="397">
        <v>10000483</v>
      </c>
      <c r="B252" s="397">
        <v>8425041317</v>
      </c>
      <c r="C252" s="397" t="s">
        <v>1095</v>
      </c>
      <c r="D252" s="398">
        <v>30453</v>
      </c>
      <c r="E252" s="397" t="s">
        <v>1096</v>
      </c>
      <c r="F252" s="397" t="s">
        <v>1097</v>
      </c>
      <c r="G252" s="397" t="s">
        <v>1049</v>
      </c>
      <c r="H252" s="423">
        <v>2142</v>
      </c>
      <c r="I252" s="397" t="s">
        <v>331</v>
      </c>
      <c r="J252" s="400">
        <f t="shared" ca="1" si="3"/>
        <v>40</v>
      </c>
    </row>
    <row r="253" spans="1:10" ht="15" x14ac:dyDescent="0.25">
      <c r="A253" s="397">
        <v>10000485</v>
      </c>
      <c r="B253" s="397">
        <v>8332283086</v>
      </c>
      <c r="C253" s="397" t="s">
        <v>1098</v>
      </c>
      <c r="D253" s="398">
        <v>21177</v>
      </c>
      <c r="E253" s="397" t="s">
        <v>1042</v>
      </c>
      <c r="F253" s="397" t="s">
        <v>1043</v>
      </c>
      <c r="G253" s="397" t="s">
        <v>1068</v>
      </c>
      <c r="H253" s="423">
        <v>8323</v>
      </c>
      <c r="I253" s="397" t="s">
        <v>698</v>
      </c>
      <c r="J253" s="400">
        <f t="shared" ca="1" si="3"/>
        <v>66</v>
      </c>
    </row>
    <row r="254" spans="1:10" ht="15" x14ac:dyDescent="0.25">
      <c r="A254" s="397">
        <v>10000487</v>
      </c>
      <c r="B254" s="397">
        <v>8404800294</v>
      </c>
      <c r="C254" s="397" t="s">
        <v>1099</v>
      </c>
      <c r="D254" s="398">
        <v>28429</v>
      </c>
      <c r="E254" s="397" t="s">
        <v>1045</v>
      </c>
      <c r="F254" s="397" t="s">
        <v>1046</v>
      </c>
      <c r="G254" s="397" t="s">
        <v>1049</v>
      </c>
      <c r="H254" s="423">
        <v>3614</v>
      </c>
      <c r="I254" s="397" t="s">
        <v>489</v>
      </c>
      <c r="J254" s="400">
        <f t="shared" ca="1" si="3"/>
        <v>46</v>
      </c>
    </row>
    <row r="255" spans="1:10" ht="15" x14ac:dyDescent="0.25">
      <c r="A255" s="397">
        <v>10000492</v>
      </c>
      <c r="B255" s="397">
        <v>8372712697</v>
      </c>
      <c r="C255" s="397" t="s">
        <v>1100</v>
      </c>
      <c r="D255" s="398">
        <v>25220</v>
      </c>
      <c r="E255" s="397" t="s">
        <v>1045</v>
      </c>
      <c r="F255" s="397" t="s">
        <v>1046</v>
      </c>
      <c r="G255" s="397" t="s">
        <v>1049</v>
      </c>
      <c r="H255" s="423">
        <v>3614</v>
      </c>
      <c r="I255" s="397" t="s">
        <v>489</v>
      </c>
      <c r="J255" s="400">
        <f t="shared" ca="1" si="3"/>
        <v>54</v>
      </c>
    </row>
    <row r="256" spans="1:10" ht="15" x14ac:dyDescent="0.25">
      <c r="A256" s="397">
        <v>10000493</v>
      </c>
      <c r="B256" s="397">
        <v>8426023649</v>
      </c>
      <c r="C256" s="397" t="s">
        <v>1101</v>
      </c>
      <c r="D256" s="398">
        <v>30551</v>
      </c>
      <c r="E256" s="397" t="s">
        <v>1039</v>
      </c>
      <c r="F256" s="397" t="s">
        <v>1040</v>
      </c>
      <c r="G256" s="397" t="s">
        <v>1014</v>
      </c>
      <c r="H256" s="423">
        <v>4229</v>
      </c>
      <c r="I256" s="397" t="s">
        <v>545</v>
      </c>
      <c r="J256" s="400">
        <f t="shared" ca="1" si="3"/>
        <v>40</v>
      </c>
    </row>
    <row r="257" spans="1:10" ht="15" x14ac:dyDescent="0.25">
      <c r="A257" s="397">
        <v>10000495</v>
      </c>
      <c r="B257" s="397">
        <v>8404622922</v>
      </c>
      <c r="C257" s="397" t="s">
        <v>1102</v>
      </c>
      <c r="D257" s="398">
        <v>28411</v>
      </c>
      <c r="E257" s="397" t="s">
        <v>1103</v>
      </c>
      <c r="F257" s="397" t="s">
        <v>1104</v>
      </c>
      <c r="G257" s="397" t="s">
        <v>1049</v>
      </c>
      <c r="H257" s="423">
        <v>3623</v>
      </c>
      <c r="I257" s="397" t="s">
        <v>494</v>
      </c>
      <c r="J257" s="400">
        <f t="shared" ca="1" si="3"/>
        <v>46</v>
      </c>
    </row>
    <row r="258" spans="1:10" ht="15" x14ac:dyDescent="0.25">
      <c r="A258" s="397">
        <v>10000496</v>
      </c>
      <c r="B258" s="397">
        <v>8416410135</v>
      </c>
      <c r="C258" s="397" t="s">
        <v>1105</v>
      </c>
      <c r="D258" s="398">
        <v>29590</v>
      </c>
      <c r="E258" s="397" t="s">
        <v>1071</v>
      </c>
      <c r="F258" s="397" t="s">
        <v>1072</v>
      </c>
      <c r="G258" s="397" t="s">
        <v>1014</v>
      </c>
      <c r="H258" s="423">
        <v>2719</v>
      </c>
      <c r="I258" s="397" t="s">
        <v>414</v>
      </c>
      <c r="J258" s="400">
        <f t="shared" ca="1" si="3"/>
        <v>42</v>
      </c>
    </row>
    <row r="259" spans="1:10" ht="15" x14ac:dyDescent="0.25">
      <c r="A259" s="397">
        <v>10000500</v>
      </c>
      <c r="B259" s="397">
        <v>8430941800</v>
      </c>
      <c r="C259" s="397" t="s">
        <v>1106</v>
      </c>
      <c r="D259" s="398">
        <v>31043</v>
      </c>
      <c r="E259" s="397" t="s">
        <v>1107</v>
      </c>
      <c r="F259" s="397" t="s">
        <v>1108</v>
      </c>
      <c r="G259" s="397" t="s">
        <v>1014</v>
      </c>
      <c r="H259" s="423">
        <v>2910</v>
      </c>
      <c r="I259" s="397" t="s">
        <v>422</v>
      </c>
      <c r="J259" s="400">
        <f t="shared" ref="J259:J322" ca="1" si="4">YEAR(TODAY())-YEAR(D259)</f>
        <v>39</v>
      </c>
    </row>
    <row r="260" spans="1:10" ht="15" x14ac:dyDescent="0.25">
      <c r="A260" s="397">
        <v>10000501</v>
      </c>
      <c r="B260" s="397">
        <v>8390261707</v>
      </c>
      <c r="C260" s="397" t="s">
        <v>1109</v>
      </c>
      <c r="D260" s="398">
        <v>26975</v>
      </c>
      <c r="E260" s="397" t="s">
        <v>1039</v>
      </c>
      <c r="F260" s="397" t="s">
        <v>1040</v>
      </c>
      <c r="G260" s="397" t="s">
        <v>1049</v>
      </c>
      <c r="H260" s="423">
        <v>4229</v>
      </c>
      <c r="I260" s="397" t="s">
        <v>545</v>
      </c>
      <c r="J260" s="400">
        <f t="shared" ca="1" si="4"/>
        <v>50</v>
      </c>
    </row>
    <row r="261" spans="1:10" ht="15" x14ac:dyDescent="0.25">
      <c r="A261" s="397">
        <v>10000503</v>
      </c>
      <c r="B261" s="397">
        <v>8394864074</v>
      </c>
      <c r="C261" s="397" t="s">
        <v>1110</v>
      </c>
      <c r="D261" s="398">
        <v>27435</v>
      </c>
      <c r="E261" s="397" t="s">
        <v>1039</v>
      </c>
      <c r="F261" s="397" t="s">
        <v>1040</v>
      </c>
      <c r="G261" s="397" t="s">
        <v>1111</v>
      </c>
      <c r="H261" s="423">
        <v>4229</v>
      </c>
      <c r="I261" s="397" t="s">
        <v>545</v>
      </c>
      <c r="J261" s="400">
        <f t="shared" ca="1" si="4"/>
        <v>48</v>
      </c>
    </row>
    <row r="262" spans="1:10" ht="15" x14ac:dyDescent="0.25">
      <c r="A262" s="397">
        <v>10000504</v>
      </c>
      <c r="B262" s="397">
        <v>8374221283</v>
      </c>
      <c r="C262" s="397" t="s">
        <v>1112</v>
      </c>
      <c r="D262" s="398">
        <v>25371</v>
      </c>
      <c r="E262" s="397" t="s">
        <v>824</v>
      </c>
      <c r="F262" s="397" t="s">
        <v>825</v>
      </c>
      <c r="G262" s="397" t="s">
        <v>1049</v>
      </c>
      <c r="H262" s="423">
        <v>3910</v>
      </c>
      <c r="I262" s="397" t="s">
        <v>520</v>
      </c>
      <c r="J262" s="400">
        <f t="shared" ca="1" si="4"/>
        <v>54</v>
      </c>
    </row>
    <row r="263" spans="1:10" ht="15" x14ac:dyDescent="0.25">
      <c r="A263" s="397">
        <v>10000506</v>
      </c>
      <c r="B263" s="397">
        <v>8438500706</v>
      </c>
      <c r="C263" s="397" t="s">
        <v>1113</v>
      </c>
      <c r="D263" s="398">
        <v>31799</v>
      </c>
      <c r="E263" s="397" t="s">
        <v>788</v>
      </c>
      <c r="F263" s="397" t="s">
        <v>789</v>
      </c>
      <c r="G263" s="397" t="s">
        <v>822</v>
      </c>
      <c r="H263" s="423">
        <v>2410</v>
      </c>
      <c r="I263" s="397" t="s">
        <v>366</v>
      </c>
      <c r="J263" s="400">
        <f t="shared" ca="1" si="4"/>
        <v>36</v>
      </c>
    </row>
    <row r="264" spans="1:10" ht="15" x14ac:dyDescent="0.25">
      <c r="A264" s="397">
        <v>10000508</v>
      </c>
      <c r="B264" s="397">
        <v>8374913193</v>
      </c>
      <c r="C264" s="397" t="s">
        <v>1114</v>
      </c>
      <c r="D264" s="398">
        <v>25440</v>
      </c>
      <c r="E264" s="397" t="s">
        <v>1025</v>
      </c>
      <c r="F264" s="397" t="s">
        <v>1026</v>
      </c>
      <c r="G264" s="397" t="s">
        <v>1049</v>
      </c>
      <c r="H264" s="423">
        <v>2910</v>
      </c>
      <c r="I264" s="397" t="s">
        <v>422</v>
      </c>
      <c r="J264" s="400">
        <f t="shared" ca="1" si="4"/>
        <v>54</v>
      </c>
    </row>
    <row r="265" spans="1:10" ht="15" x14ac:dyDescent="0.25">
      <c r="A265" s="397">
        <v>10000509</v>
      </c>
      <c r="B265" s="397">
        <v>8400004086</v>
      </c>
      <c r="C265" s="397" t="s">
        <v>1115</v>
      </c>
      <c r="D265" s="398">
        <v>27949</v>
      </c>
      <c r="E265" s="397" t="s">
        <v>1039</v>
      </c>
      <c r="F265" s="397" t="s">
        <v>1040</v>
      </c>
      <c r="G265" s="397" t="s">
        <v>1014</v>
      </c>
      <c r="H265" s="423">
        <v>1329</v>
      </c>
      <c r="I265" s="397" t="s">
        <v>296</v>
      </c>
      <c r="J265" s="400">
        <f t="shared" ca="1" si="4"/>
        <v>47</v>
      </c>
    </row>
    <row r="266" spans="1:10" ht="15" x14ac:dyDescent="0.25">
      <c r="A266" s="397">
        <v>10000511</v>
      </c>
      <c r="B266" s="397">
        <v>8385343660</v>
      </c>
      <c r="C266" s="397" t="s">
        <v>1116</v>
      </c>
      <c r="D266" s="398">
        <v>26483</v>
      </c>
      <c r="E266" s="397" t="s">
        <v>778</v>
      </c>
      <c r="F266" s="397" t="s">
        <v>779</v>
      </c>
      <c r="G266" s="397" t="s">
        <v>1049</v>
      </c>
      <c r="H266" s="423">
        <v>3910</v>
      </c>
      <c r="I266" s="397" t="s">
        <v>520</v>
      </c>
      <c r="J266" s="400">
        <f t="shared" ca="1" si="4"/>
        <v>51</v>
      </c>
    </row>
    <row r="267" spans="1:10" ht="15" x14ac:dyDescent="0.25">
      <c r="A267" s="397">
        <v>10000512</v>
      </c>
      <c r="B267" s="397">
        <v>8335073988</v>
      </c>
      <c r="C267" s="397" t="s">
        <v>1117</v>
      </c>
      <c r="D267" s="398">
        <v>21456</v>
      </c>
      <c r="E267" s="397" t="s">
        <v>1039</v>
      </c>
      <c r="F267" s="397" t="s">
        <v>1040</v>
      </c>
      <c r="G267" s="397" t="s">
        <v>1014</v>
      </c>
      <c r="H267" s="423">
        <v>4229</v>
      </c>
      <c r="I267" s="397" t="s">
        <v>545</v>
      </c>
      <c r="J267" s="400">
        <f t="shared" ca="1" si="4"/>
        <v>65</v>
      </c>
    </row>
    <row r="268" spans="1:10" ht="15" x14ac:dyDescent="0.25">
      <c r="A268" s="397">
        <v>10000514</v>
      </c>
      <c r="B268" s="397">
        <v>8351692085</v>
      </c>
      <c r="C268" s="397" t="s">
        <v>1118</v>
      </c>
      <c r="D268" s="398">
        <v>23118</v>
      </c>
      <c r="E268" s="397" t="s">
        <v>1064</v>
      </c>
      <c r="F268" s="397" t="s">
        <v>1065</v>
      </c>
      <c r="G268" s="397" t="s">
        <v>1119</v>
      </c>
      <c r="H268" s="423">
        <v>2715</v>
      </c>
      <c r="I268" s="397" t="s">
        <v>411</v>
      </c>
      <c r="J268" s="400">
        <f t="shared" ca="1" si="4"/>
        <v>60</v>
      </c>
    </row>
    <row r="269" spans="1:10" ht="15" x14ac:dyDescent="0.25">
      <c r="A269" s="397">
        <v>10000517</v>
      </c>
      <c r="B269" s="397">
        <v>8366163326</v>
      </c>
      <c r="C269" s="397" t="s">
        <v>1120</v>
      </c>
      <c r="D269" s="398">
        <v>24565</v>
      </c>
      <c r="E269" s="397" t="s">
        <v>833</v>
      </c>
      <c r="F269" s="397" t="s">
        <v>834</v>
      </c>
      <c r="G269" s="397" t="s">
        <v>1049</v>
      </c>
      <c r="H269" s="423">
        <v>3910</v>
      </c>
      <c r="I269" s="397" t="s">
        <v>520</v>
      </c>
      <c r="J269" s="400">
        <f t="shared" ca="1" si="4"/>
        <v>56</v>
      </c>
    </row>
    <row r="270" spans="1:10" ht="15" x14ac:dyDescent="0.25">
      <c r="A270" s="397">
        <v>10000519</v>
      </c>
      <c r="B270" s="397">
        <v>8411441628</v>
      </c>
      <c r="C270" s="397" t="s">
        <v>1121</v>
      </c>
      <c r="D270" s="398">
        <v>29093</v>
      </c>
      <c r="E270" s="397" t="s">
        <v>1107</v>
      </c>
      <c r="F270" s="397" t="s">
        <v>1108</v>
      </c>
      <c r="G270" s="397" t="s">
        <v>1014</v>
      </c>
      <c r="H270" s="423">
        <v>1419</v>
      </c>
      <c r="I270" s="397" t="s">
        <v>310</v>
      </c>
      <c r="J270" s="400">
        <f t="shared" ca="1" si="4"/>
        <v>44</v>
      </c>
    </row>
    <row r="271" spans="1:10" ht="15" x14ac:dyDescent="0.25">
      <c r="A271" s="397">
        <v>10000523</v>
      </c>
      <c r="B271" s="397">
        <v>8392893409</v>
      </c>
      <c r="C271" s="397" t="s">
        <v>1122</v>
      </c>
      <c r="D271" s="398">
        <v>27238</v>
      </c>
      <c r="E271" s="397" t="s">
        <v>810</v>
      </c>
      <c r="F271" s="397" t="s">
        <v>811</v>
      </c>
      <c r="G271" s="397" t="s">
        <v>925</v>
      </c>
      <c r="H271" s="423">
        <v>2410</v>
      </c>
      <c r="I271" s="397" t="s">
        <v>366</v>
      </c>
      <c r="J271" s="400">
        <f t="shared" ca="1" si="4"/>
        <v>49</v>
      </c>
    </row>
    <row r="272" spans="1:10" ht="15" x14ac:dyDescent="0.25">
      <c r="A272" s="397">
        <v>10000525</v>
      </c>
      <c r="B272" s="397">
        <v>8350002298</v>
      </c>
      <c r="C272" s="397" t="s">
        <v>1123</v>
      </c>
      <c r="D272" s="398">
        <v>22949</v>
      </c>
      <c r="E272" s="397" t="s">
        <v>1042</v>
      </c>
      <c r="F272" s="397" t="s">
        <v>1043</v>
      </c>
      <c r="G272" s="397" t="s">
        <v>1068</v>
      </c>
      <c r="H272" s="423">
        <v>7535</v>
      </c>
      <c r="I272" s="397" t="s">
        <v>661</v>
      </c>
      <c r="J272" s="400">
        <f t="shared" ca="1" si="4"/>
        <v>61</v>
      </c>
    </row>
    <row r="273" spans="1:10" ht="15" x14ac:dyDescent="0.25">
      <c r="A273" s="397">
        <v>10000526</v>
      </c>
      <c r="B273" s="397">
        <v>8425662095</v>
      </c>
      <c r="C273" s="397" t="s">
        <v>1124</v>
      </c>
      <c r="D273" s="398">
        <v>30515</v>
      </c>
      <c r="E273" s="397" t="s">
        <v>1045</v>
      </c>
      <c r="F273" s="397" t="s">
        <v>1046</v>
      </c>
      <c r="G273" s="397" t="s">
        <v>1014</v>
      </c>
      <c r="H273" s="423">
        <v>2624</v>
      </c>
      <c r="I273" s="397" t="s">
        <v>401</v>
      </c>
      <c r="J273" s="400">
        <f t="shared" ca="1" si="4"/>
        <v>40</v>
      </c>
    </row>
    <row r="274" spans="1:10" ht="15" x14ac:dyDescent="0.25">
      <c r="A274" s="397">
        <v>10000527</v>
      </c>
      <c r="B274" s="397">
        <v>8406802103</v>
      </c>
      <c r="C274" s="397" t="s">
        <v>1125</v>
      </c>
      <c r="D274" s="398">
        <v>28629</v>
      </c>
      <c r="E274" s="397" t="s">
        <v>1126</v>
      </c>
      <c r="F274" s="397" t="s">
        <v>1127</v>
      </c>
      <c r="G274" s="397" t="s">
        <v>1049</v>
      </c>
      <c r="H274" s="423">
        <v>4190</v>
      </c>
      <c r="I274" s="397" t="s">
        <v>536</v>
      </c>
      <c r="J274" s="400">
        <f t="shared" ca="1" si="4"/>
        <v>45</v>
      </c>
    </row>
    <row r="275" spans="1:10" ht="15" x14ac:dyDescent="0.25">
      <c r="A275" s="397">
        <v>10000528</v>
      </c>
      <c r="B275" s="397">
        <v>8380182219</v>
      </c>
      <c r="C275" s="397" t="s">
        <v>1128</v>
      </c>
      <c r="D275" s="398">
        <v>25967</v>
      </c>
      <c r="E275" s="397" t="s">
        <v>1054</v>
      </c>
      <c r="F275" s="397" t="s">
        <v>1055</v>
      </c>
      <c r="G275" s="397" t="s">
        <v>1049</v>
      </c>
      <c r="H275" s="423">
        <v>3910</v>
      </c>
      <c r="I275" s="397" t="s">
        <v>520</v>
      </c>
      <c r="J275" s="400">
        <f t="shared" ca="1" si="4"/>
        <v>52</v>
      </c>
    </row>
    <row r="276" spans="1:10" ht="15" x14ac:dyDescent="0.25">
      <c r="A276" s="397">
        <v>10000529</v>
      </c>
      <c r="B276" s="397">
        <v>8418630426</v>
      </c>
      <c r="C276" s="397" t="s">
        <v>1129</v>
      </c>
      <c r="D276" s="398">
        <v>29812</v>
      </c>
      <c r="E276" s="397" t="s">
        <v>1103</v>
      </c>
      <c r="F276" s="397" t="s">
        <v>1104</v>
      </c>
      <c r="G276" s="397" t="s">
        <v>1014</v>
      </c>
      <c r="H276" s="423">
        <v>1419</v>
      </c>
      <c r="I276" s="397" t="s">
        <v>310</v>
      </c>
      <c r="J276" s="400">
        <f t="shared" ca="1" si="4"/>
        <v>42</v>
      </c>
    </row>
    <row r="277" spans="1:10" ht="15" x14ac:dyDescent="0.25">
      <c r="A277" s="397">
        <v>10000530</v>
      </c>
      <c r="B277" s="397">
        <v>8411391213</v>
      </c>
      <c r="C277" s="397" t="s">
        <v>1130</v>
      </c>
      <c r="D277" s="398">
        <v>29088</v>
      </c>
      <c r="E277" s="397" t="s">
        <v>1126</v>
      </c>
      <c r="F277" s="397" t="s">
        <v>1127</v>
      </c>
      <c r="G277" s="397" t="s">
        <v>1014</v>
      </c>
      <c r="H277" s="423">
        <v>1328</v>
      </c>
      <c r="I277" s="397" t="s">
        <v>295</v>
      </c>
      <c r="J277" s="400">
        <f t="shared" ca="1" si="4"/>
        <v>44</v>
      </c>
    </row>
    <row r="278" spans="1:10" ht="15" x14ac:dyDescent="0.25">
      <c r="A278" s="397">
        <v>10000533</v>
      </c>
      <c r="B278" s="397">
        <v>8354340740</v>
      </c>
      <c r="C278" s="397" t="s">
        <v>1131</v>
      </c>
      <c r="D278" s="398">
        <v>23383</v>
      </c>
      <c r="E278" s="397" t="s">
        <v>1042</v>
      </c>
      <c r="F278" s="397" t="s">
        <v>1043</v>
      </c>
      <c r="G278" s="397" t="s">
        <v>1068</v>
      </c>
      <c r="H278" s="423">
        <v>7521</v>
      </c>
      <c r="I278" s="397" t="s">
        <v>652</v>
      </c>
      <c r="J278" s="400">
        <f t="shared" ca="1" si="4"/>
        <v>59</v>
      </c>
    </row>
    <row r="279" spans="1:10" ht="15" x14ac:dyDescent="0.25">
      <c r="A279" s="397">
        <v>10000534</v>
      </c>
      <c r="B279" s="397">
        <v>8431040599</v>
      </c>
      <c r="C279" s="397" t="s">
        <v>1132</v>
      </c>
      <c r="D279" s="398">
        <v>31053</v>
      </c>
      <c r="E279" s="397" t="s">
        <v>774</v>
      </c>
      <c r="F279" s="397" t="s">
        <v>775</v>
      </c>
      <c r="G279" s="397" t="s">
        <v>902</v>
      </c>
      <c r="H279" s="423">
        <v>2139</v>
      </c>
      <c r="I279" s="397" t="s">
        <v>329</v>
      </c>
      <c r="J279" s="400">
        <f t="shared" ca="1" si="4"/>
        <v>38</v>
      </c>
    </row>
    <row r="280" spans="1:10" ht="15" x14ac:dyDescent="0.25">
      <c r="A280" s="397">
        <v>10000535</v>
      </c>
      <c r="B280" s="397">
        <v>8374392681</v>
      </c>
      <c r="C280" s="397" t="s">
        <v>1133</v>
      </c>
      <c r="D280" s="398">
        <v>25388</v>
      </c>
      <c r="E280" s="397" t="s">
        <v>1045</v>
      </c>
      <c r="F280" s="397" t="s">
        <v>1046</v>
      </c>
      <c r="G280" s="397" t="s">
        <v>1014</v>
      </c>
      <c r="H280" s="423">
        <v>1411</v>
      </c>
      <c r="I280" s="397" t="s">
        <v>304</v>
      </c>
      <c r="J280" s="400">
        <f t="shared" ca="1" si="4"/>
        <v>54</v>
      </c>
    </row>
    <row r="281" spans="1:10" ht="15" x14ac:dyDescent="0.25">
      <c r="A281" s="397">
        <v>10000538</v>
      </c>
      <c r="B281" s="397">
        <v>8423350061</v>
      </c>
      <c r="C281" s="397" t="s">
        <v>1134</v>
      </c>
      <c r="D281" s="398">
        <v>30284</v>
      </c>
      <c r="E281" s="397" t="s">
        <v>1064</v>
      </c>
      <c r="F281" s="397" t="s">
        <v>1065</v>
      </c>
      <c r="G281" s="397" t="s">
        <v>1135</v>
      </c>
      <c r="H281" s="423">
        <v>2719</v>
      </c>
      <c r="I281" s="397" t="s">
        <v>414</v>
      </c>
      <c r="J281" s="400">
        <f t="shared" ca="1" si="4"/>
        <v>41</v>
      </c>
    </row>
    <row r="282" spans="1:10" ht="15" x14ac:dyDescent="0.25">
      <c r="A282" s="397">
        <v>10000539</v>
      </c>
      <c r="B282" s="397">
        <v>8419652113</v>
      </c>
      <c r="C282" s="397" t="s">
        <v>1136</v>
      </c>
      <c r="D282" s="398">
        <v>29914</v>
      </c>
      <c r="E282" s="397" t="s">
        <v>762</v>
      </c>
      <c r="F282" s="397" t="s">
        <v>763</v>
      </c>
      <c r="G282" s="397" t="s">
        <v>985</v>
      </c>
      <c r="H282" s="423">
        <v>2117</v>
      </c>
      <c r="I282" s="397" t="s">
        <v>317</v>
      </c>
      <c r="J282" s="400">
        <f t="shared" ca="1" si="4"/>
        <v>42</v>
      </c>
    </row>
    <row r="283" spans="1:10" ht="15" x14ac:dyDescent="0.25">
      <c r="A283" s="397">
        <v>10000541</v>
      </c>
      <c r="B283" s="397">
        <v>8357052797</v>
      </c>
      <c r="C283" s="397" t="s">
        <v>1137</v>
      </c>
      <c r="D283" s="398">
        <v>23654</v>
      </c>
      <c r="E283" s="397" t="s">
        <v>833</v>
      </c>
      <c r="F283" s="397" t="s">
        <v>834</v>
      </c>
      <c r="G283" s="397" t="s">
        <v>1014</v>
      </c>
      <c r="H283" s="423">
        <v>2910</v>
      </c>
      <c r="I283" s="397" t="s">
        <v>422</v>
      </c>
      <c r="J283" s="400">
        <f t="shared" ca="1" si="4"/>
        <v>59</v>
      </c>
    </row>
    <row r="284" spans="1:10" ht="15" x14ac:dyDescent="0.25">
      <c r="A284" s="397">
        <v>10000548</v>
      </c>
      <c r="B284" s="397">
        <v>8357452329</v>
      </c>
      <c r="C284" s="397" t="s">
        <v>1138</v>
      </c>
      <c r="D284" s="398">
        <v>23694</v>
      </c>
      <c r="E284" s="397" t="s">
        <v>1042</v>
      </c>
      <c r="F284" s="397" t="s">
        <v>1043</v>
      </c>
      <c r="G284" s="397" t="s">
        <v>1068</v>
      </c>
      <c r="H284" s="423">
        <v>7524</v>
      </c>
      <c r="I284" s="397" t="s">
        <v>655</v>
      </c>
      <c r="J284" s="400">
        <f t="shared" ca="1" si="4"/>
        <v>59</v>
      </c>
    </row>
    <row r="285" spans="1:10" ht="15" x14ac:dyDescent="0.25">
      <c r="A285" s="397">
        <v>10000549</v>
      </c>
      <c r="B285" s="397">
        <v>8447411184</v>
      </c>
      <c r="C285" s="397" t="s">
        <v>1139</v>
      </c>
      <c r="D285" s="398">
        <v>32690</v>
      </c>
      <c r="E285" s="397" t="s">
        <v>788</v>
      </c>
      <c r="F285" s="397" t="s">
        <v>789</v>
      </c>
      <c r="G285" s="397" t="s">
        <v>1014</v>
      </c>
      <c r="H285" s="423">
        <v>2149</v>
      </c>
      <c r="I285" s="397" t="s">
        <v>334</v>
      </c>
      <c r="J285" s="400">
        <f t="shared" ca="1" si="4"/>
        <v>34</v>
      </c>
    </row>
    <row r="286" spans="1:10" ht="15" x14ac:dyDescent="0.25">
      <c r="A286" s="397">
        <v>10000550</v>
      </c>
      <c r="B286" s="397">
        <v>8395674600</v>
      </c>
      <c r="C286" s="397" t="s">
        <v>1140</v>
      </c>
      <c r="D286" s="398">
        <v>27516</v>
      </c>
      <c r="E286" s="397" t="s">
        <v>1064</v>
      </c>
      <c r="F286" s="397" t="s">
        <v>1065</v>
      </c>
      <c r="G286" s="397" t="s">
        <v>1141</v>
      </c>
      <c r="H286" s="423">
        <v>2719</v>
      </c>
      <c r="I286" s="397" t="s">
        <v>414</v>
      </c>
      <c r="J286" s="400">
        <f t="shared" ca="1" si="4"/>
        <v>48</v>
      </c>
    </row>
    <row r="287" spans="1:10" ht="15" x14ac:dyDescent="0.25">
      <c r="A287" s="397">
        <v>10000557</v>
      </c>
      <c r="B287" s="397">
        <v>8409311364</v>
      </c>
      <c r="C287" s="397" t="s">
        <v>1142</v>
      </c>
      <c r="D287" s="398">
        <v>28880</v>
      </c>
      <c r="E287" s="397" t="s">
        <v>1107</v>
      </c>
      <c r="F287" s="397" t="s">
        <v>1108</v>
      </c>
      <c r="G287" s="397" t="s">
        <v>1014</v>
      </c>
      <c r="H287" s="423">
        <v>2910</v>
      </c>
      <c r="I287" s="397" t="s">
        <v>422</v>
      </c>
      <c r="J287" s="400">
        <f t="shared" ca="1" si="4"/>
        <v>44</v>
      </c>
    </row>
    <row r="288" spans="1:10" ht="15" x14ac:dyDescent="0.25">
      <c r="A288" s="397">
        <v>10000558</v>
      </c>
      <c r="B288" s="397">
        <v>8344550599</v>
      </c>
      <c r="C288" s="397" t="s">
        <v>1143</v>
      </c>
      <c r="D288" s="398">
        <v>22404</v>
      </c>
      <c r="E288" s="397" t="s">
        <v>1042</v>
      </c>
      <c r="F288" s="397" t="s">
        <v>1043</v>
      </c>
      <c r="G288" s="397" t="s">
        <v>1068</v>
      </c>
      <c r="H288" s="423">
        <v>7521</v>
      </c>
      <c r="I288" s="397" t="s">
        <v>652</v>
      </c>
      <c r="J288" s="400">
        <f t="shared" ca="1" si="4"/>
        <v>62</v>
      </c>
    </row>
    <row r="289" spans="1:10" ht="15" x14ac:dyDescent="0.25">
      <c r="A289" s="397">
        <v>10000559</v>
      </c>
      <c r="B289" s="397">
        <v>8432772577</v>
      </c>
      <c r="C289" s="397" t="s">
        <v>1144</v>
      </c>
      <c r="D289" s="398">
        <v>31226</v>
      </c>
      <c r="E289" s="397" t="s">
        <v>1054</v>
      </c>
      <c r="F289" s="397" t="s">
        <v>1055</v>
      </c>
      <c r="G289" s="397" t="s">
        <v>1014</v>
      </c>
      <c r="H289" s="423">
        <v>2910</v>
      </c>
      <c r="I289" s="397" t="s">
        <v>422</v>
      </c>
      <c r="J289" s="400">
        <f t="shared" ca="1" si="4"/>
        <v>38</v>
      </c>
    </row>
    <row r="290" spans="1:10" ht="15" x14ac:dyDescent="0.25">
      <c r="A290" s="397">
        <v>10000565</v>
      </c>
      <c r="B290" s="397">
        <v>8389142244</v>
      </c>
      <c r="C290" s="397" t="s">
        <v>1145</v>
      </c>
      <c r="D290" s="398">
        <v>26863</v>
      </c>
      <c r="E290" s="397" t="s">
        <v>1054</v>
      </c>
      <c r="F290" s="397" t="s">
        <v>1055</v>
      </c>
      <c r="G290" s="397" t="s">
        <v>1049</v>
      </c>
      <c r="H290" s="423">
        <v>3910</v>
      </c>
      <c r="I290" s="397" t="s">
        <v>520</v>
      </c>
      <c r="J290" s="400">
        <f t="shared" ca="1" si="4"/>
        <v>50</v>
      </c>
    </row>
    <row r="291" spans="1:10" ht="15" x14ac:dyDescent="0.25">
      <c r="A291" s="397">
        <v>10000567</v>
      </c>
      <c r="B291" s="397">
        <v>8429343245</v>
      </c>
      <c r="C291" s="397" t="s">
        <v>1146</v>
      </c>
      <c r="D291" s="398">
        <v>30883</v>
      </c>
      <c r="E291" s="397" t="s">
        <v>1039</v>
      </c>
      <c r="F291" s="397" t="s">
        <v>1040</v>
      </c>
      <c r="G291" s="397" t="s">
        <v>1049</v>
      </c>
      <c r="H291" s="423">
        <v>4229</v>
      </c>
      <c r="I291" s="397" t="s">
        <v>545</v>
      </c>
      <c r="J291" s="400">
        <f t="shared" ca="1" si="4"/>
        <v>39</v>
      </c>
    </row>
    <row r="292" spans="1:10" ht="15" x14ac:dyDescent="0.25">
      <c r="A292" s="397">
        <v>10000569</v>
      </c>
      <c r="B292" s="397">
        <v>8378563758</v>
      </c>
      <c r="C292" s="397" t="s">
        <v>1147</v>
      </c>
      <c r="D292" s="398">
        <v>25805</v>
      </c>
      <c r="E292" s="397" t="s">
        <v>1054</v>
      </c>
      <c r="F292" s="397" t="s">
        <v>1055</v>
      </c>
      <c r="G292" s="397" t="s">
        <v>1014</v>
      </c>
      <c r="H292" s="423">
        <v>2910</v>
      </c>
      <c r="I292" s="397" t="s">
        <v>422</v>
      </c>
      <c r="J292" s="400">
        <f t="shared" ca="1" si="4"/>
        <v>53</v>
      </c>
    </row>
    <row r="293" spans="1:10" ht="15" x14ac:dyDescent="0.25">
      <c r="A293" s="397">
        <v>10000571</v>
      </c>
      <c r="B293" s="397">
        <v>8426803148</v>
      </c>
      <c r="C293" s="397" t="s">
        <v>1148</v>
      </c>
      <c r="D293" s="398">
        <v>30629</v>
      </c>
      <c r="E293" s="397" t="s">
        <v>1149</v>
      </c>
      <c r="F293" s="397" t="s">
        <v>1150</v>
      </c>
      <c r="G293" s="397" t="s">
        <v>1014</v>
      </c>
      <c r="H293" s="423">
        <v>2910</v>
      </c>
      <c r="I293" s="397" t="s">
        <v>422</v>
      </c>
      <c r="J293" s="400">
        <f t="shared" ca="1" si="4"/>
        <v>40</v>
      </c>
    </row>
    <row r="294" spans="1:10" ht="15" x14ac:dyDescent="0.25">
      <c r="A294" s="397">
        <v>10000574</v>
      </c>
      <c r="B294" s="397">
        <v>8365790491</v>
      </c>
      <c r="C294" s="397" t="s">
        <v>1151</v>
      </c>
      <c r="D294" s="398">
        <v>24528</v>
      </c>
      <c r="E294" s="397" t="s">
        <v>1103</v>
      </c>
      <c r="F294" s="397" t="s">
        <v>1104</v>
      </c>
      <c r="G294" s="397" t="s">
        <v>1049</v>
      </c>
      <c r="H294" s="423">
        <v>3623</v>
      </c>
      <c r="I294" s="397" t="s">
        <v>494</v>
      </c>
      <c r="J294" s="400">
        <f t="shared" ca="1" si="4"/>
        <v>56</v>
      </c>
    </row>
    <row r="295" spans="1:10" ht="15" x14ac:dyDescent="0.25">
      <c r="A295" s="397">
        <v>10000581</v>
      </c>
      <c r="B295" s="397">
        <v>8433331655</v>
      </c>
      <c r="C295" s="397" t="s">
        <v>1152</v>
      </c>
      <c r="D295" s="398">
        <v>31282</v>
      </c>
      <c r="E295" s="397" t="s">
        <v>849</v>
      </c>
      <c r="F295" s="397" t="s">
        <v>850</v>
      </c>
      <c r="G295" s="397" t="s">
        <v>902</v>
      </c>
      <c r="H295" s="423">
        <v>2139</v>
      </c>
      <c r="I295" s="397" t="s">
        <v>329</v>
      </c>
      <c r="J295" s="400">
        <f t="shared" ca="1" si="4"/>
        <v>38</v>
      </c>
    </row>
    <row r="296" spans="1:10" ht="15" x14ac:dyDescent="0.25">
      <c r="A296" s="397">
        <v>10000585</v>
      </c>
      <c r="B296" s="397">
        <v>8342722945</v>
      </c>
      <c r="C296" s="397" t="s">
        <v>1153</v>
      </c>
      <c r="D296" s="398">
        <v>22221</v>
      </c>
      <c r="E296" s="397" t="s">
        <v>1154</v>
      </c>
      <c r="F296" s="397" t="s">
        <v>1155</v>
      </c>
      <c r="G296" s="397" t="s">
        <v>1049</v>
      </c>
      <c r="H296" s="423">
        <v>3910</v>
      </c>
      <c r="I296" s="397" t="s">
        <v>520</v>
      </c>
      <c r="J296" s="400">
        <f t="shared" ca="1" si="4"/>
        <v>63</v>
      </c>
    </row>
    <row r="297" spans="1:10" ht="15" x14ac:dyDescent="0.25">
      <c r="A297" s="397">
        <v>10000586</v>
      </c>
      <c r="B297" s="397">
        <v>8367913612</v>
      </c>
      <c r="C297" s="397" t="s">
        <v>1156</v>
      </c>
      <c r="D297" s="398">
        <v>24740</v>
      </c>
      <c r="E297" s="397" t="s">
        <v>1076</v>
      </c>
      <c r="F297" s="397" t="s">
        <v>1077</v>
      </c>
      <c r="G297" s="397" t="s">
        <v>1049</v>
      </c>
      <c r="H297" s="423">
        <v>4112</v>
      </c>
      <c r="I297" s="397" t="s">
        <v>523</v>
      </c>
      <c r="J297" s="400">
        <f t="shared" ca="1" si="4"/>
        <v>56</v>
      </c>
    </row>
    <row r="298" spans="1:10" ht="15" x14ac:dyDescent="0.25">
      <c r="A298" s="397">
        <v>10000587</v>
      </c>
      <c r="B298" s="397">
        <v>8363351288</v>
      </c>
      <c r="C298" s="397" t="s">
        <v>1157</v>
      </c>
      <c r="D298" s="398">
        <v>24284</v>
      </c>
      <c r="E298" s="397" t="s">
        <v>1039</v>
      </c>
      <c r="F298" s="397" t="s">
        <v>1040</v>
      </c>
      <c r="G298" s="397" t="s">
        <v>1049</v>
      </c>
      <c r="H298" s="423">
        <v>4229</v>
      </c>
      <c r="I298" s="397" t="s">
        <v>545</v>
      </c>
      <c r="J298" s="400">
        <f t="shared" ca="1" si="4"/>
        <v>57</v>
      </c>
    </row>
    <row r="299" spans="1:10" ht="15" x14ac:dyDescent="0.25">
      <c r="A299" s="397">
        <v>10000588</v>
      </c>
      <c r="B299" s="397">
        <v>8341952432</v>
      </c>
      <c r="C299" s="397" t="s">
        <v>1158</v>
      </c>
      <c r="D299" s="398">
        <v>22144</v>
      </c>
      <c r="E299" s="397" t="s">
        <v>1042</v>
      </c>
      <c r="F299" s="397" t="s">
        <v>1043</v>
      </c>
      <c r="G299" s="397" t="s">
        <v>1049</v>
      </c>
      <c r="H299" s="423">
        <v>3122</v>
      </c>
      <c r="I299" s="397" t="s">
        <v>431</v>
      </c>
      <c r="J299" s="400">
        <f t="shared" ca="1" si="4"/>
        <v>63</v>
      </c>
    </row>
    <row r="300" spans="1:10" ht="15" x14ac:dyDescent="0.25">
      <c r="A300" s="397">
        <v>10000589</v>
      </c>
      <c r="B300" s="397">
        <v>8424630238</v>
      </c>
      <c r="C300" s="397" t="s">
        <v>1159</v>
      </c>
      <c r="D300" s="398">
        <v>30412</v>
      </c>
      <c r="E300" s="397" t="s">
        <v>1045</v>
      </c>
      <c r="F300" s="397" t="s">
        <v>1046</v>
      </c>
      <c r="G300" s="397" t="s">
        <v>1014</v>
      </c>
      <c r="H300" s="423">
        <v>3611</v>
      </c>
      <c r="I300" s="397" t="s">
        <v>485</v>
      </c>
      <c r="J300" s="400">
        <f t="shared" ca="1" si="4"/>
        <v>40</v>
      </c>
    </row>
    <row r="301" spans="1:10" ht="15" x14ac:dyDescent="0.25">
      <c r="A301" s="397">
        <v>10000591</v>
      </c>
      <c r="B301" s="397">
        <v>8447171132</v>
      </c>
      <c r="C301" s="397" t="s">
        <v>1160</v>
      </c>
      <c r="D301" s="398">
        <v>32666</v>
      </c>
      <c r="E301" s="397" t="s">
        <v>810</v>
      </c>
      <c r="F301" s="397" t="s">
        <v>811</v>
      </c>
      <c r="G301" s="397" t="s">
        <v>1014</v>
      </c>
      <c r="H301" s="423">
        <v>2910</v>
      </c>
      <c r="I301" s="397" t="s">
        <v>422</v>
      </c>
      <c r="J301" s="400">
        <f t="shared" ca="1" si="4"/>
        <v>34</v>
      </c>
    </row>
    <row r="302" spans="1:10" ht="15" x14ac:dyDescent="0.25">
      <c r="A302" s="397">
        <v>10000593</v>
      </c>
      <c r="B302" s="397">
        <v>8391860450</v>
      </c>
      <c r="C302" s="397" t="s">
        <v>1161</v>
      </c>
      <c r="D302" s="398">
        <v>27135</v>
      </c>
      <c r="E302" s="397" t="s">
        <v>1064</v>
      </c>
      <c r="F302" s="397" t="s">
        <v>1065</v>
      </c>
      <c r="G302" s="397" t="s">
        <v>1141</v>
      </c>
      <c r="H302" s="423">
        <v>3719</v>
      </c>
      <c r="I302" s="397" t="s">
        <v>517</v>
      </c>
      <c r="J302" s="400">
        <f t="shared" ca="1" si="4"/>
        <v>49</v>
      </c>
    </row>
    <row r="303" spans="1:10" ht="15" x14ac:dyDescent="0.25">
      <c r="A303" s="397">
        <v>10000598</v>
      </c>
      <c r="B303" s="397">
        <v>8405334394</v>
      </c>
      <c r="C303" s="397" t="s">
        <v>1162</v>
      </c>
      <c r="D303" s="398">
        <v>28482</v>
      </c>
      <c r="E303" s="397" t="s">
        <v>778</v>
      </c>
      <c r="F303" s="397" t="s">
        <v>779</v>
      </c>
      <c r="G303" s="397" t="s">
        <v>1049</v>
      </c>
      <c r="H303" s="423">
        <v>3910</v>
      </c>
      <c r="I303" s="397" t="s">
        <v>520</v>
      </c>
      <c r="J303" s="400">
        <f t="shared" ca="1" si="4"/>
        <v>46</v>
      </c>
    </row>
    <row r="304" spans="1:10" ht="15" x14ac:dyDescent="0.25">
      <c r="A304" s="397">
        <v>10000605</v>
      </c>
      <c r="B304" s="397">
        <v>8374470305</v>
      </c>
      <c r="C304" s="397" t="s">
        <v>1163</v>
      </c>
      <c r="D304" s="398">
        <v>25396</v>
      </c>
      <c r="E304" s="397" t="s">
        <v>1164</v>
      </c>
      <c r="F304" s="397" t="s">
        <v>1165</v>
      </c>
      <c r="G304" s="397" t="s">
        <v>1014</v>
      </c>
      <c r="H304" s="423">
        <v>2910</v>
      </c>
      <c r="I304" s="397" t="s">
        <v>422</v>
      </c>
      <c r="J304" s="400">
        <f t="shared" ca="1" si="4"/>
        <v>54</v>
      </c>
    </row>
    <row r="305" spans="1:10" ht="15" x14ac:dyDescent="0.25">
      <c r="A305" s="397">
        <v>10000606</v>
      </c>
      <c r="B305" s="397">
        <v>8414452523</v>
      </c>
      <c r="C305" s="397" t="s">
        <v>1166</v>
      </c>
      <c r="D305" s="398">
        <v>29394</v>
      </c>
      <c r="E305" s="397" t="s">
        <v>1154</v>
      </c>
      <c r="F305" s="397" t="s">
        <v>1155</v>
      </c>
      <c r="G305" s="397" t="s">
        <v>1014</v>
      </c>
      <c r="H305" s="423">
        <v>2142</v>
      </c>
      <c r="I305" s="397" t="s">
        <v>331</v>
      </c>
      <c r="J305" s="400">
        <f t="shared" ca="1" si="4"/>
        <v>43</v>
      </c>
    </row>
    <row r="306" spans="1:10" ht="15" x14ac:dyDescent="0.25">
      <c r="A306" s="397">
        <v>10000607</v>
      </c>
      <c r="B306" s="397">
        <v>8377802570</v>
      </c>
      <c r="C306" s="397" t="s">
        <v>1167</v>
      </c>
      <c r="D306" s="398">
        <v>25729</v>
      </c>
      <c r="E306" s="397" t="s">
        <v>918</v>
      </c>
      <c r="F306" s="397" t="s">
        <v>919</v>
      </c>
      <c r="G306" s="397" t="s">
        <v>1049</v>
      </c>
      <c r="H306" s="423">
        <v>2910</v>
      </c>
      <c r="I306" s="397" t="s">
        <v>422</v>
      </c>
      <c r="J306" s="400">
        <f t="shared" ca="1" si="4"/>
        <v>53</v>
      </c>
    </row>
    <row r="307" spans="1:10" ht="15" x14ac:dyDescent="0.25">
      <c r="A307" s="397">
        <v>10000608</v>
      </c>
      <c r="B307" s="397">
        <v>8398461780</v>
      </c>
      <c r="C307" s="397" t="s">
        <v>1168</v>
      </c>
      <c r="D307" s="398">
        <v>27795</v>
      </c>
      <c r="E307" s="397" t="s">
        <v>1054</v>
      </c>
      <c r="F307" s="397" t="s">
        <v>1055</v>
      </c>
      <c r="G307" s="397" t="s">
        <v>1014</v>
      </c>
      <c r="H307" s="423">
        <v>2910</v>
      </c>
      <c r="I307" s="397" t="s">
        <v>422</v>
      </c>
      <c r="J307" s="400">
        <f t="shared" ca="1" si="4"/>
        <v>47</v>
      </c>
    </row>
    <row r="308" spans="1:10" ht="15" x14ac:dyDescent="0.25">
      <c r="A308" s="397">
        <v>10000612</v>
      </c>
      <c r="B308" s="397">
        <v>8418113154</v>
      </c>
      <c r="C308" s="397" t="s">
        <v>1169</v>
      </c>
      <c r="D308" s="398">
        <v>29760</v>
      </c>
      <c r="E308" s="397" t="s">
        <v>1064</v>
      </c>
      <c r="F308" s="397" t="s">
        <v>1065</v>
      </c>
      <c r="G308" s="397" t="s">
        <v>1170</v>
      </c>
      <c r="H308" s="423">
        <v>3719</v>
      </c>
      <c r="I308" s="397" t="s">
        <v>517</v>
      </c>
      <c r="J308" s="400">
        <f t="shared" ca="1" si="4"/>
        <v>42</v>
      </c>
    </row>
    <row r="309" spans="1:10" ht="15" x14ac:dyDescent="0.25">
      <c r="A309" s="397">
        <v>10000615</v>
      </c>
      <c r="B309" s="397">
        <v>8401062608</v>
      </c>
      <c r="C309" s="397" t="s">
        <v>1171</v>
      </c>
      <c r="D309" s="398">
        <v>28055</v>
      </c>
      <c r="E309" s="397" t="s">
        <v>1172</v>
      </c>
      <c r="F309" s="397" t="s">
        <v>1173</v>
      </c>
      <c r="G309" s="397" t="s">
        <v>1014</v>
      </c>
      <c r="H309" s="423">
        <v>1419</v>
      </c>
      <c r="I309" s="397" t="s">
        <v>310</v>
      </c>
      <c r="J309" s="400">
        <f t="shared" ca="1" si="4"/>
        <v>47</v>
      </c>
    </row>
    <row r="310" spans="1:10" ht="15" x14ac:dyDescent="0.25">
      <c r="A310" s="397">
        <v>10000616</v>
      </c>
      <c r="B310" s="397">
        <v>8423762033</v>
      </c>
      <c r="C310" s="397" t="s">
        <v>1174</v>
      </c>
      <c r="D310" s="398">
        <v>30325</v>
      </c>
      <c r="E310" s="397" t="s">
        <v>1175</v>
      </c>
      <c r="F310" s="397" t="s">
        <v>1176</v>
      </c>
      <c r="G310" s="397" t="s">
        <v>1049</v>
      </c>
      <c r="H310" s="423">
        <v>3910</v>
      </c>
      <c r="I310" s="397" t="s">
        <v>520</v>
      </c>
      <c r="J310" s="400">
        <f t="shared" ca="1" si="4"/>
        <v>40</v>
      </c>
    </row>
    <row r="311" spans="1:10" ht="15" x14ac:dyDescent="0.25">
      <c r="A311" s="397">
        <v>10000620</v>
      </c>
      <c r="B311" s="397">
        <v>8408832921</v>
      </c>
      <c r="C311" s="397" t="s">
        <v>1177</v>
      </c>
      <c r="D311" s="398">
        <v>28832</v>
      </c>
      <c r="E311" s="397" t="s">
        <v>1054</v>
      </c>
      <c r="F311" s="397" t="s">
        <v>1055</v>
      </c>
      <c r="G311" s="397" t="s">
        <v>1014</v>
      </c>
      <c r="H311" s="423">
        <v>2910</v>
      </c>
      <c r="I311" s="397" t="s">
        <v>422</v>
      </c>
      <c r="J311" s="400">
        <f t="shared" ca="1" si="4"/>
        <v>45</v>
      </c>
    </row>
    <row r="312" spans="1:10" ht="15" x14ac:dyDescent="0.25">
      <c r="A312" s="397">
        <v>10000621</v>
      </c>
      <c r="B312" s="397">
        <v>8437361664</v>
      </c>
      <c r="C312" s="397" t="s">
        <v>1178</v>
      </c>
      <c r="D312" s="398">
        <v>31685</v>
      </c>
      <c r="E312" s="397" t="s">
        <v>762</v>
      </c>
      <c r="F312" s="397" t="s">
        <v>763</v>
      </c>
      <c r="G312" s="397" t="s">
        <v>1014</v>
      </c>
      <c r="H312" s="423">
        <v>2910</v>
      </c>
      <c r="I312" s="397" t="s">
        <v>422</v>
      </c>
      <c r="J312" s="400">
        <f t="shared" ca="1" si="4"/>
        <v>37</v>
      </c>
    </row>
    <row r="313" spans="1:10" ht="15" x14ac:dyDescent="0.25">
      <c r="A313" s="397">
        <v>10000626</v>
      </c>
      <c r="B313" s="397">
        <v>8409091712</v>
      </c>
      <c r="C313" s="397" t="s">
        <v>1179</v>
      </c>
      <c r="D313" s="398">
        <v>28858</v>
      </c>
      <c r="E313" s="397" t="s">
        <v>1175</v>
      </c>
      <c r="F313" s="397" t="s">
        <v>1176</v>
      </c>
      <c r="G313" s="397" t="s">
        <v>1014</v>
      </c>
      <c r="H313" s="423">
        <v>2910</v>
      </c>
      <c r="I313" s="397" t="s">
        <v>422</v>
      </c>
      <c r="J313" s="400">
        <f t="shared" ca="1" si="4"/>
        <v>44</v>
      </c>
    </row>
    <row r="314" spans="1:10" ht="15" x14ac:dyDescent="0.25">
      <c r="A314" s="397">
        <v>10000627</v>
      </c>
      <c r="B314" s="397">
        <v>8396595097</v>
      </c>
      <c r="C314" s="397" t="s">
        <v>1180</v>
      </c>
      <c r="D314" s="398">
        <v>27608</v>
      </c>
      <c r="E314" s="397" t="s">
        <v>771</v>
      </c>
      <c r="F314" s="397" t="s">
        <v>772</v>
      </c>
      <c r="G314" s="397" t="s">
        <v>891</v>
      </c>
      <c r="H314" s="423">
        <v>2410</v>
      </c>
      <c r="I314" s="397" t="s">
        <v>366</v>
      </c>
      <c r="J314" s="400">
        <f t="shared" ca="1" si="4"/>
        <v>48</v>
      </c>
    </row>
    <row r="315" spans="1:10" ht="15" x14ac:dyDescent="0.25">
      <c r="A315" s="397">
        <v>10000629</v>
      </c>
      <c r="B315" s="397">
        <v>8331833333</v>
      </c>
      <c r="C315" s="397" t="s">
        <v>1181</v>
      </c>
      <c r="D315" s="398">
        <v>21132</v>
      </c>
      <c r="E315" s="397" t="s">
        <v>1071</v>
      </c>
      <c r="F315" s="397" t="s">
        <v>1072</v>
      </c>
      <c r="G315" s="397" t="s">
        <v>1014</v>
      </c>
      <c r="H315" s="423">
        <v>2910</v>
      </c>
      <c r="I315" s="397" t="s">
        <v>422</v>
      </c>
      <c r="J315" s="400">
        <f t="shared" ca="1" si="4"/>
        <v>66</v>
      </c>
    </row>
    <row r="316" spans="1:10" ht="15" x14ac:dyDescent="0.25">
      <c r="A316" s="397">
        <v>10000630</v>
      </c>
      <c r="B316" s="397">
        <v>8415300794</v>
      </c>
      <c r="C316" s="397" t="s">
        <v>1182</v>
      </c>
      <c r="D316" s="398">
        <v>29479</v>
      </c>
      <c r="E316" s="397" t="s">
        <v>774</v>
      </c>
      <c r="F316" s="397" t="s">
        <v>775</v>
      </c>
      <c r="G316" s="397" t="s">
        <v>1084</v>
      </c>
      <c r="H316" s="423">
        <v>3115</v>
      </c>
      <c r="I316" s="397" t="s">
        <v>427</v>
      </c>
      <c r="J316" s="400">
        <f t="shared" ca="1" si="4"/>
        <v>43</v>
      </c>
    </row>
    <row r="317" spans="1:10" ht="15" x14ac:dyDescent="0.25">
      <c r="A317" s="397">
        <v>10000631</v>
      </c>
      <c r="B317" s="397">
        <v>8407251070</v>
      </c>
      <c r="C317" s="397" t="s">
        <v>1183</v>
      </c>
      <c r="D317" s="398">
        <v>28674</v>
      </c>
      <c r="E317" s="397" t="s">
        <v>1184</v>
      </c>
      <c r="F317" s="397" t="s">
        <v>1185</v>
      </c>
      <c r="G317" s="397" t="s">
        <v>1014</v>
      </c>
      <c r="H317" s="423">
        <v>2524</v>
      </c>
      <c r="I317" s="397" t="s">
        <v>387</v>
      </c>
      <c r="J317" s="400">
        <f t="shared" ca="1" si="4"/>
        <v>45</v>
      </c>
    </row>
    <row r="318" spans="1:10" ht="15" x14ac:dyDescent="0.25">
      <c r="A318" s="397">
        <v>10000636</v>
      </c>
      <c r="B318" s="397">
        <v>8409820269</v>
      </c>
      <c r="C318" s="397" t="s">
        <v>1186</v>
      </c>
      <c r="D318" s="398">
        <v>28931</v>
      </c>
      <c r="E318" s="397" t="s">
        <v>762</v>
      </c>
      <c r="F318" s="397" t="s">
        <v>763</v>
      </c>
      <c r="G318" s="397" t="s">
        <v>985</v>
      </c>
      <c r="H318" s="423">
        <v>2169</v>
      </c>
      <c r="I318" s="397" t="s">
        <v>346</v>
      </c>
      <c r="J318" s="400">
        <f t="shared" ca="1" si="4"/>
        <v>44</v>
      </c>
    </row>
    <row r="319" spans="1:10" ht="15" x14ac:dyDescent="0.25">
      <c r="A319" s="397">
        <v>10000637</v>
      </c>
      <c r="B319" s="397">
        <v>8331381300</v>
      </c>
      <c r="C319" s="397" t="s">
        <v>1187</v>
      </c>
      <c r="D319" s="398">
        <v>21087</v>
      </c>
      <c r="E319" s="397" t="s">
        <v>1042</v>
      </c>
      <c r="F319" s="397" t="s">
        <v>1043</v>
      </c>
      <c r="G319" s="397" t="s">
        <v>1068</v>
      </c>
      <c r="H319" s="423">
        <v>8323</v>
      </c>
      <c r="I319" s="397" t="s">
        <v>698</v>
      </c>
      <c r="J319" s="400">
        <f t="shared" ca="1" si="4"/>
        <v>66</v>
      </c>
    </row>
    <row r="320" spans="1:10" ht="15" x14ac:dyDescent="0.25">
      <c r="A320" s="397">
        <v>10000638</v>
      </c>
      <c r="B320" s="397">
        <v>8371473184</v>
      </c>
      <c r="C320" s="397" t="s">
        <v>1188</v>
      </c>
      <c r="D320" s="398">
        <v>25096</v>
      </c>
      <c r="E320" s="397" t="s">
        <v>1076</v>
      </c>
      <c r="F320" s="397" t="s">
        <v>1077</v>
      </c>
      <c r="G320" s="397" t="s">
        <v>1049</v>
      </c>
      <c r="H320" s="423">
        <v>4112</v>
      </c>
      <c r="I320" s="397" t="s">
        <v>523</v>
      </c>
      <c r="J320" s="400">
        <f t="shared" ca="1" si="4"/>
        <v>55</v>
      </c>
    </row>
    <row r="321" spans="1:10" ht="15" x14ac:dyDescent="0.25">
      <c r="A321" s="397">
        <v>10000643</v>
      </c>
      <c r="B321" s="397">
        <v>8401773423</v>
      </c>
      <c r="C321" s="397" t="s">
        <v>1189</v>
      </c>
      <c r="D321" s="398">
        <v>28126</v>
      </c>
      <c r="E321" s="397" t="s">
        <v>1045</v>
      </c>
      <c r="F321" s="397" t="s">
        <v>1046</v>
      </c>
      <c r="G321" s="397" t="s">
        <v>1014</v>
      </c>
      <c r="H321" s="423">
        <v>3611</v>
      </c>
      <c r="I321" s="397" t="s">
        <v>485</v>
      </c>
      <c r="J321" s="400">
        <f t="shared" ca="1" si="4"/>
        <v>46</v>
      </c>
    </row>
    <row r="322" spans="1:10" ht="15" x14ac:dyDescent="0.25">
      <c r="A322" s="397">
        <v>10000648</v>
      </c>
      <c r="B322" s="397">
        <v>8351943541</v>
      </c>
      <c r="C322" s="397" t="s">
        <v>1190</v>
      </c>
      <c r="D322" s="398">
        <v>23143</v>
      </c>
      <c r="E322" s="397" t="s">
        <v>1103</v>
      </c>
      <c r="F322" s="397" t="s">
        <v>1104</v>
      </c>
      <c r="G322" s="397" t="s">
        <v>1049</v>
      </c>
      <c r="H322" s="423">
        <v>3623</v>
      </c>
      <c r="I322" s="397" t="s">
        <v>494</v>
      </c>
      <c r="J322" s="400">
        <f t="shared" ca="1" si="4"/>
        <v>60</v>
      </c>
    </row>
    <row r="323" spans="1:10" ht="15" x14ac:dyDescent="0.25">
      <c r="A323" s="397">
        <v>10000657</v>
      </c>
      <c r="B323" s="397">
        <v>8429101519</v>
      </c>
      <c r="C323" s="397" t="s">
        <v>1191</v>
      </c>
      <c r="D323" s="398">
        <v>30859</v>
      </c>
      <c r="E323" s="397" t="s">
        <v>1096</v>
      </c>
      <c r="F323" s="397" t="s">
        <v>1097</v>
      </c>
      <c r="G323" s="397" t="s">
        <v>1014</v>
      </c>
      <c r="H323" s="423">
        <v>1322</v>
      </c>
      <c r="I323" s="397" t="s">
        <v>289</v>
      </c>
      <c r="J323" s="400">
        <f t="shared" ref="J323:J386" ca="1" si="5">YEAR(TODAY())-YEAR(D323)</f>
        <v>39</v>
      </c>
    </row>
    <row r="324" spans="1:10" ht="15" x14ac:dyDescent="0.25">
      <c r="A324" s="397">
        <v>10000660</v>
      </c>
      <c r="B324" s="397">
        <v>8398613750</v>
      </c>
      <c r="C324" s="397" t="s">
        <v>1192</v>
      </c>
      <c r="D324" s="398">
        <v>27810</v>
      </c>
      <c r="E324" s="397" t="s">
        <v>1039</v>
      </c>
      <c r="F324" s="397" t="s">
        <v>1040</v>
      </c>
      <c r="G324" s="397" t="s">
        <v>1049</v>
      </c>
      <c r="H324" s="423">
        <v>4229</v>
      </c>
      <c r="I324" s="397" t="s">
        <v>545</v>
      </c>
      <c r="J324" s="400">
        <f t="shared" ca="1" si="5"/>
        <v>47</v>
      </c>
    </row>
    <row r="325" spans="1:10" ht="15" x14ac:dyDescent="0.25">
      <c r="A325" s="397">
        <v>10000661</v>
      </c>
      <c r="B325" s="397">
        <v>8385382259</v>
      </c>
      <c r="C325" s="397" t="s">
        <v>1193</v>
      </c>
      <c r="D325" s="398">
        <v>26487</v>
      </c>
      <c r="E325" s="397" t="s">
        <v>1103</v>
      </c>
      <c r="F325" s="397" t="s">
        <v>1104</v>
      </c>
      <c r="G325" s="397" t="s">
        <v>1014</v>
      </c>
      <c r="H325" s="423">
        <v>3623</v>
      </c>
      <c r="I325" s="397" t="s">
        <v>494</v>
      </c>
      <c r="J325" s="400">
        <f t="shared" ca="1" si="5"/>
        <v>51</v>
      </c>
    </row>
    <row r="326" spans="1:10" ht="15" x14ac:dyDescent="0.25">
      <c r="A326" s="397">
        <v>10000663</v>
      </c>
      <c r="B326" s="397">
        <v>8414503373</v>
      </c>
      <c r="C326" s="397" t="s">
        <v>1194</v>
      </c>
      <c r="D326" s="398">
        <v>29399</v>
      </c>
      <c r="E326" s="397" t="s">
        <v>1045</v>
      </c>
      <c r="F326" s="397" t="s">
        <v>1046</v>
      </c>
      <c r="G326" s="397" t="s">
        <v>1014</v>
      </c>
      <c r="H326" s="423">
        <v>3611</v>
      </c>
      <c r="I326" s="397" t="s">
        <v>485</v>
      </c>
      <c r="J326" s="400">
        <f t="shared" ca="1" si="5"/>
        <v>43</v>
      </c>
    </row>
    <row r="327" spans="1:10" ht="15" x14ac:dyDescent="0.25">
      <c r="A327" s="397">
        <v>10000665</v>
      </c>
      <c r="B327" s="397">
        <v>8424730070</v>
      </c>
      <c r="C327" s="397" t="s">
        <v>1195</v>
      </c>
      <c r="D327" s="398">
        <v>30422</v>
      </c>
      <c r="E327" s="397" t="s">
        <v>1154</v>
      </c>
      <c r="F327" s="397" t="s">
        <v>1155</v>
      </c>
      <c r="G327" s="397" t="s">
        <v>1014</v>
      </c>
      <c r="H327" s="423">
        <v>2910</v>
      </c>
      <c r="I327" s="397" t="s">
        <v>422</v>
      </c>
      <c r="J327" s="400">
        <f t="shared" ca="1" si="5"/>
        <v>40</v>
      </c>
    </row>
    <row r="328" spans="1:10" ht="15" x14ac:dyDescent="0.25">
      <c r="A328" s="397">
        <v>10000666</v>
      </c>
      <c r="B328" s="397">
        <v>8381490405</v>
      </c>
      <c r="C328" s="397" t="s">
        <v>1196</v>
      </c>
      <c r="D328" s="398">
        <v>26098</v>
      </c>
      <c r="E328" s="397" t="s">
        <v>1045</v>
      </c>
      <c r="F328" s="397" t="s">
        <v>1046</v>
      </c>
      <c r="G328" s="397" t="s">
        <v>1014</v>
      </c>
      <c r="H328" s="423">
        <v>3611</v>
      </c>
      <c r="I328" s="397" t="s">
        <v>485</v>
      </c>
      <c r="J328" s="400">
        <f t="shared" ca="1" si="5"/>
        <v>52</v>
      </c>
    </row>
    <row r="329" spans="1:10" ht="15" x14ac:dyDescent="0.25">
      <c r="A329" s="397">
        <v>10000670</v>
      </c>
      <c r="B329" s="397">
        <v>8381124921</v>
      </c>
      <c r="C329" s="397" t="s">
        <v>1197</v>
      </c>
      <c r="D329" s="398">
        <v>26061</v>
      </c>
      <c r="E329" s="397" t="s">
        <v>806</v>
      </c>
      <c r="F329" s="397" t="s">
        <v>807</v>
      </c>
      <c r="G329" s="397" t="s">
        <v>768</v>
      </c>
      <c r="H329" s="423">
        <v>2410</v>
      </c>
      <c r="I329" s="397" t="s">
        <v>366</v>
      </c>
      <c r="J329" s="400">
        <f t="shared" ca="1" si="5"/>
        <v>52</v>
      </c>
    </row>
    <row r="330" spans="1:10" ht="15" x14ac:dyDescent="0.25">
      <c r="A330" s="397">
        <v>10000671</v>
      </c>
      <c r="B330" s="397">
        <v>8432950068</v>
      </c>
      <c r="C330" s="397" t="s">
        <v>1198</v>
      </c>
      <c r="D330" s="398">
        <v>31244</v>
      </c>
      <c r="E330" s="397" t="s">
        <v>1107</v>
      </c>
      <c r="F330" s="397" t="s">
        <v>1108</v>
      </c>
      <c r="G330" s="397" t="s">
        <v>1014</v>
      </c>
      <c r="H330" s="423">
        <v>2910</v>
      </c>
      <c r="I330" s="397" t="s">
        <v>422</v>
      </c>
      <c r="J330" s="400">
        <f t="shared" ca="1" si="5"/>
        <v>38</v>
      </c>
    </row>
    <row r="331" spans="1:10" ht="15" x14ac:dyDescent="0.25">
      <c r="A331" s="397">
        <v>10000673</v>
      </c>
      <c r="B331" s="397">
        <v>8329381064</v>
      </c>
      <c r="C331" s="397" t="s">
        <v>1199</v>
      </c>
      <c r="D331" s="398">
        <v>20887</v>
      </c>
      <c r="E331" s="397" t="s">
        <v>1042</v>
      </c>
      <c r="F331" s="397" t="s">
        <v>1043</v>
      </c>
      <c r="G331" s="397" t="s">
        <v>1068</v>
      </c>
      <c r="H331" s="423">
        <v>8323</v>
      </c>
      <c r="I331" s="397" t="s">
        <v>698</v>
      </c>
      <c r="J331" s="400">
        <f t="shared" ca="1" si="5"/>
        <v>66</v>
      </c>
    </row>
    <row r="332" spans="1:10" ht="15" x14ac:dyDescent="0.25">
      <c r="A332" s="397">
        <v>10000677</v>
      </c>
      <c r="B332" s="397">
        <v>8396281300</v>
      </c>
      <c r="C332" s="397" t="s">
        <v>1200</v>
      </c>
      <c r="D332" s="398">
        <v>27577</v>
      </c>
      <c r="E332" s="397" t="s">
        <v>1076</v>
      </c>
      <c r="F332" s="397" t="s">
        <v>1077</v>
      </c>
      <c r="G332" s="397" t="s">
        <v>1049</v>
      </c>
      <c r="H332" s="423">
        <v>3910</v>
      </c>
      <c r="I332" s="397" t="s">
        <v>520</v>
      </c>
      <c r="J332" s="400">
        <f t="shared" ca="1" si="5"/>
        <v>48</v>
      </c>
    </row>
    <row r="333" spans="1:10" ht="15" x14ac:dyDescent="0.25">
      <c r="A333" s="397">
        <v>10000682</v>
      </c>
      <c r="B333" s="397">
        <v>8439813473</v>
      </c>
      <c r="C333" s="397" t="s">
        <v>1201</v>
      </c>
      <c r="D333" s="398">
        <v>31930</v>
      </c>
      <c r="E333" s="397" t="s">
        <v>1025</v>
      </c>
      <c r="F333" s="397" t="s">
        <v>1026</v>
      </c>
      <c r="G333" s="397" t="s">
        <v>1049</v>
      </c>
      <c r="H333" s="423">
        <v>3910</v>
      </c>
      <c r="I333" s="397" t="s">
        <v>520</v>
      </c>
      <c r="J333" s="400">
        <f t="shared" ca="1" si="5"/>
        <v>36</v>
      </c>
    </row>
    <row r="334" spans="1:10" ht="15" x14ac:dyDescent="0.25">
      <c r="A334" s="397">
        <v>10000698</v>
      </c>
      <c r="B334" s="397">
        <v>8370633390</v>
      </c>
      <c r="C334" s="397" t="s">
        <v>1202</v>
      </c>
      <c r="D334" s="398">
        <v>25012</v>
      </c>
      <c r="E334" s="397" t="s">
        <v>1025</v>
      </c>
      <c r="F334" s="397" t="s">
        <v>1026</v>
      </c>
      <c r="G334" s="397" t="s">
        <v>1014</v>
      </c>
      <c r="H334" s="423">
        <v>2910</v>
      </c>
      <c r="I334" s="397" t="s">
        <v>422</v>
      </c>
      <c r="J334" s="400">
        <f t="shared" ca="1" si="5"/>
        <v>55</v>
      </c>
    </row>
    <row r="335" spans="1:10" ht="15" x14ac:dyDescent="0.25">
      <c r="A335" s="397">
        <v>10000700</v>
      </c>
      <c r="B335" s="397">
        <v>8338131113</v>
      </c>
      <c r="C335" s="397" t="s">
        <v>1203</v>
      </c>
      <c r="D335" s="398">
        <v>21762</v>
      </c>
      <c r="E335" s="397" t="s">
        <v>849</v>
      </c>
      <c r="F335" s="397" t="s">
        <v>850</v>
      </c>
      <c r="G335" s="397" t="s">
        <v>1049</v>
      </c>
      <c r="H335" s="423">
        <v>3910</v>
      </c>
      <c r="I335" s="397" t="s">
        <v>520</v>
      </c>
      <c r="J335" s="400">
        <f t="shared" ca="1" si="5"/>
        <v>64</v>
      </c>
    </row>
    <row r="336" spans="1:10" ht="15" x14ac:dyDescent="0.25">
      <c r="A336" s="397">
        <v>10000705</v>
      </c>
      <c r="B336" s="397">
        <v>8389222558</v>
      </c>
      <c r="C336" s="397" t="s">
        <v>1204</v>
      </c>
      <c r="D336" s="398">
        <v>26871</v>
      </c>
      <c r="E336" s="397" t="s">
        <v>1045</v>
      </c>
      <c r="F336" s="397" t="s">
        <v>1046</v>
      </c>
      <c r="G336" s="397" t="s">
        <v>1049</v>
      </c>
      <c r="H336" s="423">
        <v>3611</v>
      </c>
      <c r="I336" s="397" t="s">
        <v>485</v>
      </c>
      <c r="J336" s="400">
        <f t="shared" ca="1" si="5"/>
        <v>50</v>
      </c>
    </row>
    <row r="337" spans="1:10" ht="15" x14ac:dyDescent="0.25">
      <c r="A337" s="397">
        <v>10000715</v>
      </c>
      <c r="B337" s="397">
        <v>8361081690</v>
      </c>
      <c r="C337" s="397" t="s">
        <v>1205</v>
      </c>
      <c r="D337" s="398">
        <v>24057</v>
      </c>
      <c r="E337" s="397" t="s">
        <v>1051</v>
      </c>
      <c r="F337" s="397" t="s">
        <v>1052</v>
      </c>
      <c r="G337" s="397" t="s">
        <v>1049</v>
      </c>
      <c r="H337" s="423">
        <v>4134</v>
      </c>
      <c r="I337" s="397" t="s">
        <v>534</v>
      </c>
      <c r="J337" s="400">
        <f t="shared" ca="1" si="5"/>
        <v>58</v>
      </c>
    </row>
    <row r="338" spans="1:10" ht="15" x14ac:dyDescent="0.25">
      <c r="A338" s="397">
        <v>10000717</v>
      </c>
      <c r="B338" s="397">
        <v>8455730277</v>
      </c>
      <c r="C338" s="397" t="s">
        <v>1206</v>
      </c>
      <c r="D338" s="398">
        <v>33522</v>
      </c>
      <c r="E338" s="397" t="s">
        <v>1045</v>
      </c>
      <c r="F338" s="397" t="s">
        <v>1046</v>
      </c>
      <c r="G338" s="397" t="s">
        <v>1014</v>
      </c>
      <c r="H338" s="423">
        <v>3611</v>
      </c>
      <c r="I338" s="397" t="s">
        <v>485</v>
      </c>
      <c r="J338" s="400">
        <f t="shared" ca="1" si="5"/>
        <v>32</v>
      </c>
    </row>
    <row r="339" spans="1:10" ht="15" x14ac:dyDescent="0.25">
      <c r="A339" s="397">
        <v>10000718</v>
      </c>
      <c r="B339" s="397">
        <v>8375521736</v>
      </c>
      <c r="C339" s="397" t="s">
        <v>1207</v>
      </c>
      <c r="D339" s="398">
        <v>25501</v>
      </c>
      <c r="E339" s="397" t="s">
        <v>1051</v>
      </c>
      <c r="F339" s="397" t="s">
        <v>1052</v>
      </c>
      <c r="G339" s="397" t="s">
        <v>1049</v>
      </c>
      <c r="H339" s="423">
        <v>4122</v>
      </c>
      <c r="I339" s="397" t="s">
        <v>528</v>
      </c>
      <c r="J339" s="400">
        <f t="shared" ca="1" si="5"/>
        <v>54</v>
      </c>
    </row>
    <row r="340" spans="1:10" ht="15" x14ac:dyDescent="0.25">
      <c r="A340" s="397">
        <v>10000719</v>
      </c>
      <c r="B340" s="397">
        <v>8397461884</v>
      </c>
      <c r="C340" s="397" t="s">
        <v>1208</v>
      </c>
      <c r="D340" s="398">
        <v>27695</v>
      </c>
      <c r="E340" s="397" t="s">
        <v>1107</v>
      </c>
      <c r="F340" s="397" t="s">
        <v>1108</v>
      </c>
      <c r="G340" s="397" t="s">
        <v>1209</v>
      </c>
      <c r="H340" s="423">
        <v>2910</v>
      </c>
      <c r="I340" s="397" t="s">
        <v>422</v>
      </c>
      <c r="J340" s="400">
        <f t="shared" ca="1" si="5"/>
        <v>48</v>
      </c>
    </row>
    <row r="341" spans="1:10" ht="15" x14ac:dyDescent="0.25">
      <c r="A341" s="397">
        <v>10000720</v>
      </c>
      <c r="B341" s="397">
        <v>8336301208</v>
      </c>
      <c r="C341" s="397" t="s">
        <v>1210</v>
      </c>
      <c r="D341" s="398">
        <v>21579</v>
      </c>
      <c r="E341" s="397" t="s">
        <v>781</v>
      </c>
      <c r="F341" s="397" t="s">
        <v>782</v>
      </c>
      <c r="G341" s="397" t="s">
        <v>1049</v>
      </c>
      <c r="H341" s="423">
        <v>3910</v>
      </c>
      <c r="I341" s="397" t="s">
        <v>520</v>
      </c>
      <c r="J341" s="400">
        <f t="shared" ca="1" si="5"/>
        <v>64</v>
      </c>
    </row>
    <row r="342" spans="1:10" ht="15" x14ac:dyDescent="0.25">
      <c r="A342" s="397">
        <v>10000721</v>
      </c>
      <c r="B342" s="397">
        <v>8366942589</v>
      </c>
      <c r="C342" s="397" t="s">
        <v>1211</v>
      </c>
      <c r="D342" s="398">
        <v>24643</v>
      </c>
      <c r="E342" s="397" t="s">
        <v>810</v>
      </c>
      <c r="F342" s="397" t="s">
        <v>811</v>
      </c>
      <c r="G342" s="397" t="s">
        <v>891</v>
      </c>
      <c r="H342" s="423">
        <v>2410</v>
      </c>
      <c r="I342" s="397" t="s">
        <v>366</v>
      </c>
      <c r="J342" s="400">
        <f t="shared" ca="1" si="5"/>
        <v>56</v>
      </c>
    </row>
    <row r="343" spans="1:10" ht="15" x14ac:dyDescent="0.25">
      <c r="A343" s="397">
        <v>10000724</v>
      </c>
      <c r="B343" s="397">
        <v>8444583421</v>
      </c>
      <c r="C343" s="397" t="s">
        <v>1212</v>
      </c>
      <c r="D343" s="398">
        <v>32407</v>
      </c>
      <c r="E343" s="397" t="s">
        <v>883</v>
      </c>
      <c r="F343" s="397" t="s">
        <v>884</v>
      </c>
      <c r="G343" s="397" t="s">
        <v>1049</v>
      </c>
      <c r="H343" s="423">
        <v>2910</v>
      </c>
      <c r="I343" s="397" t="s">
        <v>422</v>
      </c>
      <c r="J343" s="400">
        <f t="shared" ca="1" si="5"/>
        <v>35</v>
      </c>
    </row>
    <row r="344" spans="1:10" ht="15" x14ac:dyDescent="0.25">
      <c r="A344" s="397">
        <v>10000728</v>
      </c>
      <c r="B344" s="397">
        <v>8361522107</v>
      </c>
      <c r="C344" s="397" t="s">
        <v>1213</v>
      </c>
      <c r="D344" s="398">
        <v>24101</v>
      </c>
      <c r="E344" s="397" t="s">
        <v>1172</v>
      </c>
      <c r="F344" s="397" t="s">
        <v>1173</v>
      </c>
      <c r="G344" s="397" t="s">
        <v>1014</v>
      </c>
      <c r="H344" s="423">
        <v>1415</v>
      </c>
      <c r="I344" s="397" t="s">
        <v>308</v>
      </c>
      <c r="J344" s="400">
        <f t="shared" ca="1" si="5"/>
        <v>58</v>
      </c>
    </row>
    <row r="345" spans="1:10" ht="15" x14ac:dyDescent="0.25">
      <c r="A345" s="397">
        <v>10000729</v>
      </c>
      <c r="B345" s="397">
        <v>8344491819</v>
      </c>
      <c r="C345" s="397" t="s">
        <v>1214</v>
      </c>
      <c r="D345" s="398">
        <v>22398</v>
      </c>
      <c r="E345" s="397" t="s">
        <v>1064</v>
      </c>
      <c r="F345" s="397" t="s">
        <v>1065</v>
      </c>
      <c r="G345" s="397" t="s">
        <v>1119</v>
      </c>
      <c r="H345" s="423">
        <v>2711</v>
      </c>
      <c r="I345" s="397" t="s">
        <v>407</v>
      </c>
      <c r="J345" s="400">
        <f t="shared" ca="1" si="5"/>
        <v>62</v>
      </c>
    </row>
    <row r="346" spans="1:10" ht="15" x14ac:dyDescent="0.25">
      <c r="A346" s="397">
        <v>10000732</v>
      </c>
      <c r="B346" s="397">
        <v>8396223912</v>
      </c>
      <c r="C346" s="397" t="s">
        <v>1215</v>
      </c>
      <c r="D346" s="398">
        <v>27571</v>
      </c>
      <c r="E346" s="397" t="s">
        <v>849</v>
      </c>
      <c r="F346" s="397" t="s">
        <v>850</v>
      </c>
      <c r="G346" s="397" t="s">
        <v>902</v>
      </c>
      <c r="H346" s="423">
        <v>2169</v>
      </c>
      <c r="I346" s="397" t="s">
        <v>346</v>
      </c>
      <c r="J346" s="400">
        <f t="shared" ca="1" si="5"/>
        <v>48</v>
      </c>
    </row>
    <row r="347" spans="1:10" ht="15" x14ac:dyDescent="0.25">
      <c r="A347" s="397">
        <v>10000734</v>
      </c>
      <c r="B347" s="397">
        <v>8377274515</v>
      </c>
      <c r="C347" s="397" t="s">
        <v>1216</v>
      </c>
      <c r="D347" s="398">
        <v>25676</v>
      </c>
      <c r="E347" s="397" t="s">
        <v>1154</v>
      </c>
      <c r="F347" s="397" t="s">
        <v>1155</v>
      </c>
      <c r="G347" s="397" t="s">
        <v>1014</v>
      </c>
      <c r="H347" s="423">
        <v>2910</v>
      </c>
      <c r="I347" s="397" t="s">
        <v>422</v>
      </c>
      <c r="J347" s="400">
        <f t="shared" ca="1" si="5"/>
        <v>53</v>
      </c>
    </row>
    <row r="348" spans="1:10" ht="15" x14ac:dyDescent="0.25">
      <c r="A348" s="397">
        <v>10000735</v>
      </c>
      <c r="B348" s="397">
        <v>8357370659</v>
      </c>
      <c r="C348" s="397" t="s">
        <v>1217</v>
      </c>
      <c r="D348" s="398">
        <v>23686</v>
      </c>
      <c r="E348" s="397" t="s">
        <v>1064</v>
      </c>
      <c r="F348" s="397" t="s">
        <v>1065</v>
      </c>
      <c r="G348" s="397" t="s">
        <v>1066</v>
      </c>
      <c r="H348" s="423">
        <v>2719</v>
      </c>
      <c r="I348" s="397" t="s">
        <v>414</v>
      </c>
      <c r="J348" s="400">
        <f t="shared" ca="1" si="5"/>
        <v>59</v>
      </c>
    </row>
    <row r="349" spans="1:10" ht="15" x14ac:dyDescent="0.25">
      <c r="A349" s="397">
        <v>10000739</v>
      </c>
      <c r="B349" s="397">
        <v>8412333799</v>
      </c>
      <c r="C349" s="397" t="s">
        <v>1218</v>
      </c>
      <c r="D349" s="398">
        <v>29182</v>
      </c>
      <c r="E349" s="397" t="s">
        <v>810</v>
      </c>
      <c r="F349" s="397" t="s">
        <v>811</v>
      </c>
      <c r="G349" s="397" t="s">
        <v>1014</v>
      </c>
      <c r="H349" s="423">
        <v>2910</v>
      </c>
      <c r="I349" s="397" t="s">
        <v>422</v>
      </c>
      <c r="J349" s="400">
        <f t="shared" ca="1" si="5"/>
        <v>44</v>
      </c>
    </row>
    <row r="350" spans="1:10" ht="15" x14ac:dyDescent="0.25">
      <c r="A350" s="397">
        <v>10000741</v>
      </c>
      <c r="B350" s="397">
        <v>8380810767</v>
      </c>
      <c r="C350" s="397" t="s">
        <v>1219</v>
      </c>
      <c r="D350" s="398">
        <v>26030</v>
      </c>
      <c r="E350" s="397" t="s">
        <v>1042</v>
      </c>
      <c r="F350" s="397" t="s">
        <v>1043</v>
      </c>
      <c r="G350" s="397" t="s">
        <v>1068</v>
      </c>
      <c r="H350" s="423">
        <v>8323</v>
      </c>
      <c r="I350" s="397" t="s">
        <v>698</v>
      </c>
      <c r="J350" s="400">
        <f t="shared" ca="1" si="5"/>
        <v>52</v>
      </c>
    </row>
    <row r="351" spans="1:10" ht="15" x14ac:dyDescent="0.25">
      <c r="A351" s="397">
        <v>10000742</v>
      </c>
      <c r="B351" s="397">
        <v>8389022850</v>
      </c>
      <c r="C351" s="397" t="s">
        <v>1220</v>
      </c>
      <c r="D351" s="398">
        <v>26851</v>
      </c>
      <c r="E351" s="397" t="s">
        <v>806</v>
      </c>
      <c r="F351" s="397" t="s">
        <v>807</v>
      </c>
      <c r="G351" s="397" t="s">
        <v>1049</v>
      </c>
      <c r="H351" s="423">
        <v>3910</v>
      </c>
      <c r="I351" s="397" t="s">
        <v>520</v>
      </c>
      <c r="J351" s="400">
        <f t="shared" ca="1" si="5"/>
        <v>50</v>
      </c>
    </row>
    <row r="352" spans="1:10" ht="15" x14ac:dyDescent="0.25">
      <c r="A352" s="397">
        <v>10000743</v>
      </c>
      <c r="B352" s="397">
        <v>8403093829</v>
      </c>
      <c r="C352" s="397" t="s">
        <v>1221</v>
      </c>
      <c r="D352" s="398">
        <v>28258</v>
      </c>
      <c r="E352" s="397" t="s">
        <v>1051</v>
      </c>
      <c r="F352" s="397" t="s">
        <v>1052</v>
      </c>
      <c r="G352" s="397" t="s">
        <v>1209</v>
      </c>
      <c r="H352" s="423">
        <v>4134</v>
      </c>
      <c r="I352" s="397" t="s">
        <v>534</v>
      </c>
      <c r="J352" s="400">
        <f t="shared" ca="1" si="5"/>
        <v>46</v>
      </c>
    </row>
    <row r="353" spans="1:10" ht="15" x14ac:dyDescent="0.25">
      <c r="A353" s="397">
        <v>10000744</v>
      </c>
      <c r="B353" s="397">
        <v>8393080924</v>
      </c>
      <c r="C353" s="397" t="s">
        <v>1222</v>
      </c>
      <c r="D353" s="398">
        <v>27257</v>
      </c>
      <c r="E353" s="397" t="s">
        <v>1042</v>
      </c>
      <c r="F353" s="397" t="s">
        <v>1043</v>
      </c>
      <c r="G353" s="397" t="s">
        <v>1068</v>
      </c>
      <c r="H353" s="423">
        <v>7223</v>
      </c>
      <c r="I353" s="397" t="s">
        <v>613</v>
      </c>
      <c r="J353" s="400">
        <f t="shared" ca="1" si="5"/>
        <v>49</v>
      </c>
    </row>
    <row r="354" spans="1:10" ht="15" x14ac:dyDescent="0.25">
      <c r="A354" s="397">
        <v>10000747</v>
      </c>
      <c r="B354" s="397">
        <v>8399231932</v>
      </c>
      <c r="C354" s="397" t="s">
        <v>1223</v>
      </c>
      <c r="D354" s="398">
        <v>27872</v>
      </c>
      <c r="E354" s="397" t="s">
        <v>1054</v>
      </c>
      <c r="F354" s="397" t="s">
        <v>1055</v>
      </c>
      <c r="G354" s="397" t="s">
        <v>1049</v>
      </c>
      <c r="H354" s="423">
        <v>3910</v>
      </c>
      <c r="I354" s="397" t="s">
        <v>520</v>
      </c>
      <c r="J354" s="400">
        <f t="shared" ca="1" si="5"/>
        <v>47</v>
      </c>
    </row>
    <row r="355" spans="1:10" ht="15" x14ac:dyDescent="0.25">
      <c r="A355" s="397">
        <v>10000750</v>
      </c>
      <c r="B355" s="397">
        <v>8415590679</v>
      </c>
      <c r="C355" s="397" t="s">
        <v>1224</v>
      </c>
      <c r="D355" s="398">
        <v>29508</v>
      </c>
      <c r="E355" s="397" t="s">
        <v>1051</v>
      </c>
      <c r="F355" s="397" t="s">
        <v>1052</v>
      </c>
      <c r="G355" s="397" t="s">
        <v>1014</v>
      </c>
      <c r="H355" s="423">
        <v>4134</v>
      </c>
      <c r="I355" s="397" t="s">
        <v>534</v>
      </c>
      <c r="J355" s="400">
        <f t="shared" ca="1" si="5"/>
        <v>43</v>
      </c>
    </row>
    <row r="356" spans="1:10" ht="15" x14ac:dyDescent="0.25">
      <c r="A356" s="397">
        <v>10000751</v>
      </c>
      <c r="B356" s="397">
        <v>8393854040</v>
      </c>
      <c r="C356" s="397" t="s">
        <v>1225</v>
      </c>
      <c r="D356" s="398">
        <v>27334</v>
      </c>
      <c r="E356" s="397" t="s">
        <v>1154</v>
      </c>
      <c r="F356" s="397" t="s">
        <v>1155</v>
      </c>
      <c r="G356" s="397" t="s">
        <v>1049</v>
      </c>
      <c r="H356" s="423">
        <v>3910</v>
      </c>
      <c r="I356" s="397" t="s">
        <v>520</v>
      </c>
      <c r="J356" s="400">
        <f t="shared" ca="1" si="5"/>
        <v>49</v>
      </c>
    </row>
    <row r="357" spans="1:10" ht="15" x14ac:dyDescent="0.25">
      <c r="A357" s="397">
        <v>10000752</v>
      </c>
      <c r="B357" s="397">
        <v>8363721875</v>
      </c>
      <c r="C357" s="397" t="s">
        <v>1226</v>
      </c>
      <c r="D357" s="398">
        <v>24321</v>
      </c>
      <c r="E357" s="397" t="s">
        <v>1045</v>
      </c>
      <c r="F357" s="397" t="s">
        <v>1046</v>
      </c>
      <c r="G357" s="397" t="s">
        <v>1014</v>
      </c>
      <c r="H357" s="423">
        <v>1411</v>
      </c>
      <c r="I357" s="397" t="s">
        <v>304</v>
      </c>
      <c r="J357" s="400">
        <f t="shared" ca="1" si="5"/>
        <v>57</v>
      </c>
    </row>
    <row r="358" spans="1:10" ht="15" x14ac:dyDescent="0.25">
      <c r="A358" s="397">
        <v>10000756</v>
      </c>
      <c r="B358" s="397">
        <v>8373452354</v>
      </c>
      <c r="C358" s="397" t="s">
        <v>1227</v>
      </c>
      <c r="D358" s="398">
        <v>25294</v>
      </c>
      <c r="E358" s="397" t="s">
        <v>1045</v>
      </c>
      <c r="F358" s="397" t="s">
        <v>1046</v>
      </c>
      <c r="G358" s="397" t="s">
        <v>1049</v>
      </c>
      <c r="H358" s="423">
        <v>3611</v>
      </c>
      <c r="I358" s="397" t="s">
        <v>485</v>
      </c>
      <c r="J358" s="400">
        <f t="shared" ca="1" si="5"/>
        <v>54</v>
      </c>
    </row>
    <row r="359" spans="1:10" ht="15" x14ac:dyDescent="0.25">
      <c r="A359" s="397">
        <v>10000757</v>
      </c>
      <c r="B359" s="397">
        <v>8427040342</v>
      </c>
      <c r="C359" s="397" t="s">
        <v>1228</v>
      </c>
      <c r="D359" s="398">
        <v>30653</v>
      </c>
      <c r="E359" s="397" t="s">
        <v>1071</v>
      </c>
      <c r="F359" s="397" t="s">
        <v>1072</v>
      </c>
      <c r="G359" s="397" t="s">
        <v>1014</v>
      </c>
      <c r="H359" s="423">
        <v>2910</v>
      </c>
      <c r="I359" s="397" t="s">
        <v>422</v>
      </c>
      <c r="J359" s="400">
        <f t="shared" ca="1" si="5"/>
        <v>40</v>
      </c>
    </row>
    <row r="360" spans="1:10" ht="15" x14ac:dyDescent="0.25">
      <c r="A360" s="397">
        <v>10000758</v>
      </c>
      <c r="B360" s="397">
        <v>8421160273</v>
      </c>
      <c r="C360" s="397" t="s">
        <v>1229</v>
      </c>
      <c r="D360" s="398">
        <v>30065</v>
      </c>
      <c r="E360" s="397" t="s">
        <v>1042</v>
      </c>
      <c r="F360" s="397" t="s">
        <v>1043</v>
      </c>
      <c r="G360" s="397" t="s">
        <v>1068</v>
      </c>
      <c r="H360" s="423">
        <v>7524</v>
      </c>
      <c r="I360" s="397" t="s">
        <v>655</v>
      </c>
      <c r="J360" s="400">
        <f t="shared" ca="1" si="5"/>
        <v>41</v>
      </c>
    </row>
    <row r="361" spans="1:10" ht="15" x14ac:dyDescent="0.25">
      <c r="A361" s="397">
        <v>10000761</v>
      </c>
      <c r="B361" s="397">
        <v>8409473887</v>
      </c>
      <c r="C361" s="397" t="s">
        <v>1230</v>
      </c>
      <c r="D361" s="398">
        <v>28896</v>
      </c>
      <c r="E361" s="397" t="s">
        <v>1042</v>
      </c>
      <c r="F361" s="397" t="s">
        <v>1043</v>
      </c>
      <c r="G361" s="397" t="s">
        <v>1068</v>
      </c>
      <c r="H361" s="423">
        <v>7521</v>
      </c>
      <c r="I361" s="397" t="s">
        <v>652</v>
      </c>
      <c r="J361" s="400">
        <f t="shared" ca="1" si="5"/>
        <v>44</v>
      </c>
    </row>
    <row r="362" spans="1:10" ht="15" x14ac:dyDescent="0.25">
      <c r="A362" s="397">
        <v>10000762</v>
      </c>
      <c r="B362" s="397">
        <v>8338512761</v>
      </c>
      <c r="C362" s="397" t="s">
        <v>1231</v>
      </c>
      <c r="D362" s="398">
        <v>21800</v>
      </c>
      <c r="E362" s="397" t="s">
        <v>1064</v>
      </c>
      <c r="F362" s="397" t="s">
        <v>1065</v>
      </c>
      <c r="G362" s="397" t="s">
        <v>1232</v>
      </c>
      <c r="H362" s="423">
        <v>3713</v>
      </c>
      <c r="I362" s="397" t="s">
        <v>512</v>
      </c>
      <c r="J362" s="400">
        <f t="shared" ca="1" si="5"/>
        <v>64</v>
      </c>
    </row>
    <row r="363" spans="1:10" ht="15" x14ac:dyDescent="0.25">
      <c r="A363" s="397">
        <v>10000766</v>
      </c>
      <c r="B363" s="397">
        <v>8417004319</v>
      </c>
      <c r="C363" s="397" t="s">
        <v>1233</v>
      </c>
      <c r="D363" s="398">
        <v>29649</v>
      </c>
      <c r="E363" s="397" t="s">
        <v>1149</v>
      </c>
      <c r="F363" s="397" t="s">
        <v>1150</v>
      </c>
      <c r="G363" s="397" t="s">
        <v>1014</v>
      </c>
      <c r="H363" s="423">
        <v>2532</v>
      </c>
      <c r="I363" s="397" t="s">
        <v>389</v>
      </c>
      <c r="J363" s="400">
        <f t="shared" ca="1" si="5"/>
        <v>42</v>
      </c>
    </row>
    <row r="364" spans="1:10" ht="15" x14ac:dyDescent="0.25">
      <c r="A364" s="397">
        <v>10000767</v>
      </c>
      <c r="B364" s="397">
        <v>8415041640</v>
      </c>
      <c r="C364" s="397" t="s">
        <v>1234</v>
      </c>
      <c r="D364" s="398">
        <v>29453</v>
      </c>
      <c r="E364" s="397" t="s">
        <v>1061</v>
      </c>
      <c r="F364" s="397" t="s">
        <v>1062</v>
      </c>
      <c r="G364" s="397" t="s">
        <v>1049</v>
      </c>
      <c r="H364" s="423">
        <v>3910</v>
      </c>
      <c r="I364" s="397" t="s">
        <v>520</v>
      </c>
      <c r="J364" s="400">
        <f t="shared" ca="1" si="5"/>
        <v>43</v>
      </c>
    </row>
    <row r="365" spans="1:10" ht="15" x14ac:dyDescent="0.25">
      <c r="A365" s="397">
        <v>10000768</v>
      </c>
      <c r="B365" s="397">
        <v>8355040880</v>
      </c>
      <c r="C365" s="397" t="s">
        <v>1235</v>
      </c>
      <c r="D365" s="398">
        <v>23453</v>
      </c>
      <c r="E365" s="397" t="s">
        <v>795</v>
      </c>
      <c r="F365" s="397" t="s">
        <v>796</v>
      </c>
      <c r="G365" s="397" t="s">
        <v>1084</v>
      </c>
      <c r="H365" s="423">
        <v>2164</v>
      </c>
      <c r="I365" s="397" t="s">
        <v>341</v>
      </c>
      <c r="J365" s="400">
        <f t="shared" ca="1" si="5"/>
        <v>59</v>
      </c>
    </row>
    <row r="366" spans="1:10" ht="15" x14ac:dyDescent="0.25">
      <c r="A366" s="397">
        <v>10000775</v>
      </c>
      <c r="B366" s="397">
        <v>8435411451</v>
      </c>
      <c r="C366" s="397" t="s">
        <v>1236</v>
      </c>
      <c r="D366" s="398">
        <v>31490</v>
      </c>
      <c r="E366" s="397" t="s">
        <v>849</v>
      </c>
      <c r="F366" s="397" t="s">
        <v>850</v>
      </c>
      <c r="G366" s="397" t="s">
        <v>985</v>
      </c>
      <c r="H366" s="423">
        <v>2169</v>
      </c>
      <c r="I366" s="397" t="s">
        <v>346</v>
      </c>
      <c r="J366" s="400">
        <f t="shared" ca="1" si="5"/>
        <v>37</v>
      </c>
    </row>
    <row r="367" spans="1:10" ht="15" x14ac:dyDescent="0.25">
      <c r="A367" s="397">
        <v>10000778</v>
      </c>
      <c r="B367" s="397">
        <v>8418862165</v>
      </c>
      <c r="C367" s="397" t="s">
        <v>1237</v>
      </c>
      <c r="D367" s="398">
        <v>29835</v>
      </c>
      <c r="E367" s="397" t="s">
        <v>1076</v>
      </c>
      <c r="F367" s="397" t="s">
        <v>1077</v>
      </c>
      <c r="G367" s="397" t="s">
        <v>1014</v>
      </c>
      <c r="H367" s="423">
        <v>1329</v>
      </c>
      <c r="I367" s="397" t="s">
        <v>296</v>
      </c>
      <c r="J367" s="400">
        <f t="shared" ca="1" si="5"/>
        <v>42</v>
      </c>
    </row>
    <row r="368" spans="1:10" ht="15" x14ac:dyDescent="0.25">
      <c r="A368" s="397">
        <v>10000781</v>
      </c>
      <c r="B368" s="397">
        <v>8375633437</v>
      </c>
      <c r="C368" s="397" t="s">
        <v>1238</v>
      </c>
      <c r="D368" s="398">
        <v>25512</v>
      </c>
      <c r="E368" s="397" t="s">
        <v>1039</v>
      </c>
      <c r="F368" s="397" t="s">
        <v>1040</v>
      </c>
      <c r="G368" s="397" t="s">
        <v>1049</v>
      </c>
      <c r="H368" s="423">
        <v>4229</v>
      </c>
      <c r="I368" s="397" t="s">
        <v>545</v>
      </c>
      <c r="J368" s="400">
        <f t="shared" ca="1" si="5"/>
        <v>54</v>
      </c>
    </row>
    <row r="369" spans="1:10" ht="15" x14ac:dyDescent="0.25">
      <c r="A369" s="397">
        <v>10000784</v>
      </c>
      <c r="B369" s="397">
        <v>8396416036</v>
      </c>
      <c r="C369" s="397" t="s">
        <v>1239</v>
      </c>
      <c r="D369" s="398">
        <v>27590</v>
      </c>
      <c r="E369" s="397" t="s">
        <v>774</v>
      </c>
      <c r="F369" s="397" t="s">
        <v>775</v>
      </c>
      <c r="G369" s="397" t="s">
        <v>1049</v>
      </c>
      <c r="H369" s="423">
        <v>4111</v>
      </c>
      <c r="I369" s="397" t="s">
        <v>522</v>
      </c>
      <c r="J369" s="400">
        <f t="shared" ca="1" si="5"/>
        <v>48</v>
      </c>
    </row>
    <row r="370" spans="1:10" ht="15" x14ac:dyDescent="0.25">
      <c r="A370" s="397">
        <v>10000785</v>
      </c>
      <c r="B370" s="397">
        <v>8404371083</v>
      </c>
      <c r="C370" s="397" t="s">
        <v>1240</v>
      </c>
      <c r="D370" s="398">
        <v>28386</v>
      </c>
      <c r="E370" s="397" t="s">
        <v>1103</v>
      </c>
      <c r="F370" s="397" t="s">
        <v>1104</v>
      </c>
      <c r="G370" s="397" t="s">
        <v>1049</v>
      </c>
      <c r="H370" s="423">
        <v>2910</v>
      </c>
      <c r="I370" s="397" t="s">
        <v>422</v>
      </c>
      <c r="J370" s="400">
        <f t="shared" ca="1" si="5"/>
        <v>46</v>
      </c>
    </row>
    <row r="371" spans="1:10" ht="15" x14ac:dyDescent="0.25">
      <c r="A371" s="397">
        <v>10000788</v>
      </c>
      <c r="B371" s="397">
        <v>8421461990</v>
      </c>
      <c r="C371" s="397" t="s">
        <v>1241</v>
      </c>
      <c r="D371" s="398">
        <v>30095</v>
      </c>
      <c r="E371" s="397" t="s">
        <v>1042</v>
      </c>
      <c r="F371" s="397" t="s">
        <v>1043</v>
      </c>
      <c r="G371" s="397" t="s">
        <v>1068</v>
      </c>
      <c r="H371" s="423">
        <v>7223</v>
      </c>
      <c r="I371" s="397" t="s">
        <v>613</v>
      </c>
      <c r="J371" s="400">
        <f t="shared" ca="1" si="5"/>
        <v>41</v>
      </c>
    </row>
    <row r="372" spans="1:10" ht="15" x14ac:dyDescent="0.25">
      <c r="A372" s="397">
        <v>10000797</v>
      </c>
      <c r="B372" s="397">
        <v>8397324542</v>
      </c>
      <c r="C372" s="397" t="s">
        <v>1242</v>
      </c>
      <c r="D372" s="398">
        <v>27681</v>
      </c>
      <c r="E372" s="397" t="s">
        <v>1025</v>
      </c>
      <c r="F372" s="397" t="s">
        <v>1026</v>
      </c>
      <c r="G372" s="397" t="s">
        <v>1014</v>
      </c>
      <c r="H372" s="423">
        <v>2910</v>
      </c>
      <c r="I372" s="397" t="s">
        <v>422</v>
      </c>
      <c r="J372" s="400">
        <f t="shared" ca="1" si="5"/>
        <v>48</v>
      </c>
    </row>
    <row r="373" spans="1:10" ht="15" x14ac:dyDescent="0.25">
      <c r="A373" s="397">
        <v>10000798</v>
      </c>
      <c r="B373" s="397">
        <v>8408180045</v>
      </c>
      <c r="C373" s="397" t="s">
        <v>1243</v>
      </c>
      <c r="D373" s="398">
        <v>28767</v>
      </c>
      <c r="E373" s="397" t="s">
        <v>1025</v>
      </c>
      <c r="F373" s="397" t="s">
        <v>1026</v>
      </c>
      <c r="G373" s="397" t="s">
        <v>1049</v>
      </c>
      <c r="H373" s="423">
        <v>2910</v>
      </c>
      <c r="I373" s="397" t="s">
        <v>422</v>
      </c>
      <c r="J373" s="400">
        <f t="shared" ca="1" si="5"/>
        <v>45</v>
      </c>
    </row>
    <row r="374" spans="1:10" ht="15" x14ac:dyDescent="0.25">
      <c r="A374" s="397">
        <v>10000801</v>
      </c>
      <c r="B374" s="397">
        <v>8374203714</v>
      </c>
      <c r="C374" s="397" t="s">
        <v>1244</v>
      </c>
      <c r="D374" s="398">
        <v>25369</v>
      </c>
      <c r="E374" s="397" t="s">
        <v>1045</v>
      </c>
      <c r="F374" s="397" t="s">
        <v>1046</v>
      </c>
      <c r="G374" s="397" t="s">
        <v>1049</v>
      </c>
      <c r="H374" s="423">
        <v>3611</v>
      </c>
      <c r="I374" s="397" t="s">
        <v>485</v>
      </c>
      <c r="J374" s="400">
        <f t="shared" ca="1" si="5"/>
        <v>54</v>
      </c>
    </row>
    <row r="375" spans="1:10" ht="15" x14ac:dyDescent="0.25">
      <c r="A375" s="397">
        <v>10000802</v>
      </c>
      <c r="B375" s="397">
        <v>8426450946</v>
      </c>
      <c r="C375" s="397" t="s">
        <v>1245</v>
      </c>
      <c r="D375" s="398">
        <v>30594</v>
      </c>
      <c r="E375" s="397" t="s">
        <v>849</v>
      </c>
      <c r="F375" s="397" t="s">
        <v>850</v>
      </c>
      <c r="G375" s="397" t="s">
        <v>985</v>
      </c>
      <c r="H375" s="423">
        <v>2139</v>
      </c>
      <c r="I375" s="397" t="s">
        <v>329</v>
      </c>
      <c r="J375" s="400">
        <f t="shared" ca="1" si="5"/>
        <v>40</v>
      </c>
    </row>
    <row r="376" spans="1:10" ht="15" x14ac:dyDescent="0.25">
      <c r="A376" s="397">
        <v>10000803</v>
      </c>
      <c r="B376" s="397">
        <v>8379480910</v>
      </c>
      <c r="C376" s="397" t="s">
        <v>1246</v>
      </c>
      <c r="D376" s="398">
        <v>25897</v>
      </c>
      <c r="E376" s="397" t="s">
        <v>1064</v>
      </c>
      <c r="F376" s="397" t="s">
        <v>1065</v>
      </c>
      <c r="G376" s="397" t="s">
        <v>1119</v>
      </c>
      <c r="H376" s="423">
        <v>2711</v>
      </c>
      <c r="I376" s="397" t="s">
        <v>407</v>
      </c>
      <c r="J376" s="400">
        <f t="shared" ca="1" si="5"/>
        <v>53</v>
      </c>
    </row>
    <row r="377" spans="1:10" ht="15" x14ac:dyDescent="0.25">
      <c r="A377" s="397">
        <v>10000806</v>
      </c>
      <c r="B377" s="397">
        <v>8401873142</v>
      </c>
      <c r="C377" s="397" t="s">
        <v>1247</v>
      </c>
      <c r="D377" s="398">
        <v>28136</v>
      </c>
      <c r="E377" s="397" t="s">
        <v>1045</v>
      </c>
      <c r="F377" s="397" t="s">
        <v>1046</v>
      </c>
      <c r="G377" s="397" t="s">
        <v>1049</v>
      </c>
      <c r="H377" s="423">
        <v>3611</v>
      </c>
      <c r="I377" s="397" t="s">
        <v>485</v>
      </c>
      <c r="J377" s="400">
        <f t="shared" ca="1" si="5"/>
        <v>46</v>
      </c>
    </row>
    <row r="378" spans="1:10" ht="15" x14ac:dyDescent="0.25">
      <c r="A378" s="397">
        <v>10000811</v>
      </c>
      <c r="B378" s="397">
        <v>8357793207</v>
      </c>
      <c r="C378" s="397" t="s">
        <v>1248</v>
      </c>
      <c r="D378" s="398">
        <v>23728</v>
      </c>
      <c r="E378" s="397" t="s">
        <v>1149</v>
      </c>
      <c r="F378" s="397" t="s">
        <v>1150</v>
      </c>
      <c r="G378" s="397" t="s">
        <v>1014</v>
      </c>
      <c r="H378" s="423">
        <v>2910</v>
      </c>
      <c r="I378" s="397" t="s">
        <v>422</v>
      </c>
      <c r="J378" s="400">
        <f t="shared" ca="1" si="5"/>
        <v>59</v>
      </c>
    </row>
    <row r="379" spans="1:10" ht="15" x14ac:dyDescent="0.25">
      <c r="A379" s="397">
        <v>10000813</v>
      </c>
      <c r="B379" s="397">
        <v>8414381804</v>
      </c>
      <c r="C379" s="397" t="s">
        <v>1249</v>
      </c>
      <c r="D379" s="398">
        <v>29387</v>
      </c>
      <c r="E379" s="397" t="s">
        <v>1154</v>
      </c>
      <c r="F379" s="397" t="s">
        <v>1155</v>
      </c>
      <c r="G379" s="397" t="s">
        <v>1014</v>
      </c>
      <c r="H379" s="423">
        <v>2910</v>
      </c>
      <c r="I379" s="397" t="s">
        <v>422</v>
      </c>
      <c r="J379" s="400">
        <f t="shared" ca="1" si="5"/>
        <v>43</v>
      </c>
    </row>
    <row r="380" spans="1:10" ht="15" x14ac:dyDescent="0.25">
      <c r="A380" s="397">
        <v>10000814</v>
      </c>
      <c r="B380" s="397">
        <v>8419842826</v>
      </c>
      <c r="C380" s="397" t="s">
        <v>1250</v>
      </c>
      <c r="D380" s="398">
        <v>29933</v>
      </c>
      <c r="E380" s="397" t="s">
        <v>1054</v>
      </c>
      <c r="F380" s="397" t="s">
        <v>1055</v>
      </c>
      <c r="G380" s="397" t="s">
        <v>1049</v>
      </c>
      <c r="H380" s="423">
        <v>3910</v>
      </c>
      <c r="I380" s="397" t="s">
        <v>520</v>
      </c>
      <c r="J380" s="400">
        <f t="shared" ca="1" si="5"/>
        <v>42</v>
      </c>
    </row>
    <row r="381" spans="1:10" ht="15" x14ac:dyDescent="0.25">
      <c r="A381" s="397">
        <v>10000819</v>
      </c>
      <c r="B381" s="397">
        <v>8393701074</v>
      </c>
      <c r="C381" s="397" t="s">
        <v>1251</v>
      </c>
      <c r="D381" s="398">
        <v>27319</v>
      </c>
      <c r="E381" s="397" t="s">
        <v>1045</v>
      </c>
      <c r="F381" s="397" t="s">
        <v>1046</v>
      </c>
      <c r="G381" s="397" t="s">
        <v>1014</v>
      </c>
      <c r="H381" s="423">
        <v>2152</v>
      </c>
      <c r="I381" s="397" t="s">
        <v>336</v>
      </c>
      <c r="J381" s="400">
        <f t="shared" ca="1" si="5"/>
        <v>49</v>
      </c>
    </row>
    <row r="382" spans="1:10" ht="15" x14ac:dyDescent="0.25">
      <c r="A382" s="397">
        <v>10000820</v>
      </c>
      <c r="B382" s="397">
        <v>8400535464</v>
      </c>
      <c r="C382" s="397" t="s">
        <v>1252</v>
      </c>
      <c r="D382" s="398">
        <v>28002</v>
      </c>
      <c r="E382" s="397" t="s">
        <v>1107</v>
      </c>
      <c r="F382" s="397" t="s">
        <v>1108</v>
      </c>
      <c r="G382" s="397" t="s">
        <v>1014</v>
      </c>
      <c r="H382" s="423">
        <v>2910</v>
      </c>
      <c r="I382" s="397" t="s">
        <v>422</v>
      </c>
      <c r="J382" s="400">
        <f t="shared" ca="1" si="5"/>
        <v>47</v>
      </c>
    </row>
    <row r="383" spans="1:10" ht="15" x14ac:dyDescent="0.25">
      <c r="A383" s="397">
        <v>10000830</v>
      </c>
      <c r="B383" s="397">
        <v>8386094052</v>
      </c>
      <c r="C383" s="397" t="s">
        <v>1253</v>
      </c>
      <c r="D383" s="398">
        <v>26558</v>
      </c>
      <c r="E383" s="397" t="s">
        <v>1045</v>
      </c>
      <c r="F383" s="397" t="s">
        <v>1046</v>
      </c>
      <c r="G383" s="397" t="s">
        <v>1049</v>
      </c>
      <c r="H383" s="423">
        <v>3611</v>
      </c>
      <c r="I383" s="397" t="s">
        <v>485</v>
      </c>
      <c r="J383" s="400">
        <f t="shared" ca="1" si="5"/>
        <v>51</v>
      </c>
    </row>
    <row r="384" spans="1:10" ht="15" x14ac:dyDescent="0.25">
      <c r="A384" s="397">
        <v>10000831</v>
      </c>
      <c r="B384" s="397">
        <v>8422492644</v>
      </c>
      <c r="C384" s="397" t="s">
        <v>1254</v>
      </c>
      <c r="D384" s="398">
        <v>30198</v>
      </c>
      <c r="E384" s="397" t="s">
        <v>1175</v>
      </c>
      <c r="F384" s="397" t="s">
        <v>1176</v>
      </c>
      <c r="G384" s="397" t="s">
        <v>1014</v>
      </c>
      <c r="H384" s="423">
        <v>2910</v>
      </c>
      <c r="I384" s="397" t="s">
        <v>422</v>
      </c>
      <c r="J384" s="400">
        <f t="shared" ca="1" si="5"/>
        <v>41</v>
      </c>
    </row>
    <row r="385" spans="1:10" ht="15" x14ac:dyDescent="0.25">
      <c r="A385" s="397">
        <v>10000832</v>
      </c>
      <c r="B385" s="397">
        <v>8416513058</v>
      </c>
      <c r="C385" s="397" t="s">
        <v>1255</v>
      </c>
      <c r="D385" s="398">
        <v>29600</v>
      </c>
      <c r="E385" s="397" t="s">
        <v>1051</v>
      </c>
      <c r="F385" s="397" t="s">
        <v>1052</v>
      </c>
      <c r="G385" s="397" t="s">
        <v>1014</v>
      </c>
      <c r="H385" s="423">
        <v>4122</v>
      </c>
      <c r="I385" s="397" t="s">
        <v>528</v>
      </c>
      <c r="J385" s="400">
        <f t="shared" ca="1" si="5"/>
        <v>42</v>
      </c>
    </row>
    <row r="386" spans="1:10" ht="15" x14ac:dyDescent="0.25">
      <c r="A386" s="397">
        <v>10000833</v>
      </c>
      <c r="B386" s="397">
        <v>8380550846</v>
      </c>
      <c r="C386" s="397" t="s">
        <v>1256</v>
      </c>
      <c r="D386" s="398">
        <v>26004</v>
      </c>
      <c r="E386" s="397" t="s">
        <v>1042</v>
      </c>
      <c r="F386" s="397" t="s">
        <v>1043</v>
      </c>
      <c r="G386" s="397" t="s">
        <v>1068</v>
      </c>
      <c r="H386" s="423">
        <v>7521</v>
      </c>
      <c r="I386" s="397" t="s">
        <v>652</v>
      </c>
      <c r="J386" s="400">
        <f t="shared" ca="1" si="5"/>
        <v>52</v>
      </c>
    </row>
    <row r="387" spans="1:10" ht="15" x14ac:dyDescent="0.25">
      <c r="A387" s="397">
        <v>10000840</v>
      </c>
      <c r="B387" s="397">
        <v>8397945369</v>
      </c>
      <c r="C387" s="397" t="s">
        <v>1257</v>
      </c>
      <c r="D387" s="398">
        <v>27743</v>
      </c>
      <c r="E387" s="397" t="s">
        <v>1071</v>
      </c>
      <c r="F387" s="397" t="s">
        <v>1072</v>
      </c>
      <c r="G387" s="397" t="s">
        <v>1049</v>
      </c>
      <c r="H387" s="423">
        <v>3910</v>
      </c>
      <c r="I387" s="397" t="s">
        <v>520</v>
      </c>
      <c r="J387" s="400">
        <f t="shared" ref="J387:J450" ca="1" si="6">YEAR(TODAY())-YEAR(D387)</f>
        <v>48</v>
      </c>
    </row>
    <row r="388" spans="1:10" ht="15" x14ac:dyDescent="0.25">
      <c r="A388" s="397">
        <v>10000843</v>
      </c>
      <c r="B388" s="397">
        <v>8420503533</v>
      </c>
      <c r="C388" s="397" t="s">
        <v>1258</v>
      </c>
      <c r="D388" s="398">
        <v>29999</v>
      </c>
      <c r="E388" s="397" t="s">
        <v>1025</v>
      </c>
      <c r="F388" s="397" t="s">
        <v>1026</v>
      </c>
      <c r="G388" s="397" t="s">
        <v>1119</v>
      </c>
      <c r="H388" s="423">
        <v>2711</v>
      </c>
      <c r="I388" s="397" t="s">
        <v>407</v>
      </c>
      <c r="J388" s="400">
        <f t="shared" ca="1" si="6"/>
        <v>41</v>
      </c>
    </row>
    <row r="389" spans="1:10" ht="15" x14ac:dyDescent="0.25">
      <c r="A389" s="397">
        <v>10000845</v>
      </c>
      <c r="B389" s="397">
        <v>8375101591</v>
      </c>
      <c r="C389" s="397" t="s">
        <v>1259</v>
      </c>
      <c r="D389" s="398">
        <v>25459</v>
      </c>
      <c r="E389" s="397" t="s">
        <v>1054</v>
      </c>
      <c r="F389" s="397" t="s">
        <v>1055</v>
      </c>
      <c r="G389" s="397" t="s">
        <v>1049</v>
      </c>
      <c r="H389" s="423">
        <v>3910</v>
      </c>
      <c r="I389" s="397" t="s">
        <v>520</v>
      </c>
      <c r="J389" s="400">
        <f t="shared" ca="1" si="6"/>
        <v>54</v>
      </c>
    </row>
    <row r="390" spans="1:10" ht="15" x14ac:dyDescent="0.25">
      <c r="A390" s="397">
        <v>10000846</v>
      </c>
      <c r="B390" s="397">
        <v>8434440679</v>
      </c>
      <c r="C390" s="397" t="s">
        <v>1260</v>
      </c>
      <c r="D390" s="398">
        <v>31393</v>
      </c>
      <c r="E390" s="397" t="s">
        <v>1039</v>
      </c>
      <c r="F390" s="397" t="s">
        <v>1040</v>
      </c>
      <c r="G390" s="397" t="s">
        <v>1049</v>
      </c>
      <c r="H390" s="423">
        <v>2524</v>
      </c>
      <c r="I390" s="397" t="s">
        <v>387</v>
      </c>
      <c r="J390" s="400">
        <f t="shared" ca="1" si="6"/>
        <v>38</v>
      </c>
    </row>
    <row r="391" spans="1:10" ht="15" x14ac:dyDescent="0.25">
      <c r="A391" s="397">
        <v>10000847</v>
      </c>
      <c r="B391" s="397">
        <v>8413841763</v>
      </c>
      <c r="C391" s="397" t="s">
        <v>1261</v>
      </c>
      <c r="D391" s="398">
        <v>29333</v>
      </c>
      <c r="E391" s="397" t="s">
        <v>1064</v>
      </c>
      <c r="F391" s="397" t="s">
        <v>1065</v>
      </c>
      <c r="G391" s="397" t="s">
        <v>1119</v>
      </c>
      <c r="H391" s="423">
        <v>2711</v>
      </c>
      <c r="I391" s="397" t="s">
        <v>407</v>
      </c>
      <c r="J391" s="400">
        <f t="shared" ca="1" si="6"/>
        <v>43</v>
      </c>
    </row>
    <row r="392" spans="1:10" ht="15" x14ac:dyDescent="0.25">
      <c r="A392" s="397">
        <v>10000849</v>
      </c>
      <c r="B392" s="397">
        <v>8337512741</v>
      </c>
      <c r="C392" s="397" t="s">
        <v>1262</v>
      </c>
      <c r="D392" s="398">
        <v>21700</v>
      </c>
      <c r="E392" s="397" t="s">
        <v>774</v>
      </c>
      <c r="F392" s="397" t="s">
        <v>775</v>
      </c>
      <c r="G392" s="397" t="s">
        <v>985</v>
      </c>
      <c r="H392" s="423">
        <v>2117</v>
      </c>
      <c r="I392" s="397" t="s">
        <v>317</v>
      </c>
      <c r="J392" s="400">
        <f t="shared" ca="1" si="6"/>
        <v>64</v>
      </c>
    </row>
    <row r="393" spans="1:10" ht="15" x14ac:dyDescent="0.25">
      <c r="A393" s="397">
        <v>10000850</v>
      </c>
      <c r="B393" s="397">
        <v>8439131399</v>
      </c>
      <c r="C393" s="397" t="s">
        <v>1263</v>
      </c>
      <c r="D393" s="398">
        <v>31862</v>
      </c>
      <c r="E393" s="397" t="s">
        <v>774</v>
      </c>
      <c r="F393" s="397" t="s">
        <v>775</v>
      </c>
      <c r="G393" s="397" t="s">
        <v>902</v>
      </c>
      <c r="H393" s="423">
        <v>2139</v>
      </c>
      <c r="I393" s="397" t="s">
        <v>329</v>
      </c>
      <c r="J393" s="400">
        <f t="shared" ca="1" si="6"/>
        <v>36</v>
      </c>
    </row>
    <row r="394" spans="1:10" ht="15" x14ac:dyDescent="0.25">
      <c r="A394" s="397">
        <v>10000866</v>
      </c>
      <c r="B394" s="397">
        <v>8441412952</v>
      </c>
      <c r="C394" s="397" t="s">
        <v>1264</v>
      </c>
      <c r="D394" s="398">
        <v>32090</v>
      </c>
      <c r="E394" s="397" t="s">
        <v>762</v>
      </c>
      <c r="F394" s="397" t="s">
        <v>763</v>
      </c>
      <c r="G394" s="397" t="s">
        <v>776</v>
      </c>
      <c r="H394" s="423">
        <v>2410</v>
      </c>
      <c r="I394" s="397" t="s">
        <v>366</v>
      </c>
      <c r="J394" s="400">
        <f t="shared" ca="1" si="6"/>
        <v>36</v>
      </c>
    </row>
    <row r="395" spans="1:10" ht="15" x14ac:dyDescent="0.25">
      <c r="A395" s="397">
        <v>10000868</v>
      </c>
      <c r="B395" s="397">
        <v>8408953524</v>
      </c>
      <c r="C395" s="397" t="s">
        <v>1265</v>
      </c>
      <c r="D395" s="398">
        <v>28844</v>
      </c>
      <c r="E395" s="397" t="s">
        <v>788</v>
      </c>
      <c r="F395" s="397" t="s">
        <v>789</v>
      </c>
      <c r="G395" s="397" t="s">
        <v>1266</v>
      </c>
      <c r="H395" s="423">
        <v>2910</v>
      </c>
      <c r="I395" s="397" t="s">
        <v>422</v>
      </c>
      <c r="J395" s="400">
        <f t="shared" ca="1" si="6"/>
        <v>45</v>
      </c>
    </row>
    <row r="396" spans="1:10" ht="15" x14ac:dyDescent="0.25">
      <c r="A396" s="397">
        <v>10000872</v>
      </c>
      <c r="B396" s="397">
        <v>8412171462</v>
      </c>
      <c r="C396" s="397" t="s">
        <v>210</v>
      </c>
      <c r="D396" s="398">
        <v>29166</v>
      </c>
      <c r="E396" s="397" t="s">
        <v>762</v>
      </c>
      <c r="F396" s="397" t="s">
        <v>763</v>
      </c>
      <c r="G396" s="397" t="s">
        <v>902</v>
      </c>
      <c r="H396" s="423">
        <v>2117</v>
      </c>
      <c r="I396" s="397" t="s">
        <v>317</v>
      </c>
      <c r="J396" s="400">
        <f t="shared" ca="1" si="6"/>
        <v>44</v>
      </c>
    </row>
    <row r="397" spans="1:10" ht="15" x14ac:dyDescent="0.25">
      <c r="A397" s="397">
        <v>10000875</v>
      </c>
      <c r="B397" s="397">
        <v>8443330120</v>
      </c>
      <c r="C397" s="397" t="s">
        <v>1267</v>
      </c>
      <c r="D397" s="398">
        <v>32282</v>
      </c>
      <c r="E397" s="397" t="s">
        <v>788</v>
      </c>
      <c r="F397" s="397" t="s">
        <v>789</v>
      </c>
      <c r="G397" s="397" t="s">
        <v>1014</v>
      </c>
      <c r="H397" s="423">
        <v>2149</v>
      </c>
      <c r="I397" s="397" t="s">
        <v>334</v>
      </c>
      <c r="J397" s="400">
        <f t="shared" ca="1" si="6"/>
        <v>35</v>
      </c>
    </row>
    <row r="398" spans="1:10" ht="15" x14ac:dyDescent="0.25">
      <c r="A398" s="397">
        <v>10000885</v>
      </c>
      <c r="B398" s="397">
        <v>8447501310</v>
      </c>
      <c r="C398" s="397" t="s">
        <v>1268</v>
      </c>
      <c r="D398" s="398">
        <v>32699</v>
      </c>
      <c r="E398" s="397" t="s">
        <v>840</v>
      </c>
      <c r="F398" s="397" t="s">
        <v>841</v>
      </c>
      <c r="G398" s="397" t="s">
        <v>776</v>
      </c>
      <c r="H398" s="423">
        <v>2410</v>
      </c>
      <c r="I398" s="397" t="s">
        <v>366</v>
      </c>
      <c r="J398" s="400">
        <f t="shared" ca="1" si="6"/>
        <v>34</v>
      </c>
    </row>
    <row r="399" spans="1:10" ht="15" x14ac:dyDescent="0.25">
      <c r="A399" s="397">
        <v>10000886</v>
      </c>
      <c r="B399" s="397">
        <v>8447570010</v>
      </c>
      <c r="C399" s="397" t="s">
        <v>1269</v>
      </c>
      <c r="D399" s="398">
        <v>32706</v>
      </c>
      <c r="E399" s="397" t="s">
        <v>840</v>
      </c>
      <c r="F399" s="397" t="s">
        <v>841</v>
      </c>
      <c r="G399" s="397" t="s">
        <v>776</v>
      </c>
      <c r="H399" s="423">
        <v>2410</v>
      </c>
      <c r="I399" s="397" t="s">
        <v>366</v>
      </c>
      <c r="J399" s="400">
        <f t="shared" ca="1" si="6"/>
        <v>34</v>
      </c>
    </row>
    <row r="400" spans="1:10" ht="15" x14ac:dyDescent="0.25">
      <c r="A400" s="397">
        <v>10000888</v>
      </c>
      <c r="B400" s="397">
        <v>8386893362</v>
      </c>
      <c r="C400" s="397" t="s">
        <v>1270</v>
      </c>
      <c r="D400" s="398">
        <v>26638</v>
      </c>
      <c r="E400" s="397" t="s">
        <v>762</v>
      </c>
      <c r="F400" s="397" t="s">
        <v>763</v>
      </c>
      <c r="G400" s="397" t="s">
        <v>985</v>
      </c>
      <c r="H400" s="423">
        <v>2139</v>
      </c>
      <c r="I400" s="397" t="s">
        <v>329</v>
      </c>
      <c r="J400" s="400">
        <f t="shared" ca="1" si="6"/>
        <v>51</v>
      </c>
    </row>
    <row r="401" spans="1:10" ht="15" x14ac:dyDescent="0.25">
      <c r="A401" s="397">
        <v>10000889</v>
      </c>
      <c r="B401" s="397">
        <v>8427980140</v>
      </c>
      <c r="C401" s="397" t="s">
        <v>1271</v>
      </c>
      <c r="D401" s="398">
        <v>30747</v>
      </c>
      <c r="E401" s="397" t="s">
        <v>762</v>
      </c>
      <c r="F401" s="397" t="s">
        <v>763</v>
      </c>
      <c r="G401" s="397" t="s">
        <v>985</v>
      </c>
      <c r="H401" s="423">
        <v>2139</v>
      </c>
      <c r="I401" s="397" t="s">
        <v>329</v>
      </c>
      <c r="J401" s="400">
        <f t="shared" ca="1" si="6"/>
        <v>39</v>
      </c>
    </row>
    <row r="402" spans="1:10" ht="15" x14ac:dyDescent="0.25">
      <c r="A402" s="397">
        <v>10000890</v>
      </c>
      <c r="B402" s="397">
        <v>8446380846</v>
      </c>
      <c r="C402" s="397" t="s">
        <v>1272</v>
      </c>
      <c r="D402" s="398">
        <v>32587</v>
      </c>
      <c r="E402" s="397" t="s">
        <v>868</v>
      </c>
      <c r="F402" s="397" t="s">
        <v>869</v>
      </c>
      <c r="G402" s="397" t="s">
        <v>831</v>
      </c>
      <c r="H402" s="423">
        <v>2139</v>
      </c>
      <c r="I402" s="397" t="s">
        <v>329</v>
      </c>
      <c r="J402" s="400">
        <f t="shared" ca="1" si="6"/>
        <v>34</v>
      </c>
    </row>
    <row r="403" spans="1:10" ht="15" x14ac:dyDescent="0.25">
      <c r="A403" s="397">
        <v>10000891</v>
      </c>
      <c r="B403" s="397">
        <v>8450063418</v>
      </c>
      <c r="C403" s="397" t="s">
        <v>1273</v>
      </c>
      <c r="D403" s="398">
        <v>32955</v>
      </c>
      <c r="E403" s="397" t="s">
        <v>795</v>
      </c>
      <c r="F403" s="397" t="s">
        <v>796</v>
      </c>
      <c r="G403" s="397" t="s">
        <v>776</v>
      </c>
      <c r="H403" s="423">
        <v>2410</v>
      </c>
      <c r="I403" s="397" t="s">
        <v>366</v>
      </c>
      <c r="J403" s="400">
        <f t="shared" ca="1" si="6"/>
        <v>33</v>
      </c>
    </row>
    <row r="404" spans="1:10" ht="15" x14ac:dyDescent="0.25">
      <c r="A404" s="397">
        <v>10000892</v>
      </c>
      <c r="B404" s="397">
        <v>8445401858</v>
      </c>
      <c r="C404" s="397" t="s">
        <v>1274</v>
      </c>
      <c r="D404" s="398">
        <v>32489</v>
      </c>
      <c r="E404" s="397" t="s">
        <v>795</v>
      </c>
      <c r="F404" s="397" t="s">
        <v>796</v>
      </c>
      <c r="G404" s="397" t="s">
        <v>776</v>
      </c>
      <c r="H404" s="423">
        <v>2410</v>
      </c>
      <c r="I404" s="397" t="s">
        <v>366</v>
      </c>
      <c r="J404" s="400">
        <f t="shared" ca="1" si="6"/>
        <v>35</v>
      </c>
    </row>
    <row r="405" spans="1:10" ht="15" x14ac:dyDescent="0.25">
      <c r="A405" s="397">
        <v>10000896</v>
      </c>
      <c r="B405" s="397">
        <v>8448260430</v>
      </c>
      <c r="C405" s="397" t="s">
        <v>1275</v>
      </c>
      <c r="D405" s="398">
        <v>32775</v>
      </c>
      <c r="E405" s="397" t="s">
        <v>1054</v>
      </c>
      <c r="F405" s="397" t="s">
        <v>1055</v>
      </c>
      <c r="G405" s="397" t="s">
        <v>1014</v>
      </c>
      <c r="H405" s="423">
        <v>2910</v>
      </c>
      <c r="I405" s="397" t="s">
        <v>422</v>
      </c>
      <c r="J405" s="400">
        <f t="shared" ca="1" si="6"/>
        <v>34</v>
      </c>
    </row>
    <row r="406" spans="1:10" ht="15" x14ac:dyDescent="0.25">
      <c r="A406" s="397">
        <v>10000901</v>
      </c>
      <c r="B406" s="397">
        <v>8409494051</v>
      </c>
      <c r="C406" s="397" t="s">
        <v>152</v>
      </c>
      <c r="D406" s="398">
        <v>28898</v>
      </c>
      <c r="E406" s="397" t="s">
        <v>1025</v>
      </c>
      <c r="F406" s="397" t="s">
        <v>1026</v>
      </c>
      <c r="G406" s="397" t="s">
        <v>1014</v>
      </c>
      <c r="H406" s="423">
        <v>2910</v>
      </c>
      <c r="I406" s="397" t="s">
        <v>422</v>
      </c>
      <c r="J406" s="400">
        <f t="shared" ca="1" si="6"/>
        <v>44</v>
      </c>
    </row>
    <row r="407" spans="1:10" ht="15" x14ac:dyDescent="0.25">
      <c r="A407" s="397">
        <v>10000902</v>
      </c>
      <c r="B407" s="397">
        <v>8437401119</v>
      </c>
      <c r="C407" s="397" t="s">
        <v>1276</v>
      </c>
      <c r="D407" s="398">
        <v>31689</v>
      </c>
      <c r="E407" s="397" t="s">
        <v>771</v>
      </c>
      <c r="F407" s="397" t="s">
        <v>772</v>
      </c>
      <c r="G407" s="397" t="s">
        <v>1209</v>
      </c>
      <c r="H407" s="423">
        <v>2910</v>
      </c>
      <c r="I407" s="397" t="s">
        <v>422</v>
      </c>
      <c r="J407" s="400">
        <f t="shared" ca="1" si="6"/>
        <v>37</v>
      </c>
    </row>
    <row r="408" spans="1:10" ht="15" x14ac:dyDescent="0.25">
      <c r="A408" s="397">
        <v>10000903</v>
      </c>
      <c r="B408" s="397">
        <v>8457461427</v>
      </c>
      <c r="C408" s="397" t="s">
        <v>1277</v>
      </c>
      <c r="D408" s="398">
        <v>33695</v>
      </c>
      <c r="E408" s="397" t="s">
        <v>803</v>
      </c>
      <c r="F408" s="397" t="s">
        <v>804</v>
      </c>
      <c r="G408" s="397" t="s">
        <v>925</v>
      </c>
      <c r="H408" s="423">
        <v>2410</v>
      </c>
      <c r="I408" s="397" t="s">
        <v>366</v>
      </c>
      <c r="J408" s="400">
        <f t="shared" ca="1" si="6"/>
        <v>31</v>
      </c>
    </row>
    <row r="409" spans="1:10" ht="15" x14ac:dyDescent="0.25">
      <c r="A409" s="397">
        <v>10000906</v>
      </c>
      <c r="B409" s="397">
        <v>8395305044</v>
      </c>
      <c r="C409" s="397" t="s">
        <v>1278</v>
      </c>
      <c r="D409" s="398">
        <v>27479</v>
      </c>
      <c r="E409" s="397" t="s">
        <v>1279</v>
      </c>
      <c r="F409" s="397" t="s">
        <v>1280</v>
      </c>
      <c r="G409" s="397" t="s">
        <v>985</v>
      </c>
      <c r="H409" s="423">
        <v>2139</v>
      </c>
      <c r="I409" s="397" t="s">
        <v>329</v>
      </c>
      <c r="J409" s="400">
        <f t="shared" ca="1" si="6"/>
        <v>48</v>
      </c>
    </row>
    <row r="410" spans="1:10" ht="15" x14ac:dyDescent="0.25">
      <c r="A410" s="397">
        <v>10000917</v>
      </c>
      <c r="B410" s="397">
        <v>8392843355</v>
      </c>
      <c r="C410" s="397" t="s">
        <v>1281</v>
      </c>
      <c r="D410" s="398">
        <v>27233</v>
      </c>
      <c r="E410" s="397" t="s">
        <v>1039</v>
      </c>
      <c r="F410" s="397" t="s">
        <v>1040</v>
      </c>
      <c r="G410" s="397" t="s">
        <v>1209</v>
      </c>
      <c r="H410" s="423">
        <v>4229</v>
      </c>
      <c r="I410" s="397" t="s">
        <v>545</v>
      </c>
      <c r="J410" s="400">
        <f t="shared" ca="1" si="6"/>
        <v>49</v>
      </c>
    </row>
    <row r="411" spans="1:10" ht="15" x14ac:dyDescent="0.25">
      <c r="A411" s="397">
        <v>10000919</v>
      </c>
      <c r="B411" s="397">
        <v>8433380907</v>
      </c>
      <c r="C411" s="397" t="s">
        <v>1282</v>
      </c>
      <c r="D411" s="398">
        <v>31287</v>
      </c>
      <c r="E411" s="397" t="s">
        <v>778</v>
      </c>
      <c r="F411" s="397" t="s">
        <v>779</v>
      </c>
      <c r="G411" s="397" t="s">
        <v>768</v>
      </c>
      <c r="H411" s="423">
        <v>2410</v>
      </c>
      <c r="I411" s="397" t="s">
        <v>366</v>
      </c>
      <c r="J411" s="400">
        <f t="shared" ca="1" si="6"/>
        <v>38</v>
      </c>
    </row>
    <row r="412" spans="1:10" ht="15" x14ac:dyDescent="0.25">
      <c r="A412" s="397">
        <v>10000920</v>
      </c>
      <c r="B412" s="397">
        <v>8451322220</v>
      </c>
      <c r="C412" s="397" t="s">
        <v>1283</v>
      </c>
      <c r="D412" s="398">
        <v>33081</v>
      </c>
      <c r="E412" s="397" t="s">
        <v>810</v>
      </c>
      <c r="F412" s="397" t="s">
        <v>811</v>
      </c>
      <c r="G412" s="397" t="s">
        <v>1284</v>
      </c>
      <c r="H412" s="423">
        <v>2410</v>
      </c>
      <c r="I412" s="397" t="s">
        <v>366</v>
      </c>
      <c r="J412" s="400">
        <f t="shared" ca="1" si="6"/>
        <v>33</v>
      </c>
    </row>
    <row r="413" spans="1:10" ht="15" x14ac:dyDescent="0.25">
      <c r="A413" s="397">
        <v>10000925</v>
      </c>
      <c r="B413" s="397">
        <v>8406634006</v>
      </c>
      <c r="C413" s="397" t="s">
        <v>1285</v>
      </c>
      <c r="D413" s="398">
        <v>28612</v>
      </c>
      <c r="E413" s="397" t="s">
        <v>1175</v>
      </c>
      <c r="F413" s="397" t="s">
        <v>1176</v>
      </c>
      <c r="G413" s="397" t="s">
        <v>1049</v>
      </c>
      <c r="H413" s="423">
        <v>3910</v>
      </c>
      <c r="I413" s="397" t="s">
        <v>520</v>
      </c>
      <c r="J413" s="400">
        <f t="shared" ca="1" si="6"/>
        <v>45</v>
      </c>
    </row>
    <row r="414" spans="1:10" ht="15" x14ac:dyDescent="0.25">
      <c r="A414" s="397">
        <v>10000927</v>
      </c>
      <c r="B414" s="397">
        <v>8443570865</v>
      </c>
      <c r="C414" s="397" t="s">
        <v>1286</v>
      </c>
      <c r="D414" s="398">
        <v>32306</v>
      </c>
      <c r="E414" s="397" t="s">
        <v>774</v>
      </c>
      <c r="F414" s="397" t="s">
        <v>775</v>
      </c>
      <c r="G414" s="397" t="s">
        <v>831</v>
      </c>
      <c r="H414" s="423">
        <v>2169</v>
      </c>
      <c r="I414" s="397" t="s">
        <v>346</v>
      </c>
      <c r="J414" s="400">
        <f t="shared" ca="1" si="6"/>
        <v>35</v>
      </c>
    </row>
    <row r="415" spans="1:10" ht="15" x14ac:dyDescent="0.25">
      <c r="A415" s="397">
        <v>10000939</v>
      </c>
      <c r="B415" s="397">
        <v>8455343222</v>
      </c>
      <c r="C415" s="397" t="s">
        <v>1287</v>
      </c>
      <c r="D415" s="398">
        <v>33483</v>
      </c>
      <c r="E415" s="397" t="s">
        <v>1030</v>
      </c>
      <c r="F415" s="397" t="s">
        <v>1031</v>
      </c>
      <c r="G415" s="397" t="s">
        <v>1288</v>
      </c>
      <c r="H415" s="423">
        <v>3910</v>
      </c>
      <c r="I415" s="397" t="s">
        <v>520</v>
      </c>
      <c r="J415" s="400">
        <f t="shared" ca="1" si="6"/>
        <v>32</v>
      </c>
    </row>
    <row r="416" spans="1:10" ht="15" x14ac:dyDescent="0.25">
      <c r="A416" s="397">
        <v>10000940</v>
      </c>
      <c r="B416" s="397">
        <v>8339973762</v>
      </c>
      <c r="C416" s="397" t="s">
        <v>1289</v>
      </c>
      <c r="D416" s="398">
        <v>21946</v>
      </c>
      <c r="E416" s="397" t="s">
        <v>774</v>
      </c>
      <c r="F416" s="397" t="s">
        <v>775</v>
      </c>
      <c r="G416" s="397" t="s">
        <v>985</v>
      </c>
      <c r="H416" s="423">
        <v>2164</v>
      </c>
      <c r="I416" s="397" t="s">
        <v>341</v>
      </c>
      <c r="J416" s="400">
        <f t="shared" ca="1" si="6"/>
        <v>63</v>
      </c>
    </row>
    <row r="417" spans="1:10" ht="15" x14ac:dyDescent="0.25">
      <c r="A417" s="397">
        <v>10000944</v>
      </c>
      <c r="B417" s="397">
        <v>8379402995</v>
      </c>
      <c r="C417" s="397" t="s">
        <v>1290</v>
      </c>
      <c r="D417" s="398">
        <v>25889</v>
      </c>
      <c r="E417" s="397" t="s">
        <v>778</v>
      </c>
      <c r="F417" s="397" t="s">
        <v>779</v>
      </c>
      <c r="G417" s="397" t="s">
        <v>776</v>
      </c>
      <c r="H417" s="423">
        <v>2410</v>
      </c>
      <c r="I417" s="397" t="s">
        <v>366</v>
      </c>
      <c r="J417" s="400">
        <f t="shared" ca="1" si="6"/>
        <v>53</v>
      </c>
    </row>
    <row r="418" spans="1:10" ht="15" x14ac:dyDescent="0.25">
      <c r="A418" s="397">
        <v>10000945</v>
      </c>
      <c r="B418" s="397">
        <v>8432843334</v>
      </c>
      <c r="C418" s="397" t="s">
        <v>1291</v>
      </c>
      <c r="D418" s="398">
        <v>31233</v>
      </c>
      <c r="E418" s="397" t="s">
        <v>803</v>
      </c>
      <c r="F418" s="397" t="s">
        <v>804</v>
      </c>
      <c r="G418" s="397" t="s">
        <v>985</v>
      </c>
      <c r="H418" s="423">
        <v>2139</v>
      </c>
      <c r="I418" s="397" t="s">
        <v>329</v>
      </c>
      <c r="J418" s="400">
        <f t="shared" ca="1" si="6"/>
        <v>38</v>
      </c>
    </row>
    <row r="419" spans="1:10" ht="15" x14ac:dyDescent="0.25">
      <c r="A419" s="397">
        <v>10000956</v>
      </c>
      <c r="B419" s="397">
        <v>8455681152</v>
      </c>
      <c r="C419" s="397" t="s">
        <v>1292</v>
      </c>
      <c r="D419" s="398">
        <v>33517</v>
      </c>
      <c r="E419" s="397" t="s">
        <v>1096</v>
      </c>
      <c r="F419" s="397" t="s">
        <v>1097</v>
      </c>
      <c r="G419" s="397" t="s">
        <v>1049</v>
      </c>
      <c r="H419" s="423">
        <v>2142</v>
      </c>
      <c r="I419" s="397" t="s">
        <v>331</v>
      </c>
      <c r="J419" s="400">
        <f t="shared" ca="1" si="6"/>
        <v>32</v>
      </c>
    </row>
    <row r="420" spans="1:10" ht="15" x14ac:dyDescent="0.25">
      <c r="A420" s="397">
        <v>10000960</v>
      </c>
      <c r="B420" s="397">
        <v>8479172010</v>
      </c>
      <c r="C420" s="397" t="s">
        <v>261</v>
      </c>
      <c r="D420" s="398">
        <v>35866</v>
      </c>
      <c r="E420" s="397" t="s">
        <v>762</v>
      </c>
      <c r="F420" s="397" t="s">
        <v>763</v>
      </c>
      <c r="G420" s="397" t="s">
        <v>1293</v>
      </c>
      <c r="H420" s="423">
        <v>3134</v>
      </c>
      <c r="I420" s="397" t="s">
        <v>435</v>
      </c>
      <c r="J420" s="400">
        <f t="shared" ca="1" si="6"/>
        <v>25</v>
      </c>
    </row>
    <row r="421" spans="1:10" ht="15" x14ac:dyDescent="0.25">
      <c r="A421" s="397">
        <v>10000961</v>
      </c>
      <c r="B421" s="397">
        <v>8448060083</v>
      </c>
      <c r="C421" s="397" t="s">
        <v>1294</v>
      </c>
      <c r="D421" s="398">
        <v>32755</v>
      </c>
      <c r="E421" s="397" t="s">
        <v>1295</v>
      </c>
      <c r="F421" s="397" t="s">
        <v>1296</v>
      </c>
      <c r="G421" s="397" t="s">
        <v>1049</v>
      </c>
      <c r="H421" s="423">
        <v>3910</v>
      </c>
      <c r="I421" s="397" t="s">
        <v>520</v>
      </c>
      <c r="J421" s="400">
        <f t="shared" ca="1" si="6"/>
        <v>34</v>
      </c>
    </row>
    <row r="422" spans="1:10" ht="15" x14ac:dyDescent="0.25">
      <c r="A422" s="397">
        <v>10000963</v>
      </c>
      <c r="B422" s="397">
        <v>8440460899</v>
      </c>
      <c r="C422" s="397" t="s">
        <v>1297</v>
      </c>
      <c r="D422" s="398">
        <v>31995</v>
      </c>
      <c r="E422" s="397" t="s">
        <v>1054</v>
      </c>
      <c r="F422" s="397" t="s">
        <v>1055</v>
      </c>
      <c r="G422" s="397" t="s">
        <v>1049</v>
      </c>
      <c r="H422" s="423">
        <v>2910</v>
      </c>
      <c r="I422" s="397" t="s">
        <v>422</v>
      </c>
      <c r="J422" s="400">
        <f t="shared" ca="1" si="6"/>
        <v>36</v>
      </c>
    </row>
    <row r="423" spans="1:10" ht="15" x14ac:dyDescent="0.25">
      <c r="A423" s="397">
        <v>10000965</v>
      </c>
      <c r="B423" s="397">
        <v>8418110333</v>
      </c>
      <c r="C423" s="397" t="s">
        <v>1298</v>
      </c>
      <c r="D423" s="398">
        <v>29760</v>
      </c>
      <c r="E423" s="397" t="s">
        <v>1039</v>
      </c>
      <c r="F423" s="397" t="s">
        <v>1040</v>
      </c>
      <c r="G423" s="397" t="s">
        <v>1209</v>
      </c>
      <c r="H423" s="423">
        <v>4229</v>
      </c>
      <c r="I423" s="397" t="s">
        <v>545</v>
      </c>
      <c r="J423" s="400">
        <f t="shared" ca="1" si="6"/>
        <v>42</v>
      </c>
    </row>
    <row r="424" spans="1:10" ht="15" x14ac:dyDescent="0.25">
      <c r="A424" s="397">
        <v>10000967</v>
      </c>
      <c r="B424" s="397">
        <v>8450130646</v>
      </c>
      <c r="C424" s="397" t="s">
        <v>1299</v>
      </c>
      <c r="D424" s="398">
        <v>32962</v>
      </c>
      <c r="E424" s="397" t="s">
        <v>778</v>
      </c>
      <c r="F424" s="397" t="s">
        <v>779</v>
      </c>
      <c r="G424" s="397" t="s">
        <v>776</v>
      </c>
      <c r="H424" s="423">
        <v>2410</v>
      </c>
      <c r="I424" s="397" t="s">
        <v>366</v>
      </c>
      <c r="J424" s="400">
        <f t="shared" ca="1" si="6"/>
        <v>33</v>
      </c>
    </row>
    <row r="425" spans="1:10" ht="15" x14ac:dyDescent="0.25">
      <c r="A425" s="397">
        <v>10000972</v>
      </c>
      <c r="B425" s="397">
        <v>8452000928</v>
      </c>
      <c r="C425" s="397" t="s">
        <v>1300</v>
      </c>
      <c r="D425" s="398">
        <v>33149</v>
      </c>
      <c r="E425" s="397" t="s">
        <v>1096</v>
      </c>
      <c r="F425" s="397" t="s">
        <v>1097</v>
      </c>
      <c r="G425" s="397" t="s">
        <v>1014</v>
      </c>
      <c r="H425" s="423">
        <v>2142</v>
      </c>
      <c r="I425" s="397" t="s">
        <v>331</v>
      </c>
      <c r="J425" s="400">
        <f t="shared" ca="1" si="6"/>
        <v>33</v>
      </c>
    </row>
    <row r="426" spans="1:10" ht="15" x14ac:dyDescent="0.25">
      <c r="A426" s="397">
        <v>10000977</v>
      </c>
      <c r="B426" s="397">
        <v>8460780449</v>
      </c>
      <c r="C426" s="397" t="s">
        <v>1301</v>
      </c>
      <c r="D426" s="398">
        <v>34027</v>
      </c>
      <c r="E426" s="397" t="s">
        <v>849</v>
      </c>
      <c r="F426" s="397" t="s">
        <v>850</v>
      </c>
      <c r="G426" s="397" t="s">
        <v>985</v>
      </c>
      <c r="H426" s="423">
        <v>2117</v>
      </c>
      <c r="I426" s="397" t="s">
        <v>317</v>
      </c>
      <c r="J426" s="400">
        <f t="shared" ca="1" si="6"/>
        <v>30</v>
      </c>
    </row>
    <row r="427" spans="1:10" ht="15" x14ac:dyDescent="0.25">
      <c r="A427" s="397">
        <v>10000978</v>
      </c>
      <c r="B427" s="397">
        <v>8428810354</v>
      </c>
      <c r="C427" s="397" t="s">
        <v>1302</v>
      </c>
      <c r="D427" s="398">
        <v>30830</v>
      </c>
      <c r="E427" s="397" t="s">
        <v>781</v>
      </c>
      <c r="F427" s="397" t="s">
        <v>782</v>
      </c>
      <c r="G427" s="397" t="s">
        <v>891</v>
      </c>
      <c r="H427" s="423">
        <v>2410</v>
      </c>
      <c r="I427" s="397" t="s">
        <v>366</v>
      </c>
      <c r="J427" s="400">
        <f t="shared" ca="1" si="6"/>
        <v>39</v>
      </c>
    </row>
    <row r="428" spans="1:10" ht="15" x14ac:dyDescent="0.25">
      <c r="A428" s="397">
        <v>10000984</v>
      </c>
      <c r="B428" s="397">
        <v>8438652077</v>
      </c>
      <c r="C428" s="397" t="s">
        <v>1303</v>
      </c>
      <c r="D428" s="398">
        <v>31814</v>
      </c>
      <c r="E428" s="397" t="s">
        <v>1164</v>
      </c>
      <c r="F428" s="397" t="s">
        <v>1165</v>
      </c>
      <c r="G428" s="397" t="s">
        <v>1049</v>
      </c>
      <c r="H428" s="423">
        <v>3910</v>
      </c>
      <c r="I428" s="397" t="s">
        <v>520</v>
      </c>
      <c r="J428" s="400">
        <f t="shared" ca="1" si="6"/>
        <v>36</v>
      </c>
    </row>
    <row r="429" spans="1:10" ht="15" x14ac:dyDescent="0.25">
      <c r="A429" s="397">
        <v>10000987</v>
      </c>
      <c r="B429" s="397">
        <v>8415312261</v>
      </c>
      <c r="C429" s="397" t="s">
        <v>1304</v>
      </c>
      <c r="D429" s="398">
        <v>29480</v>
      </c>
      <c r="E429" s="397" t="s">
        <v>849</v>
      </c>
      <c r="F429" s="397" t="s">
        <v>850</v>
      </c>
      <c r="G429" s="397" t="s">
        <v>902</v>
      </c>
      <c r="H429" s="423">
        <v>2167</v>
      </c>
      <c r="I429" s="397" t="s">
        <v>344</v>
      </c>
      <c r="J429" s="400">
        <f t="shared" ca="1" si="6"/>
        <v>43</v>
      </c>
    </row>
    <row r="430" spans="1:10" ht="15" x14ac:dyDescent="0.25">
      <c r="A430" s="397">
        <v>10000988</v>
      </c>
      <c r="B430" s="397">
        <v>8419021393</v>
      </c>
      <c r="C430" s="397" t="s">
        <v>1305</v>
      </c>
      <c r="D430" s="398">
        <v>29851</v>
      </c>
      <c r="E430" s="397" t="s">
        <v>1051</v>
      </c>
      <c r="F430" s="397" t="s">
        <v>1052</v>
      </c>
      <c r="G430" s="397" t="s">
        <v>1014</v>
      </c>
      <c r="H430" s="423">
        <v>4134</v>
      </c>
      <c r="I430" s="397" t="s">
        <v>534</v>
      </c>
      <c r="J430" s="400">
        <f t="shared" ca="1" si="6"/>
        <v>42</v>
      </c>
    </row>
    <row r="431" spans="1:10" ht="15" x14ac:dyDescent="0.25">
      <c r="A431" s="397">
        <v>10000989</v>
      </c>
      <c r="B431" s="397">
        <v>8399020796</v>
      </c>
      <c r="C431" s="397" t="s">
        <v>1306</v>
      </c>
      <c r="D431" s="398">
        <v>27851</v>
      </c>
      <c r="E431" s="397" t="s">
        <v>1107</v>
      </c>
      <c r="F431" s="397" t="s">
        <v>1108</v>
      </c>
      <c r="G431" s="397" t="s">
        <v>1209</v>
      </c>
      <c r="H431" s="423">
        <v>2910</v>
      </c>
      <c r="I431" s="397" t="s">
        <v>422</v>
      </c>
      <c r="J431" s="400">
        <f t="shared" ca="1" si="6"/>
        <v>47</v>
      </c>
    </row>
    <row r="432" spans="1:10" ht="15" x14ac:dyDescent="0.25">
      <c r="A432" s="397">
        <v>10000993</v>
      </c>
      <c r="B432" s="397">
        <v>8447580458</v>
      </c>
      <c r="C432" s="397" t="s">
        <v>1307</v>
      </c>
      <c r="D432" s="398">
        <v>32707</v>
      </c>
      <c r="E432" s="397" t="s">
        <v>918</v>
      </c>
      <c r="F432" s="397" t="s">
        <v>919</v>
      </c>
      <c r="G432" s="397" t="s">
        <v>925</v>
      </c>
      <c r="H432" s="423">
        <v>2410</v>
      </c>
      <c r="I432" s="397" t="s">
        <v>366</v>
      </c>
      <c r="J432" s="400">
        <f t="shared" ca="1" si="6"/>
        <v>34</v>
      </c>
    </row>
    <row r="433" spans="1:10" ht="15" x14ac:dyDescent="0.25">
      <c r="A433" s="397">
        <v>10000999</v>
      </c>
      <c r="B433" s="397">
        <v>8458760452</v>
      </c>
      <c r="C433" s="397" t="s">
        <v>1308</v>
      </c>
      <c r="D433" s="398">
        <v>33825</v>
      </c>
      <c r="E433" s="397" t="s">
        <v>1039</v>
      </c>
      <c r="F433" s="397" t="s">
        <v>1040</v>
      </c>
      <c r="G433" s="397" t="s">
        <v>1049</v>
      </c>
      <c r="H433" s="423">
        <v>4229</v>
      </c>
      <c r="I433" s="397" t="s">
        <v>545</v>
      </c>
      <c r="J433" s="400">
        <f t="shared" ca="1" si="6"/>
        <v>31</v>
      </c>
    </row>
    <row r="434" spans="1:10" ht="15" x14ac:dyDescent="0.25">
      <c r="A434" s="397">
        <v>10001007</v>
      </c>
      <c r="B434" s="397">
        <v>8431812710</v>
      </c>
      <c r="C434" s="397" t="s">
        <v>1309</v>
      </c>
      <c r="D434" s="398">
        <v>31130</v>
      </c>
      <c r="E434" s="397" t="s">
        <v>771</v>
      </c>
      <c r="F434" s="397" t="s">
        <v>772</v>
      </c>
      <c r="G434" s="397" t="s">
        <v>891</v>
      </c>
      <c r="H434" s="423">
        <v>2410</v>
      </c>
      <c r="I434" s="397" t="s">
        <v>366</v>
      </c>
      <c r="J434" s="400">
        <f t="shared" ca="1" si="6"/>
        <v>38</v>
      </c>
    </row>
    <row r="435" spans="1:10" ht="15" x14ac:dyDescent="0.25">
      <c r="A435" s="397">
        <v>10001008</v>
      </c>
      <c r="B435" s="397">
        <v>8433111434</v>
      </c>
      <c r="C435" s="397" t="s">
        <v>1310</v>
      </c>
      <c r="D435" s="398">
        <v>31260</v>
      </c>
      <c r="E435" s="397" t="s">
        <v>1045</v>
      </c>
      <c r="F435" s="397" t="s">
        <v>1046</v>
      </c>
      <c r="G435" s="397" t="s">
        <v>1049</v>
      </c>
      <c r="H435" s="423">
        <v>3611</v>
      </c>
      <c r="I435" s="397" t="s">
        <v>485</v>
      </c>
      <c r="J435" s="400">
        <f t="shared" ca="1" si="6"/>
        <v>38</v>
      </c>
    </row>
    <row r="436" spans="1:10" ht="15" x14ac:dyDescent="0.25">
      <c r="A436" s="397">
        <v>10001009</v>
      </c>
      <c r="B436" s="397">
        <v>8442990062</v>
      </c>
      <c r="C436" s="397" t="s">
        <v>1311</v>
      </c>
      <c r="D436" s="398">
        <v>32248</v>
      </c>
      <c r="E436" s="397" t="s">
        <v>762</v>
      </c>
      <c r="F436" s="397" t="s">
        <v>763</v>
      </c>
      <c r="G436" s="397" t="s">
        <v>902</v>
      </c>
      <c r="H436" s="423">
        <v>2139</v>
      </c>
      <c r="I436" s="397" t="s">
        <v>329</v>
      </c>
      <c r="J436" s="400">
        <f t="shared" ca="1" si="6"/>
        <v>35</v>
      </c>
    </row>
    <row r="437" spans="1:10" ht="15" x14ac:dyDescent="0.25">
      <c r="A437" s="397">
        <v>10001010</v>
      </c>
      <c r="B437" s="397">
        <v>8452690312</v>
      </c>
      <c r="C437" s="397" t="s">
        <v>1312</v>
      </c>
      <c r="D437" s="398">
        <v>33218</v>
      </c>
      <c r="E437" s="397" t="s">
        <v>1096</v>
      </c>
      <c r="F437" s="397" t="s">
        <v>1097</v>
      </c>
      <c r="G437" s="397" t="s">
        <v>1049</v>
      </c>
      <c r="H437" s="423">
        <v>2142</v>
      </c>
      <c r="I437" s="397" t="s">
        <v>331</v>
      </c>
      <c r="J437" s="400">
        <f t="shared" ca="1" si="6"/>
        <v>33</v>
      </c>
    </row>
    <row r="438" spans="1:10" ht="15" x14ac:dyDescent="0.25">
      <c r="A438" s="397">
        <v>10001011</v>
      </c>
      <c r="B438" s="397">
        <v>8427202695</v>
      </c>
      <c r="C438" s="397" t="s">
        <v>1313</v>
      </c>
      <c r="D438" s="398">
        <v>30669</v>
      </c>
      <c r="E438" s="397" t="s">
        <v>840</v>
      </c>
      <c r="F438" s="397" t="s">
        <v>841</v>
      </c>
      <c r="G438" s="397" t="s">
        <v>831</v>
      </c>
      <c r="H438" s="423">
        <v>2139</v>
      </c>
      <c r="I438" s="397" t="s">
        <v>329</v>
      </c>
      <c r="J438" s="400">
        <f t="shared" ca="1" si="6"/>
        <v>40</v>
      </c>
    </row>
    <row r="439" spans="1:10" ht="15" x14ac:dyDescent="0.25">
      <c r="A439" s="397">
        <v>10001017</v>
      </c>
      <c r="B439" s="397">
        <v>8394092071</v>
      </c>
      <c r="C439" s="397" t="s">
        <v>1314</v>
      </c>
      <c r="D439" s="398">
        <v>27358</v>
      </c>
      <c r="E439" s="397" t="s">
        <v>1051</v>
      </c>
      <c r="F439" s="397" t="s">
        <v>1052</v>
      </c>
      <c r="G439" s="397" t="s">
        <v>1049</v>
      </c>
      <c r="H439" s="423">
        <v>4134</v>
      </c>
      <c r="I439" s="397" t="s">
        <v>534</v>
      </c>
      <c r="J439" s="400">
        <f t="shared" ca="1" si="6"/>
        <v>49</v>
      </c>
    </row>
    <row r="440" spans="1:10" ht="15" x14ac:dyDescent="0.25">
      <c r="A440" s="397">
        <v>10001018</v>
      </c>
      <c r="B440" s="397">
        <v>8424091655</v>
      </c>
      <c r="C440" s="397" t="s">
        <v>1315</v>
      </c>
      <c r="D440" s="398">
        <v>30358</v>
      </c>
      <c r="E440" s="397" t="s">
        <v>1154</v>
      </c>
      <c r="F440" s="397" t="s">
        <v>1155</v>
      </c>
      <c r="G440" s="397" t="s">
        <v>1049</v>
      </c>
      <c r="H440" s="423">
        <v>3910</v>
      </c>
      <c r="I440" s="397" t="s">
        <v>520</v>
      </c>
      <c r="J440" s="400">
        <f t="shared" ca="1" si="6"/>
        <v>40</v>
      </c>
    </row>
    <row r="441" spans="1:10" ht="15" x14ac:dyDescent="0.25">
      <c r="A441" s="397">
        <v>10001022</v>
      </c>
      <c r="B441" s="397">
        <v>8351331759</v>
      </c>
      <c r="C441" s="397" t="s">
        <v>1316</v>
      </c>
      <c r="D441" s="398">
        <v>23082</v>
      </c>
      <c r="E441" s="397" t="s">
        <v>1107</v>
      </c>
      <c r="F441" s="397" t="s">
        <v>1108</v>
      </c>
      <c r="G441" s="397" t="s">
        <v>1049</v>
      </c>
      <c r="H441" s="423">
        <v>3910</v>
      </c>
      <c r="I441" s="397" t="s">
        <v>520</v>
      </c>
      <c r="J441" s="400">
        <f t="shared" ca="1" si="6"/>
        <v>60</v>
      </c>
    </row>
    <row r="442" spans="1:10" ht="15" x14ac:dyDescent="0.25">
      <c r="A442" s="397">
        <v>10001025</v>
      </c>
      <c r="B442" s="397">
        <v>8440551258</v>
      </c>
      <c r="C442" s="397" t="s">
        <v>1317</v>
      </c>
      <c r="D442" s="398">
        <v>32004</v>
      </c>
      <c r="E442" s="397" t="s">
        <v>1295</v>
      </c>
      <c r="F442" s="397" t="s">
        <v>1296</v>
      </c>
      <c r="G442" s="397" t="s">
        <v>1049</v>
      </c>
      <c r="H442" s="423">
        <v>3910</v>
      </c>
      <c r="I442" s="397" t="s">
        <v>520</v>
      </c>
      <c r="J442" s="400">
        <f t="shared" ca="1" si="6"/>
        <v>36</v>
      </c>
    </row>
    <row r="443" spans="1:10" ht="15" x14ac:dyDescent="0.25">
      <c r="A443" s="397">
        <v>10001026</v>
      </c>
      <c r="B443" s="397">
        <v>8366723038</v>
      </c>
      <c r="C443" s="397" t="s">
        <v>1318</v>
      </c>
      <c r="D443" s="398">
        <v>24621</v>
      </c>
      <c r="E443" s="397" t="s">
        <v>784</v>
      </c>
      <c r="F443" s="397" t="s">
        <v>785</v>
      </c>
      <c r="G443" s="397" t="s">
        <v>891</v>
      </c>
      <c r="H443" s="423">
        <v>2410</v>
      </c>
      <c r="I443" s="397" t="s">
        <v>366</v>
      </c>
      <c r="J443" s="400">
        <f t="shared" ca="1" si="6"/>
        <v>56</v>
      </c>
    </row>
    <row r="444" spans="1:10" ht="15" x14ac:dyDescent="0.25">
      <c r="A444" s="397">
        <v>10001032</v>
      </c>
      <c r="B444" s="397">
        <v>8456811165</v>
      </c>
      <c r="C444" s="397" t="s">
        <v>1319</v>
      </c>
      <c r="D444" s="398">
        <v>33630</v>
      </c>
      <c r="E444" s="397" t="s">
        <v>849</v>
      </c>
      <c r="F444" s="397" t="s">
        <v>850</v>
      </c>
      <c r="G444" s="397" t="s">
        <v>985</v>
      </c>
      <c r="H444" s="423">
        <v>2117</v>
      </c>
      <c r="I444" s="397" t="s">
        <v>317</v>
      </c>
      <c r="J444" s="400">
        <f t="shared" ca="1" si="6"/>
        <v>31</v>
      </c>
    </row>
    <row r="445" spans="1:10" ht="15" x14ac:dyDescent="0.25">
      <c r="A445" s="397">
        <v>10001033</v>
      </c>
      <c r="B445" s="397">
        <v>8443481749</v>
      </c>
      <c r="C445" s="397" t="s">
        <v>1320</v>
      </c>
      <c r="D445" s="398">
        <v>32297</v>
      </c>
      <c r="E445" s="397" t="s">
        <v>1096</v>
      </c>
      <c r="F445" s="397" t="s">
        <v>1097</v>
      </c>
      <c r="G445" s="397" t="s">
        <v>1049</v>
      </c>
      <c r="H445" s="423">
        <v>2149</v>
      </c>
      <c r="I445" s="397" t="s">
        <v>334</v>
      </c>
      <c r="J445" s="400">
        <f t="shared" ca="1" si="6"/>
        <v>35</v>
      </c>
    </row>
    <row r="446" spans="1:10" ht="15" x14ac:dyDescent="0.25">
      <c r="A446" s="397">
        <v>10001035</v>
      </c>
      <c r="B446" s="397">
        <v>8422871416</v>
      </c>
      <c r="C446" s="397" t="s">
        <v>1321</v>
      </c>
      <c r="D446" s="398">
        <v>30236</v>
      </c>
      <c r="E446" s="397" t="s">
        <v>849</v>
      </c>
      <c r="F446" s="397" t="s">
        <v>850</v>
      </c>
      <c r="G446" s="397" t="s">
        <v>880</v>
      </c>
      <c r="H446" s="423">
        <v>2117</v>
      </c>
      <c r="I446" s="397" t="s">
        <v>317</v>
      </c>
      <c r="J446" s="400">
        <f t="shared" ca="1" si="6"/>
        <v>41</v>
      </c>
    </row>
    <row r="447" spans="1:10" ht="15" x14ac:dyDescent="0.25">
      <c r="A447" s="397">
        <v>10001036</v>
      </c>
      <c r="B447" s="397">
        <v>8425711185</v>
      </c>
      <c r="C447" s="397" t="s">
        <v>1322</v>
      </c>
      <c r="D447" s="398">
        <v>30520</v>
      </c>
      <c r="E447" s="397" t="s">
        <v>1154</v>
      </c>
      <c r="F447" s="397" t="s">
        <v>1155</v>
      </c>
      <c r="G447" s="397" t="s">
        <v>1014</v>
      </c>
      <c r="H447" s="423">
        <v>2910</v>
      </c>
      <c r="I447" s="397" t="s">
        <v>422</v>
      </c>
      <c r="J447" s="400">
        <f t="shared" ca="1" si="6"/>
        <v>40</v>
      </c>
    </row>
    <row r="448" spans="1:10" ht="15" x14ac:dyDescent="0.25">
      <c r="A448" s="397">
        <v>10001037</v>
      </c>
      <c r="B448" s="397">
        <v>8454831525</v>
      </c>
      <c r="C448" s="397" t="s">
        <v>1323</v>
      </c>
      <c r="D448" s="398">
        <v>33432</v>
      </c>
      <c r="E448" s="397" t="s">
        <v>788</v>
      </c>
      <c r="F448" s="397" t="s">
        <v>789</v>
      </c>
      <c r="G448" s="397" t="s">
        <v>925</v>
      </c>
      <c r="H448" s="423">
        <v>2410</v>
      </c>
      <c r="I448" s="397" t="s">
        <v>366</v>
      </c>
      <c r="J448" s="400">
        <f t="shared" ca="1" si="6"/>
        <v>32</v>
      </c>
    </row>
    <row r="449" spans="1:10" ht="15" x14ac:dyDescent="0.25">
      <c r="A449" s="397">
        <v>10001038</v>
      </c>
      <c r="B449" s="397">
        <v>8451860338</v>
      </c>
      <c r="C449" s="397" t="s">
        <v>1324</v>
      </c>
      <c r="D449" s="398">
        <v>33135</v>
      </c>
      <c r="E449" s="397" t="s">
        <v>788</v>
      </c>
      <c r="F449" s="397" t="s">
        <v>789</v>
      </c>
      <c r="G449" s="397" t="s">
        <v>776</v>
      </c>
      <c r="H449" s="423">
        <v>2410</v>
      </c>
      <c r="I449" s="397" t="s">
        <v>366</v>
      </c>
      <c r="J449" s="400">
        <f t="shared" ca="1" si="6"/>
        <v>33</v>
      </c>
    </row>
    <row r="450" spans="1:10" ht="15" x14ac:dyDescent="0.25">
      <c r="A450" s="397">
        <v>10001039</v>
      </c>
      <c r="B450" s="397">
        <v>8457261002</v>
      </c>
      <c r="C450" s="397" t="s">
        <v>1325</v>
      </c>
      <c r="D450" s="398">
        <v>33675</v>
      </c>
      <c r="E450" s="397" t="s">
        <v>810</v>
      </c>
      <c r="F450" s="397" t="s">
        <v>811</v>
      </c>
      <c r="G450" s="397" t="s">
        <v>776</v>
      </c>
      <c r="H450" s="423">
        <v>2410</v>
      </c>
      <c r="I450" s="397" t="s">
        <v>366</v>
      </c>
      <c r="J450" s="400">
        <f t="shared" ca="1" si="6"/>
        <v>31</v>
      </c>
    </row>
    <row r="451" spans="1:10" ht="15" x14ac:dyDescent="0.25">
      <c r="A451" s="397">
        <v>10001040</v>
      </c>
      <c r="B451" s="397">
        <v>8448900545</v>
      </c>
      <c r="C451" s="397" t="s">
        <v>1326</v>
      </c>
      <c r="D451" s="398">
        <v>32839</v>
      </c>
      <c r="E451" s="397" t="s">
        <v>810</v>
      </c>
      <c r="F451" s="397" t="s">
        <v>811</v>
      </c>
      <c r="G451" s="397" t="s">
        <v>822</v>
      </c>
      <c r="H451" s="423">
        <v>2410</v>
      </c>
      <c r="I451" s="397" t="s">
        <v>366</v>
      </c>
      <c r="J451" s="400">
        <f t="shared" ref="J451:J514" ca="1" si="7">YEAR(TODAY())-YEAR(D451)</f>
        <v>34</v>
      </c>
    </row>
    <row r="452" spans="1:10" ht="15" x14ac:dyDescent="0.25">
      <c r="A452" s="397">
        <v>10001041</v>
      </c>
      <c r="B452" s="397">
        <v>8446950472</v>
      </c>
      <c r="C452" s="397" t="s">
        <v>1200</v>
      </c>
      <c r="D452" s="398">
        <v>32644</v>
      </c>
      <c r="E452" s="397" t="s">
        <v>810</v>
      </c>
      <c r="F452" s="397" t="s">
        <v>811</v>
      </c>
      <c r="G452" s="397" t="s">
        <v>1014</v>
      </c>
      <c r="H452" s="423">
        <v>2910</v>
      </c>
      <c r="I452" s="397" t="s">
        <v>422</v>
      </c>
      <c r="J452" s="400">
        <f t="shared" ca="1" si="7"/>
        <v>34</v>
      </c>
    </row>
    <row r="453" spans="1:10" ht="15" x14ac:dyDescent="0.25">
      <c r="A453" s="397">
        <v>10001042</v>
      </c>
      <c r="B453" s="397">
        <v>8388983024</v>
      </c>
      <c r="C453" s="397" t="s">
        <v>1327</v>
      </c>
      <c r="D453" s="398">
        <v>26847</v>
      </c>
      <c r="E453" s="397" t="s">
        <v>1096</v>
      </c>
      <c r="F453" s="397" t="s">
        <v>1097</v>
      </c>
      <c r="G453" s="397" t="s">
        <v>1049</v>
      </c>
      <c r="H453" s="423">
        <v>3910</v>
      </c>
      <c r="I453" s="397" t="s">
        <v>520</v>
      </c>
      <c r="J453" s="400">
        <f t="shared" ca="1" si="7"/>
        <v>50</v>
      </c>
    </row>
    <row r="454" spans="1:10" ht="15" x14ac:dyDescent="0.25">
      <c r="A454" s="397">
        <v>10001050</v>
      </c>
      <c r="B454" s="397">
        <v>8446483645</v>
      </c>
      <c r="C454" s="397" t="s">
        <v>222</v>
      </c>
      <c r="D454" s="398">
        <v>32597</v>
      </c>
      <c r="E454" s="397" t="s">
        <v>762</v>
      </c>
      <c r="F454" s="397" t="s">
        <v>763</v>
      </c>
      <c r="G454" s="397" t="s">
        <v>985</v>
      </c>
      <c r="H454" s="423">
        <v>2139</v>
      </c>
      <c r="I454" s="397" t="s">
        <v>329</v>
      </c>
      <c r="J454" s="400">
        <f t="shared" ca="1" si="7"/>
        <v>34</v>
      </c>
    </row>
    <row r="455" spans="1:10" ht="15" x14ac:dyDescent="0.25">
      <c r="A455" s="397">
        <v>10001051</v>
      </c>
      <c r="B455" s="397">
        <v>8419653322</v>
      </c>
      <c r="C455" s="397" t="s">
        <v>1328</v>
      </c>
      <c r="D455" s="398">
        <v>29914</v>
      </c>
      <c r="E455" s="397" t="s">
        <v>849</v>
      </c>
      <c r="F455" s="397" t="s">
        <v>850</v>
      </c>
      <c r="G455" s="397" t="s">
        <v>831</v>
      </c>
      <c r="H455" s="423">
        <v>2117</v>
      </c>
      <c r="I455" s="397" t="s">
        <v>317</v>
      </c>
      <c r="J455" s="400">
        <f t="shared" ca="1" si="7"/>
        <v>42</v>
      </c>
    </row>
    <row r="456" spans="1:10" ht="15" x14ac:dyDescent="0.25">
      <c r="A456" s="397">
        <v>10001052</v>
      </c>
      <c r="B456" s="397">
        <v>8442600442</v>
      </c>
      <c r="C456" s="397" t="s">
        <v>1329</v>
      </c>
      <c r="D456" s="398">
        <v>32209</v>
      </c>
      <c r="E456" s="397" t="s">
        <v>840</v>
      </c>
      <c r="F456" s="397" t="s">
        <v>841</v>
      </c>
      <c r="G456" s="397" t="s">
        <v>902</v>
      </c>
      <c r="H456" s="423">
        <v>2139</v>
      </c>
      <c r="I456" s="397" t="s">
        <v>329</v>
      </c>
      <c r="J456" s="400">
        <f t="shared" ca="1" si="7"/>
        <v>35</v>
      </c>
    </row>
    <row r="457" spans="1:10" ht="15" x14ac:dyDescent="0.25">
      <c r="A457" s="397">
        <v>10001053</v>
      </c>
      <c r="B457" s="397">
        <v>8448413687</v>
      </c>
      <c r="C457" s="397" t="s">
        <v>1330</v>
      </c>
      <c r="D457" s="398">
        <v>32790</v>
      </c>
      <c r="E457" s="397" t="s">
        <v>774</v>
      </c>
      <c r="F457" s="397" t="s">
        <v>775</v>
      </c>
      <c r="G457" s="397" t="s">
        <v>902</v>
      </c>
      <c r="H457" s="423">
        <v>2139</v>
      </c>
      <c r="I457" s="397" t="s">
        <v>329</v>
      </c>
      <c r="J457" s="400">
        <f t="shared" ca="1" si="7"/>
        <v>34</v>
      </c>
    </row>
    <row r="458" spans="1:10" ht="15" x14ac:dyDescent="0.25">
      <c r="A458" s="397">
        <v>10001054</v>
      </c>
      <c r="B458" s="397">
        <v>8431303115</v>
      </c>
      <c r="C458" s="397" t="s">
        <v>1331</v>
      </c>
      <c r="D458" s="398">
        <v>31079</v>
      </c>
      <c r="E458" s="397" t="s">
        <v>766</v>
      </c>
      <c r="F458" s="397" t="s">
        <v>767</v>
      </c>
      <c r="G458" s="397" t="s">
        <v>925</v>
      </c>
      <c r="H458" s="423">
        <v>2410</v>
      </c>
      <c r="I458" s="397" t="s">
        <v>366</v>
      </c>
      <c r="J458" s="400">
        <f t="shared" ca="1" si="7"/>
        <v>38</v>
      </c>
    </row>
    <row r="459" spans="1:10" ht="15" x14ac:dyDescent="0.25">
      <c r="A459" s="397">
        <v>10001059</v>
      </c>
      <c r="B459" s="397">
        <v>8452020228</v>
      </c>
      <c r="C459" s="397" t="s">
        <v>1332</v>
      </c>
      <c r="D459" s="398">
        <v>33151</v>
      </c>
      <c r="E459" s="397" t="s">
        <v>788</v>
      </c>
      <c r="F459" s="397" t="s">
        <v>789</v>
      </c>
      <c r="G459" s="397" t="s">
        <v>925</v>
      </c>
      <c r="H459" s="423">
        <v>2410</v>
      </c>
      <c r="I459" s="397" t="s">
        <v>366</v>
      </c>
      <c r="J459" s="400">
        <f t="shared" ca="1" si="7"/>
        <v>33</v>
      </c>
    </row>
    <row r="460" spans="1:10" ht="15" x14ac:dyDescent="0.25">
      <c r="A460" s="397">
        <v>10001062</v>
      </c>
      <c r="B460" s="397">
        <v>8433700847</v>
      </c>
      <c r="C460" s="397" t="s">
        <v>1333</v>
      </c>
      <c r="D460" s="398">
        <v>31319</v>
      </c>
      <c r="E460" s="397" t="s">
        <v>788</v>
      </c>
      <c r="F460" s="397" t="s">
        <v>789</v>
      </c>
      <c r="G460" s="397" t="s">
        <v>831</v>
      </c>
      <c r="H460" s="423">
        <v>2122</v>
      </c>
      <c r="I460" s="397" t="s">
        <v>320</v>
      </c>
      <c r="J460" s="400">
        <f t="shared" ca="1" si="7"/>
        <v>38</v>
      </c>
    </row>
    <row r="461" spans="1:10" ht="15" x14ac:dyDescent="0.25">
      <c r="A461" s="397">
        <v>10001064</v>
      </c>
      <c r="B461" s="397">
        <v>8416873569</v>
      </c>
      <c r="C461" s="397" t="s">
        <v>1334</v>
      </c>
      <c r="D461" s="398">
        <v>29636</v>
      </c>
      <c r="E461" s="397" t="s">
        <v>1172</v>
      </c>
      <c r="F461" s="397" t="s">
        <v>1173</v>
      </c>
      <c r="G461" s="397" t="s">
        <v>1014</v>
      </c>
      <c r="H461" s="423">
        <v>4112</v>
      </c>
      <c r="I461" s="397" t="s">
        <v>523</v>
      </c>
      <c r="J461" s="400">
        <f t="shared" ca="1" si="7"/>
        <v>42</v>
      </c>
    </row>
    <row r="462" spans="1:10" ht="15" x14ac:dyDescent="0.25">
      <c r="A462" s="397">
        <v>10001066</v>
      </c>
      <c r="B462" s="397">
        <v>8444651087</v>
      </c>
      <c r="C462" s="397" t="s">
        <v>1335</v>
      </c>
      <c r="D462" s="398">
        <v>32414</v>
      </c>
      <c r="E462" s="397" t="s">
        <v>868</v>
      </c>
      <c r="F462" s="397" t="s">
        <v>869</v>
      </c>
      <c r="G462" s="397" t="s">
        <v>902</v>
      </c>
      <c r="H462" s="423">
        <v>2139</v>
      </c>
      <c r="I462" s="397" t="s">
        <v>329</v>
      </c>
      <c r="J462" s="400">
        <f t="shared" ca="1" si="7"/>
        <v>35</v>
      </c>
    </row>
    <row r="463" spans="1:10" ht="15" x14ac:dyDescent="0.25">
      <c r="A463" s="397">
        <v>10001074</v>
      </c>
      <c r="B463" s="397">
        <v>8396574812</v>
      </c>
      <c r="C463" s="397" t="s">
        <v>1336</v>
      </c>
      <c r="D463" s="398">
        <v>27606</v>
      </c>
      <c r="E463" s="397" t="s">
        <v>858</v>
      </c>
      <c r="F463" s="397" t="s">
        <v>859</v>
      </c>
      <c r="G463" s="397" t="s">
        <v>768</v>
      </c>
      <c r="H463" s="423">
        <v>1328</v>
      </c>
      <c r="I463" s="397" t="s">
        <v>295</v>
      </c>
      <c r="J463" s="400">
        <f t="shared" ca="1" si="7"/>
        <v>48</v>
      </c>
    </row>
    <row r="464" spans="1:10" ht="15" x14ac:dyDescent="0.25">
      <c r="A464" s="397">
        <v>10001075</v>
      </c>
      <c r="B464" s="397">
        <v>8426440355</v>
      </c>
      <c r="C464" s="397" t="s">
        <v>1337</v>
      </c>
      <c r="D464" s="398">
        <v>30593</v>
      </c>
      <c r="E464" s="397" t="s">
        <v>762</v>
      </c>
      <c r="F464" s="397" t="s">
        <v>763</v>
      </c>
      <c r="G464" s="397" t="s">
        <v>902</v>
      </c>
      <c r="H464" s="423">
        <v>2117</v>
      </c>
      <c r="I464" s="397" t="s">
        <v>329</v>
      </c>
      <c r="J464" s="400">
        <f t="shared" ca="1" si="7"/>
        <v>40</v>
      </c>
    </row>
    <row r="465" spans="1:10" ht="15" x14ac:dyDescent="0.25">
      <c r="A465" s="397">
        <v>10001077</v>
      </c>
      <c r="B465" s="397">
        <v>8409092557</v>
      </c>
      <c r="C465" s="397" t="s">
        <v>1338</v>
      </c>
      <c r="D465" s="398">
        <v>28858</v>
      </c>
      <c r="E465" s="397" t="s">
        <v>1107</v>
      </c>
      <c r="F465" s="397" t="s">
        <v>1108</v>
      </c>
      <c r="G465" s="397" t="s">
        <v>1209</v>
      </c>
      <c r="H465" s="423">
        <v>2910</v>
      </c>
      <c r="I465" s="397" t="s">
        <v>422</v>
      </c>
      <c r="J465" s="400">
        <f t="shared" ca="1" si="7"/>
        <v>44</v>
      </c>
    </row>
    <row r="466" spans="1:10" ht="15" x14ac:dyDescent="0.25">
      <c r="A466" s="397">
        <v>10001084</v>
      </c>
      <c r="B466" s="397">
        <v>8446052717</v>
      </c>
      <c r="C466" s="397" t="s">
        <v>1339</v>
      </c>
      <c r="D466" s="398">
        <v>32554</v>
      </c>
      <c r="E466" s="397" t="s">
        <v>840</v>
      </c>
      <c r="F466" s="397" t="s">
        <v>841</v>
      </c>
      <c r="G466" s="397" t="s">
        <v>831</v>
      </c>
      <c r="H466" s="423">
        <v>2139</v>
      </c>
      <c r="I466" s="397" t="s">
        <v>329</v>
      </c>
      <c r="J466" s="400">
        <f t="shared" ca="1" si="7"/>
        <v>34</v>
      </c>
    </row>
    <row r="467" spans="1:10" ht="15" x14ac:dyDescent="0.25">
      <c r="A467" s="397">
        <v>10001090</v>
      </c>
      <c r="B467" s="397">
        <v>8460291359</v>
      </c>
      <c r="C467" s="397" t="s">
        <v>1340</v>
      </c>
      <c r="D467" s="398">
        <v>33978</v>
      </c>
      <c r="E467" s="397" t="s">
        <v>810</v>
      </c>
      <c r="F467" s="397" t="s">
        <v>811</v>
      </c>
      <c r="G467" s="397" t="s">
        <v>1014</v>
      </c>
      <c r="H467" s="423">
        <v>2139</v>
      </c>
      <c r="I467" s="397" t="s">
        <v>329</v>
      </c>
      <c r="J467" s="400">
        <f t="shared" ca="1" si="7"/>
        <v>30</v>
      </c>
    </row>
    <row r="468" spans="1:10" ht="15" x14ac:dyDescent="0.25">
      <c r="A468" s="397">
        <v>10001092</v>
      </c>
      <c r="B468" s="397">
        <v>8335673411</v>
      </c>
      <c r="C468" s="397" t="s">
        <v>1341</v>
      </c>
      <c r="D468" s="398">
        <v>21516</v>
      </c>
      <c r="E468" s="397" t="s">
        <v>1030</v>
      </c>
      <c r="F468" s="397" t="s">
        <v>1031</v>
      </c>
      <c r="G468" s="397" t="s">
        <v>1049</v>
      </c>
      <c r="H468" s="423">
        <v>3910</v>
      </c>
      <c r="I468" s="397" t="s">
        <v>520</v>
      </c>
      <c r="J468" s="400">
        <f t="shared" ca="1" si="7"/>
        <v>65</v>
      </c>
    </row>
    <row r="469" spans="1:10" ht="15" x14ac:dyDescent="0.25">
      <c r="A469" s="397">
        <v>10001093</v>
      </c>
      <c r="B469" s="397">
        <v>8418640162</v>
      </c>
      <c r="C469" s="397" t="s">
        <v>1342</v>
      </c>
      <c r="D469" s="398">
        <v>29813</v>
      </c>
      <c r="E469" s="397" t="s">
        <v>849</v>
      </c>
      <c r="F469" s="397" t="s">
        <v>850</v>
      </c>
      <c r="G469" s="397" t="s">
        <v>985</v>
      </c>
      <c r="H469" s="423">
        <v>2165</v>
      </c>
      <c r="I469" s="397" t="s">
        <v>342</v>
      </c>
      <c r="J469" s="400">
        <f t="shared" ca="1" si="7"/>
        <v>42</v>
      </c>
    </row>
    <row r="470" spans="1:10" ht="15" x14ac:dyDescent="0.25">
      <c r="A470" s="397">
        <v>10001094</v>
      </c>
      <c r="B470" s="397">
        <v>8450390338</v>
      </c>
      <c r="C470" s="397" t="s">
        <v>1343</v>
      </c>
      <c r="D470" s="398">
        <v>32988</v>
      </c>
      <c r="E470" s="397" t="s">
        <v>762</v>
      </c>
      <c r="F470" s="397" t="s">
        <v>763</v>
      </c>
      <c r="G470" s="397" t="s">
        <v>831</v>
      </c>
      <c r="H470" s="423">
        <v>2139</v>
      </c>
      <c r="I470" s="397" t="s">
        <v>329</v>
      </c>
      <c r="J470" s="400">
        <f t="shared" ca="1" si="7"/>
        <v>33</v>
      </c>
    </row>
    <row r="471" spans="1:10" ht="15" x14ac:dyDescent="0.25">
      <c r="A471" s="397">
        <v>10001097</v>
      </c>
      <c r="B471" s="397">
        <v>8370971679</v>
      </c>
      <c r="C471" s="397" t="s">
        <v>1344</v>
      </c>
      <c r="D471" s="398">
        <v>25046</v>
      </c>
      <c r="E471" s="397" t="s">
        <v>1039</v>
      </c>
      <c r="F471" s="397" t="s">
        <v>1040</v>
      </c>
      <c r="G471" s="397" t="s">
        <v>1014</v>
      </c>
      <c r="H471" s="423">
        <v>4229</v>
      </c>
      <c r="I471" s="397" t="s">
        <v>545</v>
      </c>
      <c r="J471" s="400">
        <f t="shared" ca="1" si="7"/>
        <v>55</v>
      </c>
    </row>
    <row r="472" spans="1:10" ht="15" x14ac:dyDescent="0.25">
      <c r="A472" s="397">
        <v>10001101</v>
      </c>
      <c r="B472" s="397">
        <v>8461870093</v>
      </c>
      <c r="C472" s="397" t="s">
        <v>1345</v>
      </c>
      <c r="D472" s="398">
        <v>34136</v>
      </c>
      <c r="E472" s="397" t="s">
        <v>795</v>
      </c>
      <c r="F472" s="397" t="s">
        <v>796</v>
      </c>
      <c r="G472" s="397" t="s">
        <v>831</v>
      </c>
      <c r="H472" s="423">
        <v>2117</v>
      </c>
      <c r="I472" s="397" t="s">
        <v>317</v>
      </c>
      <c r="J472" s="400">
        <f t="shared" ca="1" si="7"/>
        <v>30</v>
      </c>
    </row>
    <row r="473" spans="1:10" ht="15" x14ac:dyDescent="0.25">
      <c r="A473" s="397">
        <v>10001117</v>
      </c>
      <c r="B473" s="397">
        <v>8349722673</v>
      </c>
      <c r="C473" s="397" t="s">
        <v>1346</v>
      </c>
      <c r="D473" s="398">
        <v>22921</v>
      </c>
      <c r="E473" s="397" t="s">
        <v>849</v>
      </c>
      <c r="F473" s="397" t="s">
        <v>850</v>
      </c>
      <c r="G473" s="397" t="s">
        <v>880</v>
      </c>
      <c r="H473" s="423">
        <v>2163</v>
      </c>
      <c r="I473" s="397" t="s">
        <v>340</v>
      </c>
      <c r="J473" s="400">
        <f t="shared" ca="1" si="7"/>
        <v>61</v>
      </c>
    </row>
    <row r="474" spans="1:10" ht="15" x14ac:dyDescent="0.25">
      <c r="A474" s="397">
        <v>10001118</v>
      </c>
      <c r="B474" s="397">
        <v>8407742120</v>
      </c>
      <c r="C474" s="397" t="s">
        <v>1347</v>
      </c>
      <c r="D474" s="398">
        <v>28723</v>
      </c>
      <c r="E474" s="397" t="s">
        <v>849</v>
      </c>
      <c r="F474" s="397" t="s">
        <v>850</v>
      </c>
      <c r="G474" s="397" t="s">
        <v>880</v>
      </c>
      <c r="H474" s="423">
        <v>2117</v>
      </c>
      <c r="I474" s="397" t="s">
        <v>317</v>
      </c>
      <c r="J474" s="400">
        <f t="shared" ca="1" si="7"/>
        <v>45</v>
      </c>
    </row>
    <row r="475" spans="1:10" ht="15" x14ac:dyDescent="0.25">
      <c r="A475" s="397">
        <v>10001124</v>
      </c>
      <c r="B475" s="397">
        <v>8334462786</v>
      </c>
      <c r="C475" s="397" t="s">
        <v>1348</v>
      </c>
      <c r="D475" s="398">
        <v>21395</v>
      </c>
      <c r="E475" s="397" t="s">
        <v>1061</v>
      </c>
      <c r="F475" s="397" t="s">
        <v>1062</v>
      </c>
      <c r="G475" s="397" t="s">
        <v>768</v>
      </c>
      <c r="H475" s="423">
        <v>2410</v>
      </c>
      <c r="I475" s="397" t="s">
        <v>366</v>
      </c>
      <c r="J475" s="400">
        <f t="shared" ca="1" si="7"/>
        <v>65</v>
      </c>
    </row>
    <row r="476" spans="1:10" ht="15" x14ac:dyDescent="0.25">
      <c r="A476" s="397">
        <v>10001125</v>
      </c>
      <c r="B476" s="397">
        <v>8424450205</v>
      </c>
      <c r="C476" s="397" t="s">
        <v>1349</v>
      </c>
      <c r="D476" s="398">
        <v>30394</v>
      </c>
      <c r="E476" s="397" t="s">
        <v>1039</v>
      </c>
      <c r="F476" s="397" t="s">
        <v>1040</v>
      </c>
      <c r="G476" s="397" t="s">
        <v>1014</v>
      </c>
      <c r="H476" s="423">
        <v>4229</v>
      </c>
      <c r="I476" s="397" t="s">
        <v>545</v>
      </c>
      <c r="J476" s="400">
        <f t="shared" ca="1" si="7"/>
        <v>40</v>
      </c>
    </row>
    <row r="477" spans="1:10" ht="15" x14ac:dyDescent="0.25">
      <c r="A477" s="397">
        <v>10001127</v>
      </c>
      <c r="B477" s="397">
        <v>8424210697</v>
      </c>
      <c r="C477" s="397" t="s">
        <v>1350</v>
      </c>
      <c r="D477" s="398">
        <v>30370</v>
      </c>
      <c r="E477" s="397" t="s">
        <v>840</v>
      </c>
      <c r="F477" s="397" t="s">
        <v>841</v>
      </c>
      <c r="G477" s="397" t="s">
        <v>1351</v>
      </c>
      <c r="H477" s="423">
        <v>3190</v>
      </c>
      <c r="I477" s="397" t="s">
        <v>456</v>
      </c>
      <c r="J477" s="400">
        <f t="shared" ca="1" si="7"/>
        <v>40</v>
      </c>
    </row>
    <row r="478" spans="1:10" ht="15" x14ac:dyDescent="0.25">
      <c r="A478" s="397">
        <v>10001130</v>
      </c>
      <c r="B478" s="397">
        <v>8462721202</v>
      </c>
      <c r="C478" s="397" t="s">
        <v>1352</v>
      </c>
      <c r="D478" s="398">
        <v>34221</v>
      </c>
      <c r="E478" s="397" t="s">
        <v>840</v>
      </c>
      <c r="F478" s="397" t="s">
        <v>841</v>
      </c>
      <c r="G478" s="397" t="s">
        <v>831</v>
      </c>
      <c r="H478" s="423">
        <v>2139</v>
      </c>
      <c r="I478" s="397" t="s">
        <v>329</v>
      </c>
      <c r="J478" s="400">
        <f t="shared" ca="1" si="7"/>
        <v>30</v>
      </c>
    </row>
    <row r="479" spans="1:10" ht="15" x14ac:dyDescent="0.25">
      <c r="A479" s="397">
        <v>10001131</v>
      </c>
      <c r="B479" s="397">
        <v>8442692398</v>
      </c>
      <c r="C479" s="397" t="s">
        <v>1353</v>
      </c>
      <c r="D479" s="398">
        <v>32218</v>
      </c>
      <c r="E479" s="397" t="s">
        <v>774</v>
      </c>
      <c r="F479" s="397" t="s">
        <v>775</v>
      </c>
      <c r="G479" s="397" t="s">
        <v>902</v>
      </c>
      <c r="H479" s="423">
        <v>2117</v>
      </c>
      <c r="I479" s="397" t="s">
        <v>317</v>
      </c>
      <c r="J479" s="400">
        <f t="shared" ca="1" si="7"/>
        <v>35</v>
      </c>
    </row>
    <row r="480" spans="1:10" ht="15" x14ac:dyDescent="0.25">
      <c r="A480" s="397">
        <v>10001133</v>
      </c>
      <c r="B480" s="397">
        <v>8429333843</v>
      </c>
      <c r="C480" s="397" t="s">
        <v>190</v>
      </c>
      <c r="D480" s="398">
        <v>30882</v>
      </c>
      <c r="E480" s="397" t="s">
        <v>868</v>
      </c>
      <c r="F480" s="397" t="s">
        <v>869</v>
      </c>
      <c r="G480" s="397" t="s">
        <v>985</v>
      </c>
      <c r="H480" s="423">
        <v>2139</v>
      </c>
      <c r="I480" s="397" t="s">
        <v>329</v>
      </c>
      <c r="J480" s="400">
        <f t="shared" ca="1" si="7"/>
        <v>39</v>
      </c>
    </row>
    <row r="481" spans="1:10" ht="15" x14ac:dyDescent="0.25">
      <c r="A481" s="397">
        <v>10001134</v>
      </c>
      <c r="B481" s="397">
        <v>8441310858</v>
      </c>
      <c r="C481" s="397" t="s">
        <v>1354</v>
      </c>
      <c r="D481" s="398">
        <v>32080</v>
      </c>
      <c r="E481" s="397" t="s">
        <v>868</v>
      </c>
      <c r="F481" s="397" t="s">
        <v>869</v>
      </c>
      <c r="G481" s="397" t="s">
        <v>902</v>
      </c>
      <c r="H481" s="423">
        <v>2139</v>
      </c>
      <c r="I481" s="397" t="s">
        <v>329</v>
      </c>
      <c r="J481" s="400">
        <f t="shared" ca="1" si="7"/>
        <v>36</v>
      </c>
    </row>
    <row r="482" spans="1:10" ht="15" x14ac:dyDescent="0.25">
      <c r="A482" s="397">
        <v>10001136</v>
      </c>
      <c r="B482" s="397">
        <v>8396360162</v>
      </c>
      <c r="C482" s="397" t="s">
        <v>1355</v>
      </c>
      <c r="D482" s="398">
        <v>27585</v>
      </c>
      <c r="E482" s="397" t="s">
        <v>1039</v>
      </c>
      <c r="F482" s="397" t="s">
        <v>1040</v>
      </c>
      <c r="G482" s="397" t="s">
        <v>1209</v>
      </c>
      <c r="H482" s="423">
        <v>4229</v>
      </c>
      <c r="I482" s="397" t="s">
        <v>545</v>
      </c>
      <c r="J482" s="400">
        <f t="shared" ca="1" si="7"/>
        <v>48</v>
      </c>
    </row>
    <row r="483" spans="1:10" ht="15" x14ac:dyDescent="0.25">
      <c r="A483" s="397">
        <v>10001138</v>
      </c>
      <c r="B483" s="397">
        <v>8426043291</v>
      </c>
      <c r="C483" s="397" t="s">
        <v>1356</v>
      </c>
      <c r="D483" s="398">
        <v>30553</v>
      </c>
      <c r="E483" s="397" t="s">
        <v>849</v>
      </c>
      <c r="F483" s="397" t="s">
        <v>850</v>
      </c>
      <c r="G483" s="397" t="s">
        <v>902</v>
      </c>
      <c r="H483" s="423">
        <v>2169</v>
      </c>
      <c r="I483" s="397" t="s">
        <v>346</v>
      </c>
      <c r="J483" s="400">
        <f t="shared" ca="1" si="7"/>
        <v>40</v>
      </c>
    </row>
    <row r="484" spans="1:10" ht="15" x14ac:dyDescent="0.25">
      <c r="A484" s="397">
        <v>10001139</v>
      </c>
      <c r="B484" s="397">
        <v>8420632767</v>
      </c>
      <c r="C484" s="397" t="s">
        <v>1357</v>
      </c>
      <c r="D484" s="398">
        <v>30012</v>
      </c>
      <c r="E484" s="397" t="s">
        <v>1107</v>
      </c>
      <c r="F484" s="397" t="s">
        <v>1108</v>
      </c>
      <c r="G484" s="397" t="s">
        <v>1209</v>
      </c>
      <c r="H484" s="423">
        <v>2910</v>
      </c>
      <c r="I484" s="397" t="s">
        <v>422</v>
      </c>
      <c r="J484" s="400">
        <f t="shared" ca="1" si="7"/>
        <v>41</v>
      </c>
    </row>
    <row r="485" spans="1:10" ht="15" x14ac:dyDescent="0.25">
      <c r="A485" s="397">
        <v>10001143</v>
      </c>
      <c r="B485" s="397">
        <v>8459230287</v>
      </c>
      <c r="C485" s="397" t="s">
        <v>1358</v>
      </c>
      <c r="D485" s="398">
        <v>33872</v>
      </c>
      <c r="E485" s="397" t="s">
        <v>1126</v>
      </c>
      <c r="F485" s="397" t="s">
        <v>1127</v>
      </c>
      <c r="G485" s="397" t="s">
        <v>1049</v>
      </c>
      <c r="H485" s="423">
        <v>3910</v>
      </c>
      <c r="I485" s="397" t="s">
        <v>520</v>
      </c>
      <c r="J485" s="400">
        <f t="shared" ca="1" si="7"/>
        <v>31</v>
      </c>
    </row>
    <row r="486" spans="1:10" ht="15" x14ac:dyDescent="0.25">
      <c r="A486" s="397">
        <v>10001146</v>
      </c>
      <c r="B486" s="397">
        <v>8436690672</v>
      </c>
      <c r="C486" s="397" t="s">
        <v>1359</v>
      </c>
      <c r="D486" s="398">
        <v>31618</v>
      </c>
      <c r="E486" s="397" t="s">
        <v>784</v>
      </c>
      <c r="F486" s="397" t="s">
        <v>785</v>
      </c>
      <c r="G486" s="397" t="s">
        <v>768</v>
      </c>
      <c r="H486" s="423">
        <v>2410</v>
      </c>
      <c r="I486" s="397" t="s">
        <v>366</v>
      </c>
      <c r="J486" s="400">
        <f t="shared" ca="1" si="7"/>
        <v>37</v>
      </c>
    </row>
    <row r="487" spans="1:10" ht="15" x14ac:dyDescent="0.25">
      <c r="A487" s="397">
        <v>10001147</v>
      </c>
      <c r="B487" s="397">
        <v>8452590628</v>
      </c>
      <c r="C487" s="397" t="s">
        <v>1360</v>
      </c>
      <c r="D487" s="398">
        <v>33208</v>
      </c>
      <c r="E487" s="397" t="s">
        <v>784</v>
      </c>
      <c r="F487" s="397" t="s">
        <v>785</v>
      </c>
      <c r="G487" s="397" t="s">
        <v>1032</v>
      </c>
      <c r="H487" s="423">
        <v>2410</v>
      </c>
      <c r="I487" s="397" t="s">
        <v>366</v>
      </c>
      <c r="J487" s="400">
        <f t="shared" ca="1" si="7"/>
        <v>33</v>
      </c>
    </row>
    <row r="488" spans="1:10" ht="15" x14ac:dyDescent="0.25">
      <c r="A488" s="397">
        <v>10001149</v>
      </c>
      <c r="B488" s="397">
        <v>8411173119</v>
      </c>
      <c r="C488" s="397" t="s">
        <v>1361</v>
      </c>
      <c r="D488" s="398">
        <v>29066</v>
      </c>
      <c r="E488" s="397" t="s">
        <v>1295</v>
      </c>
      <c r="F488" s="397" t="s">
        <v>1296</v>
      </c>
      <c r="G488" s="397" t="s">
        <v>1014</v>
      </c>
      <c r="H488" s="423">
        <v>2910</v>
      </c>
      <c r="I488" s="397" t="s">
        <v>422</v>
      </c>
      <c r="J488" s="400">
        <f t="shared" ca="1" si="7"/>
        <v>44</v>
      </c>
    </row>
    <row r="489" spans="1:10" ht="15" x14ac:dyDescent="0.25">
      <c r="A489" s="397">
        <v>10001156</v>
      </c>
      <c r="B489" s="397">
        <v>8433840320</v>
      </c>
      <c r="C489" s="397" t="s">
        <v>1362</v>
      </c>
      <c r="D489" s="398">
        <v>31333</v>
      </c>
      <c r="E489" s="397" t="s">
        <v>849</v>
      </c>
      <c r="F489" s="397" t="s">
        <v>850</v>
      </c>
      <c r="G489" s="397" t="s">
        <v>902</v>
      </c>
      <c r="H489" s="423">
        <v>2169</v>
      </c>
      <c r="I489" s="397" t="s">
        <v>346</v>
      </c>
      <c r="J489" s="400">
        <f t="shared" ca="1" si="7"/>
        <v>38</v>
      </c>
    </row>
    <row r="490" spans="1:10" ht="15" x14ac:dyDescent="0.25">
      <c r="A490" s="397">
        <v>10001157</v>
      </c>
      <c r="B490" s="397">
        <v>8455030704</v>
      </c>
      <c r="C490" s="397" t="s">
        <v>1363</v>
      </c>
      <c r="D490" s="398">
        <v>33452</v>
      </c>
      <c r="E490" s="397" t="s">
        <v>774</v>
      </c>
      <c r="F490" s="397" t="s">
        <v>775</v>
      </c>
      <c r="G490" s="397" t="s">
        <v>831</v>
      </c>
      <c r="H490" s="423">
        <v>2117</v>
      </c>
      <c r="I490" s="397" t="s">
        <v>317</v>
      </c>
      <c r="J490" s="400">
        <f t="shared" ca="1" si="7"/>
        <v>32</v>
      </c>
    </row>
    <row r="491" spans="1:10" ht="15" x14ac:dyDescent="0.25">
      <c r="A491" s="397">
        <v>10001160</v>
      </c>
      <c r="B491" s="397">
        <v>8452330308</v>
      </c>
      <c r="C491" s="397" t="s">
        <v>1364</v>
      </c>
      <c r="D491" s="398">
        <v>33182</v>
      </c>
      <c r="E491" s="397" t="s">
        <v>762</v>
      </c>
      <c r="F491" s="397" t="s">
        <v>763</v>
      </c>
      <c r="G491" s="397" t="s">
        <v>831</v>
      </c>
      <c r="H491" s="423">
        <v>2117</v>
      </c>
      <c r="I491" s="397" t="s">
        <v>317</v>
      </c>
      <c r="J491" s="400">
        <f t="shared" ca="1" si="7"/>
        <v>33</v>
      </c>
    </row>
    <row r="492" spans="1:10" ht="15" x14ac:dyDescent="0.25">
      <c r="A492" s="397">
        <v>10001165</v>
      </c>
      <c r="B492" s="397">
        <v>8420711640</v>
      </c>
      <c r="C492" s="397" t="s">
        <v>1365</v>
      </c>
      <c r="D492" s="398">
        <v>30020</v>
      </c>
      <c r="E492" s="397" t="s">
        <v>840</v>
      </c>
      <c r="F492" s="397" t="s">
        <v>841</v>
      </c>
      <c r="G492" s="397" t="s">
        <v>831</v>
      </c>
      <c r="H492" s="423">
        <v>2118</v>
      </c>
      <c r="I492" s="397" t="s">
        <v>318</v>
      </c>
      <c r="J492" s="400">
        <f t="shared" ca="1" si="7"/>
        <v>41</v>
      </c>
    </row>
    <row r="493" spans="1:10" ht="15" x14ac:dyDescent="0.25">
      <c r="A493" s="397">
        <v>10001166</v>
      </c>
      <c r="B493" s="397">
        <v>8456232890</v>
      </c>
      <c r="C493" s="397" t="s">
        <v>1366</v>
      </c>
      <c r="D493" s="398">
        <v>33572</v>
      </c>
      <c r="E493" s="397" t="s">
        <v>1030</v>
      </c>
      <c r="F493" s="397" t="s">
        <v>1031</v>
      </c>
      <c r="G493" s="397" t="s">
        <v>1032</v>
      </c>
      <c r="H493" s="423">
        <v>2410</v>
      </c>
      <c r="I493" s="397" t="s">
        <v>366</v>
      </c>
      <c r="J493" s="400">
        <f t="shared" ca="1" si="7"/>
        <v>32</v>
      </c>
    </row>
    <row r="494" spans="1:10" ht="15" x14ac:dyDescent="0.25">
      <c r="A494" s="397">
        <v>10001167</v>
      </c>
      <c r="B494" s="397">
        <v>8379181603</v>
      </c>
      <c r="C494" s="397" t="s">
        <v>1367</v>
      </c>
      <c r="D494" s="398">
        <v>25867</v>
      </c>
      <c r="E494" s="397" t="s">
        <v>1030</v>
      </c>
      <c r="F494" s="397" t="s">
        <v>1031</v>
      </c>
      <c r="G494" s="397" t="s">
        <v>1049</v>
      </c>
      <c r="H494" s="423">
        <v>2910</v>
      </c>
      <c r="I494" s="397" t="s">
        <v>422</v>
      </c>
      <c r="J494" s="400">
        <f t="shared" ca="1" si="7"/>
        <v>53</v>
      </c>
    </row>
    <row r="495" spans="1:10" ht="15" x14ac:dyDescent="0.25">
      <c r="A495" s="397">
        <v>10001170</v>
      </c>
      <c r="B495" s="397">
        <v>8445951254</v>
      </c>
      <c r="C495" s="397" t="s">
        <v>1368</v>
      </c>
      <c r="D495" s="398">
        <v>32544</v>
      </c>
      <c r="E495" s="397" t="s">
        <v>792</v>
      </c>
      <c r="F495" s="397" t="s">
        <v>793</v>
      </c>
      <c r="G495" s="397" t="s">
        <v>831</v>
      </c>
      <c r="H495" s="423">
        <v>2624</v>
      </c>
      <c r="I495" s="397" t="s">
        <v>401</v>
      </c>
      <c r="J495" s="400">
        <f t="shared" ca="1" si="7"/>
        <v>34</v>
      </c>
    </row>
    <row r="496" spans="1:10" ht="15" x14ac:dyDescent="0.25">
      <c r="A496" s="397">
        <v>10001171</v>
      </c>
      <c r="B496" s="397">
        <v>8440181078</v>
      </c>
      <c r="C496" s="397" t="s">
        <v>1369</v>
      </c>
      <c r="D496" s="398">
        <v>31967</v>
      </c>
      <c r="E496" s="397" t="s">
        <v>833</v>
      </c>
      <c r="F496" s="397" t="s">
        <v>834</v>
      </c>
      <c r="G496" s="397" t="s">
        <v>776</v>
      </c>
      <c r="H496" s="423">
        <v>2410</v>
      </c>
      <c r="I496" s="397" t="s">
        <v>366</v>
      </c>
      <c r="J496" s="400">
        <f t="shared" ca="1" si="7"/>
        <v>36</v>
      </c>
    </row>
    <row r="497" spans="1:10" ht="15" x14ac:dyDescent="0.25">
      <c r="A497" s="397">
        <v>10001175</v>
      </c>
      <c r="B497" s="397">
        <v>8391122697</v>
      </c>
      <c r="C497" s="397" t="s">
        <v>1370</v>
      </c>
      <c r="D497" s="398">
        <v>27061</v>
      </c>
      <c r="E497" s="397" t="s">
        <v>833</v>
      </c>
      <c r="F497" s="397" t="s">
        <v>834</v>
      </c>
      <c r="G497" s="397" t="s">
        <v>891</v>
      </c>
      <c r="H497" s="423">
        <v>2410</v>
      </c>
      <c r="I497" s="397" t="s">
        <v>366</v>
      </c>
      <c r="J497" s="400">
        <f t="shared" ca="1" si="7"/>
        <v>49</v>
      </c>
    </row>
    <row r="498" spans="1:10" ht="15" x14ac:dyDescent="0.25">
      <c r="A498" s="397">
        <v>10001177</v>
      </c>
      <c r="B498" s="397">
        <v>8415171048</v>
      </c>
      <c r="C498" s="397" t="s">
        <v>1371</v>
      </c>
      <c r="D498" s="398">
        <v>29466</v>
      </c>
      <c r="E498" s="397" t="s">
        <v>1154</v>
      </c>
      <c r="F498" s="397" t="s">
        <v>1155</v>
      </c>
      <c r="G498" s="397" t="s">
        <v>1049</v>
      </c>
      <c r="H498" s="423">
        <v>3910</v>
      </c>
      <c r="I498" s="397" t="s">
        <v>520</v>
      </c>
      <c r="J498" s="400">
        <f t="shared" ca="1" si="7"/>
        <v>43</v>
      </c>
    </row>
    <row r="499" spans="1:10" ht="15" x14ac:dyDescent="0.25">
      <c r="A499" s="397">
        <v>10001179</v>
      </c>
      <c r="B499" s="397">
        <v>8425000386</v>
      </c>
      <c r="C499" s="397" t="s">
        <v>1372</v>
      </c>
      <c r="D499" s="398">
        <v>30449</v>
      </c>
      <c r="E499" s="397" t="s">
        <v>1149</v>
      </c>
      <c r="F499" s="397" t="s">
        <v>1150</v>
      </c>
      <c r="G499" s="397" t="s">
        <v>1049</v>
      </c>
      <c r="H499" s="423">
        <v>3910</v>
      </c>
      <c r="I499" s="397" t="s">
        <v>520</v>
      </c>
      <c r="J499" s="400">
        <f t="shared" ca="1" si="7"/>
        <v>40</v>
      </c>
    </row>
    <row r="500" spans="1:10" ht="15" x14ac:dyDescent="0.25">
      <c r="A500" s="397">
        <v>10001182</v>
      </c>
      <c r="B500" s="397">
        <v>8440692994</v>
      </c>
      <c r="C500" s="397" t="s">
        <v>1373</v>
      </c>
      <c r="D500" s="398">
        <v>32018</v>
      </c>
      <c r="E500" s="397" t="s">
        <v>762</v>
      </c>
      <c r="F500" s="397" t="s">
        <v>763</v>
      </c>
      <c r="G500" s="397" t="s">
        <v>985</v>
      </c>
      <c r="H500" s="423">
        <v>2139</v>
      </c>
      <c r="I500" s="397" t="s">
        <v>329</v>
      </c>
      <c r="J500" s="400">
        <f t="shared" ca="1" si="7"/>
        <v>36</v>
      </c>
    </row>
    <row r="501" spans="1:10" ht="15" x14ac:dyDescent="0.25">
      <c r="A501" s="397">
        <v>10001183</v>
      </c>
      <c r="B501" s="397">
        <v>8430420215</v>
      </c>
      <c r="C501" s="397" t="s">
        <v>1374</v>
      </c>
      <c r="D501" s="398">
        <v>30991</v>
      </c>
      <c r="E501" s="397" t="s">
        <v>762</v>
      </c>
      <c r="F501" s="397" t="s">
        <v>763</v>
      </c>
      <c r="G501" s="397" t="s">
        <v>985</v>
      </c>
      <c r="H501" s="423">
        <v>2139</v>
      </c>
      <c r="I501" s="397" t="s">
        <v>329</v>
      </c>
      <c r="J501" s="400">
        <f t="shared" ca="1" si="7"/>
        <v>39</v>
      </c>
    </row>
    <row r="502" spans="1:10" ht="15" x14ac:dyDescent="0.25">
      <c r="A502" s="397">
        <v>10001188</v>
      </c>
      <c r="B502" s="397">
        <v>8433713434</v>
      </c>
      <c r="C502" s="397" t="s">
        <v>1375</v>
      </c>
      <c r="D502" s="398">
        <v>31320</v>
      </c>
      <c r="E502" s="397" t="s">
        <v>1103</v>
      </c>
      <c r="F502" s="397" t="s">
        <v>1104</v>
      </c>
      <c r="G502" s="397" t="s">
        <v>1049</v>
      </c>
      <c r="H502" s="423">
        <v>3623</v>
      </c>
      <c r="I502" s="397" t="s">
        <v>494</v>
      </c>
      <c r="J502" s="400">
        <f t="shared" ca="1" si="7"/>
        <v>38</v>
      </c>
    </row>
    <row r="503" spans="1:10" ht="15" x14ac:dyDescent="0.25">
      <c r="A503" s="397">
        <v>10001192</v>
      </c>
      <c r="B503" s="397">
        <v>8331450604</v>
      </c>
      <c r="C503" s="397" t="s">
        <v>1376</v>
      </c>
      <c r="D503" s="398">
        <v>21094</v>
      </c>
      <c r="E503" s="397" t="s">
        <v>1042</v>
      </c>
      <c r="F503" s="397" t="s">
        <v>1043</v>
      </c>
      <c r="G503" s="397" t="s">
        <v>1068</v>
      </c>
      <c r="H503" s="423">
        <v>7524</v>
      </c>
      <c r="I503" s="397" t="s">
        <v>655</v>
      </c>
      <c r="J503" s="400">
        <f t="shared" ca="1" si="7"/>
        <v>66</v>
      </c>
    </row>
    <row r="504" spans="1:10" ht="15" x14ac:dyDescent="0.25">
      <c r="A504" s="397">
        <v>10001231</v>
      </c>
      <c r="B504" s="397">
        <v>8454431039</v>
      </c>
      <c r="C504" s="397" t="s">
        <v>1377</v>
      </c>
      <c r="D504" s="398">
        <v>33392</v>
      </c>
      <c r="E504" s="397" t="s">
        <v>1103</v>
      </c>
      <c r="F504" s="397" t="s">
        <v>1104</v>
      </c>
      <c r="G504" s="397" t="s">
        <v>1049</v>
      </c>
      <c r="H504" s="423">
        <v>3910</v>
      </c>
      <c r="I504" s="397" t="s">
        <v>520</v>
      </c>
      <c r="J504" s="400">
        <f t="shared" ca="1" si="7"/>
        <v>32</v>
      </c>
    </row>
    <row r="505" spans="1:10" ht="15" x14ac:dyDescent="0.25">
      <c r="A505" s="397">
        <v>10001232</v>
      </c>
      <c r="B505" s="397">
        <v>8438912923</v>
      </c>
      <c r="C505" s="397" t="s">
        <v>1378</v>
      </c>
      <c r="D505" s="398">
        <v>31840</v>
      </c>
      <c r="E505" s="397" t="s">
        <v>1103</v>
      </c>
      <c r="F505" s="397" t="s">
        <v>1104</v>
      </c>
      <c r="G505" s="397" t="s">
        <v>1049</v>
      </c>
      <c r="H505" s="423">
        <v>3910</v>
      </c>
      <c r="I505" s="397" t="s">
        <v>520</v>
      </c>
      <c r="J505" s="400">
        <f t="shared" ca="1" si="7"/>
        <v>36</v>
      </c>
    </row>
    <row r="506" spans="1:10" ht="15" x14ac:dyDescent="0.25">
      <c r="A506" s="397">
        <v>10001235</v>
      </c>
      <c r="B506" s="397">
        <v>8408011464</v>
      </c>
      <c r="C506" s="397" t="s">
        <v>1379</v>
      </c>
      <c r="D506" s="398">
        <v>28750</v>
      </c>
      <c r="E506" s="397" t="s">
        <v>1107</v>
      </c>
      <c r="F506" s="397" t="s">
        <v>1108</v>
      </c>
      <c r="G506" s="397" t="s">
        <v>1014</v>
      </c>
      <c r="H506" s="423">
        <v>1419</v>
      </c>
      <c r="I506" s="397" t="s">
        <v>310</v>
      </c>
      <c r="J506" s="400">
        <f t="shared" ca="1" si="7"/>
        <v>45</v>
      </c>
    </row>
    <row r="507" spans="1:10" ht="15" x14ac:dyDescent="0.25">
      <c r="A507" s="397">
        <v>10001239</v>
      </c>
      <c r="B507" s="397">
        <v>8482380842</v>
      </c>
      <c r="C507" s="397" t="s">
        <v>1380</v>
      </c>
      <c r="D507" s="398">
        <v>36187</v>
      </c>
      <c r="E507" s="397" t="s">
        <v>795</v>
      </c>
      <c r="F507" s="397" t="s">
        <v>796</v>
      </c>
      <c r="G507" s="397" t="s">
        <v>1084</v>
      </c>
      <c r="H507" s="423">
        <v>3139</v>
      </c>
      <c r="I507" s="397" t="s">
        <v>438</v>
      </c>
      <c r="J507" s="400">
        <f t="shared" ca="1" si="7"/>
        <v>24</v>
      </c>
    </row>
    <row r="508" spans="1:10" ht="15" x14ac:dyDescent="0.25">
      <c r="A508" s="397">
        <v>10001244</v>
      </c>
      <c r="B508" s="397">
        <v>8309423470</v>
      </c>
      <c r="C508" s="397" t="s">
        <v>1381</v>
      </c>
      <c r="D508" s="398">
        <v>18891</v>
      </c>
      <c r="E508" s="397" t="s">
        <v>771</v>
      </c>
      <c r="F508" s="397" t="s">
        <v>772</v>
      </c>
      <c r="G508" s="397" t="s">
        <v>764</v>
      </c>
      <c r="H508" s="423">
        <v>2410</v>
      </c>
      <c r="I508" s="397" t="s">
        <v>366</v>
      </c>
      <c r="J508" s="400">
        <f t="shared" ca="1" si="7"/>
        <v>72</v>
      </c>
    </row>
    <row r="509" spans="1:10" ht="15" x14ac:dyDescent="0.25">
      <c r="A509" s="397">
        <v>10001251</v>
      </c>
      <c r="B509" s="397">
        <v>8445372106</v>
      </c>
      <c r="C509" s="397" t="s">
        <v>1382</v>
      </c>
      <c r="D509" s="398">
        <v>32486</v>
      </c>
      <c r="E509" s="397" t="s">
        <v>762</v>
      </c>
      <c r="F509" s="397" t="s">
        <v>763</v>
      </c>
      <c r="G509" s="397" t="s">
        <v>1351</v>
      </c>
      <c r="H509" s="423">
        <v>3190</v>
      </c>
      <c r="I509" s="397" t="s">
        <v>456</v>
      </c>
      <c r="J509" s="400">
        <f t="shared" ca="1" si="7"/>
        <v>35</v>
      </c>
    </row>
    <row r="510" spans="1:10" ht="15" x14ac:dyDescent="0.25">
      <c r="A510" s="397">
        <v>10001256</v>
      </c>
      <c r="B510" s="397">
        <v>8461520602</v>
      </c>
      <c r="C510" s="397" t="s">
        <v>1383</v>
      </c>
      <c r="D510" s="398">
        <v>34101</v>
      </c>
      <c r="E510" s="397" t="s">
        <v>795</v>
      </c>
      <c r="F510" s="397" t="s">
        <v>796</v>
      </c>
      <c r="G510" s="397" t="s">
        <v>831</v>
      </c>
      <c r="H510" s="423">
        <v>2117</v>
      </c>
      <c r="I510" s="397" t="s">
        <v>317</v>
      </c>
      <c r="J510" s="400">
        <f t="shared" ca="1" si="7"/>
        <v>30</v>
      </c>
    </row>
    <row r="511" spans="1:10" ht="15" x14ac:dyDescent="0.25">
      <c r="A511" s="397">
        <v>10001258</v>
      </c>
      <c r="B511" s="397">
        <v>8412964357</v>
      </c>
      <c r="C511" s="397" t="s">
        <v>1384</v>
      </c>
      <c r="D511" s="398">
        <v>29245</v>
      </c>
      <c r="E511" s="397" t="s">
        <v>1385</v>
      </c>
      <c r="F511" s="397" t="s">
        <v>1386</v>
      </c>
      <c r="G511" s="397" t="s">
        <v>1049</v>
      </c>
      <c r="H511" s="423">
        <v>3910</v>
      </c>
      <c r="I511" s="397" t="s">
        <v>520</v>
      </c>
      <c r="J511" s="400">
        <f t="shared" ca="1" si="7"/>
        <v>43</v>
      </c>
    </row>
    <row r="512" spans="1:10" ht="15" x14ac:dyDescent="0.25">
      <c r="A512" s="397">
        <v>10001259</v>
      </c>
      <c r="B512" s="397">
        <v>8418153059</v>
      </c>
      <c r="C512" s="397" t="s">
        <v>1387</v>
      </c>
      <c r="D512" s="398">
        <v>29764</v>
      </c>
      <c r="E512" s="397" t="s">
        <v>849</v>
      </c>
      <c r="F512" s="397" t="s">
        <v>850</v>
      </c>
      <c r="G512" s="397" t="s">
        <v>985</v>
      </c>
      <c r="H512" s="423">
        <v>2139</v>
      </c>
      <c r="I512" s="397" t="s">
        <v>329</v>
      </c>
      <c r="J512" s="400">
        <f t="shared" ca="1" si="7"/>
        <v>42</v>
      </c>
    </row>
    <row r="513" spans="1:10" ht="15" x14ac:dyDescent="0.25">
      <c r="A513" s="397">
        <v>10001262</v>
      </c>
      <c r="B513" s="397">
        <v>8431123648</v>
      </c>
      <c r="C513" s="397" t="s">
        <v>1388</v>
      </c>
      <c r="D513" s="398">
        <v>31061</v>
      </c>
      <c r="E513" s="397" t="s">
        <v>1025</v>
      </c>
      <c r="F513" s="397" t="s">
        <v>1026</v>
      </c>
      <c r="G513" s="397" t="s">
        <v>1014</v>
      </c>
      <c r="H513" s="423">
        <v>2910</v>
      </c>
      <c r="I513" s="397" t="s">
        <v>422</v>
      </c>
      <c r="J513" s="400">
        <f t="shared" ca="1" si="7"/>
        <v>38</v>
      </c>
    </row>
    <row r="514" spans="1:10" ht="15" x14ac:dyDescent="0.25">
      <c r="A514" s="397">
        <v>10001274</v>
      </c>
      <c r="B514" s="397">
        <v>8459141144</v>
      </c>
      <c r="C514" s="397" t="s">
        <v>1389</v>
      </c>
      <c r="D514" s="398">
        <v>33863</v>
      </c>
      <c r="E514" s="397" t="s">
        <v>840</v>
      </c>
      <c r="F514" s="397" t="s">
        <v>841</v>
      </c>
      <c r="G514" s="397" t="s">
        <v>925</v>
      </c>
      <c r="H514" s="423">
        <v>2410</v>
      </c>
      <c r="I514" s="397" t="s">
        <v>366</v>
      </c>
      <c r="J514" s="400">
        <f t="shared" ca="1" si="7"/>
        <v>31</v>
      </c>
    </row>
    <row r="515" spans="1:10" ht="15" x14ac:dyDescent="0.25">
      <c r="A515" s="397">
        <v>10001275</v>
      </c>
      <c r="B515" s="397">
        <v>8452830645</v>
      </c>
      <c r="C515" s="397" t="s">
        <v>1390</v>
      </c>
      <c r="D515" s="398">
        <v>33232</v>
      </c>
      <c r="E515" s="397" t="s">
        <v>762</v>
      </c>
      <c r="F515" s="397" t="s">
        <v>763</v>
      </c>
      <c r="G515" s="397" t="s">
        <v>831</v>
      </c>
      <c r="H515" s="423">
        <v>2117</v>
      </c>
      <c r="I515" s="397" t="s">
        <v>317</v>
      </c>
      <c r="J515" s="400">
        <f t="shared" ref="J515:J578" ca="1" si="8">YEAR(TODAY())-YEAR(D515)</f>
        <v>33</v>
      </c>
    </row>
    <row r="516" spans="1:10" ht="15" x14ac:dyDescent="0.25">
      <c r="A516" s="397">
        <v>10001278</v>
      </c>
      <c r="B516" s="397">
        <v>8388693077</v>
      </c>
      <c r="C516" s="397" t="s">
        <v>1391</v>
      </c>
      <c r="D516" s="398">
        <v>26818</v>
      </c>
      <c r="E516" s="397" t="s">
        <v>846</v>
      </c>
      <c r="F516" s="397" t="s">
        <v>847</v>
      </c>
      <c r="G516" s="397" t="s">
        <v>925</v>
      </c>
      <c r="H516" s="423">
        <v>2410</v>
      </c>
      <c r="I516" s="397" t="s">
        <v>366</v>
      </c>
      <c r="J516" s="400">
        <f t="shared" ca="1" si="8"/>
        <v>50</v>
      </c>
    </row>
    <row r="517" spans="1:10" ht="15" x14ac:dyDescent="0.25">
      <c r="A517" s="397">
        <v>10001280</v>
      </c>
      <c r="B517" s="397">
        <v>8473392310</v>
      </c>
      <c r="C517" s="397" t="s">
        <v>1392</v>
      </c>
      <c r="D517" s="398">
        <v>35288</v>
      </c>
      <c r="E517" s="397" t="s">
        <v>774</v>
      </c>
      <c r="F517" s="397" t="s">
        <v>775</v>
      </c>
      <c r="G517" s="397" t="s">
        <v>1049</v>
      </c>
      <c r="H517" s="423">
        <v>3910</v>
      </c>
      <c r="I517" s="397" t="s">
        <v>520</v>
      </c>
      <c r="J517" s="400">
        <f t="shared" ca="1" si="8"/>
        <v>27</v>
      </c>
    </row>
    <row r="518" spans="1:10" ht="15" x14ac:dyDescent="0.25">
      <c r="A518" s="397">
        <v>10001287</v>
      </c>
      <c r="B518" s="397">
        <v>8464480210</v>
      </c>
      <c r="C518" s="397" t="s">
        <v>1393</v>
      </c>
      <c r="D518" s="398">
        <v>34397</v>
      </c>
      <c r="E518" s="397" t="s">
        <v>1107</v>
      </c>
      <c r="F518" s="397" t="s">
        <v>1108</v>
      </c>
      <c r="G518" s="397" t="s">
        <v>1014</v>
      </c>
      <c r="H518" s="423">
        <v>2910</v>
      </c>
      <c r="I518" s="397" t="s">
        <v>422</v>
      </c>
      <c r="J518" s="400">
        <f t="shared" ca="1" si="8"/>
        <v>29</v>
      </c>
    </row>
    <row r="519" spans="1:10" ht="15" x14ac:dyDescent="0.25">
      <c r="A519" s="397">
        <v>10001288</v>
      </c>
      <c r="B519" s="397">
        <v>8469560212</v>
      </c>
      <c r="C519" s="397" t="s">
        <v>1394</v>
      </c>
      <c r="D519" s="398">
        <v>34905</v>
      </c>
      <c r="E519" s="397" t="s">
        <v>788</v>
      </c>
      <c r="F519" s="397" t="s">
        <v>789</v>
      </c>
      <c r="G519" s="397" t="s">
        <v>1014</v>
      </c>
      <c r="H519" s="423">
        <v>2149</v>
      </c>
      <c r="I519" s="397" t="s">
        <v>334</v>
      </c>
      <c r="J519" s="400">
        <f t="shared" ca="1" si="8"/>
        <v>28</v>
      </c>
    </row>
    <row r="520" spans="1:10" ht="15" x14ac:dyDescent="0.25">
      <c r="A520" s="397">
        <v>10001294</v>
      </c>
      <c r="B520" s="397">
        <v>8337633700</v>
      </c>
      <c r="C520" s="397" t="s">
        <v>1395</v>
      </c>
      <c r="D520" s="398">
        <v>21712</v>
      </c>
      <c r="E520" s="397" t="s">
        <v>784</v>
      </c>
      <c r="F520" s="397" t="s">
        <v>785</v>
      </c>
      <c r="G520" s="397" t="s">
        <v>768</v>
      </c>
      <c r="H520" s="423">
        <v>2410</v>
      </c>
      <c r="I520" s="397" t="s">
        <v>366</v>
      </c>
      <c r="J520" s="400">
        <f t="shared" ca="1" si="8"/>
        <v>64</v>
      </c>
    </row>
    <row r="521" spans="1:10" ht="15" x14ac:dyDescent="0.25">
      <c r="A521" s="397">
        <v>10001295</v>
      </c>
      <c r="B521" s="397">
        <v>8442631402</v>
      </c>
      <c r="C521" s="397" t="s">
        <v>1396</v>
      </c>
      <c r="D521" s="398">
        <v>32212</v>
      </c>
      <c r="E521" s="397" t="s">
        <v>762</v>
      </c>
      <c r="F521" s="397" t="s">
        <v>763</v>
      </c>
      <c r="G521" s="397" t="s">
        <v>902</v>
      </c>
      <c r="H521" s="423">
        <v>2139</v>
      </c>
      <c r="I521" s="397" t="s">
        <v>329</v>
      </c>
      <c r="J521" s="400">
        <f t="shared" ca="1" si="8"/>
        <v>35</v>
      </c>
    </row>
    <row r="522" spans="1:10" ht="15" x14ac:dyDescent="0.25">
      <c r="A522" s="397">
        <v>10001297</v>
      </c>
      <c r="B522" s="397">
        <v>8435565130</v>
      </c>
      <c r="C522" s="397" t="s">
        <v>1397</v>
      </c>
      <c r="D522" s="398">
        <v>31505</v>
      </c>
      <c r="E522" s="397" t="s">
        <v>762</v>
      </c>
      <c r="F522" s="397" t="s">
        <v>763</v>
      </c>
      <c r="G522" s="397" t="s">
        <v>902</v>
      </c>
      <c r="H522" s="423">
        <v>2139</v>
      </c>
      <c r="I522" s="397" t="s">
        <v>329</v>
      </c>
      <c r="J522" s="400">
        <f t="shared" ca="1" si="8"/>
        <v>37</v>
      </c>
    </row>
    <row r="523" spans="1:10" ht="15" x14ac:dyDescent="0.25">
      <c r="A523" s="397">
        <v>10001300</v>
      </c>
      <c r="B523" s="397">
        <v>8348612807</v>
      </c>
      <c r="C523" s="397" t="s">
        <v>1398</v>
      </c>
      <c r="D523" s="398">
        <v>22810</v>
      </c>
      <c r="E523" s="397" t="s">
        <v>1030</v>
      </c>
      <c r="F523" s="397" t="s">
        <v>1031</v>
      </c>
      <c r="G523" s="397" t="s">
        <v>1049</v>
      </c>
      <c r="H523" s="423">
        <v>3910</v>
      </c>
      <c r="I523" s="397" t="s">
        <v>520</v>
      </c>
      <c r="J523" s="400">
        <f t="shared" ca="1" si="8"/>
        <v>61</v>
      </c>
    </row>
    <row r="524" spans="1:10" ht="15" x14ac:dyDescent="0.25">
      <c r="A524" s="397">
        <v>10001303</v>
      </c>
      <c r="B524" s="397">
        <v>8467980052</v>
      </c>
      <c r="C524" s="397" t="s">
        <v>149</v>
      </c>
      <c r="D524" s="398">
        <v>34747</v>
      </c>
      <c r="E524" s="397" t="s">
        <v>774</v>
      </c>
      <c r="F524" s="397" t="s">
        <v>775</v>
      </c>
      <c r="G524" s="397" t="s">
        <v>985</v>
      </c>
      <c r="H524" s="423">
        <v>2169</v>
      </c>
      <c r="I524" s="397" t="s">
        <v>346</v>
      </c>
      <c r="J524" s="400">
        <f t="shared" ca="1" si="8"/>
        <v>28</v>
      </c>
    </row>
    <row r="525" spans="1:10" ht="15" x14ac:dyDescent="0.25">
      <c r="A525" s="397">
        <v>10001310</v>
      </c>
      <c r="B525" s="397">
        <v>8446200813</v>
      </c>
      <c r="C525" s="397" t="s">
        <v>1399</v>
      </c>
      <c r="D525" s="398">
        <v>32569</v>
      </c>
      <c r="E525" s="397" t="s">
        <v>1025</v>
      </c>
      <c r="F525" s="397" t="s">
        <v>1026</v>
      </c>
      <c r="G525" s="397" t="s">
        <v>1049</v>
      </c>
      <c r="H525" s="423">
        <v>3910</v>
      </c>
      <c r="I525" s="397" t="s">
        <v>520</v>
      </c>
      <c r="J525" s="400">
        <f t="shared" ca="1" si="8"/>
        <v>34</v>
      </c>
    </row>
    <row r="526" spans="1:10" ht="15" x14ac:dyDescent="0.25">
      <c r="A526" s="397">
        <v>10001311</v>
      </c>
      <c r="B526" s="397">
        <v>8469970453</v>
      </c>
      <c r="C526" s="397" t="s">
        <v>1400</v>
      </c>
      <c r="D526" s="398">
        <v>34946</v>
      </c>
      <c r="E526" s="397" t="s">
        <v>795</v>
      </c>
      <c r="F526" s="397" t="s">
        <v>796</v>
      </c>
      <c r="G526" s="397" t="s">
        <v>831</v>
      </c>
      <c r="H526" s="423">
        <v>2117</v>
      </c>
      <c r="I526" s="397" t="s">
        <v>317</v>
      </c>
      <c r="J526" s="400">
        <f t="shared" ca="1" si="8"/>
        <v>28</v>
      </c>
    </row>
    <row r="527" spans="1:10" ht="15" x14ac:dyDescent="0.25">
      <c r="A527" s="397">
        <v>10001316</v>
      </c>
      <c r="B527" s="397">
        <v>8388803441</v>
      </c>
      <c r="C527" s="397" t="s">
        <v>1401</v>
      </c>
      <c r="D527" s="398">
        <v>26829</v>
      </c>
      <c r="E527" s="397" t="s">
        <v>1103</v>
      </c>
      <c r="F527" s="397" t="s">
        <v>1104</v>
      </c>
      <c r="G527" s="397" t="s">
        <v>1049</v>
      </c>
      <c r="H527" s="423">
        <v>4132</v>
      </c>
      <c r="I527" s="397" t="s">
        <v>532</v>
      </c>
      <c r="J527" s="400">
        <f t="shared" ca="1" si="8"/>
        <v>50</v>
      </c>
    </row>
    <row r="528" spans="1:10" ht="15" x14ac:dyDescent="0.25">
      <c r="A528" s="397">
        <v>10001317</v>
      </c>
      <c r="B528" s="397">
        <v>8440150547</v>
      </c>
      <c r="C528" s="397" t="s">
        <v>1402</v>
      </c>
      <c r="D528" s="398">
        <v>31964</v>
      </c>
      <c r="E528" s="397" t="s">
        <v>1184</v>
      </c>
      <c r="F528" s="397" t="s">
        <v>1185</v>
      </c>
      <c r="G528" s="397" t="s">
        <v>1049</v>
      </c>
      <c r="H528" s="423">
        <v>3910</v>
      </c>
      <c r="I528" s="397" t="s">
        <v>520</v>
      </c>
      <c r="J528" s="400">
        <f t="shared" ca="1" si="8"/>
        <v>36</v>
      </c>
    </row>
    <row r="529" spans="1:10" ht="15" x14ac:dyDescent="0.25">
      <c r="A529" s="397">
        <v>10001323</v>
      </c>
      <c r="B529" s="397">
        <v>8390694719</v>
      </c>
      <c r="C529" s="397" t="s">
        <v>1403</v>
      </c>
      <c r="D529" s="398">
        <v>27018</v>
      </c>
      <c r="E529" s="397" t="s">
        <v>806</v>
      </c>
      <c r="F529" s="397" t="s">
        <v>807</v>
      </c>
      <c r="G529" s="397" t="s">
        <v>1032</v>
      </c>
      <c r="H529" s="423">
        <v>2410</v>
      </c>
      <c r="I529" s="397" t="s">
        <v>366</v>
      </c>
      <c r="J529" s="400">
        <f t="shared" ca="1" si="8"/>
        <v>50</v>
      </c>
    </row>
    <row r="530" spans="1:10" ht="15" x14ac:dyDescent="0.25">
      <c r="A530" s="397">
        <v>10001324</v>
      </c>
      <c r="B530" s="397">
        <v>8413364175</v>
      </c>
      <c r="C530" s="397" t="s">
        <v>1404</v>
      </c>
      <c r="D530" s="398">
        <v>29285</v>
      </c>
      <c r="E530" s="397" t="s">
        <v>766</v>
      </c>
      <c r="F530" s="397" t="s">
        <v>767</v>
      </c>
      <c r="G530" s="397" t="s">
        <v>768</v>
      </c>
      <c r="H530" s="423">
        <v>2410</v>
      </c>
      <c r="I530" s="397" t="s">
        <v>366</v>
      </c>
      <c r="J530" s="400">
        <f t="shared" ca="1" si="8"/>
        <v>43</v>
      </c>
    </row>
    <row r="531" spans="1:10" ht="15" x14ac:dyDescent="0.25">
      <c r="A531" s="397">
        <v>10001327</v>
      </c>
      <c r="B531" s="397">
        <v>8399790605</v>
      </c>
      <c r="C531" s="397" t="s">
        <v>1405</v>
      </c>
      <c r="D531" s="398">
        <v>27928</v>
      </c>
      <c r="E531" s="397" t="s">
        <v>784</v>
      </c>
      <c r="F531" s="397" t="s">
        <v>785</v>
      </c>
      <c r="G531" s="397" t="s">
        <v>768</v>
      </c>
      <c r="H531" s="423">
        <v>2410</v>
      </c>
      <c r="I531" s="397" t="s">
        <v>366</v>
      </c>
      <c r="J531" s="400">
        <f t="shared" ca="1" si="8"/>
        <v>47</v>
      </c>
    </row>
    <row r="532" spans="1:10" ht="15" x14ac:dyDescent="0.25">
      <c r="A532" s="397">
        <v>10001329</v>
      </c>
      <c r="B532" s="397">
        <v>8452442041</v>
      </c>
      <c r="C532" s="397" t="s">
        <v>1406</v>
      </c>
      <c r="D532" s="398">
        <v>33193</v>
      </c>
      <c r="E532" s="397" t="s">
        <v>1107</v>
      </c>
      <c r="F532" s="397" t="s">
        <v>1108</v>
      </c>
      <c r="G532" s="397" t="s">
        <v>1014</v>
      </c>
      <c r="H532" s="423">
        <v>2910</v>
      </c>
      <c r="I532" s="397" t="s">
        <v>422</v>
      </c>
      <c r="J532" s="400">
        <f t="shared" ca="1" si="8"/>
        <v>33</v>
      </c>
    </row>
    <row r="533" spans="1:10" ht="15" x14ac:dyDescent="0.25">
      <c r="A533" s="397">
        <v>10001337</v>
      </c>
      <c r="B533" s="397">
        <v>8390823888</v>
      </c>
      <c r="C533" s="397" t="s">
        <v>1407</v>
      </c>
      <c r="D533" s="398">
        <v>27031</v>
      </c>
      <c r="E533" s="397" t="s">
        <v>774</v>
      </c>
      <c r="F533" s="397" t="s">
        <v>775</v>
      </c>
      <c r="G533" s="397" t="s">
        <v>1084</v>
      </c>
      <c r="H533" s="423">
        <v>3139</v>
      </c>
      <c r="I533" s="397" t="s">
        <v>438</v>
      </c>
      <c r="J533" s="400">
        <f t="shared" ca="1" si="8"/>
        <v>49</v>
      </c>
    </row>
    <row r="534" spans="1:10" ht="15" x14ac:dyDescent="0.25">
      <c r="A534" s="397">
        <v>10001338</v>
      </c>
      <c r="B534" s="397">
        <v>8439632215</v>
      </c>
      <c r="C534" s="397" t="s">
        <v>1408</v>
      </c>
      <c r="D534" s="398">
        <v>31912</v>
      </c>
      <c r="E534" s="397" t="s">
        <v>840</v>
      </c>
      <c r="F534" s="397" t="s">
        <v>841</v>
      </c>
      <c r="G534" s="397" t="s">
        <v>985</v>
      </c>
      <c r="H534" s="423">
        <v>2121</v>
      </c>
      <c r="I534" s="397" t="s">
        <v>319</v>
      </c>
      <c r="J534" s="400">
        <f t="shared" ca="1" si="8"/>
        <v>36</v>
      </c>
    </row>
    <row r="535" spans="1:10" ht="15" x14ac:dyDescent="0.25">
      <c r="A535" s="397">
        <v>10001342</v>
      </c>
      <c r="B535" s="397">
        <v>8432463973</v>
      </c>
      <c r="C535" s="397" t="s">
        <v>1409</v>
      </c>
      <c r="D535" s="398">
        <v>31195</v>
      </c>
      <c r="E535" s="397" t="s">
        <v>849</v>
      </c>
      <c r="F535" s="397" t="s">
        <v>850</v>
      </c>
      <c r="G535" s="397" t="s">
        <v>902</v>
      </c>
      <c r="H535" s="423">
        <v>2169</v>
      </c>
      <c r="I535" s="397" t="s">
        <v>346</v>
      </c>
      <c r="J535" s="400">
        <f t="shared" ca="1" si="8"/>
        <v>38</v>
      </c>
    </row>
    <row r="536" spans="1:10" ht="15" x14ac:dyDescent="0.25">
      <c r="A536" s="397">
        <v>10001343</v>
      </c>
      <c r="B536" s="397">
        <v>8442834311</v>
      </c>
      <c r="C536" s="397" t="s">
        <v>1410</v>
      </c>
      <c r="D536" s="398">
        <v>32232</v>
      </c>
      <c r="E536" s="397" t="s">
        <v>774</v>
      </c>
      <c r="F536" s="397" t="s">
        <v>775</v>
      </c>
      <c r="G536" s="397" t="s">
        <v>831</v>
      </c>
      <c r="H536" s="423">
        <v>2139</v>
      </c>
      <c r="I536" s="397" t="s">
        <v>329</v>
      </c>
      <c r="J536" s="400">
        <f t="shared" ca="1" si="8"/>
        <v>35</v>
      </c>
    </row>
    <row r="537" spans="1:10" ht="15" x14ac:dyDescent="0.25">
      <c r="A537" s="397">
        <v>10001351</v>
      </c>
      <c r="B537" s="397">
        <v>8476922108</v>
      </c>
      <c r="C537" s="397" t="s">
        <v>1411</v>
      </c>
      <c r="D537" s="398">
        <v>35641</v>
      </c>
      <c r="E537" s="397" t="s">
        <v>868</v>
      </c>
      <c r="F537" s="397" t="s">
        <v>869</v>
      </c>
      <c r="G537" s="397" t="s">
        <v>1049</v>
      </c>
      <c r="H537" s="423">
        <v>3910</v>
      </c>
      <c r="I537" s="397" t="s">
        <v>520</v>
      </c>
      <c r="J537" s="400">
        <f t="shared" ca="1" si="8"/>
        <v>26</v>
      </c>
    </row>
    <row r="538" spans="1:10" ht="15" x14ac:dyDescent="0.25">
      <c r="A538" s="397">
        <v>10001352</v>
      </c>
      <c r="B538" s="397">
        <v>8404660271</v>
      </c>
      <c r="C538" s="397" t="s">
        <v>1412</v>
      </c>
      <c r="D538" s="398">
        <v>28415</v>
      </c>
      <c r="E538" s="397" t="s">
        <v>784</v>
      </c>
      <c r="F538" s="397" t="s">
        <v>785</v>
      </c>
      <c r="G538" s="397" t="s">
        <v>891</v>
      </c>
      <c r="H538" s="423">
        <v>2410</v>
      </c>
      <c r="I538" s="397" t="s">
        <v>366</v>
      </c>
      <c r="J538" s="400">
        <f t="shared" ca="1" si="8"/>
        <v>46</v>
      </c>
    </row>
    <row r="539" spans="1:10" ht="15" x14ac:dyDescent="0.25">
      <c r="A539" s="397">
        <v>10001356</v>
      </c>
      <c r="B539" s="397">
        <v>8465950113</v>
      </c>
      <c r="C539" s="397" t="s">
        <v>1413</v>
      </c>
      <c r="D539" s="398">
        <v>34544</v>
      </c>
      <c r="E539" s="397" t="s">
        <v>762</v>
      </c>
      <c r="F539" s="397" t="s">
        <v>763</v>
      </c>
      <c r="G539" s="397" t="s">
        <v>985</v>
      </c>
      <c r="H539" s="423">
        <v>2117</v>
      </c>
      <c r="I539" s="397" t="s">
        <v>317</v>
      </c>
      <c r="J539" s="400">
        <f t="shared" ca="1" si="8"/>
        <v>29</v>
      </c>
    </row>
    <row r="540" spans="1:10" ht="15" x14ac:dyDescent="0.25">
      <c r="A540" s="397">
        <v>10001357</v>
      </c>
      <c r="B540" s="397">
        <v>8460541932</v>
      </c>
      <c r="C540" s="397" t="s">
        <v>160</v>
      </c>
      <c r="D540" s="398">
        <v>34003</v>
      </c>
      <c r="E540" s="397" t="s">
        <v>849</v>
      </c>
      <c r="F540" s="397" t="s">
        <v>850</v>
      </c>
      <c r="G540" s="397" t="s">
        <v>985</v>
      </c>
      <c r="H540" s="423">
        <v>2139</v>
      </c>
      <c r="I540" s="397" t="s">
        <v>329</v>
      </c>
      <c r="J540" s="400">
        <f t="shared" ca="1" si="8"/>
        <v>30</v>
      </c>
    </row>
    <row r="541" spans="1:10" ht="15" x14ac:dyDescent="0.25">
      <c r="A541" s="397">
        <v>10001375</v>
      </c>
      <c r="B541" s="397">
        <v>8459382907</v>
      </c>
      <c r="C541" s="397" t="s">
        <v>1414</v>
      </c>
      <c r="D541" s="398">
        <v>33887</v>
      </c>
      <c r="E541" s="397" t="s">
        <v>849</v>
      </c>
      <c r="F541" s="397" t="s">
        <v>850</v>
      </c>
      <c r="G541" s="397" t="s">
        <v>831</v>
      </c>
      <c r="H541" s="423">
        <v>2139</v>
      </c>
      <c r="I541" s="397" t="s">
        <v>329</v>
      </c>
      <c r="J541" s="400">
        <f t="shared" ca="1" si="8"/>
        <v>31</v>
      </c>
    </row>
    <row r="542" spans="1:10" ht="15" x14ac:dyDescent="0.25">
      <c r="A542" s="397">
        <v>10001384</v>
      </c>
      <c r="B542" s="397">
        <v>8458270471</v>
      </c>
      <c r="C542" s="397" t="s">
        <v>1415</v>
      </c>
      <c r="D542" s="398">
        <v>33776</v>
      </c>
      <c r="E542" s="397" t="s">
        <v>810</v>
      </c>
      <c r="F542" s="397" t="s">
        <v>811</v>
      </c>
      <c r="G542" s="397" t="s">
        <v>985</v>
      </c>
      <c r="H542" s="423">
        <v>2139</v>
      </c>
      <c r="I542" s="397" t="s">
        <v>329</v>
      </c>
      <c r="J542" s="400">
        <f t="shared" ca="1" si="8"/>
        <v>31</v>
      </c>
    </row>
    <row r="543" spans="1:10" ht="15" x14ac:dyDescent="0.25">
      <c r="A543" s="397">
        <v>10001385</v>
      </c>
      <c r="B543" s="397">
        <v>8404433356</v>
      </c>
      <c r="C543" s="397" t="s">
        <v>1416</v>
      </c>
      <c r="D543" s="398">
        <v>28392</v>
      </c>
      <c r="E543" s="397" t="s">
        <v>1175</v>
      </c>
      <c r="F543" s="397" t="s">
        <v>1176</v>
      </c>
      <c r="G543" s="397" t="s">
        <v>1049</v>
      </c>
      <c r="H543" s="423">
        <v>2910</v>
      </c>
      <c r="I543" s="397" t="s">
        <v>422</v>
      </c>
      <c r="J543" s="400">
        <f t="shared" ca="1" si="8"/>
        <v>46</v>
      </c>
    </row>
    <row r="544" spans="1:10" ht="15" x14ac:dyDescent="0.25">
      <c r="A544" s="397">
        <v>10001390</v>
      </c>
      <c r="B544" s="397">
        <v>8470592335</v>
      </c>
      <c r="C544" s="397" t="s">
        <v>1417</v>
      </c>
      <c r="D544" s="398">
        <v>35008</v>
      </c>
      <c r="E544" s="397" t="s">
        <v>1107</v>
      </c>
      <c r="F544" s="397" t="s">
        <v>1108</v>
      </c>
      <c r="G544" s="397" t="s">
        <v>1049</v>
      </c>
      <c r="H544" s="423">
        <v>3910</v>
      </c>
      <c r="I544" s="397" t="s">
        <v>520</v>
      </c>
      <c r="J544" s="400">
        <f t="shared" ca="1" si="8"/>
        <v>28</v>
      </c>
    </row>
    <row r="545" spans="1:10" ht="15" x14ac:dyDescent="0.25">
      <c r="A545" s="397">
        <v>10001394</v>
      </c>
      <c r="B545" s="397">
        <v>8388380893</v>
      </c>
      <c r="C545" s="397" t="s">
        <v>1418</v>
      </c>
      <c r="D545" s="398">
        <v>26787</v>
      </c>
      <c r="E545" s="397" t="s">
        <v>800</v>
      </c>
      <c r="F545" s="397" t="s">
        <v>801</v>
      </c>
      <c r="G545" s="397" t="s">
        <v>891</v>
      </c>
      <c r="H545" s="423">
        <v>2410</v>
      </c>
      <c r="I545" s="397" t="s">
        <v>366</v>
      </c>
      <c r="J545" s="400">
        <f t="shared" ca="1" si="8"/>
        <v>50</v>
      </c>
    </row>
    <row r="546" spans="1:10" ht="15" x14ac:dyDescent="0.25">
      <c r="A546" s="397">
        <v>10001396</v>
      </c>
      <c r="B546" s="397">
        <v>8396640327</v>
      </c>
      <c r="C546" s="397" t="s">
        <v>1419</v>
      </c>
      <c r="D546" s="398">
        <v>27613</v>
      </c>
      <c r="E546" s="397" t="s">
        <v>800</v>
      </c>
      <c r="F546" s="397" t="s">
        <v>801</v>
      </c>
      <c r="G546" s="397" t="s">
        <v>768</v>
      </c>
      <c r="H546" s="423">
        <v>2410</v>
      </c>
      <c r="I546" s="397" t="s">
        <v>366</v>
      </c>
      <c r="J546" s="400">
        <f t="shared" ca="1" si="8"/>
        <v>48</v>
      </c>
    </row>
    <row r="547" spans="1:10" ht="15" x14ac:dyDescent="0.25">
      <c r="A547" s="397">
        <v>10001399</v>
      </c>
      <c r="B547" s="397">
        <v>8460153053</v>
      </c>
      <c r="C547" s="397" t="s">
        <v>1420</v>
      </c>
      <c r="D547" s="398">
        <v>33964</v>
      </c>
      <c r="E547" s="397" t="s">
        <v>1421</v>
      </c>
      <c r="F547" s="397" t="s">
        <v>1422</v>
      </c>
      <c r="G547" s="397" t="s">
        <v>1014</v>
      </c>
      <c r="H547" s="423">
        <v>2910</v>
      </c>
      <c r="I547" s="397" t="s">
        <v>422</v>
      </c>
      <c r="J547" s="400">
        <f t="shared" ca="1" si="8"/>
        <v>31</v>
      </c>
    </row>
    <row r="548" spans="1:10" ht="15" x14ac:dyDescent="0.25">
      <c r="A548" s="397">
        <v>10001406</v>
      </c>
      <c r="B548" s="397">
        <v>8422620510</v>
      </c>
      <c r="C548" s="397" t="s">
        <v>1423</v>
      </c>
      <c r="D548" s="398">
        <v>30211</v>
      </c>
      <c r="E548" s="397" t="s">
        <v>918</v>
      </c>
      <c r="F548" s="397" t="s">
        <v>919</v>
      </c>
      <c r="G548" s="397" t="s">
        <v>985</v>
      </c>
      <c r="H548" s="423">
        <v>2169</v>
      </c>
      <c r="I548" s="397" t="s">
        <v>346</v>
      </c>
      <c r="J548" s="400">
        <f t="shared" ca="1" si="8"/>
        <v>41</v>
      </c>
    </row>
    <row r="549" spans="1:10" ht="15" x14ac:dyDescent="0.25">
      <c r="A549" s="397">
        <v>10001408</v>
      </c>
      <c r="B549" s="397">
        <v>8445023675</v>
      </c>
      <c r="C549" s="397" t="s">
        <v>1424</v>
      </c>
      <c r="D549" s="398">
        <v>32451</v>
      </c>
      <c r="E549" s="397" t="s">
        <v>762</v>
      </c>
      <c r="F549" s="397" t="s">
        <v>763</v>
      </c>
      <c r="G549" s="397" t="s">
        <v>768</v>
      </c>
      <c r="H549" s="423">
        <v>2410</v>
      </c>
      <c r="I549" s="397" t="s">
        <v>366</v>
      </c>
      <c r="J549" s="400">
        <f t="shared" ca="1" si="8"/>
        <v>35</v>
      </c>
    </row>
    <row r="550" spans="1:10" ht="15" x14ac:dyDescent="0.25">
      <c r="A550" s="397">
        <v>10001410</v>
      </c>
      <c r="B550" s="397">
        <v>8476162324</v>
      </c>
      <c r="C550" s="397" t="s">
        <v>1425</v>
      </c>
      <c r="D550" s="398">
        <v>35565</v>
      </c>
      <c r="E550" s="397" t="s">
        <v>795</v>
      </c>
      <c r="F550" s="397" t="s">
        <v>796</v>
      </c>
      <c r="G550" s="397" t="s">
        <v>985</v>
      </c>
      <c r="H550" s="423">
        <v>2117</v>
      </c>
      <c r="I550" s="397" t="s">
        <v>317</v>
      </c>
      <c r="J550" s="400">
        <f t="shared" ca="1" si="8"/>
        <v>26</v>
      </c>
    </row>
    <row r="551" spans="1:10" ht="15" x14ac:dyDescent="0.25">
      <c r="A551" s="397">
        <v>10001411</v>
      </c>
      <c r="B551" s="397">
        <v>8408352725</v>
      </c>
      <c r="C551" s="397" t="s">
        <v>1426</v>
      </c>
      <c r="D551" s="398">
        <v>28784</v>
      </c>
      <c r="E551" s="397" t="s">
        <v>1054</v>
      </c>
      <c r="F551" s="397" t="s">
        <v>1055</v>
      </c>
      <c r="G551" s="397" t="s">
        <v>1014</v>
      </c>
      <c r="H551" s="423">
        <v>2910</v>
      </c>
      <c r="I551" s="397" t="s">
        <v>422</v>
      </c>
      <c r="J551" s="400">
        <f t="shared" ca="1" si="8"/>
        <v>45</v>
      </c>
    </row>
    <row r="552" spans="1:10" ht="15" x14ac:dyDescent="0.25">
      <c r="A552" s="397">
        <v>10001417</v>
      </c>
      <c r="B552" s="397">
        <v>8434153491</v>
      </c>
      <c r="C552" s="397" t="s">
        <v>1427</v>
      </c>
      <c r="D552" s="398">
        <v>31364</v>
      </c>
      <c r="E552" s="397" t="s">
        <v>774</v>
      </c>
      <c r="F552" s="397" t="s">
        <v>775</v>
      </c>
      <c r="G552" s="397" t="s">
        <v>902</v>
      </c>
      <c r="H552" s="423">
        <v>2169</v>
      </c>
      <c r="I552" s="397" t="s">
        <v>346</v>
      </c>
      <c r="J552" s="400">
        <f t="shared" ca="1" si="8"/>
        <v>38</v>
      </c>
    </row>
    <row r="553" spans="1:10" ht="15" x14ac:dyDescent="0.25">
      <c r="A553" s="397">
        <v>10001419</v>
      </c>
      <c r="B553" s="397">
        <v>8359032394</v>
      </c>
      <c r="C553" s="397" t="s">
        <v>1428</v>
      </c>
      <c r="D553" s="398">
        <v>23852</v>
      </c>
      <c r="E553" s="397" t="s">
        <v>771</v>
      </c>
      <c r="F553" s="397" t="s">
        <v>772</v>
      </c>
      <c r="G553" s="397" t="s">
        <v>891</v>
      </c>
      <c r="H553" s="423">
        <v>2410</v>
      </c>
      <c r="I553" s="397" t="s">
        <v>366</v>
      </c>
      <c r="J553" s="400">
        <f t="shared" ca="1" si="8"/>
        <v>58</v>
      </c>
    </row>
    <row r="554" spans="1:10" ht="15" x14ac:dyDescent="0.25">
      <c r="A554" s="397">
        <v>10001424</v>
      </c>
      <c r="B554" s="397">
        <v>8482470434</v>
      </c>
      <c r="C554" s="397" t="s">
        <v>1429</v>
      </c>
      <c r="D554" s="398">
        <v>36196</v>
      </c>
      <c r="E554" s="397" t="s">
        <v>868</v>
      </c>
      <c r="F554" s="397" t="s">
        <v>869</v>
      </c>
      <c r="G554" s="397" t="s">
        <v>1049</v>
      </c>
      <c r="H554" s="423">
        <v>3910</v>
      </c>
      <c r="I554" s="397" t="s">
        <v>520</v>
      </c>
      <c r="J554" s="400">
        <f t="shared" ca="1" si="8"/>
        <v>24</v>
      </c>
    </row>
    <row r="555" spans="1:10" ht="15" x14ac:dyDescent="0.25">
      <c r="A555" s="397">
        <v>10001425</v>
      </c>
      <c r="B555" s="397">
        <v>8460750965</v>
      </c>
      <c r="C555" s="397" t="s">
        <v>1430</v>
      </c>
      <c r="D555" s="398">
        <v>34024</v>
      </c>
      <c r="E555" s="397" t="s">
        <v>803</v>
      </c>
      <c r="F555" s="397" t="s">
        <v>804</v>
      </c>
      <c r="G555" s="397" t="s">
        <v>985</v>
      </c>
      <c r="H555" s="423">
        <v>2139</v>
      </c>
      <c r="I555" s="397" t="s">
        <v>329</v>
      </c>
      <c r="J555" s="400">
        <f t="shared" ca="1" si="8"/>
        <v>30</v>
      </c>
    </row>
    <row r="556" spans="1:10" ht="15" x14ac:dyDescent="0.25">
      <c r="A556" s="397">
        <v>10001431</v>
      </c>
      <c r="B556" s="397">
        <v>8444752533</v>
      </c>
      <c r="C556" s="397" t="s">
        <v>1431</v>
      </c>
      <c r="D556" s="398">
        <v>32424</v>
      </c>
      <c r="E556" s="397" t="s">
        <v>774</v>
      </c>
      <c r="F556" s="397" t="s">
        <v>775</v>
      </c>
      <c r="G556" s="397" t="s">
        <v>902</v>
      </c>
      <c r="H556" s="423">
        <v>2169</v>
      </c>
      <c r="I556" s="397" t="s">
        <v>346</v>
      </c>
      <c r="J556" s="400">
        <f t="shared" ca="1" si="8"/>
        <v>35</v>
      </c>
    </row>
    <row r="557" spans="1:10" ht="15" x14ac:dyDescent="0.25">
      <c r="A557" s="397">
        <v>10001432</v>
      </c>
      <c r="B557" s="397">
        <v>8408962612</v>
      </c>
      <c r="C557" s="397" t="s">
        <v>1432</v>
      </c>
      <c r="D557" s="398">
        <v>28845</v>
      </c>
      <c r="E557" s="397" t="s">
        <v>1103</v>
      </c>
      <c r="F557" s="397" t="s">
        <v>1104</v>
      </c>
      <c r="G557" s="397" t="s">
        <v>1049</v>
      </c>
      <c r="H557" s="423">
        <v>3623</v>
      </c>
      <c r="I557" s="397" t="s">
        <v>494</v>
      </c>
      <c r="J557" s="400">
        <f t="shared" ca="1" si="8"/>
        <v>45</v>
      </c>
    </row>
    <row r="558" spans="1:10" ht="15" x14ac:dyDescent="0.25">
      <c r="A558" s="397">
        <v>10001433</v>
      </c>
      <c r="B558" s="397">
        <v>8454831045</v>
      </c>
      <c r="C558" s="397" t="s">
        <v>1433</v>
      </c>
      <c r="D558" s="398">
        <v>33432</v>
      </c>
      <c r="E558" s="397" t="s">
        <v>1103</v>
      </c>
      <c r="F558" s="397" t="s">
        <v>1104</v>
      </c>
      <c r="G558" s="397" t="s">
        <v>1049</v>
      </c>
      <c r="H558" s="423">
        <v>4112</v>
      </c>
      <c r="I558" s="397" t="s">
        <v>523</v>
      </c>
      <c r="J558" s="400">
        <f t="shared" ca="1" si="8"/>
        <v>32</v>
      </c>
    </row>
    <row r="559" spans="1:10" ht="15" x14ac:dyDescent="0.25">
      <c r="A559" s="397">
        <v>10001434</v>
      </c>
      <c r="B559" s="397">
        <v>8376974440</v>
      </c>
      <c r="C559" s="397" t="s">
        <v>1434</v>
      </c>
      <c r="D559" s="398">
        <v>25646</v>
      </c>
      <c r="E559" s="397" t="s">
        <v>1103</v>
      </c>
      <c r="F559" s="397" t="s">
        <v>1104</v>
      </c>
      <c r="G559" s="397" t="s">
        <v>1049</v>
      </c>
      <c r="H559" s="423">
        <v>3623</v>
      </c>
      <c r="I559" s="397" t="s">
        <v>494</v>
      </c>
      <c r="J559" s="400">
        <f t="shared" ca="1" si="8"/>
        <v>53</v>
      </c>
    </row>
    <row r="560" spans="1:10" ht="15" x14ac:dyDescent="0.25">
      <c r="A560" s="397">
        <v>10001443</v>
      </c>
      <c r="B560" s="397">
        <v>8472241629</v>
      </c>
      <c r="C560" s="397" t="s">
        <v>1435</v>
      </c>
      <c r="D560" s="398">
        <v>35173</v>
      </c>
      <c r="E560" s="397" t="s">
        <v>762</v>
      </c>
      <c r="F560" s="397" t="s">
        <v>763</v>
      </c>
      <c r="G560" s="397" t="s">
        <v>831</v>
      </c>
      <c r="H560" s="423">
        <v>2118</v>
      </c>
      <c r="I560" s="397" t="s">
        <v>318</v>
      </c>
      <c r="J560" s="400">
        <f t="shared" ca="1" si="8"/>
        <v>27</v>
      </c>
    </row>
    <row r="561" spans="1:10" ht="15" x14ac:dyDescent="0.25">
      <c r="A561" s="397">
        <v>10001444</v>
      </c>
      <c r="B561" s="397">
        <v>8403941870</v>
      </c>
      <c r="C561" s="397" t="s">
        <v>1436</v>
      </c>
      <c r="D561" s="398">
        <v>28343</v>
      </c>
      <c r="E561" s="397" t="s">
        <v>810</v>
      </c>
      <c r="F561" s="397" t="s">
        <v>811</v>
      </c>
      <c r="G561" s="397" t="s">
        <v>1049</v>
      </c>
      <c r="H561" s="423">
        <v>3910</v>
      </c>
      <c r="I561" s="397" t="s">
        <v>520</v>
      </c>
      <c r="J561" s="400">
        <f t="shared" ca="1" si="8"/>
        <v>46</v>
      </c>
    </row>
    <row r="562" spans="1:10" ht="15" x14ac:dyDescent="0.25">
      <c r="A562" s="397">
        <v>10001445</v>
      </c>
      <c r="B562" s="397">
        <v>8485252772</v>
      </c>
      <c r="C562" s="397" t="s">
        <v>1437</v>
      </c>
      <c r="D562" s="398">
        <v>36474</v>
      </c>
      <c r="E562" s="397" t="s">
        <v>774</v>
      </c>
      <c r="F562" s="397" t="s">
        <v>775</v>
      </c>
      <c r="G562" s="397" t="s">
        <v>1084</v>
      </c>
      <c r="H562" s="423">
        <v>3139</v>
      </c>
      <c r="I562" s="397" t="s">
        <v>438</v>
      </c>
      <c r="J562" s="400">
        <f t="shared" ca="1" si="8"/>
        <v>24</v>
      </c>
    </row>
    <row r="563" spans="1:10" ht="15" x14ac:dyDescent="0.25">
      <c r="A563" s="397">
        <v>10001447</v>
      </c>
      <c r="B563" s="397">
        <v>8446302802</v>
      </c>
      <c r="C563" s="397" t="s">
        <v>245</v>
      </c>
      <c r="D563" s="398">
        <v>32579</v>
      </c>
      <c r="E563" s="397" t="s">
        <v>1054</v>
      </c>
      <c r="F563" s="397" t="s">
        <v>1055</v>
      </c>
      <c r="G563" s="397" t="s">
        <v>1049</v>
      </c>
      <c r="H563" s="423">
        <v>3910</v>
      </c>
      <c r="I563" s="397" t="s">
        <v>520</v>
      </c>
      <c r="J563" s="400">
        <f t="shared" ca="1" si="8"/>
        <v>34</v>
      </c>
    </row>
    <row r="564" spans="1:10" ht="15" x14ac:dyDescent="0.25">
      <c r="A564" s="397">
        <v>10001448</v>
      </c>
      <c r="B564" s="397">
        <v>8426341128</v>
      </c>
      <c r="C564" s="397" t="s">
        <v>1438</v>
      </c>
      <c r="D564" s="398">
        <v>30583</v>
      </c>
      <c r="E564" s="397" t="s">
        <v>1039</v>
      </c>
      <c r="F564" s="397" t="s">
        <v>1040</v>
      </c>
      <c r="G564" s="397" t="s">
        <v>1049</v>
      </c>
      <c r="H564" s="423">
        <v>4229</v>
      </c>
      <c r="I564" s="397" t="s">
        <v>545</v>
      </c>
      <c r="J564" s="400">
        <f t="shared" ca="1" si="8"/>
        <v>40</v>
      </c>
    </row>
    <row r="565" spans="1:10" ht="15" x14ac:dyDescent="0.25">
      <c r="A565" s="397">
        <v>10001449</v>
      </c>
      <c r="B565" s="397">
        <v>8408103296</v>
      </c>
      <c r="C565" s="397" t="s">
        <v>1439</v>
      </c>
      <c r="D565" s="398">
        <v>28759</v>
      </c>
      <c r="E565" s="397" t="s">
        <v>918</v>
      </c>
      <c r="F565" s="397" t="s">
        <v>919</v>
      </c>
      <c r="G565" s="397" t="s">
        <v>985</v>
      </c>
      <c r="H565" s="423">
        <v>2118</v>
      </c>
      <c r="I565" s="397" t="s">
        <v>318</v>
      </c>
      <c r="J565" s="400">
        <f t="shared" ca="1" si="8"/>
        <v>45</v>
      </c>
    </row>
    <row r="566" spans="1:10" ht="15" x14ac:dyDescent="0.25">
      <c r="A566" s="397">
        <v>10001452</v>
      </c>
      <c r="B566" s="397">
        <v>8427353219</v>
      </c>
      <c r="C566" s="397" t="s">
        <v>1440</v>
      </c>
      <c r="D566" s="398">
        <v>30684</v>
      </c>
      <c r="E566" s="397" t="s">
        <v>762</v>
      </c>
      <c r="F566" s="397" t="s">
        <v>763</v>
      </c>
      <c r="G566" s="397" t="s">
        <v>985</v>
      </c>
      <c r="H566" s="423">
        <v>2139</v>
      </c>
      <c r="I566" s="397" t="s">
        <v>329</v>
      </c>
      <c r="J566" s="400">
        <f t="shared" ca="1" si="8"/>
        <v>39</v>
      </c>
    </row>
    <row r="567" spans="1:10" ht="15" x14ac:dyDescent="0.25">
      <c r="A567" s="397">
        <v>10001453</v>
      </c>
      <c r="B567" s="397">
        <v>8457050281</v>
      </c>
      <c r="C567" s="397" t="s">
        <v>1441</v>
      </c>
      <c r="D567" s="398">
        <v>33654</v>
      </c>
      <c r="E567" s="397" t="s">
        <v>840</v>
      </c>
      <c r="F567" s="397" t="s">
        <v>841</v>
      </c>
      <c r="G567" s="397" t="s">
        <v>831</v>
      </c>
      <c r="H567" s="423">
        <v>2139</v>
      </c>
      <c r="I567" s="397" t="s">
        <v>329</v>
      </c>
      <c r="J567" s="400">
        <f t="shared" ca="1" si="8"/>
        <v>31</v>
      </c>
    </row>
    <row r="568" spans="1:10" ht="15" x14ac:dyDescent="0.25">
      <c r="A568" s="397">
        <v>10001456</v>
      </c>
      <c r="B568" s="397">
        <v>8411870324</v>
      </c>
      <c r="C568" s="397" t="s">
        <v>1442</v>
      </c>
      <c r="D568" s="398">
        <v>29136</v>
      </c>
      <c r="E568" s="397" t="s">
        <v>840</v>
      </c>
      <c r="F568" s="397" t="s">
        <v>841</v>
      </c>
      <c r="G568" s="397" t="s">
        <v>925</v>
      </c>
      <c r="H568" s="423">
        <v>2410</v>
      </c>
      <c r="I568" s="397" t="s">
        <v>366</v>
      </c>
      <c r="J568" s="400">
        <f t="shared" ca="1" si="8"/>
        <v>44</v>
      </c>
    </row>
    <row r="569" spans="1:10" ht="15" x14ac:dyDescent="0.25">
      <c r="A569" s="397">
        <v>10001460</v>
      </c>
      <c r="B569" s="397">
        <v>8405600728</v>
      </c>
      <c r="C569" s="397" t="s">
        <v>1443</v>
      </c>
      <c r="D569" s="398">
        <v>28509</v>
      </c>
      <c r="E569" s="397" t="s">
        <v>849</v>
      </c>
      <c r="F569" s="397" t="s">
        <v>850</v>
      </c>
      <c r="G569" s="397" t="s">
        <v>902</v>
      </c>
      <c r="H569" s="423">
        <v>2165</v>
      </c>
      <c r="I569" s="397" t="s">
        <v>342</v>
      </c>
      <c r="J569" s="400">
        <f t="shared" ca="1" si="8"/>
        <v>45</v>
      </c>
    </row>
    <row r="570" spans="1:10" ht="15" x14ac:dyDescent="0.25">
      <c r="A570" s="397">
        <v>10001462</v>
      </c>
      <c r="B570" s="397">
        <v>8408141996</v>
      </c>
      <c r="C570" s="397" t="s">
        <v>1444</v>
      </c>
      <c r="D570" s="398">
        <v>28763</v>
      </c>
      <c r="E570" s="397" t="s">
        <v>1107</v>
      </c>
      <c r="F570" s="397" t="s">
        <v>1108</v>
      </c>
      <c r="G570" s="397" t="s">
        <v>1014</v>
      </c>
      <c r="H570" s="423">
        <v>1419</v>
      </c>
      <c r="I570" s="397" t="s">
        <v>310</v>
      </c>
      <c r="J570" s="400">
        <f t="shared" ca="1" si="8"/>
        <v>45</v>
      </c>
    </row>
    <row r="571" spans="1:10" ht="15" x14ac:dyDescent="0.25">
      <c r="A571" s="397">
        <v>10001463</v>
      </c>
      <c r="B571" s="397">
        <v>8437320062</v>
      </c>
      <c r="C571" s="397" t="s">
        <v>1445</v>
      </c>
      <c r="D571" s="398">
        <v>31681</v>
      </c>
      <c r="E571" s="397" t="s">
        <v>1107</v>
      </c>
      <c r="F571" s="397" t="s">
        <v>1108</v>
      </c>
      <c r="G571" s="397" t="s">
        <v>1014</v>
      </c>
      <c r="H571" s="423">
        <v>2910</v>
      </c>
      <c r="I571" s="397" t="s">
        <v>422</v>
      </c>
      <c r="J571" s="400">
        <f t="shared" ca="1" si="8"/>
        <v>37</v>
      </c>
    </row>
    <row r="572" spans="1:10" ht="15" x14ac:dyDescent="0.25">
      <c r="A572" s="397">
        <v>10001464</v>
      </c>
      <c r="B572" s="397">
        <v>8355271106</v>
      </c>
      <c r="C572" s="397" t="s">
        <v>1446</v>
      </c>
      <c r="D572" s="398">
        <v>23476</v>
      </c>
      <c r="E572" s="397" t="s">
        <v>1103</v>
      </c>
      <c r="F572" s="397" t="s">
        <v>1104</v>
      </c>
      <c r="G572" s="397" t="s">
        <v>1049</v>
      </c>
      <c r="H572" s="423">
        <v>3623</v>
      </c>
      <c r="I572" s="397" t="s">
        <v>494</v>
      </c>
      <c r="J572" s="400">
        <f t="shared" ca="1" si="8"/>
        <v>59</v>
      </c>
    </row>
    <row r="573" spans="1:10" ht="15" x14ac:dyDescent="0.25">
      <c r="A573" s="397">
        <v>10001467</v>
      </c>
      <c r="B573" s="397">
        <v>8462260035</v>
      </c>
      <c r="C573" s="397" t="s">
        <v>1447</v>
      </c>
      <c r="D573" s="398">
        <v>34175</v>
      </c>
      <c r="E573" s="397" t="s">
        <v>762</v>
      </c>
      <c r="F573" s="397" t="s">
        <v>763</v>
      </c>
      <c r="G573" s="397" t="s">
        <v>1049</v>
      </c>
      <c r="H573" s="423">
        <v>3910</v>
      </c>
      <c r="I573" s="397" t="s">
        <v>520</v>
      </c>
      <c r="J573" s="400">
        <f t="shared" ca="1" si="8"/>
        <v>30</v>
      </c>
    </row>
    <row r="574" spans="1:10" ht="15" x14ac:dyDescent="0.25">
      <c r="A574" s="397">
        <v>10001469</v>
      </c>
      <c r="B574" s="397">
        <v>8377610388</v>
      </c>
      <c r="C574" s="397" t="s">
        <v>1448</v>
      </c>
      <c r="D574" s="398">
        <v>25710</v>
      </c>
      <c r="E574" s="397" t="s">
        <v>806</v>
      </c>
      <c r="F574" s="397" t="s">
        <v>807</v>
      </c>
      <c r="G574" s="397" t="s">
        <v>1032</v>
      </c>
      <c r="H574" s="423">
        <v>2410</v>
      </c>
      <c r="I574" s="397" t="s">
        <v>366</v>
      </c>
      <c r="J574" s="400">
        <f t="shared" ca="1" si="8"/>
        <v>53</v>
      </c>
    </row>
    <row r="575" spans="1:10" ht="15" x14ac:dyDescent="0.25">
      <c r="A575" s="397">
        <v>10001477</v>
      </c>
      <c r="B575" s="397">
        <v>8389152959</v>
      </c>
      <c r="C575" s="397" t="s">
        <v>1449</v>
      </c>
      <c r="D575" s="398">
        <v>26864</v>
      </c>
      <c r="E575" s="397" t="s">
        <v>833</v>
      </c>
      <c r="F575" s="397" t="s">
        <v>834</v>
      </c>
      <c r="G575" s="397" t="s">
        <v>768</v>
      </c>
      <c r="H575" s="423">
        <v>2410</v>
      </c>
      <c r="I575" s="397" t="s">
        <v>366</v>
      </c>
      <c r="J575" s="400">
        <f t="shared" ca="1" si="8"/>
        <v>50</v>
      </c>
    </row>
    <row r="576" spans="1:10" ht="15" x14ac:dyDescent="0.25">
      <c r="A576" s="397">
        <v>10001478</v>
      </c>
      <c r="B576" s="397">
        <v>8326124451</v>
      </c>
      <c r="C576" s="397" t="s">
        <v>1450</v>
      </c>
      <c r="D576" s="398">
        <v>20561</v>
      </c>
      <c r="E576" s="397" t="s">
        <v>771</v>
      </c>
      <c r="F576" s="397" t="s">
        <v>772</v>
      </c>
      <c r="G576" s="397" t="s">
        <v>764</v>
      </c>
      <c r="H576" s="423">
        <v>2410</v>
      </c>
      <c r="I576" s="397" t="s">
        <v>366</v>
      </c>
      <c r="J576" s="400">
        <f t="shared" ca="1" si="8"/>
        <v>67</v>
      </c>
    </row>
    <row r="577" spans="1:10" ht="15" x14ac:dyDescent="0.25">
      <c r="A577" s="397">
        <v>10001481</v>
      </c>
      <c r="B577" s="397">
        <v>8421612808</v>
      </c>
      <c r="C577" s="397" t="s">
        <v>1451</v>
      </c>
      <c r="D577" s="398">
        <v>30110</v>
      </c>
      <c r="E577" s="397" t="s">
        <v>810</v>
      </c>
      <c r="F577" s="397" t="s">
        <v>811</v>
      </c>
      <c r="G577" s="397" t="s">
        <v>891</v>
      </c>
      <c r="H577" s="423">
        <v>2410</v>
      </c>
      <c r="I577" s="397" t="s">
        <v>366</v>
      </c>
      <c r="J577" s="400">
        <f t="shared" ca="1" si="8"/>
        <v>41</v>
      </c>
    </row>
    <row r="578" spans="1:10" ht="15" x14ac:dyDescent="0.25">
      <c r="A578" s="397">
        <v>10001482</v>
      </c>
      <c r="B578" s="397">
        <v>8437130026</v>
      </c>
      <c r="C578" s="397" t="s">
        <v>1452</v>
      </c>
      <c r="D578" s="398">
        <v>31662</v>
      </c>
      <c r="E578" s="397" t="s">
        <v>771</v>
      </c>
      <c r="F578" s="397" t="s">
        <v>772</v>
      </c>
      <c r="G578" s="397" t="s">
        <v>1014</v>
      </c>
      <c r="H578" s="423">
        <v>2910</v>
      </c>
      <c r="I578" s="397" t="s">
        <v>422</v>
      </c>
      <c r="J578" s="400">
        <f t="shared" ca="1" si="8"/>
        <v>37</v>
      </c>
    </row>
    <row r="579" spans="1:10" ht="15" x14ac:dyDescent="0.25">
      <c r="A579" s="397">
        <v>10001486</v>
      </c>
      <c r="B579" s="397">
        <v>8450852021</v>
      </c>
      <c r="C579" s="397" t="s">
        <v>1453</v>
      </c>
      <c r="D579" s="398">
        <v>33034</v>
      </c>
      <c r="E579" s="397" t="s">
        <v>1107</v>
      </c>
      <c r="F579" s="397" t="s">
        <v>1108</v>
      </c>
      <c r="G579" s="397" t="s">
        <v>1014</v>
      </c>
      <c r="H579" s="423">
        <v>2910</v>
      </c>
      <c r="I579" s="397" t="s">
        <v>422</v>
      </c>
      <c r="J579" s="400">
        <f t="shared" ref="J579:J642" ca="1" si="9">YEAR(TODAY())-YEAR(D579)</f>
        <v>33</v>
      </c>
    </row>
    <row r="580" spans="1:10" ht="15" x14ac:dyDescent="0.25">
      <c r="A580" s="397">
        <v>10001490</v>
      </c>
      <c r="B580" s="397">
        <v>8361092331</v>
      </c>
      <c r="C580" s="397" t="s">
        <v>1454</v>
      </c>
      <c r="D580" s="398">
        <v>24058</v>
      </c>
      <c r="E580" s="397" t="s">
        <v>833</v>
      </c>
      <c r="F580" s="397" t="s">
        <v>834</v>
      </c>
      <c r="G580" s="397" t="s">
        <v>891</v>
      </c>
      <c r="H580" s="423">
        <v>2410</v>
      </c>
      <c r="I580" s="397" t="s">
        <v>366</v>
      </c>
      <c r="J580" s="400">
        <f t="shared" ca="1" si="9"/>
        <v>58</v>
      </c>
    </row>
    <row r="581" spans="1:10" ht="15" x14ac:dyDescent="0.25">
      <c r="A581" s="397">
        <v>10001491</v>
      </c>
      <c r="B581" s="397">
        <v>8380433149</v>
      </c>
      <c r="C581" s="397" t="s">
        <v>1455</v>
      </c>
      <c r="D581" s="398">
        <v>25992</v>
      </c>
      <c r="E581" s="397" t="s">
        <v>1279</v>
      </c>
      <c r="F581" s="397" t="s">
        <v>1280</v>
      </c>
      <c r="G581" s="397" t="s">
        <v>880</v>
      </c>
      <c r="H581" s="423">
        <v>1328</v>
      </c>
      <c r="I581" s="397" t="s">
        <v>295</v>
      </c>
      <c r="J581" s="400">
        <f t="shared" ca="1" si="9"/>
        <v>52</v>
      </c>
    </row>
    <row r="582" spans="1:10" ht="15" x14ac:dyDescent="0.25">
      <c r="A582" s="397">
        <v>10001505</v>
      </c>
      <c r="B582" s="397">
        <v>8417951342</v>
      </c>
      <c r="C582" s="397" t="s">
        <v>1456</v>
      </c>
      <c r="D582" s="398">
        <v>29744</v>
      </c>
      <c r="E582" s="397" t="s">
        <v>1071</v>
      </c>
      <c r="F582" s="397" t="s">
        <v>1072</v>
      </c>
      <c r="G582" s="397" t="s">
        <v>1014</v>
      </c>
      <c r="H582" s="423">
        <v>2910</v>
      </c>
      <c r="I582" s="397" t="s">
        <v>422</v>
      </c>
      <c r="J582" s="400">
        <f t="shared" ca="1" si="9"/>
        <v>42</v>
      </c>
    </row>
    <row r="583" spans="1:10" ht="15" x14ac:dyDescent="0.25">
      <c r="A583" s="397">
        <v>10001518</v>
      </c>
      <c r="B583" s="397">
        <v>8464910525</v>
      </c>
      <c r="C583" s="397" t="s">
        <v>203</v>
      </c>
      <c r="D583" s="398">
        <v>34440</v>
      </c>
      <c r="E583" s="397" t="s">
        <v>849</v>
      </c>
      <c r="F583" s="397" t="s">
        <v>850</v>
      </c>
      <c r="G583" s="397" t="s">
        <v>985</v>
      </c>
      <c r="H583" s="423">
        <v>2131</v>
      </c>
      <c r="I583" s="397" t="s">
        <v>322</v>
      </c>
      <c r="J583" s="400">
        <f t="shared" ca="1" si="9"/>
        <v>29</v>
      </c>
    </row>
    <row r="584" spans="1:10" ht="15" x14ac:dyDescent="0.25">
      <c r="A584" s="397">
        <v>10001532</v>
      </c>
      <c r="B584" s="397">
        <v>8416001936</v>
      </c>
      <c r="C584" s="397" t="s">
        <v>1457</v>
      </c>
      <c r="D584" s="398">
        <v>29549</v>
      </c>
      <c r="E584" s="397" t="s">
        <v>1103</v>
      </c>
      <c r="F584" s="397" t="s">
        <v>1104</v>
      </c>
      <c r="G584" s="397" t="s">
        <v>1049</v>
      </c>
      <c r="H584" s="423">
        <v>3623</v>
      </c>
      <c r="I584" s="397" t="s">
        <v>494</v>
      </c>
      <c r="J584" s="400">
        <f t="shared" ca="1" si="9"/>
        <v>43</v>
      </c>
    </row>
    <row r="585" spans="1:10" ht="15" x14ac:dyDescent="0.25">
      <c r="A585" s="397">
        <v>10001535</v>
      </c>
      <c r="B585" s="397">
        <v>8363194034</v>
      </c>
      <c r="C585" s="397" t="s">
        <v>1458</v>
      </c>
      <c r="D585" s="398">
        <v>24268</v>
      </c>
      <c r="E585" s="397" t="s">
        <v>1042</v>
      </c>
      <c r="F585" s="397" t="s">
        <v>1043</v>
      </c>
      <c r="G585" s="397" t="s">
        <v>1014</v>
      </c>
      <c r="H585" s="423">
        <v>3162</v>
      </c>
      <c r="I585" s="397" t="s">
        <v>451</v>
      </c>
      <c r="J585" s="400">
        <f t="shared" ca="1" si="9"/>
        <v>57</v>
      </c>
    </row>
    <row r="586" spans="1:10" ht="15" x14ac:dyDescent="0.25">
      <c r="A586" s="397">
        <v>10001538</v>
      </c>
      <c r="B586" s="397">
        <v>8348242694</v>
      </c>
      <c r="C586" s="397" t="s">
        <v>1459</v>
      </c>
      <c r="D586" s="398">
        <v>22773</v>
      </c>
      <c r="E586" s="397" t="s">
        <v>1172</v>
      </c>
      <c r="F586" s="397" t="s">
        <v>1173</v>
      </c>
      <c r="G586" s="397" t="s">
        <v>1014</v>
      </c>
      <c r="H586" s="423">
        <v>2910</v>
      </c>
      <c r="I586" s="397" t="s">
        <v>422</v>
      </c>
      <c r="J586" s="400">
        <f t="shared" ca="1" si="9"/>
        <v>61</v>
      </c>
    </row>
    <row r="587" spans="1:10" ht="15" x14ac:dyDescent="0.25">
      <c r="A587" s="397">
        <v>10001539</v>
      </c>
      <c r="B587" s="397">
        <v>8366333868</v>
      </c>
      <c r="C587" s="397" t="s">
        <v>1460</v>
      </c>
      <c r="D587" s="398">
        <v>24582</v>
      </c>
      <c r="E587" s="397" t="s">
        <v>833</v>
      </c>
      <c r="F587" s="397" t="s">
        <v>834</v>
      </c>
      <c r="G587" s="397" t="s">
        <v>891</v>
      </c>
      <c r="H587" s="423">
        <v>2410</v>
      </c>
      <c r="I587" s="397" t="s">
        <v>366</v>
      </c>
      <c r="J587" s="400">
        <f t="shared" ca="1" si="9"/>
        <v>56</v>
      </c>
    </row>
    <row r="588" spans="1:10" ht="15" x14ac:dyDescent="0.25">
      <c r="A588" s="397">
        <v>10001540</v>
      </c>
      <c r="B588" s="397">
        <v>8469202529</v>
      </c>
      <c r="C588" s="397" t="s">
        <v>1461</v>
      </c>
      <c r="D588" s="398">
        <v>34869</v>
      </c>
      <c r="E588" s="397" t="s">
        <v>1154</v>
      </c>
      <c r="F588" s="397" t="s">
        <v>1155</v>
      </c>
      <c r="G588" s="397" t="s">
        <v>1049</v>
      </c>
      <c r="H588" s="423">
        <v>3910</v>
      </c>
      <c r="I588" s="397" t="s">
        <v>520</v>
      </c>
      <c r="J588" s="400">
        <f t="shared" ca="1" si="9"/>
        <v>28</v>
      </c>
    </row>
    <row r="589" spans="1:10" ht="15" x14ac:dyDescent="0.25">
      <c r="A589" s="397">
        <v>10001544</v>
      </c>
      <c r="B589" s="397">
        <v>8364533339</v>
      </c>
      <c r="C589" s="397" t="s">
        <v>1462</v>
      </c>
      <c r="D589" s="398">
        <v>24402</v>
      </c>
      <c r="E589" s="397" t="s">
        <v>1463</v>
      </c>
      <c r="F589" s="397" t="s">
        <v>1464</v>
      </c>
      <c r="G589" s="397" t="s">
        <v>1014</v>
      </c>
      <c r="H589" s="423">
        <v>1328</v>
      </c>
      <c r="I589" s="397" t="s">
        <v>295</v>
      </c>
      <c r="J589" s="400">
        <f t="shared" ca="1" si="9"/>
        <v>57</v>
      </c>
    </row>
    <row r="590" spans="1:10" ht="15" x14ac:dyDescent="0.25">
      <c r="A590" s="397">
        <v>10001545</v>
      </c>
      <c r="B590" s="397">
        <v>8445414666</v>
      </c>
      <c r="C590" s="397" t="s">
        <v>1465</v>
      </c>
      <c r="D590" s="398">
        <v>32490</v>
      </c>
      <c r="E590" s="397" t="s">
        <v>849</v>
      </c>
      <c r="F590" s="397" t="s">
        <v>850</v>
      </c>
      <c r="G590" s="397" t="s">
        <v>985</v>
      </c>
      <c r="H590" s="423">
        <v>2167</v>
      </c>
      <c r="I590" s="397" t="s">
        <v>344</v>
      </c>
      <c r="J590" s="400">
        <f t="shared" ca="1" si="9"/>
        <v>35</v>
      </c>
    </row>
    <row r="591" spans="1:10" ht="15" x14ac:dyDescent="0.25">
      <c r="A591" s="397">
        <v>10001549</v>
      </c>
      <c r="B591" s="397">
        <v>8406762934</v>
      </c>
      <c r="C591" s="397" t="s">
        <v>1466</v>
      </c>
      <c r="D591" s="398">
        <v>28625</v>
      </c>
      <c r="E591" s="397" t="s">
        <v>810</v>
      </c>
      <c r="F591" s="397" t="s">
        <v>811</v>
      </c>
      <c r="G591" s="397" t="s">
        <v>1049</v>
      </c>
      <c r="H591" s="423">
        <v>3910</v>
      </c>
      <c r="I591" s="397" t="s">
        <v>520</v>
      </c>
      <c r="J591" s="400">
        <f t="shared" ca="1" si="9"/>
        <v>45</v>
      </c>
    </row>
    <row r="592" spans="1:10" ht="15" x14ac:dyDescent="0.25">
      <c r="A592" s="397">
        <v>10001557</v>
      </c>
      <c r="B592" s="397">
        <v>8471310406</v>
      </c>
      <c r="C592" s="397" t="s">
        <v>1467</v>
      </c>
      <c r="D592" s="398">
        <v>35080</v>
      </c>
      <c r="E592" s="397" t="s">
        <v>846</v>
      </c>
      <c r="F592" s="397" t="s">
        <v>847</v>
      </c>
      <c r="G592" s="397" t="s">
        <v>925</v>
      </c>
      <c r="H592" s="423">
        <v>2410</v>
      </c>
      <c r="I592" s="397" t="s">
        <v>366</v>
      </c>
      <c r="J592" s="400">
        <f t="shared" ca="1" si="9"/>
        <v>27</v>
      </c>
    </row>
    <row r="593" spans="1:10" ht="15" x14ac:dyDescent="0.25">
      <c r="A593" s="397">
        <v>10001560</v>
      </c>
      <c r="B593" s="397">
        <v>8403794029</v>
      </c>
      <c r="C593" s="397" t="s">
        <v>1468</v>
      </c>
      <c r="D593" s="398">
        <v>28328</v>
      </c>
      <c r="E593" s="397" t="s">
        <v>1154</v>
      </c>
      <c r="F593" s="397" t="s">
        <v>1155</v>
      </c>
      <c r="G593" s="397" t="s">
        <v>1049</v>
      </c>
      <c r="H593" s="423">
        <v>3910</v>
      </c>
      <c r="I593" s="397" t="s">
        <v>520</v>
      </c>
      <c r="J593" s="400">
        <f t="shared" ca="1" si="9"/>
        <v>46</v>
      </c>
    </row>
    <row r="594" spans="1:10" ht="15" x14ac:dyDescent="0.25">
      <c r="A594" s="397">
        <v>10001564</v>
      </c>
      <c r="B594" s="397">
        <v>8372591652</v>
      </c>
      <c r="C594" s="397" t="s">
        <v>1469</v>
      </c>
      <c r="D594" s="398">
        <v>25208</v>
      </c>
      <c r="E594" s="397" t="s">
        <v>766</v>
      </c>
      <c r="F594" s="397" t="s">
        <v>767</v>
      </c>
      <c r="G594" s="397" t="s">
        <v>768</v>
      </c>
      <c r="H594" s="423">
        <v>1416</v>
      </c>
      <c r="I594" s="397" t="s">
        <v>309</v>
      </c>
      <c r="J594" s="400">
        <f t="shared" ca="1" si="9"/>
        <v>54</v>
      </c>
    </row>
    <row r="595" spans="1:10" ht="15" x14ac:dyDescent="0.25">
      <c r="A595" s="397">
        <v>10001566</v>
      </c>
      <c r="B595" s="397">
        <v>8421062379</v>
      </c>
      <c r="C595" s="397" t="s">
        <v>1470</v>
      </c>
      <c r="D595" s="398">
        <v>30055</v>
      </c>
      <c r="E595" s="397" t="s">
        <v>774</v>
      </c>
      <c r="F595" s="397" t="s">
        <v>775</v>
      </c>
      <c r="G595" s="397" t="s">
        <v>985</v>
      </c>
      <c r="H595" s="423">
        <v>2114</v>
      </c>
      <c r="I595" s="397" t="s">
        <v>314</v>
      </c>
      <c r="J595" s="400">
        <f t="shared" ca="1" si="9"/>
        <v>41</v>
      </c>
    </row>
    <row r="596" spans="1:10" ht="15" x14ac:dyDescent="0.25">
      <c r="A596" s="397">
        <v>10001569</v>
      </c>
      <c r="B596" s="397">
        <v>8476222777</v>
      </c>
      <c r="C596" s="397" t="s">
        <v>1471</v>
      </c>
      <c r="D596" s="398">
        <v>35571</v>
      </c>
      <c r="E596" s="397" t="s">
        <v>918</v>
      </c>
      <c r="F596" s="397" t="s">
        <v>919</v>
      </c>
      <c r="G596" s="397" t="s">
        <v>925</v>
      </c>
      <c r="H596" s="423">
        <v>2410</v>
      </c>
      <c r="I596" s="397" t="s">
        <v>366</v>
      </c>
      <c r="J596" s="400">
        <f t="shared" ca="1" si="9"/>
        <v>26</v>
      </c>
    </row>
    <row r="597" spans="1:10" ht="15" x14ac:dyDescent="0.25">
      <c r="A597" s="397">
        <v>10001572</v>
      </c>
      <c r="B597" s="397">
        <v>8391050157</v>
      </c>
      <c r="C597" s="397" t="s">
        <v>1472</v>
      </c>
      <c r="D597" s="398">
        <v>27054</v>
      </c>
      <c r="E597" s="397" t="s">
        <v>1076</v>
      </c>
      <c r="F597" s="397" t="s">
        <v>1077</v>
      </c>
      <c r="G597" s="397" t="s">
        <v>1049</v>
      </c>
      <c r="H597" s="423">
        <v>3910</v>
      </c>
      <c r="I597" s="397" t="s">
        <v>520</v>
      </c>
      <c r="J597" s="400">
        <f t="shared" ca="1" si="9"/>
        <v>49</v>
      </c>
    </row>
    <row r="598" spans="1:10" ht="15" x14ac:dyDescent="0.25">
      <c r="A598" s="397">
        <v>10001573</v>
      </c>
      <c r="B598" s="397">
        <v>8464521502</v>
      </c>
      <c r="C598" s="397" t="s">
        <v>1473</v>
      </c>
      <c r="D598" s="398">
        <v>34401</v>
      </c>
      <c r="E598" s="397" t="s">
        <v>762</v>
      </c>
      <c r="F598" s="397" t="s">
        <v>763</v>
      </c>
      <c r="G598" s="397" t="s">
        <v>985</v>
      </c>
      <c r="H598" s="423">
        <v>2117</v>
      </c>
      <c r="I598" s="397" t="s">
        <v>317</v>
      </c>
      <c r="J598" s="400">
        <f t="shared" ca="1" si="9"/>
        <v>29</v>
      </c>
    </row>
    <row r="599" spans="1:10" ht="15" x14ac:dyDescent="0.25">
      <c r="A599" s="397">
        <v>10001574</v>
      </c>
      <c r="B599" s="397">
        <v>8474180449</v>
      </c>
      <c r="C599" s="397" t="s">
        <v>1474</v>
      </c>
      <c r="D599" s="398">
        <v>35367</v>
      </c>
      <c r="E599" s="397" t="s">
        <v>762</v>
      </c>
      <c r="F599" s="397" t="s">
        <v>763</v>
      </c>
      <c r="G599" s="397" t="s">
        <v>985</v>
      </c>
      <c r="H599" s="423">
        <v>2117</v>
      </c>
      <c r="I599" s="397" t="s">
        <v>317</v>
      </c>
      <c r="J599" s="400">
        <f t="shared" ca="1" si="9"/>
        <v>27</v>
      </c>
    </row>
    <row r="600" spans="1:10" ht="15" x14ac:dyDescent="0.25">
      <c r="A600" s="397">
        <v>10001575</v>
      </c>
      <c r="B600" s="397">
        <v>8457790412</v>
      </c>
      <c r="C600" s="397" t="s">
        <v>1475</v>
      </c>
      <c r="D600" s="398">
        <v>33728</v>
      </c>
      <c r="E600" s="397" t="s">
        <v>1071</v>
      </c>
      <c r="F600" s="397" t="s">
        <v>1072</v>
      </c>
      <c r="G600" s="397" t="s">
        <v>1049</v>
      </c>
      <c r="H600" s="423">
        <v>3910</v>
      </c>
      <c r="I600" s="397" t="s">
        <v>520</v>
      </c>
      <c r="J600" s="400">
        <f t="shared" ca="1" si="9"/>
        <v>31</v>
      </c>
    </row>
    <row r="601" spans="1:10" ht="15" x14ac:dyDescent="0.25">
      <c r="A601" s="397">
        <v>10001577</v>
      </c>
      <c r="B601" s="397">
        <v>8415246099</v>
      </c>
      <c r="C601" s="397" t="s">
        <v>1476</v>
      </c>
      <c r="D601" s="398">
        <v>29473</v>
      </c>
      <c r="E601" s="397" t="s">
        <v>806</v>
      </c>
      <c r="F601" s="397" t="s">
        <v>807</v>
      </c>
      <c r="G601" s="397" t="s">
        <v>1032</v>
      </c>
      <c r="H601" s="423">
        <v>2410</v>
      </c>
      <c r="I601" s="397" t="s">
        <v>366</v>
      </c>
      <c r="J601" s="400">
        <f t="shared" ca="1" si="9"/>
        <v>43</v>
      </c>
    </row>
    <row r="602" spans="1:10" ht="15" x14ac:dyDescent="0.25">
      <c r="A602" s="397">
        <v>10001578</v>
      </c>
      <c r="B602" s="397">
        <v>8404111863</v>
      </c>
      <c r="C602" s="397" t="s">
        <v>1477</v>
      </c>
      <c r="D602" s="398">
        <v>28360</v>
      </c>
      <c r="E602" s="397" t="s">
        <v>1385</v>
      </c>
      <c r="F602" s="397" t="s">
        <v>1386</v>
      </c>
      <c r="G602" s="397" t="s">
        <v>1014</v>
      </c>
      <c r="H602" s="423">
        <v>2910</v>
      </c>
      <c r="I602" s="397" t="s">
        <v>422</v>
      </c>
      <c r="J602" s="400">
        <f t="shared" ca="1" si="9"/>
        <v>46</v>
      </c>
    </row>
    <row r="603" spans="1:10" ht="15" x14ac:dyDescent="0.25">
      <c r="A603" s="397">
        <v>10001583</v>
      </c>
      <c r="B603" s="397">
        <v>8440864078</v>
      </c>
      <c r="C603" s="397" t="s">
        <v>1478</v>
      </c>
      <c r="D603" s="398">
        <v>32035</v>
      </c>
      <c r="E603" s="397" t="s">
        <v>781</v>
      </c>
      <c r="F603" s="397" t="s">
        <v>782</v>
      </c>
      <c r="G603" s="397" t="s">
        <v>776</v>
      </c>
      <c r="H603" s="423">
        <v>2410</v>
      </c>
      <c r="I603" s="397" t="s">
        <v>366</v>
      </c>
      <c r="J603" s="400">
        <f t="shared" ca="1" si="9"/>
        <v>36</v>
      </c>
    </row>
    <row r="604" spans="1:10" ht="15" x14ac:dyDescent="0.25">
      <c r="A604" s="397">
        <v>10001585</v>
      </c>
      <c r="B604" s="397">
        <v>8393461960</v>
      </c>
      <c r="C604" s="397" t="s">
        <v>1479</v>
      </c>
      <c r="D604" s="398">
        <v>27295</v>
      </c>
      <c r="E604" s="397" t="s">
        <v>833</v>
      </c>
      <c r="F604" s="397" t="s">
        <v>834</v>
      </c>
      <c r="G604" s="397" t="s">
        <v>925</v>
      </c>
      <c r="H604" s="423">
        <v>2410</v>
      </c>
      <c r="I604" s="397" t="s">
        <v>366</v>
      </c>
      <c r="J604" s="400">
        <f t="shared" ca="1" si="9"/>
        <v>49</v>
      </c>
    </row>
    <row r="605" spans="1:10" ht="15" x14ac:dyDescent="0.25">
      <c r="A605" s="397">
        <v>10001586</v>
      </c>
      <c r="B605" s="397">
        <v>8469240358</v>
      </c>
      <c r="C605" s="397" t="s">
        <v>1480</v>
      </c>
      <c r="D605" s="398">
        <v>34873</v>
      </c>
      <c r="E605" s="397" t="s">
        <v>1045</v>
      </c>
      <c r="F605" s="397" t="s">
        <v>1046</v>
      </c>
      <c r="G605" s="397" t="s">
        <v>1049</v>
      </c>
      <c r="H605" s="423">
        <v>3611</v>
      </c>
      <c r="I605" s="397" t="s">
        <v>485</v>
      </c>
      <c r="J605" s="400">
        <f t="shared" ca="1" si="9"/>
        <v>28</v>
      </c>
    </row>
    <row r="606" spans="1:10" ht="15" x14ac:dyDescent="0.25">
      <c r="A606" s="397">
        <v>10001605</v>
      </c>
      <c r="B606" s="397">
        <v>8409162962</v>
      </c>
      <c r="C606" s="397" t="s">
        <v>1481</v>
      </c>
      <c r="D606" s="398">
        <v>28865</v>
      </c>
      <c r="E606" s="397" t="s">
        <v>1051</v>
      </c>
      <c r="F606" s="397" t="s">
        <v>1052</v>
      </c>
      <c r="G606" s="397" t="s">
        <v>1014</v>
      </c>
      <c r="H606" s="423">
        <v>4134</v>
      </c>
      <c r="I606" s="397" t="s">
        <v>534</v>
      </c>
      <c r="J606" s="400">
        <f t="shared" ca="1" si="9"/>
        <v>44</v>
      </c>
    </row>
    <row r="607" spans="1:10" ht="15" x14ac:dyDescent="0.25">
      <c r="A607" s="397">
        <v>10001607</v>
      </c>
      <c r="B607" s="397">
        <v>8401883954</v>
      </c>
      <c r="C607" s="397" t="s">
        <v>1482</v>
      </c>
      <c r="D607" s="398">
        <v>28137</v>
      </c>
      <c r="E607" s="397" t="s">
        <v>1051</v>
      </c>
      <c r="F607" s="397" t="s">
        <v>1052</v>
      </c>
      <c r="G607" s="397" t="s">
        <v>1014</v>
      </c>
      <c r="H607" s="423">
        <v>4134</v>
      </c>
      <c r="I607" s="397" t="s">
        <v>534</v>
      </c>
      <c r="J607" s="400">
        <f t="shared" ca="1" si="9"/>
        <v>46</v>
      </c>
    </row>
    <row r="608" spans="1:10" ht="15" x14ac:dyDescent="0.25">
      <c r="A608" s="397">
        <v>10001610</v>
      </c>
      <c r="B608" s="397">
        <v>8384883114</v>
      </c>
      <c r="C608" s="397" t="s">
        <v>1483</v>
      </c>
      <c r="D608" s="398">
        <v>26437</v>
      </c>
      <c r="E608" s="397" t="s">
        <v>800</v>
      </c>
      <c r="F608" s="397" t="s">
        <v>801</v>
      </c>
      <c r="G608" s="397" t="s">
        <v>768</v>
      </c>
      <c r="H608" s="423">
        <v>2410</v>
      </c>
      <c r="I608" s="397" t="s">
        <v>366</v>
      </c>
      <c r="J608" s="400">
        <f t="shared" ca="1" si="9"/>
        <v>51</v>
      </c>
    </row>
    <row r="609" spans="1:10" ht="15" x14ac:dyDescent="0.25">
      <c r="A609" s="397">
        <v>10001612</v>
      </c>
      <c r="B609" s="397">
        <v>8418112433</v>
      </c>
      <c r="C609" s="397" t="s">
        <v>1484</v>
      </c>
      <c r="D609" s="398">
        <v>29760</v>
      </c>
      <c r="E609" s="397" t="s">
        <v>1295</v>
      </c>
      <c r="F609" s="397" t="s">
        <v>1296</v>
      </c>
      <c r="G609" s="397" t="s">
        <v>1049</v>
      </c>
      <c r="H609" s="423">
        <v>3910</v>
      </c>
      <c r="I609" s="397" t="s">
        <v>520</v>
      </c>
      <c r="J609" s="400">
        <f t="shared" ca="1" si="9"/>
        <v>42</v>
      </c>
    </row>
    <row r="610" spans="1:10" ht="15" x14ac:dyDescent="0.25">
      <c r="A610" s="397">
        <v>10001614</v>
      </c>
      <c r="B610" s="397">
        <v>8466920137</v>
      </c>
      <c r="C610" s="397" t="s">
        <v>1485</v>
      </c>
      <c r="D610" s="398">
        <v>34641</v>
      </c>
      <c r="E610" s="397" t="s">
        <v>849</v>
      </c>
      <c r="F610" s="397" t="s">
        <v>850</v>
      </c>
      <c r="G610" s="397" t="s">
        <v>985</v>
      </c>
      <c r="H610" s="423">
        <v>2117</v>
      </c>
      <c r="I610" s="397" t="s">
        <v>317</v>
      </c>
      <c r="J610" s="400">
        <f t="shared" ca="1" si="9"/>
        <v>29</v>
      </c>
    </row>
    <row r="611" spans="1:10" ht="15" x14ac:dyDescent="0.25">
      <c r="A611" s="397">
        <v>10001615</v>
      </c>
      <c r="B611" s="397">
        <v>8457292900</v>
      </c>
      <c r="C611" s="397" t="s">
        <v>1486</v>
      </c>
      <c r="D611" s="398">
        <v>33678</v>
      </c>
      <c r="E611" s="397" t="s">
        <v>868</v>
      </c>
      <c r="F611" s="397" t="s">
        <v>869</v>
      </c>
      <c r="G611" s="397" t="s">
        <v>902</v>
      </c>
      <c r="H611" s="423">
        <v>2113</v>
      </c>
      <c r="I611" s="397" t="s">
        <v>313</v>
      </c>
      <c r="J611" s="400">
        <f t="shared" ca="1" si="9"/>
        <v>31</v>
      </c>
    </row>
    <row r="612" spans="1:10" ht="15" x14ac:dyDescent="0.25">
      <c r="A612" s="397">
        <v>10001621</v>
      </c>
      <c r="B612" s="397">
        <v>8310892233</v>
      </c>
      <c r="C612" s="397" t="s">
        <v>1487</v>
      </c>
      <c r="D612" s="398">
        <v>19038</v>
      </c>
      <c r="E612" s="397" t="s">
        <v>868</v>
      </c>
      <c r="F612" s="397" t="s">
        <v>869</v>
      </c>
      <c r="G612" s="397" t="s">
        <v>985</v>
      </c>
      <c r="H612" s="423">
        <v>2117</v>
      </c>
      <c r="I612" s="397" t="s">
        <v>317</v>
      </c>
      <c r="J612" s="400">
        <f t="shared" ca="1" si="9"/>
        <v>71</v>
      </c>
    </row>
    <row r="613" spans="1:10" ht="15" x14ac:dyDescent="0.25">
      <c r="A613" s="397">
        <v>10001622</v>
      </c>
      <c r="B613" s="397">
        <v>8468030554</v>
      </c>
      <c r="C613" s="397" t="s">
        <v>1488</v>
      </c>
      <c r="D613" s="398">
        <v>34752</v>
      </c>
      <c r="E613" s="397" t="s">
        <v>868</v>
      </c>
      <c r="F613" s="397" t="s">
        <v>869</v>
      </c>
      <c r="G613" s="397" t="s">
        <v>831</v>
      </c>
      <c r="H613" s="423">
        <v>2131</v>
      </c>
      <c r="I613" s="397" t="s">
        <v>322</v>
      </c>
      <c r="J613" s="400">
        <f t="shared" ca="1" si="9"/>
        <v>28</v>
      </c>
    </row>
    <row r="614" spans="1:10" ht="15" x14ac:dyDescent="0.25">
      <c r="A614" s="397">
        <v>10001624</v>
      </c>
      <c r="B614" s="397">
        <v>8461011201</v>
      </c>
      <c r="C614" s="397" t="s">
        <v>1489</v>
      </c>
      <c r="D614" s="398">
        <v>34050</v>
      </c>
      <c r="E614" s="397" t="s">
        <v>803</v>
      </c>
      <c r="F614" s="397" t="s">
        <v>804</v>
      </c>
      <c r="G614" s="397" t="s">
        <v>985</v>
      </c>
      <c r="H614" s="423">
        <v>2139</v>
      </c>
      <c r="I614" s="397" t="s">
        <v>329</v>
      </c>
      <c r="J614" s="400">
        <f t="shared" ca="1" si="9"/>
        <v>30</v>
      </c>
    </row>
    <row r="615" spans="1:10" ht="15" x14ac:dyDescent="0.25">
      <c r="A615" s="397">
        <v>10001626</v>
      </c>
      <c r="B615" s="397">
        <v>8468170232</v>
      </c>
      <c r="C615" s="397" t="s">
        <v>1490</v>
      </c>
      <c r="D615" s="398">
        <v>34766</v>
      </c>
      <c r="E615" s="397" t="s">
        <v>795</v>
      </c>
      <c r="F615" s="397" t="s">
        <v>796</v>
      </c>
      <c r="G615" s="397" t="s">
        <v>831</v>
      </c>
      <c r="H615" s="423">
        <v>2117</v>
      </c>
      <c r="I615" s="397" t="s">
        <v>317</v>
      </c>
      <c r="J615" s="400">
        <f t="shared" ca="1" si="9"/>
        <v>28</v>
      </c>
    </row>
    <row r="616" spans="1:10" ht="15" x14ac:dyDescent="0.25">
      <c r="A616" s="397">
        <v>10001629</v>
      </c>
      <c r="B616" s="397">
        <v>8471840170</v>
      </c>
      <c r="C616" s="397" t="s">
        <v>1491</v>
      </c>
      <c r="D616" s="398">
        <v>35133</v>
      </c>
      <c r="E616" s="397" t="s">
        <v>795</v>
      </c>
      <c r="F616" s="397" t="s">
        <v>796</v>
      </c>
      <c r="G616" s="397" t="s">
        <v>985</v>
      </c>
      <c r="H616" s="423">
        <v>2117</v>
      </c>
      <c r="I616" s="397" t="s">
        <v>317</v>
      </c>
      <c r="J616" s="400">
        <f t="shared" ca="1" si="9"/>
        <v>27</v>
      </c>
    </row>
    <row r="617" spans="1:10" ht="15" x14ac:dyDescent="0.25">
      <c r="A617" s="397">
        <v>10001631</v>
      </c>
      <c r="B617" s="397">
        <v>8451923488</v>
      </c>
      <c r="C617" s="397" t="s">
        <v>1492</v>
      </c>
      <c r="D617" s="398">
        <v>33141</v>
      </c>
      <c r="E617" s="397" t="s">
        <v>833</v>
      </c>
      <c r="F617" s="397" t="s">
        <v>834</v>
      </c>
      <c r="G617" s="397" t="s">
        <v>902</v>
      </c>
      <c r="H617" s="423">
        <v>2624</v>
      </c>
      <c r="I617" s="397" t="s">
        <v>401</v>
      </c>
      <c r="J617" s="400">
        <f t="shared" ca="1" si="9"/>
        <v>33</v>
      </c>
    </row>
    <row r="618" spans="1:10" ht="15" x14ac:dyDescent="0.25">
      <c r="A618" s="397">
        <v>10001634</v>
      </c>
      <c r="B618" s="397">
        <v>8401243130</v>
      </c>
      <c r="C618" s="397" t="s">
        <v>1493</v>
      </c>
      <c r="D618" s="398">
        <v>28073</v>
      </c>
      <c r="E618" s="397" t="s">
        <v>967</v>
      </c>
      <c r="F618" s="397" t="s">
        <v>968</v>
      </c>
      <c r="G618" s="397" t="s">
        <v>1014</v>
      </c>
      <c r="H618" s="423">
        <v>2910</v>
      </c>
      <c r="I618" s="397" t="s">
        <v>422</v>
      </c>
      <c r="J618" s="400">
        <f t="shared" ca="1" si="9"/>
        <v>47</v>
      </c>
    </row>
    <row r="619" spans="1:10" ht="15" x14ac:dyDescent="0.25">
      <c r="A619" s="397">
        <v>10001637</v>
      </c>
      <c r="B619" s="397">
        <v>8394663109</v>
      </c>
      <c r="C619" s="397" t="s">
        <v>1494</v>
      </c>
      <c r="D619" s="398">
        <v>27415</v>
      </c>
      <c r="E619" s="397" t="s">
        <v>1045</v>
      </c>
      <c r="F619" s="397" t="s">
        <v>1046</v>
      </c>
      <c r="G619" s="397" t="s">
        <v>1049</v>
      </c>
      <c r="H619" s="423">
        <v>3611</v>
      </c>
      <c r="I619" s="397" t="s">
        <v>485</v>
      </c>
      <c r="J619" s="400">
        <f t="shared" ca="1" si="9"/>
        <v>48</v>
      </c>
    </row>
    <row r="620" spans="1:10" ht="15" x14ac:dyDescent="0.25">
      <c r="A620" s="397">
        <v>10001638</v>
      </c>
      <c r="B620" s="397">
        <v>8445181513</v>
      </c>
      <c r="C620" s="397" t="s">
        <v>1495</v>
      </c>
      <c r="D620" s="398">
        <v>32467</v>
      </c>
      <c r="E620" s="397" t="s">
        <v>1076</v>
      </c>
      <c r="F620" s="397" t="s">
        <v>1077</v>
      </c>
      <c r="G620" s="397" t="s">
        <v>1049</v>
      </c>
      <c r="H620" s="423">
        <v>3910</v>
      </c>
      <c r="I620" s="397" t="s">
        <v>520</v>
      </c>
      <c r="J620" s="400">
        <f t="shared" ca="1" si="9"/>
        <v>35</v>
      </c>
    </row>
    <row r="621" spans="1:10" ht="15" x14ac:dyDescent="0.25">
      <c r="A621" s="397">
        <v>10001639</v>
      </c>
      <c r="B621" s="397">
        <v>8361864555</v>
      </c>
      <c r="C621" s="397" t="s">
        <v>1496</v>
      </c>
      <c r="D621" s="398">
        <v>24135</v>
      </c>
      <c r="E621" s="397" t="s">
        <v>846</v>
      </c>
      <c r="F621" s="397" t="s">
        <v>847</v>
      </c>
      <c r="G621" s="397" t="s">
        <v>1032</v>
      </c>
      <c r="H621" s="423">
        <v>2410</v>
      </c>
      <c r="I621" s="397" t="s">
        <v>366</v>
      </c>
      <c r="J621" s="400">
        <f t="shared" ca="1" si="9"/>
        <v>57</v>
      </c>
    </row>
    <row r="622" spans="1:10" ht="15" x14ac:dyDescent="0.25">
      <c r="A622" s="397">
        <v>10001640</v>
      </c>
      <c r="B622" s="397">
        <v>8450532272</v>
      </c>
      <c r="C622" s="397" t="s">
        <v>193</v>
      </c>
      <c r="D622" s="398">
        <v>33002</v>
      </c>
      <c r="E622" s="397" t="s">
        <v>868</v>
      </c>
      <c r="F622" s="397" t="s">
        <v>869</v>
      </c>
      <c r="G622" s="397" t="s">
        <v>831</v>
      </c>
      <c r="H622" s="423">
        <v>2214</v>
      </c>
      <c r="I622" s="397" t="s">
        <v>350</v>
      </c>
      <c r="J622" s="400">
        <f t="shared" ca="1" si="9"/>
        <v>33</v>
      </c>
    </row>
    <row r="623" spans="1:10" ht="15" x14ac:dyDescent="0.25">
      <c r="A623" s="397">
        <v>10001642</v>
      </c>
      <c r="B623" s="397">
        <v>8398334916</v>
      </c>
      <c r="C623" s="397" t="s">
        <v>1497</v>
      </c>
      <c r="D623" s="398">
        <v>27782</v>
      </c>
      <c r="E623" s="397" t="s">
        <v>1175</v>
      </c>
      <c r="F623" s="397" t="s">
        <v>1176</v>
      </c>
      <c r="G623" s="397" t="s">
        <v>1014</v>
      </c>
      <c r="H623" s="423">
        <v>2910</v>
      </c>
      <c r="I623" s="397" t="s">
        <v>422</v>
      </c>
      <c r="J623" s="400">
        <f t="shared" ca="1" si="9"/>
        <v>47</v>
      </c>
    </row>
    <row r="624" spans="1:10" ht="15" x14ac:dyDescent="0.25">
      <c r="A624" s="397">
        <v>10001646</v>
      </c>
      <c r="B624" s="397">
        <v>8434592517</v>
      </c>
      <c r="C624" s="397" t="s">
        <v>1498</v>
      </c>
      <c r="D624" s="398">
        <v>31408</v>
      </c>
      <c r="E624" s="397" t="s">
        <v>792</v>
      </c>
      <c r="F624" s="397" t="s">
        <v>793</v>
      </c>
      <c r="G624" s="397" t="s">
        <v>831</v>
      </c>
      <c r="H624" s="423">
        <v>2624</v>
      </c>
      <c r="I624" s="397" t="s">
        <v>401</v>
      </c>
      <c r="J624" s="400">
        <f t="shared" ca="1" si="9"/>
        <v>38</v>
      </c>
    </row>
    <row r="625" spans="1:10" ht="15" x14ac:dyDescent="0.25">
      <c r="A625" s="397">
        <v>10001647</v>
      </c>
      <c r="B625" s="397">
        <v>8445040871</v>
      </c>
      <c r="C625" s="397" t="s">
        <v>1499</v>
      </c>
      <c r="D625" s="398">
        <v>32453</v>
      </c>
      <c r="E625" s="397" t="s">
        <v>1103</v>
      </c>
      <c r="F625" s="397" t="s">
        <v>1104</v>
      </c>
      <c r="G625" s="397" t="s">
        <v>1014</v>
      </c>
      <c r="H625" s="423">
        <v>2611</v>
      </c>
      <c r="I625" s="397" t="s">
        <v>392</v>
      </c>
      <c r="J625" s="400">
        <f t="shared" ca="1" si="9"/>
        <v>35</v>
      </c>
    </row>
    <row r="626" spans="1:10" ht="15" x14ac:dyDescent="0.25">
      <c r="A626" s="397">
        <v>10001648</v>
      </c>
      <c r="B626" s="397">
        <v>8437330769</v>
      </c>
      <c r="C626" s="397" t="s">
        <v>1500</v>
      </c>
      <c r="D626" s="398">
        <v>31682</v>
      </c>
      <c r="E626" s="397" t="s">
        <v>1501</v>
      </c>
      <c r="F626" s="397" t="s">
        <v>1502</v>
      </c>
      <c r="G626" s="397" t="s">
        <v>1014</v>
      </c>
      <c r="H626" s="423">
        <v>1416</v>
      </c>
      <c r="I626" s="397" t="s">
        <v>309</v>
      </c>
      <c r="J626" s="400">
        <f t="shared" ca="1" si="9"/>
        <v>37</v>
      </c>
    </row>
    <row r="627" spans="1:10" ht="15" x14ac:dyDescent="0.25">
      <c r="A627" s="397">
        <v>10001649</v>
      </c>
      <c r="B627" s="397">
        <v>8472250296</v>
      </c>
      <c r="C627" s="397" t="s">
        <v>1503</v>
      </c>
      <c r="D627" s="398">
        <v>35174</v>
      </c>
      <c r="E627" s="397" t="s">
        <v>868</v>
      </c>
      <c r="F627" s="397" t="s">
        <v>869</v>
      </c>
      <c r="G627" s="397" t="s">
        <v>985</v>
      </c>
      <c r="H627" s="423">
        <v>2132</v>
      </c>
      <c r="I627" s="397" t="s">
        <v>323</v>
      </c>
      <c r="J627" s="400">
        <f t="shared" ca="1" si="9"/>
        <v>27</v>
      </c>
    </row>
    <row r="628" spans="1:10" ht="15" x14ac:dyDescent="0.25">
      <c r="A628" s="397">
        <v>10001651</v>
      </c>
      <c r="B628" s="397">
        <v>8376733702</v>
      </c>
      <c r="C628" s="397" t="s">
        <v>1504</v>
      </c>
      <c r="D628" s="398">
        <v>25622</v>
      </c>
      <c r="E628" s="397" t="s">
        <v>1045</v>
      </c>
      <c r="F628" s="397" t="s">
        <v>1046</v>
      </c>
      <c r="G628" s="397" t="s">
        <v>1014</v>
      </c>
      <c r="H628" s="423">
        <v>3611</v>
      </c>
      <c r="I628" s="397" t="s">
        <v>485</v>
      </c>
      <c r="J628" s="400">
        <f t="shared" ca="1" si="9"/>
        <v>53</v>
      </c>
    </row>
    <row r="629" spans="1:10" ht="15" x14ac:dyDescent="0.25">
      <c r="A629" s="397">
        <v>10001652</v>
      </c>
      <c r="B629" s="397">
        <v>8460271463</v>
      </c>
      <c r="C629" s="397" t="s">
        <v>1505</v>
      </c>
      <c r="D629" s="398">
        <v>33976</v>
      </c>
      <c r="E629" s="397" t="s">
        <v>1103</v>
      </c>
      <c r="F629" s="397" t="s">
        <v>1104</v>
      </c>
      <c r="G629" s="397" t="s">
        <v>1209</v>
      </c>
      <c r="H629" s="423">
        <v>2611</v>
      </c>
      <c r="I629" s="397" t="s">
        <v>392</v>
      </c>
      <c r="J629" s="400">
        <f t="shared" ca="1" si="9"/>
        <v>30</v>
      </c>
    </row>
    <row r="630" spans="1:10" ht="15" x14ac:dyDescent="0.25">
      <c r="A630" s="397">
        <v>10001654</v>
      </c>
      <c r="B630" s="397">
        <v>8461383214</v>
      </c>
      <c r="C630" s="397" t="s">
        <v>1506</v>
      </c>
      <c r="D630" s="398">
        <v>34087</v>
      </c>
      <c r="E630" s="397" t="s">
        <v>762</v>
      </c>
      <c r="F630" s="397" t="s">
        <v>763</v>
      </c>
      <c r="G630" s="397" t="s">
        <v>1084</v>
      </c>
      <c r="H630" s="423">
        <v>3134</v>
      </c>
      <c r="I630" s="397" t="s">
        <v>435</v>
      </c>
      <c r="J630" s="400">
        <f t="shared" ca="1" si="9"/>
        <v>30</v>
      </c>
    </row>
    <row r="631" spans="1:10" ht="15" x14ac:dyDescent="0.25">
      <c r="A631" s="397">
        <v>10001655</v>
      </c>
      <c r="B631" s="397">
        <v>8471932784</v>
      </c>
      <c r="C631" s="397" t="s">
        <v>1507</v>
      </c>
      <c r="D631" s="398">
        <v>35142</v>
      </c>
      <c r="E631" s="397" t="s">
        <v>868</v>
      </c>
      <c r="F631" s="397" t="s">
        <v>869</v>
      </c>
      <c r="G631" s="397" t="s">
        <v>985</v>
      </c>
      <c r="H631" s="423">
        <v>2132</v>
      </c>
      <c r="I631" s="397" t="s">
        <v>323</v>
      </c>
      <c r="J631" s="400">
        <f t="shared" ca="1" si="9"/>
        <v>27</v>
      </c>
    </row>
    <row r="632" spans="1:10" ht="15" x14ac:dyDescent="0.25">
      <c r="A632" s="397">
        <v>10001658</v>
      </c>
      <c r="B632" s="397">
        <v>8463281443</v>
      </c>
      <c r="C632" s="397" t="s">
        <v>1508</v>
      </c>
      <c r="D632" s="398">
        <v>34277</v>
      </c>
      <c r="E632" s="397" t="s">
        <v>762</v>
      </c>
      <c r="F632" s="397" t="s">
        <v>763</v>
      </c>
      <c r="G632" s="397" t="s">
        <v>985</v>
      </c>
      <c r="H632" s="423">
        <v>2117</v>
      </c>
      <c r="I632" s="397" t="s">
        <v>317</v>
      </c>
      <c r="J632" s="400">
        <f t="shared" ca="1" si="9"/>
        <v>30</v>
      </c>
    </row>
    <row r="633" spans="1:10" ht="15" x14ac:dyDescent="0.25">
      <c r="A633" s="397">
        <v>10001660</v>
      </c>
      <c r="B633" s="397">
        <v>8424970721</v>
      </c>
      <c r="C633" s="397" t="s">
        <v>1509</v>
      </c>
      <c r="D633" s="398">
        <v>30446</v>
      </c>
      <c r="E633" s="397" t="s">
        <v>868</v>
      </c>
      <c r="F633" s="397" t="s">
        <v>869</v>
      </c>
      <c r="G633" s="397" t="s">
        <v>985</v>
      </c>
      <c r="H633" s="423">
        <v>2117</v>
      </c>
      <c r="I633" s="397" t="s">
        <v>317</v>
      </c>
      <c r="J633" s="400">
        <f t="shared" ca="1" si="9"/>
        <v>40</v>
      </c>
    </row>
    <row r="634" spans="1:10" ht="15" x14ac:dyDescent="0.25">
      <c r="A634" s="397">
        <v>10001666</v>
      </c>
      <c r="B634" s="397">
        <v>8378913287</v>
      </c>
      <c r="C634" s="397" t="s">
        <v>1510</v>
      </c>
      <c r="D634" s="398">
        <v>25840</v>
      </c>
      <c r="E634" s="397" t="s">
        <v>967</v>
      </c>
      <c r="F634" s="397" t="s">
        <v>968</v>
      </c>
      <c r="G634" s="397" t="s">
        <v>1014</v>
      </c>
      <c r="H634" s="423">
        <v>2910</v>
      </c>
      <c r="I634" s="397" t="s">
        <v>422</v>
      </c>
      <c r="J634" s="400">
        <f t="shared" ca="1" si="9"/>
        <v>53</v>
      </c>
    </row>
    <row r="635" spans="1:10" ht="15" x14ac:dyDescent="0.25">
      <c r="A635" s="397">
        <v>10001667</v>
      </c>
      <c r="B635" s="397">
        <v>8473390040</v>
      </c>
      <c r="C635" s="397" t="s">
        <v>1511</v>
      </c>
      <c r="D635" s="398">
        <v>35288</v>
      </c>
      <c r="E635" s="397" t="s">
        <v>967</v>
      </c>
      <c r="F635" s="397" t="s">
        <v>968</v>
      </c>
      <c r="G635" s="397" t="s">
        <v>1014</v>
      </c>
      <c r="H635" s="423">
        <v>2910</v>
      </c>
      <c r="I635" s="397" t="s">
        <v>422</v>
      </c>
      <c r="J635" s="400">
        <f t="shared" ca="1" si="9"/>
        <v>27</v>
      </c>
    </row>
    <row r="636" spans="1:10" ht="15" x14ac:dyDescent="0.25">
      <c r="A636" s="397">
        <v>10001674</v>
      </c>
      <c r="B636" s="397">
        <v>8386143789</v>
      </c>
      <c r="C636" s="397" t="s">
        <v>1512</v>
      </c>
      <c r="D636" s="398">
        <v>26563</v>
      </c>
      <c r="E636" s="397" t="s">
        <v>1463</v>
      </c>
      <c r="F636" s="397" t="s">
        <v>1464</v>
      </c>
      <c r="G636" s="397" t="s">
        <v>1049</v>
      </c>
      <c r="H636" s="423">
        <v>2910</v>
      </c>
      <c r="I636" s="397" t="s">
        <v>422</v>
      </c>
      <c r="J636" s="400">
        <f t="shared" ca="1" si="9"/>
        <v>51</v>
      </c>
    </row>
    <row r="637" spans="1:10" ht="15" x14ac:dyDescent="0.25">
      <c r="A637" s="397">
        <v>10001675</v>
      </c>
      <c r="B637" s="397">
        <v>8466610820</v>
      </c>
      <c r="C637" s="397" t="s">
        <v>1513</v>
      </c>
      <c r="D637" s="398">
        <v>34610</v>
      </c>
      <c r="E637" s="397" t="s">
        <v>849</v>
      </c>
      <c r="F637" s="397" t="s">
        <v>850</v>
      </c>
      <c r="G637" s="397" t="s">
        <v>831</v>
      </c>
      <c r="H637" s="423">
        <v>2165</v>
      </c>
      <c r="I637" s="397" t="s">
        <v>342</v>
      </c>
      <c r="J637" s="400">
        <f t="shared" ca="1" si="9"/>
        <v>29</v>
      </c>
    </row>
    <row r="638" spans="1:10" ht="15" x14ac:dyDescent="0.25">
      <c r="A638" s="397">
        <v>10001679</v>
      </c>
      <c r="B638" s="397">
        <v>8457891952</v>
      </c>
      <c r="C638" s="397" t="s">
        <v>1514</v>
      </c>
      <c r="D638" s="398">
        <v>33738</v>
      </c>
      <c r="E638" s="397" t="s">
        <v>795</v>
      </c>
      <c r="F638" s="397" t="s">
        <v>796</v>
      </c>
      <c r="G638" s="397" t="s">
        <v>831</v>
      </c>
      <c r="H638" s="423">
        <v>2117</v>
      </c>
      <c r="I638" s="397" t="s">
        <v>317</v>
      </c>
      <c r="J638" s="400">
        <f t="shared" ca="1" si="9"/>
        <v>31</v>
      </c>
    </row>
    <row r="639" spans="1:10" ht="15" x14ac:dyDescent="0.25">
      <c r="A639" s="397">
        <v>10001680</v>
      </c>
      <c r="B639" s="397">
        <v>8456941492</v>
      </c>
      <c r="C639" s="397" t="s">
        <v>1515</v>
      </c>
      <c r="D639" s="398">
        <v>33643</v>
      </c>
      <c r="E639" s="397" t="s">
        <v>762</v>
      </c>
      <c r="F639" s="397" t="s">
        <v>763</v>
      </c>
      <c r="G639" s="397" t="s">
        <v>902</v>
      </c>
      <c r="H639" s="423">
        <v>2117</v>
      </c>
      <c r="I639" s="397" t="s">
        <v>317</v>
      </c>
      <c r="J639" s="400">
        <f t="shared" ca="1" si="9"/>
        <v>31</v>
      </c>
    </row>
    <row r="640" spans="1:10" ht="15" x14ac:dyDescent="0.25">
      <c r="A640" s="397">
        <v>10001684</v>
      </c>
      <c r="B640" s="397">
        <v>8477530106</v>
      </c>
      <c r="C640" s="397" t="s">
        <v>1516</v>
      </c>
      <c r="D640" s="398">
        <v>35702</v>
      </c>
      <c r="E640" s="397" t="s">
        <v>967</v>
      </c>
      <c r="F640" s="397" t="s">
        <v>968</v>
      </c>
      <c r="G640" s="397" t="s">
        <v>1014</v>
      </c>
      <c r="H640" s="423">
        <v>2910</v>
      </c>
      <c r="I640" s="397" t="s">
        <v>422</v>
      </c>
      <c r="J640" s="400">
        <f t="shared" ca="1" si="9"/>
        <v>26</v>
      </c>
    </row>
    <row r="641" spans="1:10" ht="15" x14ac:dyDescent="0.25">
      <c r="A641" s="397">
        <v>10001685</v>
      </c>
      <c r="B641" s="397">
        <v>8392221095</v>
      </c>
      <c r="C641" s="397" t="s">
        <v>1517</v>
      </c>
      <c r="D641" s="398">
        <v>27171</v>
      </c>
      <c r="E641" s="397" t="s">
        <v>803</v>
      </c>
      <c r="F641" s="397" t="s">
        <v>804</v>
      </c>
      <c r="G641" s="397" t="s">
        <v>891</v>
      </c>
      <c r="H641" s="423">
        <v>2410</v>
      </c>
      <c r="I641" s="397" t="s">
        <v>366</v>
      </c>
      <c r="J641" s="400">
        <f t="shared" ca="1" si="9"/>
        <v>49</v>
      </c>
    </row>
    <row r="642" spans="1:10" ht="15" x14ac:dyDescent="0.25">
      <c r="A642" s="397">
        <v>10001686</v>
      </c>
      <c r="B642" s="397">
        <v>8399572616</v>
      </c>
      <c r="C642" s="397" t="s">
        <v>1518</v>
      </c>
      <c r="D642" s="398">
        <v>27906</v>
      </c>
      <c r="E642" s="397" t="s">
        <v>792</v>
      </c>
      <c r="F642" s="397" t="s">
        <v>793</v>
      </c>
      <c r="G642" s="397" t="s">
        <v>1049</v>
      </c>
      <c r="H642" s="423">
        <v>2910</v>
      </c>
      <c r="I642" s="397" t="s">
        <v>422</v>
      </c>
      <c r="J642" s="400">
        <f t="shared" ca="1" si="9"/>
        <v>47</v>
      </c>
    </row>
    <row r="643" spans="1:10" ht="15" x14ac:dyDescent="0.25">
      <c r="A643" s="397">
        <v>10001690</v>
      </c>
      <c r="B643" s="397">
        <v>8459031489</v>
      </c>
      <c r="C643" s="397" t="s">
        <v>1519</v>
      </c>
      <c r="D643" s="398">
        <v>33852</v>
      </c>
      <c r="E643" s="397" t="s">
        <v>795</v>
      </c>
      <c r="F643" s="397" t="s">
        <v>796</v>
      </c>
      <c r="G643" s="397" t="s">
        <v>985</v>
      </c>
      <c r="H643" s="423">
        <v>2117</v>
      </c>
      <c r="I643" s="397" t="s">
        <v>317</v>
      </c>
      <c r="J643" s="400">
        <f t="shared" ref="J643:J706" ca="1" si="10">YEAR(TODAY())-YEAR(D643)</f>
        <v>31</v>
      </c>
    </row>
    <row r="644" spans="1:10" ht="15" x14ac:dyDescent="0.25">
      <c r="A644" s="397">
        <v>10001693</v>
      </c>
      <c r="B644" s="397">
        <v>8407774197</v>
      </c>
      <c r="C644" s="397" t="s">
        <v>1520</v>
      </c>
      <c r="D644" s="398">
        <v>28726</v>
      </c>
      <c r="E644" s="397" t="s">
        <v>1421</v>
      </c>
      <c r="F644" s="397" t="s">
        <v>1422</v>
      </c>
      <c r="G644" s="397" t="s">
        <v>1014</v>
      </c>
      <c r="H644" s="423">
        <v>3632</v>
      </c>
      <c r="I644" s="397" t="s">
        <v>497</v>
      </c>
      <c r="J644" s="400">
        <f t="shared" ca="1" si="10"/>
        <v>45</v>
      </c>
    </row>
    <row r="645" spans="1:10" ht="15" x14ac:dyDescent="0.25">
      <c r="A645" s="397">
        <v>10001699</v>
      </c>
      <c r="B645" s="397">
        <v>8329093492</v>
      </c>
      <c r="C645" s="397" t="s">
        <v>1521</v>
      </c>
      <c r="D645" s="398">
        <v>20858</v>
      </c>
      <c r="E645" s="397" t="s">
        <v>1522</v>
      </c>
      <c r="F645" s="397" t="s">
        <v>1523</v>
      </c>
      <c r="G645" s="397" t="s">
        <v>1068</v>
      </c>
      <c r="H645" s="423">
        <v>9231</v>
      </c>
      <c r="I645" s="397" t="s">
        <v>730</v>
      </c>
      <c r="J645" s="400">
        <f t="shared" ca="1" si="10"/>
        <v>66</v>
      </c>
    </row>
    <row r="646" spans="1:10" ht="15" x14ac:dyDescent="0.25">
      <c r="A646" s="397">
        <v>10001700</v>
      </c>
      <c r="B646" s="397">
        <v>8329223957</v>
      </c>
      <c r="C646" s="397" t="s">
        <v>1524</v>
      </c>
      <c r="D646" s="398">
        <v>20871</v>
      </c>
      <c r="E646" s="397" t="s">
        <v>1525</v>
      </c>
      <c r="F646" s="397" t="s">
        <v>1526</v>
      </c>
      <c r="G646" s="397" t="s">
        <v>768</v>
      </c>
      <c r="H646" s="423">
        <v>2410</v>
      </c>
      <c r="I646" s="397" t="s">
        <v>366</v>
      </c>
      <c r="J646" s="400">
        <f t="shared" ca="1" si="10"/>
        <v>66</v>
      </c>
    </row>
    <row r="647" spans="1:10" ht="15" x14ac:dyDescent="0.25">
      <c r="A647" s="397">
        <v>10001701</v>
      </c>
      <c r="B647" s="397">
        <v>8330423271</v>
      </c>
      <c r="C647" s="397" t="s">
        <v>1527</v>
      </c>
      <c r="D647" s="398">
        <v>20991</v>
      </c>
      <c r="E647" s="397" t="s">
        <v>1528</v>
      </c>
      <c r="F647" s="397" t="s">
        <v>1529</v>
      </c>
      <c r="G647" s="397" t="s">
        <v>1014</v>
      </c>
      <c r="H647" s="423">
        <v>2910</v>
      </c>
      <c r="I647" s="397" t="s">
        <v>422</v>
      </c>
      <c r="J647" s="400">
        <f t="shared" ca="1" si="10"/>
        <v>66</v>
      </c>
    </row>
    <row r="648" spans="1:10" ht="15" x14ac:dyDescent="0.25">
      <c r="A648" s="397">
        <v>10001702</v>
      </c>
      <c r="B648" s="397">
        <v>8331062841</v>
      </c>
      <c r="C648" s="397" t="s">
        <v>1530</v>
      </c>
      <c r="D648" s="398">
        <v>21055</v>
      </c>
      <c r="E648" s="397" t="s">
        <v>1531</v>
      </c>
      <c r="F648" s="397" t="s">
        <v>1532</v>
      </c>
      <c r="G648" s="397" t="s">
        <v>1533</v>
      </c>
      <c r="H648" s="423">
        <v>2410</v>
      </c>
      <c r="I648" s="397" t="s">
        <v>366</v>
      </c>
      <c r="J648" s="400">
        <f t="shared" ca="1" si="10"/>
        <v>66</v>
      </c>
    </row>
    <row r="649" spans="1:10" ht="15" x14ac:dyDescent="0.25">
      <c r="A649" s="397">
        <v>10001703</v>
      </c>
      <c r="B649" s="397">
        <v>8331913493</v>
      </c>
      <c r="C649" s="397" t="s">
        <v>1534</v>
      </c>
      <c r="D649" s="398">
        <v>21140</v>
      </c>
      <c r="E649" s="397" t="s">
        <v>1531</v>
      </c>
      <c r="F649" s="397" t="s">
        <v>1532</v>
      </c>
      <c r="G649" s="397" t="s">
        <v>1535</v>
      </c>
      <c r="H649" s="423">
        <v>1328</v>
      </c>
      <c r="I649" s="397" t="s">
        <v>295</v>
      </c>
      <c r="J649" s="400">
        <f t="shared" ca="1" si="10"/>
        <v>66</v>
      </c>
    </row>
    <row r="650" spans="1:10" ht="15" x14ac:dyDescent="0.25">
      <c r="A650" s="397">
        <v>10001704</v>
      </c>
      <c r="B650" s="397">
        <v>8334263570</v>
      </c>
      <c r="C650" s="397" t="s">
        <v>1536</v>
      </c>
      <c r="D650" s="398">
        <v>21375</v>
      </c>
      <c r="E650" s="397" t="s">
        <v>1537</v>
      </c>
      <c r="F650" s="397" t="s">
        <v>1538</v>
      </c>
      <c r="G650" s="397" t="s">
        <v>1068</v>
      </c>
      <c r="H650" s="423">
        <v>7223</v>
      </c>
      <c r="I650" s="397" t="s">
        <v>613</v>
      </c>
      <c r="J650" s="400">
        <f t="shared" ca="1" si="10"/>
        <v>65</v>
      </c>
    </row>
    <row r="651" spans="1:10" ht="15" x14ac:dyDescent="0.25">
      <c r="A651" s="397">
        <v>10001705</v>
      </c>
      <c r="B651" s="397">
        <v>8335033226</v>
      </c>
      <c r="C651" s="397" t="s">
        <v>1539</v>
      </c>
      <c r="D651" s="398">
        <v>21452</v>
      </c>
      <c r="E651" s="397" t="s">
        <v>1537</v>
      </c>
      <c r="F651" s="397" t="s">
        <v>1538</v>
      </c>
      <c r="G651" s="397" t="s">
        <v>1068</v>
      </c>
      <c r="H651" s="423">
        <v>9231</v>
      </c>
      <c r="I651" s="397" t="s">
        <v>730</v>
      </c>
      <c r="J651" s="400">
        <f t="shared" ca="1" si="10"/>
        <v>65</v>
      </c>
    </row>
    <row r="652" spans="1:10" ht="15" x14ac:dyDescent="0.25">
      <c r="A652" s="397">
        <v>10001706</v>
      </c>
      <c r="B652" s="397">
        <v>8340433393</v>
      </c>
      <c r="C652" s="397" t="s">
        <v>1540</v>
      </c>
      <c r="D652" s="398">
        <v>21992</v>
      </c>
      <c r="E652" s="397" t="s">
        <v>1531</v>
      </c>
      <c r="F652" s="397" t="s">
        <v>1532</v>
      </c>
      <c r="G652" s="397" t="s">
        <v>1541</v>
      </c>
      <c r="H652" s="423">
        <v>2410</v>
      </c>
      <c r="I652" s="397" t="s">
        <v>366</v>
      </c>
      <c r="J652" s="400">
        <f t="shared" ca="1" si="10"/>
        <v>63</v>
      </c>
    </row>
    <row r="653" spans="1:10" ht="15" x14ac:dyDescent="0.25">
      <c r="A653" s="397">
        <v>10001707</v>
      </c>
      <c r="B653" s="397">
        <v>8346702302</v>
      </c>
      <c r="C653" s="397" t="s">
        <v>1542</v>
      </c>
      <c r="D653" s="398">
        <v>22619</v>
      </c>
      <c r="E653" s="397" t="s">
        <v>1522</v>
      </c>
      <c r="F653" s="397" t="s">
        <v>1523</v>
      </c>
      <c r="G653" s="397" t="s">
        <v>1068</v>
      </c>
      <c r="H653" s="423">
        <v>9231</v>
      </c>
      <c r="I653" s="397" t="s">
        <v>730</v>
      </c>
      <c r="J653" s="400">
        <f t="shared" ca="1" si="10"/>
        <v>62</v>
      </c>
    </row>
    <row r="654" spans="1:10" ht="15" x14ac:dyDescent="0.25">
      <c r="A654" s="397">
        <v>10001708</v>
      </c>
      <c r="B654" s="397">
        <v>8347162905</v>
      </c>
      <c r="C654" s="397" t="s">
        <v>1543</v>
      </c>
      <c r="D654" s="398">
        <v>22665</v>
      </c>
      <c r="E654" s="397" t="s">
        <v>1544</v>
      </c>
      <c r="F654" s="397" t="s">
        <v>1545</v>
      </c>
      <c r="G654" s="397" t="s">
        <v>1049</v>
      </c>
      <c r="H654" s="423">
        <v>4112</v>
      </c>
      <c r="I654" s="397" t="s">
        <v>523</v>
      </c>
      <c r="J654" s="400">
        <f t="shared" ca="1" si="10"/>
        <v>61</v>
      </c>
    </row>
    <row r="655" spans="1:10" ht="15" x14ac:dyDescent="0.25">
      <c r="A655" s="397">
        <v>10001709</v>
      </c>
      <c r="B655" s="397">
        <v>8347572488</v>
      </c>
      <c r="C655" s="397" t="s">
        <v>1546</v>
      </c>
      <c r="D655" s="398">
        <v>22706</v>
      </c>
      <c r="E655" s="397" t="s">
        <v>1522</v>
      </c>
      <c r="F655" s="397" t="s">
        <v>1523</v>
      </c>
      <c r="G655" s="397" t="s">
        <v>1068</v>
      </c>
      <c r="H655" s="423">
        <v>9231</v>
      </c>
      <c r="I655" s="397" t="s">
        <v>730</v>
      </c>
      <c r="J655" s="400">
        <f t="shared" ca="1" si="10"/>
        <v>61</v>
      </c>
    </row>
    <row r="656" spans="1:10" ht="15" x14ac:dyDescent="0.25">
      <c r="A656" s="397">
        <v>10001710</v>
      </c>
      <c r="B656" s="397">
        <v>8347962146</v>
      </c>
      <c r="C656" s="397" t="s">
        <v>1547</v>
      </c>
      <c r="D656" s="398">
        <v>22745</v>
      </c>
      <c r="E656" s="397" t="s">
        <v>1522</v>
      </c>
      <c r="F656" s="397" t="s">
        <v>1523</v>
      </c>
      <c r="G656" s="397" t="s">
        <v>1548</v>
      </c>
      <c r="H656" s="423">
        <v>9231</v>
      </c>
      <c r="I656" s="397" t="s">
        <v>730</v>
      </c>
      <c r="J656" s="400">
        <f t="shared" ca="1" si="10"/>
        <v>61</v>
      </c>
    </row>
    <row r="657" spans="1:10" ht="15" x14ac:dyDescent="0.25">
      <c r="A657" s="397">
        <v>10001712</v>
      </c>
      <c r="B657" s="397">
        <v>8355333578</v>
      </c>
      <c r="C657" s="397" t="s">
        <v>1549</v>
      </c>
      <c r="D657" s="398">
        <v>23482</v>
      </c>
      <c r="E657" s="397" t="s">
        <v>1537</v>
      </c>
      <c r="F657" s="397" t="s">
        <v>1538</v>
      </c>
      <c r="G657" s="397" t="s">
        <v>1068</v>
      </c>
      <c r="H657" s="423">
        <v>7524</v>
      </c>
      <c r="I657" s="397" t="s">
        <v>655</v>
      </c>
      <c r="J657" s="400">
        <f t="shared" ca="1" si="10"/>
        <v>59</v>
      </c>
    </row>
    <row r="658" spans="1:10" ht="15" x14ac:dyDescent="0.25">
      <c r="A658" s="397">
        <v>10001713</v>
      </c>
      <c r="B658" s="397">
        <v>8355491459</v>
      </c>
      <c r="C658" s="397" t="s">
        <v>1550</v>
      </c>
      <c r="D658" s="398">
        <v>23498</v>
      </c>
      <c r="E658" s="397" t="s">
        <v>1525</v>
      </c>
      <c r="F658" s="397" t="s">
        <v>1526</v>
      </c>
      <c r="G658" s="397" t="s">
        <v>768</v>
      </c>
      <c r="H658" s="423">
        <v>2410</v>
      </c>
      <c r="I658" s="397" t="s">
        <v>366</v>
      </c>
      <c r="J658" s="400">
        <f t="shared" ca="1" si="10"/>
        <v>59</v>
      </c>
    </row>
    <row r="659" spans="1:10" ht="15" x14ac:dyDescent="0.25">
      <c r="A659" s="397">
        <v>10001714</v>
      </c>
      <c r="B659" s="397">
        <v>8355642937</v>
      </c>
      <c r="C659" s="397" t="s">
        <v>1551</v>
      </c>
      <c r="D659" s="398">
        <v>23513</v>
      </c>
      <c r="E659" s="397" t="s">
        <v>1525</v>
      </c>
      <c r="F659" s="397" t="s">
        <v>1526</v>
      </c>
      <c r="G659" s="397" t="s">
        <v>1533</v>
      </c>
      <c r="H659" s="423">
        <v>2410</v>
      </c>
      <c r="I659" s="397" t="s">
        <v>366</v>
      </c>
      <c r="J659" s="400">
        <f t="shared" ca="1" si="10"/>
        <v>59</v>
      </c>
    </row>
    <row r="660" spans="1:10" ht="15" x14ac:dyDescent="0.25">
      <c r="A660" s="397">
        <v>10001715</v>
      </c>
      <c r="B660" s="397">
        <v>8357182429</v>
      </c>
      <c r="C660" s="397" t="s">
        <v>1552</v>
      </c>
      <c r="D660" s="398">
        <v>23667</v>
      </c>
      <c r="E660" s="397" t="s">
        <v>1544</v>
      </c>
      <c r="F660" s="397" t="s">
        <v>1545</v>
      </c>
      <c r="G660" s="397" t="s">
        <v>1014</v>
      </c>
      <c r="H660" s="423">
        <v>4112</v>
      </c>
      <c r="I660" s="397" t="s">
        <v>523</v>
      </c>
      <c r="J660" s="400">
        <f t="shared" ca="1" si="10"/>
        <v>59</v>
      </c>
    </row>
    <row r="661" spans="1:10" ht="15" x14ac:dyDescent="0.25">
      <c r="A661" s="397">
        <v>10001717</v>
      </c>
      <c r="B661" s="397">
        <v>8359752680</v>
      </c>
      <c r="C661" s="397" t="s">
        <v>1553</v>
      </c>
      <c r="D661" s="398">
        <v>23924</v>
      </c>
      <c r="E661" s="397" t="s">
        <v>1537</v>
      </c>
      <c r="F661" s="397" t="s">
        <v>1538</v>
      </c>
      <c r="G661" s="397" t="s">
        <v>1014</v>
      </c>
      <c r="H661" s="423">
        <v>3190</v>
      </c>
      <c r="I661" s="397" t="s">
        <v>456</v>
      </c>
      <c r="J661" s="400">
        <f t="shared" ca="1" si="10"/>
        <v>58</v>
      </c>
    </row>
    <row r="662" spans="1:10" ht="15" x14ac:dyDescent="0.25">
      <c r="A662" s="397">
        <v>10001718</v>
      </c>
      <c r="B662" s="397">
        <v>8360023166</v>
      </c>
      <c r="C662" s="397" t="s">
        <v>1554</v>
      </c>
      <c r="D662" s="398">
        <v>23951</v>
      </c>
      <c r="E662" s="397" t="s">
        <v>1531</v>
      </c>
      <c r="F662" s="397" t="s">
        <v>1532</v>
      </c>
      <c r="G662" s="397" t="s">
        <v>768</v>
      </c>
      <c r="H662" s="423">
        <v>1328</v>
      </c>
      <c r="I662" s="397" t="s">
        <v>295</v>
      </c>
      <c r="J662" s="400">
        <f t="shared" ca="1" si="10"/>
        <v>58</v>
      </c>
    </row>
    <row r="663" spans="1:10" ht="15" x14ac:dyDescent="0.25">
      <c r="A663" s="397">
        <v>10001719</v>
      </c>
      <c r="B663" s="397">
        <v>8360112924</v>
      </c>
      <c r="C663" s="397" t="s">
        <v>1555</v>
      </c>
      <c r="D663" s="398">
        <v>23960</v>
      </c>
      <c r="E663" s="397" t="s">
        <v>1531</v>
      </c>
      <c r="F663" s="397" t="s">
        <v>1532</v>
      </c>
      <c r="G663" s="397" t="s">
        <v>1556</v>
      </c>
      <c r="H663" s="423">
        <v>2410</v>
      </c>
      <c r="I663" s="397" t="s">
        <v>366</v>
      </c>
      <c r="J663" s="400">
        <f t="shared" ca="1" si="10"/>
        <v>58</v>
      </c>
    </row>
    <row r="664" spans="1:10" ht="15" x14ac:dyDescent="0.25">
      <c r="A664" s="397">
        <v>10001720</v>
      </c>
      <c r="B664" s="397">
        <v>8361381112</v>
      </c>
      <c r="C664" s="397" t="s">
        <v>1557</v>
      </c>
      <c r="D664" s="398">
        <v>24087</v>
      </c>
      <c r="E664" s="397" t="s">
        <v>1528</v>
      </c>
      <c r="F664" s="397" t="s">
        <v>1529</v>
      </c>
      <c r="G664" s="397" t="s">
        <v>1014</v>
      </c>
      <c r="H664" s="423">
        <v>2910</v>
      </c>
      <c r="I664" s="397" t="s">
        <v>422</v>
      </c>
      <c r="J664" s="400">
        <f t="shared" ca="1" si="10"/>
        <v>58</v>
      </c>
    </row>
    <row r="665" spans="1:10" ht="15" x14ac:dyDescent="0.25">
      <c r="A665" s="397">
        <v>10001721</v>
      </c>
      <c r="B665" s="397">
        <v>8362422726</v>
      </c>
      <c r="C665" s="397" t="s">
        <v>1558</v>
      </c>
      <c r="D665" s="398">
        <v>24191</v>
      </c>
      <c r="E665" s="397" t="s">
        <v>1559</v>
      </c>
      <c r="F665" s="397" t="s">
        <v>1560</v>
      </c>
      <c r="G665" s="397" t="s">
        <v>1561</v>
      </c>
      <c r="H665" s="423">
        <v>2711</v>
      </c>
      <c r="I665" s="397" t="s">
        <v>407</v>
      </c>
      <c r="J665" s="400">
        <f t="shared" ca="1" si="10"/>
        <v>57</v>
      </c>
    </row>
    <row r="666" spans="1:10" ht="15" x14ac:dyDescent="0.25">
      <c r="A666" s="397">
        <v>10001722</v>
      </c>
      <c r="B666" s="397">
        <v>8362921579</v>
      </c>
      <c r="C666" s="397" t="s">
        <v>1562</v>
      </c>
      <c r="D666" s="398">
        <v>24241</v>
      </c>
      <c r="E666" s="397" t="s">
        <v>1528</v>
      </c>
      <c r="F666" s="397" t="s">
        <v>1529</v>
      </c>
      <c r="G666" s="397" t="s">
        <v>1049</v>
      </c>
      <c r="H666" s="423">
        <v>4112</v>
      </c>
      <c r="I666" s="397" t="s">
        <v>523</v>
      </c>
      <c r="J666" s="400">
        <f t="shared" ca="1" si="10"/>
        <v>57</v>
      </c>
    </row>
    <row r="667" spans="1:10" ht="15" x14ac:dyDescent="0.25">
      <c r="A667" s="397">
        <v>10001723</v>
      </c>
      <c r="B667" s="397">
        <v>8363643505</v>
      </c>
      <c r="C667" s="397" t="s">
        <v>1563</v>
      </c>
      <c r="D667" s="398">
        <v>24313</v>
      </c>
      <c r="E667" s="397" t="s">
        <v>1531</v>
      </c>
      <c r="F667" s="397" t="s">
        <v>1532</v>
      </c>
      <c r="G667" s="397" t="s">
        <v>1541</v>
      </c>
      <c r="H667" s="423">
        <v>2410</v>
      </c>
      <c r="I667" s="397" t="s">
        <v>366</v>
      </c>
      <c r="J667" s="400">
        <f t="shared" ca="1" si="10"/>
        <v>57</v>
      </c>
    </row>
    <row r="668" spans="1:10" ht="15" x14ac:dyDescent="0.25">
      <c r="A668" s="397">
        <v>10001724</v>
      </c>
      <c r="B668" s="397">
        <v>8366693341</v>
      </c>
      <c r="C668" s="397" t="s">
        <v>1564</v>
      </c>
      <c r="D668" s="398">
        <v>24618</v>
      </c>
      <c r="E668" s="397" t="s">
        <v>1544</v>
      </c>
      <c r="F668" s="397" t="s">
        <v>1545</v>
      </c>
      <c r="G668" s="397" t="s">
        <v>1049</v>
      </c>
      <c r="H668" s="423">
        <v>3614</v>
      </c>
      <c r="I668" s="397" t="s">
        <v>489</v>
      </c>
      <c r="J668" s="400">
        <f t="shared" ca="1" si="10"/>
        <v>56</v>
      </c>
    </row>
    <row r="669" spans="1:10" ht="15" x14ac:dyDescent="0.25">
      <c r="A669" s="397">
        <v>10001726</v>
      </c>
      <c r="B669" s="397">
        <v>8368910234</v>
      </c>
      <c r="C669" s="397" t="s">
        <v>1565</v>
      </c>
      <c r="D669" s="398">
        <v>24840</v>
      </c>
      <c r="E669" s="397" t="s">
        <v>1537</v>
      </c>
      <c r="F669" s="397" t="s">
        <v>1538</v>
      </c>
      <c r="G669" s="397" t="s">
        <v>1049</v>
      </c>
      <c r="H669" s="423">
        <v>3614</v>
      </c>
      <c r="I669" s="397" t="s">
        <v>489</v>
      </c>
      <c r="J669" s="400">
        <f t="shared" ca="1" si="10"/>
        <v>55</v>
      </c>
    </row>
    <row r="670" spans="1:10" ht="15" x14ac:dyDescent="0.25">
      <c r="A670" s="397">
        <v>10001727</v>
      </c>
      <c r="B670" s="397">
        <v>8373774033</v>
      </c>
      <c r="C670" s="397" t="s">
        <v>1566</v>
      </c>
      <c r="D670" s="398">
        <v>25326</v>
      </c>
      <c r="E670" s="397" t="s">
        <v>1522</v>
      </c>
      <c r="F670" s="397" t="s">
        <v>1523</v>
      </c>
      <c r="G670" s="397" t="s">
        <v>1548</v>
      </c>
      <c r="H670" s="423">
        <v>9231</v>
      </c>
      <c r="I670" s="397" t="s">
        <v>730</v>
      </c>
      <c r="J670" s="400">
        <f t="shared" ca="1" si="10"/>
        <v>54</v>
      </c>
    </row>
    <row r="671" spans="1:10" ht="15" x14ac:dyDescent="0.25">
      <c r="A671" s="397">
        <v>10001731</v>
      </c>
      <c r="B671" s="397">
        <v>8387024724</v>
      </c>
      <c r="C671" s="397" t="s">
        <v>1567</v>
      </c>
      <c r="D671" s="398">
        <v>26651</v>
      </c>
      <c r="E671" s="397" t="s">
        <v>1559</v>
      </c>
      <c r="F671" s="397" t="s">
        <v>1560</v>
      </c>
      <c r="G671" s="397" t="s">
        <v>1561</v>
      </c>
      <c r="H671" s="423">
        <v>2711</v>
      </c>
      <c r="I671" s="397" t="s">
        <v>407</v>
      </c>
      <c r="J671" s="400">
        <f t="shared" ca="1" si="10"/>
        <v>51</v>
      </c>
    </row>
    <row r="672" spans="1:10" ht="15" x14ac:dyDescent="0.25">
      <c r="A672" s="397">
        <v>10001732</v>
      </c>
      <c r="B672" s="397">
        <v>8387843466</v>
      </c>
      <c r="C672" s="397" t="s">
        <v>1568</v>
      </c>
      <c r="D672" s="398">
        <v>26733</v>
      </c>
      <c r="E672" s="397" t="s">
        <v>1531</v>
      </c>
      <c r="F672" s="397" t="s">
        <v>1532</v>
      </c>
      <c r="G672" s="397" t="s">
        <v>1533</v>
      </c>
      <c r="H672" s="423">
        <v>2410</v>
      </c>
      <c r="I672" s="397" t="s">
        <v>366</v>
      </c>
      <c r="J672" s="400">
        <f t="shared" ca="1" si="10"/>
        <v>50</v>
      </c>
    </row>
    <row r="673" spans="1:10" ht="15" x14ac:dyDescent="0.25">
      <c r="A673" s="397">
        <v>10001733</v>
      </c>
      <c r="B673" s="397">
        <v>8401914213</v>
      </c>
      <c r="C673" s="397" t="s">
        <v>1569</v>
      </c>
      <c r="D673" s="398">
        <v>28140</v>
      </c>
      <c r="E673" s="397" t="s">
        <v>1525</v>
      </c>
      <c r="F673" s="397" t="s">
        <v>1526</v>
      </c>
      <c r="G673" s="397" t="s">
        <v>768</v>
      </c>
      <c r="H673" s="423">
        <v>2410</v>
      </c>
      <c r="I673" s="397" t="s">
        <v>366</v>
      </c>
      <c r="J673" s="400">
        <f t="shared" ca="1" si="10"/>
        <v>46</v>
      </c>
    </row>
    <row r="674" spans="1:10" ht="15" x14ac:dyDescent="0.25">
      <c r="A674" s="397">
        <v>10001735</v>
      </c>
      <c r="B674" s="397">
        <v>8406113413</v>
      </c>
      <c r="C674" s="397" t="s">
        <v>1570</v>
      </c>
      <c r="D674" s="398">
        <v>28560</v>
      </c>
      <c r="E674" s="397" t="s">
        <v>1544</v>
      </c>
      <c r="F674" s="397" t="s">
        <v>1545</v>
      </c>
      <c r="G674" s="397" t="s">
        <v>1014</v>
      </c>
      <c r="H674" s="423">
        <v>3614</v>
      </c>
      <c r="I674" s="397" t="s">
        <v>489</v>
      </c>
      <c r="J674" s="400">
        <f t="shared" ca="1" si="10"/>
        <v>45</v>
      </c>
    </row>
    <row r="675" spans="1:10" ht="15" x14ac:dyDescent="0.25">
      <c r="A675" s="397">
        <v>10001736</v>
      </c>
      <c r="B675" s="397">
        <v>8406992026</v>
      </c>
      <c r="C675" s="397" t="s">
        <v>1242</v>
      </c>
      <c r="D675" s="398">
        <v>28648</v>
      </c>
      <c r="E675" s="397" t="s">
        <v>1537</v>
      </c>
      <c r="F675" s="397" t="s">
        <v>1538</v>
      </c>
      <c r="G675" s="397" t="s">
        <v>1068</v>
      </c>
      <c r="H675" s="423">
        <v>9231</v>
      </c>
      <c r="I675" s="397" t="s">
        <v>730</v>
      </c>
      <c r="J675" s="400">
        <f t="shared" ca="1" si="10"/>
        <v>45</v>
      </c>
    </row>
    <row r="676" spans="1:10" ht="15" x14ac:dyDescent="0.25">
      <c r="A676" s="397">
        <v>10001737</v>
      </c>
      <c r="B676" s="397">
        <v>8407780618</v>
      </c>
      <c r="C676" s="397" t="s">
        <v>1571</v>
      </c>
      <c r="D676" s="398">
        <v>28727</v>
      </c>
      <c r="E676" s="397" t="s">
        <v>1572</v>
      </c>
      <c r="F676" s="397" t="s">
        <v>1573</v>
      </c>
      <c r="G676" s="397" t="s">
        <v>1068</v>
      </c>
      <c r="H676" s="423">
        <v>8416</v>
      </c>
      <c r="I676" s="397" t="s">
        <v>708</v>
      </c>
      <c r="J676" s="400">
        <f t="shared" ca="1" si="10"/>
        <v>45</v>
      </c>
    </row>
    <row r="677" spans="1:10" ht="15" x14ac:dyDescent="0.25">
      <c r="A677" s="397">
        <v>10001738</v>
      </c>
      <c r="B677" s="397">
        <v>8411453715</v>
      </c>
      <c r="C677" s="397" t="s">
        <v>1574</v>
      </c>
      <c r="D677" s="398">
        <v>29094</v>
      </c>
      <c r="E677" s="397" t="s">
        <v>1537</v>
      </c>
      <c r="F677" s="397" t="s">
        <v>1538</v>
      </c>
      <c r="G677" s="397" t="s">
        <v>1068</v>
      </c>
      <c r="H677" s="423">
        <v>6115</v>
      </c>
      <c r="I677" s="397" t="s">
        <v>590</v>
      </c>
      <c r="J677" s="400">
        <f t="shared" ca="1" si="10"/>
        <v>44</v>
      </c>
    </row>
    <row r="678" spans="1:10" ht="15" x14ac:dyDescent="0.25">
      <c r="A678" s="397">
        <v>10001739</v>
      </c>
      <c r="B678" s="397">
        <v>8411521834</v>
      </c>
      <c r="C678" s="397" t="s">
        <v>1575</v>
      </c>
      <c r="D678" s="398">
        <v>29101</v>
      </c>
      <c r="E678" s="397" t="s">
        <v>1576</v>
      </c>
      <c r="F678" s="397" t="s">
        <v>1026</v>
      </c>
      <c r="G678" s="397" t="s">
        <v>1049</v>
      </c>
      <c r="H678" s="423">
        <v>3910</v>
      </c>
      <c r="I678" s="397" t="s">
        <v>520</v>
      </c>
      <c r="J678" s="400">
        <f t="shared" ca="1" si="10"/>
        <v>44</v>
      </c>
    </row>
    <row r="679" spans="1:10" ht="15" x14ac:dyDescent="0.25">
      <c r="A679" s="397">
        <v>10001740</v>
      </c>
      <c r="B679" s="397">
        <v>8417903070</v>
      </c>
      <c r="C679" s="397" t="s">
        <v>1577</v>
      </c>
      <c r="D679" s="398">
        <v>29739</v>
      </c>
      <c r="E679" s="397" t="s">
        <v>1578</v>
      </c>
      <c r="F679" s="397" t="s">
        <v>1579</v>
      </c>
      <c r="G679" s="397" t="s">
        <v>1049</v>
      </c>
      <c r="H679" s="423">
        <v>3632</v>
      </c>
      <c r="I679" s="397" t="s">
        <v>497</v>
      </c>
      <c r="J679" s="400">
        <f t="shared" ca="1" si="10"/>
        <v>42</v>
      </c>
    </row>
    <row r="680" spans="1:10" ht="15" x14ac:dyDescent="0.25">
      <c r="A680" s="397">
        <v>10001741</v>
      </c>
      <c r="B680" s="397">
        <v>8418523018</v>
      </c>
      <c r="C680" s="397" t="s">
        <v>1580</v>
      </c>
      <c r="D680" s="398">
        <v>29801</v>
      </c>
      <c r="E680" s="397" t="s">
        <v>1537</v>
      </c>
      <c r="F680" s="397" t="s">
        <v>1538</v>
      </c>
      <c r="G680" s="397" t="s">
        <v>1068</v>
      </c>
      <c r="H680" s="423">
        <v>6115</v>
      </c>
      <c r="I680" s="397" t="s">
        <v>590</v>
      </c>
      <c r="J680" s="400">
        <f t="shared" ca="1" si="10"/>
        <v>42</v>
      </c>
    </row>
    <row r="681" spans="1:10" ht="15" x14ac:dyDescent="0.25">
      <c r="A681" s="397">
        <v>10001742</v>
      </c>
      <c r="B681" s="397">
        <v>8420351687</v>
      </c>
      <c r="C681" s="397" t="s">
        <v>1581</v>
      </c>
      <c r="D681" s="398">
        <v>29984</v>
      </c>
      <c r="E681" s="397" t="s">
        <v>1522</v>
      </c>
      <c r="F681" s="397" t="s">
        <v>1523</v>
      </c>
      <c r="G681" s="397" t="s">
        <v>1068</v>
      </c>
      <c r="H681" s="423">
        <v>9112</v>
      </c>
      <c r="I681" s="397" t="s">
        <v>719</v>
      </c>
      <c r="J681" s="400">
        <f t="shared" ca="1" si="10"/>
        <v>41</v>
      </c>
    </row>
    <row r="682" spans="1:10" ht="15" x14ac:dyDescent="0.25">
      <c r="A682" s="397">
        <v>10001743</v>
      </c>
      <c r="B682" s="397">
        <v>8432283533</v>
      </c>
      <c r="C682" s="397" t="s">
        <v>1582</v>
      </c>
      <c r="D682" s="398">
        <v>31177</v>
      </c>
      <c r="E682" s="397" t="s">
        <v>1572</v>
      </c>
      <c r="F682" s="397" t="s">
        <v>1573</v>
      </c>
      <c r="G682" s="397" t="s">
        <v>1049</v>
      </c>
      <c r="H682" s="423">
        <v>3142</v>
      </c>
      <c r="I682" s="397" t="s">
        <v>440</v>
      </c>
      <c r="J682" s="400">
        <f t="shared" ca="1" si="10"/>
        <v>38</v>
      </c>
    </row>
    <row r="683" spans="1:10" ht="15" x14ac:dyDescent="0.25">
      <c r="A683" s="397">
        <v>10001744</v>
      </c>
      <c r="B683" s="397">
        <v>8438330428</v>
      </c>
      <c r="C683" s="397" t="s">
        <v>1583</v>
      </c>
      <c r="D683" s="398">
        <v>31782</v>
      </c>
      <c r="E683" s="397" t="s">
        <v>1584</v>
      </c>
      <c r="F683" s="397" t="s">
        <v>1585</v>
      </c>
      <c r="G683" s="397" t="s">
        <v>1049</v>
      </c>
      <c r="H683" s="423">
        <v>4229</v>
      </c>
      <c r="I683" s="397" t="s">
        <v>545</v>
      </c>
      <c r="J683" s="400">
        <f t="shared" ca="1" si="10"/>
        <v>36</v>
      </c>
    </row>
    <row r="684" spans="1:10" ht="15" x14ac:dyDescent="0.25">
      <c r="A684" s="397">
        <v>10001745</v>
      </c>
      <c r="B684" s="397">
        <v>8441091919</v>
      </c>
      <c r="C684" s="397" t="s">
        <v>1586</v>
      </c>
      <c r="D684" s="398">
        <v>32058</v>
      </c>
      <c r="E684" s="397" t="s">
        <v>1531</v>
      </c>
      <c r="F684" s="397" t="s">
        <v>1532</v>
      </c>
      <c r="G684" s="397" t="s">
        <v>925</v>
      </c>
      <c r="H684" s="423">
        <v>2410</v>
      </c>
      <c r="I684" s="397" t="s">
        <v>366</v>
      </c>
      <c r="J684" s="400">
        <f t="shared" ca="1" si="10"/>
        <v>36</v>
      </c>
    </row>
    <row r="685" spans="1:10" ht="15" x14ac:dyDescent="0.25">
      <c r="A685" s="397">
        <v>10001746</v>
      </c>
      <c r="B685" s="397">
        <v>8442761829</v>
      </c>
      <c r="C685" s="397" t="s">
        <v>1587</v>
      </c>
      <c r="D685" s="398">
        <v>32225</v>
      </c>
      <c r="E685" s="397" t="s">
        <v>1522</v>
      </c>
      <c r="F685" s="397" t="s">
        <v>1523</v>
      </c>
      <c r="G685" s="397" t="s">
        <v>1049</v>
      </c>
      <c r="H685" s="423">
        <v>4229</v>
      </c>
      <c r="I685" s="397" t="s">
        <v>545</v>
      </c>
      <c r="J685" s="400">
        <f t="shared" ca="1" si="10"/>
        <v>35</v>
      </c>
    </row>
    <row r="686" spans="1:10" ht="15" x14ac:dyDescent="0.25">
      <c r="A686" s="397">
        <v>10001747</v>
      </c>
      <c r="B686" s="397">
        <v>8445312235</v>
      </c>
      <c r="C686" s="397" t="s">
        <v>1588</v>
      </c>
      <c r="D686" s="398">
        <v>32480</v>
      </c>
      <c r="E686" s="397" t="s">
        <v>1589</v>
      </c>
      <c r="F686" s="397" t="s">
        <v>1590</v>
      </c>
      <c r="G686" s="397" t="s">
        <v>1049</v>
      </c>
      <c r="H686" s="423">
        <v>2910</v>
      </c>
      <c r="I686" s="397" t="s">
        <v>422</v>
      </c>
      <c r="J686" s="400">
        <f t="shared" ca="1" si="10"/>
        <v>35</v>
      </c>
    </row>
    <row r="687" spans="1:10" ht="15" x14ac:dyDescent="0.25">
      <c r="A687" s="397">
        <v>10001748</v>
      </c>
      <c r="B687" s="397">
        <v>8446122928</v>
      </c>
      <c r="C687" s="397" t="s">
        <v>1591</v>
      </c>
      <c r="D687" s="398">
        <v>32561</v>
      </c>
      <c r="E687" s="397" t="s">
        <v>1584</v>
      </c>
      <c r="F687" s="397" t="s">
        <v>1585</v>
      </c>
      <c r="G687" s="397" t="s">
        <v>1049</v>
      </c>
      <c r="H687" s="423">
        <v>4229</v>
      </c>
      <c r="I687" s="397" t="s">
        <v>545</v>
      </c>
      <c r="J687" s="400">
        <f t="shared" ca="1" si="10"/>
        <v>34</v>
      </c>
    </row>
    <row r="688" spans="1:10" ht="15" x14ac:dyDescent="0.25">
      <c r="A688" s="397">
        <v>10001749</v>
      </c>
      <c r="B688" s="397">
        <v>8446882825</v>
      </c>
      <c r="C688" s="397" t="s">
        <v>1592</v>
      </c>
      <c r="D688" s="398">
        <v>32637</v>
      </c>
      <c r="E688" s="397" t="s">
        <v>1589</v>
      </c>
      <c r="F688" s="397" t="s">
        <v>1590</v>
      </c>
      <c r="G688" s="397" t="s">
        <v>1049</v>
      </c>
      <c r="H688" s="423">
        <v>3910</v>
      </c>
      <c r="I688" s="397" t="s">
        <v>520</v>
      </c>
      <c r="J688" s="400">
        <f t="shared" ca="1" si="10"/>
        <v>34</v>
      </c>
    </row>
    <row r="689" spans="1:10" ht="15" x14ac:dyDescent="0.25">
      <c r="A689" s="397">
        <v>10001750</v>
      </c>
      <c r="B689" s="397">
        <v>8449600928</v>
      </c>
      <c r="C689" s="397" t="s">
        <v>1593</v>
      </c>
      <c r="D689" s="398">
        <v>32909</v>
      </c>
      <c r="E689" s="397" t="s">
        <v>1572</v>
      </c>
      <c r="F689" s="397" t="s">
        <v>1573</v>
      </c>
      <c r="G689" s="397" t="s">
        <v>1049</v>
      </c>
      <c r="H689" s="423">
        <v>2152</v>
      </c>
      <c r="I689" s="397" t="s">
        <v>336</v>
      </c>
      <c r="J689" s="400">
        <f t="shared" ca="1" si="10"/>
        <v>33</v>
      </c>
    </row>
    <row r="690" spans="1:10" ht="15" x14ac:dyDescent="0.25">
      <c r="A690" s="397">
        <v>10001751</v>
      </c>
      <c r="B690" s="397">
        <v>8453751919</v>
      </c>
      <c r="C690" s="397" t="s">
        <v>1594</v>
      </c>
      <c r="D690" s="398">
        <v>33324</v>
      </c>
      <c r="E690" s="397" t="s">
        <v>1578</v>
      </c>
      <c r="F690" s="397" t="s">
        <v>1579</v>
      </c>
      <c r="G690" s="397" t="s">
        <v>1049</v>
      </c>
      <c r="H690" s="423">
        <v>3632</v>
      </c>
      <c r="I690" s="397" t="s">
        <v>497</v>
      </c>
      <c r="J690" s="400">
        <f t="shared" ca="1" si="10"/>
        <v>32</v>
      </c>
    </row>
    <row r="691" spans="1:10" ht="15" x14ac:dyDescent="0.25">
      <c r="A691" s="397">
        <v>10001753</v>
      </c>
      <c r="B691" s="397">
        <v>8365902559</v>
      </c>
      <c r="C691" s="397" t="s">
        <v>1595</v>
      </c>
      <c r="D691" s="398">
        <v>24539</v>
      </c>
      <c r="E691" s="397" t="s">
        <v>1537</v>
      </c>
      <c r="F691" s="397" t="s">
        <v>1538</v>
      </c>
      <c r="G691" s="397" t="s">
        <v>1068</v>
      </c>
      <c r="H691" s="423">
        <v>7521</v>
      </c>
      <c r="I691" s="397" t="s">
        <v>652</v>
      </c>
      <c r="J691" s="400">
        <f t="shared" ca="1" si="10"/>
        <v>56</v>
      </c>
    </row>
    <row r="692" spans="1:10" ht="15" x14ac:dyDescent="0.25">
      <c r="A692" s="397">
        <v>10001754</v>
      </c>
      <c r="B692" s="397">
        <v>8446400413</v>
      </c>
      <c r="C692" s="397" t="s">
        <v>1596</v>
      </c>
      <c r="D692" s="398">
        <v>32589</v>
      </c>
      <c r="E692" s="397" t="s">
        <v>1572</v>
      </c>
      <c r="F692" s="397" t="s">
        <v>1573</v>
      </c>
      <c r="G692" s="397" t="s">
        <v>1049</v>
      </c>
      <c r="H692" s="423">
        <v>3142</v>
      </c>
      <c r="I692" s="397" t="s">
        <v>440</v>
      </c>
      <c r="J692" s="400">
        <f t="shared" ca="1" si="10"/>
        <v>34</v>
      </c>
    </row>
    <row r="693" spans="1:10" ht="15" x14ac:dyDescent="0.25">
      <c r="A693" s="397">
        <v>10001755</v>
      </c>
      <c r="B693" s="397">
        <v>8474010640</v>
      </c>
      <c r="C693" s="397" t="s">
        <v>1597</v>
      </c>
      <c r="D693" s="398">
        <v>35350</v>
      </c>
      <c r="E693" s="397" t="s">
        <v>1559</v>
      </c>
      <c r="F693" s="397" t="s">
        <v>1560</v>
      </c>
      <c r="G693" s="397" t="s">
        <v>1119</v>
      </c>
      <c r="H693" s="423">
        <v>2711</v>
      </c>
      <c r="I693" s="397" t="s">
        <v>407</v>
      </c>
      <c r="J693" s="400">
        <f t="shared" ca="1" si="10"/>
        <v>27</v>
      </c>
    </row>
    <row r="694" spans="1:10" ht="15" x14ac:dyDescent="0.25">
      <c r="A694" s="397">
        <v>10001756</v>
      </c>
      <c r="B694" s="397">
        <v>8390832461</v>
      </c>
      <c r="C694" s="397" t="s">
        <v>1598</v>
      </c>
      <c r="D694" s="398">
        <v>27032</v>
      </c>
      <c r="E694" s="397" t="s">
        <v>1525</v>
      </c>
      <c r="F694" s="397" t="s">
        <v>1526</v>
      </c>
      <c r="G694" s="397" t="s">
        <v>1032</v>
      </c>
      <c r="H694" s="423">
        <v>2410</v>
      </c>
      <c r="I694" s="397" t="s">
        <v>366</v>
      </c>
      <c r="J694" s="400">
        <f t="shared" ca="1" si="10"/>
        <v>49</v>
      </c>
    </row>
    <row r="695" spans="1:10" ht="15" x14ac:dyDescent="0.25">
      <c r="A695" s="397">
        <v>10001757</v>
      </c>
      <c r="B695" s="397">
        <v>8367553926</v>
      </c>
      <c r="C695" s="397" t="s">
        <v>1599</v>
      </c>
      <c r="D695" s="398">
        <v>24704</v>
      </c>
      <c r="E695" s="397" t="s">
        <v>1525</v>
      </c>
      <c r="F695" s="397" t="s">
        <v>1526</v>
      </c>
      <c r="G695" s="397" t="s">
        <v>1032</v>
      </c>
      <c r="H695" s="423">
        <v>2410</v>
      </c>
      <c r="I695" s="397" t="s">
        <v>366</v>
      </c>
      <c r="J695" s="400">
        <f t="shared" ca="1" si="10"/>
        <v>56</v>
      </c>
    </row>
    <row r="696" spans="1:10" ht="15" x14ac:dyDescent="0.25">
      <c r="A696" s="397">
        <v>10001758</v>
      </c>
      <c r="B696" s="397">
        <v>8360630372</v>
      </c>
      <c r="C696" s="397" t="s">
        <v>1600</v>
      </c>
      <c r="D696" s="398">
        <v>24012</v>
      </c>
      <c r="E696" s="397" t="s">
        <v>1537</v>
      </c>
      <c r="F696" s="397" t="s">
        <v>1538</v>
      </c>
      <c r="G696" s="397" t="s">
        <v>1068</v>
      </c>
      <c r="H696" s="423">
        <v>7535</v>
      </c>
      <c r="I696" s="397" t="s">
        <v>661</v>
      </c>
      <c r="J696" s="400">
        <f t="shared" ca="1" si="10"/>
        <v>58</v>
      </c>
    </row>
    <row r="697" spans="1:10" ht="15" x14ac:dyDescent="0.25">
      <c r="A697" s="397">
        <v>10001761</v>
      </c>
      <c r="B697" s="397">
        <v>8459483118</v>
      </c>
      <c r="C697" s="397" t="s">
        <v>1601</v>
      </c>
      <c r="D697" s="398">
        <v>33897</v>
      </c>
      <c r="E697" s="397" t="s">
        <v>1184</v>
      </c>
      <c r="F697" s="397" t="s">
        <v>1185</v>
      </c>
      <c r="G697" s="397" t="s">
        <v>1049</v>
      </c>
      <c r="H697" s="423">
        <v>3632</v>
      </c>
      <c r="I697" s="397" t="s">
        <v>497</v>
      </c>
      <c r="J697" s="400">
        <f t="shared" ca="1" si="10"/>
        <v>31</v>
      </c>
    </row>
    <row r="698" spans="1:10" ht="15" x14ac:dyDescent="0.25">
      <c r="A698" s="397">
        <v>10001762</v>
      </c>
      <c r="B698" s="397">
        <v>8425033721</v>
      </c>
      <c r="C698" s="397" t="s">
        <v>1602</v>
      </c>
      <c r="D698" s="398">
        <v>30452</v>
      </c>
      <c r="E698" s="397" t="s">
        <v>1184</v>
      </c>
      <c r="F698" s="397" t="s">
        <v>1185</v>
      </c>
      <c r="G698" s="397" t="s">
        <v>1049</v>
      </c>
      <c r="H698" s="423">
        <v>4112</v>
      </c>
      <c r="I698" s="397" t="s">
        <v>523</v>
      </c>
      <c r="J698" s="400">
        <f t="shared" ca="1" si="10"/>
        <v>40</v>
      </c>
    </row>
    <row r="699" spans="1:10" ht="15" x14ac:dyDescent="0.25">
      <c r="A699" s="397">
        <v>10001763</v>
      </c>
      <c r="B699" s="397">
        <v>8396663947</v>
      </c>
      <c r="C699" s="397" t="s">
        <v>1603</v>
      </c>
      <c r="D699" s="398">
        <v>27615</v>
      </c>
      <c r="E699" s="397" t="s">
        <v>1025</v>
      </c>
      <c r="F699" s="397" t="s">
        <v>1026</v>
      </c>
      <c r="G699" s="397" t="s">
        <v>1049</v>
      </c>
      <c r="H699" s="423">
        <v>3910</v>
      </c>
      <c r="I699" s="397" t="s">
        <v>520</v>
      </c>
      <c r="J699" s="400">
        <f t="shared" ca="1" si="10"/>
        <v>48</v>
      </c>
    </row>
    <row r="700" spans="1:10" ht="15" x14ac:dyDescent="0.25">
      <c r="A700" s="397">
        <v>10001764</v>
      </c>
      <c r="B700" s="397">
        <v>8455691255</v>
      </c>
      <c r="C700" s="397" t="s">
        <v>1604</v>
      </c>
      <c r="D700" s="398">
        <v>33518</v>
      </c>
      <c r="E700" s="397" t="s">
        <v>824</v>
      </c>
      <c r="F700" s="397" t="s">
        <v>825</v>
      </c>
      <c r="G700" s="397" t="s">
        <v>1014</v>
      </c>
      <c r="H700" s="423">
        <v>2910</v>
      </c>
      <c r="I700" s="397" t="s">
        <v>422</v>
      </c>
      <c r="J700" s="400">
        <f t="shared" ca="1" si="10"/>
        <v>32</v>
      </c>
    </row>
    <row r="701" spans="1:10" ht="15" x14ac:dyDescent="0.25">
      <c r="A701" s="397">
        <v>10001766</v>
      </c>
      <c r="B701" s="397">
        <v>8382191150</v>
      </c>
      <c r="C701" s="397" t="s">
        <v>1605</v>
      </c>
      <c r="D701" s="398">
        <v>26168</v>
      </c>
      <c r="E701" s="397" t="s">
        <v>918</v>
      </c>
      <c r="F701" s="397" t="s">
        <v>919</v>
      </c>
      <c r="G701" s="397" t="s">
        <v>768</v>
      </c>
      <c r="H701" s="423">
        <v>1328</v>
      </c>
      <c r="I701" s="397" t="s">
        <v>295</v>
      </c>
      <c r="J701" s="400">
        <f t="shared" ca="1" si="10"/>
        <v>52</v>
      </c>
    </row>
    <row r="702" spans="1:10" ht="15" x14ac:dyDescent="0.25">
      <c r="A702" s="397">
        <v>10001768</v>
      </c>
      <c r="B702" s="397">
        <v>8477121125</v>
      </c>
      <c r="C702" s="397" t="s">
        <v>1606</v>
      </c>
      <c r="D702" s="398">
        <v>35661</v>
      </c>
      <c r="E702" s="397" t="s">
        <v>918</v>
      </c>
      <c r="F702" s="397" t="s">
        <v>919</v>
      </c>
      <c r="G702" s="397" t="s">
        <v>985</v>
      </c>
      <c r="H702" s="423">
        <v>2118</v>
      </c>
      <c r="I702" s="397" t="s">
        <v>318</v>
      </c>
      <c r="J702" s="400">
        <f t="shared" ca="1" si="10"/>
        <v>26</v>
      </c>
    </row>
    <row r="703" spans="1:10" ht="15" x14ac:dyDescent="0.25">
      <c r="A703" s="397">
        <v>10001773</v>
      </c>
      <c r="B703" s="397">
        <v>8363073083</v>
      </c>
      <c r="C703" s="397" t="s">
        <v>1607</v>
      </c>
      <c r="D703" s="398">
        <v>24256</v>
      </c>
      <c r="E703" s="397" t="s">
        <v>784</v>
      </c>
      <c r="F703" s="397" t="s">
        <v>785</v>
      </c>
      <c r="G703" s="397" t="s">
        <v>768</v>
      </c>
      <c r="H703" s="423">
        <v>2410</v>
      </c>
      <c r="I703" s="397" t="s">
        <v>366</v>
      </c>
      <c r="J703" s="400">
        <f t="shared" ca="1" si="10"/>
        <v>57</v>
      </c>
    </row>
    <row r="704" spans="1:10" ht="15" x14ac:dyDescent="0.25">
      <c r="A704" s="397">
        <v>10001778</v>
      </c>
      <c r="B704" s="397">
        <v>8457084143</v>
      </c>
      <c r="C704" s="397" t="s">
        <v>1608</v>
      </c>
      <c r="D704" s="398">
        <v>33657</v>
      </c>
      <c r="E704" s="397" t="s">
        <v>795</v>
      </c>
      <c r="F704" s="397" t="s">
        <v>796</v>
      </c>
      <c r="G704" s="397" t="s">
        <v>985</v>
      </c>
      <c r="H704" s="423">
        <v>2117</v>
      </c>
      <c r="I704" s="397" t="s">
        <v>317</v>
      </c>
      <c r="J704" s="400">
        <f t="shared" ca="1" si="10"/>
        <v>31</v>
      </c>
    </row>
    <row r="705" spans="1:10" ht="15" x14ac:dyDescent="0.25">
      <c r="A705" s="397">
        <v>10001779</v>
      </c>
      <c r="B705" s="397">
        <v>8477853010</v>
      </c>
      <c r="C705" s="397" t="s">
        <v>1609</v>
      </c>
      <c r="D705" s="398">
        <v>35734</v>
      </c>
      <c r="E705" s="397" t="s">
        <v>762</v>
      </c>
      <c r="F705" s="397" t="s">
        <v>763</v>
      </c>
      <c r="G705" s="397" t="s">
        <v>985</v>
      </c>
      <c r="H705" s="423">
        <v>3190</v>
      </c>
      <c r="I705" s="397" t="s">
        <v>456</v>
      </c>
      <c r="J705" s="400">
        <f t="shared" ca="1" si="10"/>
        <v>26</v>
      </c>
    </row>
    <row r="706" spans="1:10" ht="15" x14ac:dyDescent="0.25">
      <c r="A706" s="397">
        <v>10001780</v>
      </c>
      <c r="B706" s="397">
        <v>8449770939</v>
      </c>
      <c r="C706" s="397" t="s">
        <v>1610</v>
      </c>
      <c r="D706" s="398">
        <v>32926</v>
      </c>
      <c r="E706" s="397" t="s">
        <v>771</v>
      </c>
      <c r="F706" s="397" t="s">
        <v>772</v>
      </c>
      <c r="G706" s="397" t="s">
        <v>880</v>
      </c>
      <c r="H706" s="423">
        <v>2629</v>
      </c>
      <c r="I706" s="397" t="s">
        <v>406</v>
      </c>
      <c r="J706" s="400">
        <f t="shared" ca="1" si="10"/>
        <v>33</v>
      </c>
    </row>
    <row r="707" spans="1:10" ht="15" x14ac:dyDescent="0.25">
      <c r="A707" s="397">
        <v>10001782</v>
      </c>
      <c r="B707" s="397">
        <v>8456630403</v>
      </c>
      <c r="C707" s="397" t="s">
        <v>1611</v>
      </c>
      <c r="D707" s="398">
        <v>33612</v>
      </c>
      <c r="E707" s="397" t="s">
        <v>833</v>
      </c>
      <c r="F707" s="397" t="s">
        <v>834</v>
      </c>
      <c r="G707" s="397" t="s">
        <v>822</v>
      </c>
      <c r="H707" s="423">
        <v>2410</v>
      </c>
      <c r="I707" s="397" t="s">
        <v>366</v>
      </c>
      <c r="J707" s="400">
        <f t="shared" ref="J707:J770" ca="1" si="11">YEAR(TODAY())-YEAR(D707)</f>
        <v>31</v>
      </c>
    </row>
    <row r="708" spans="1:10" ht="15" x14ac:dyDescent="0.25">
      <c r="A708" s="397">
        <v>10001785</v>
      </c>
      <c r="B708" s="397">
        <v>8412150252</v>
      </c>
      <c r="C708" s="397" t="s">
        <v>1612</v>
      </c>
      <c r="D708" s="398">
        <v>29164</v>
      </c>
      <c r="E708" s="397" t="s">
        <v>762</v>
      </c>
      <c r="F708" s="397" t="s">
        <v>763</v>
      </c>
      <c r="G708" s="397" t="s">
        <v>902</v>
      </c>
      <c r="H708" s="423">
        <v>2117</v>
      </c>
      <c r="I708" s="397" t="s">
        <v>317</v>
      </c>
      <c r="J708" s="400">
        <f t="shared" ca="1" si="11"/>
        <v>44</v>
      </c>
    </row>
    <row r="709" spans="1:10" ht="15" x14ac:dyDescent="0.25">
      <c r="A709" s="397">
        <v>10001786</v>
      </c>
      <c r="B709" s="397">
        <v>8466910670</v>
      </c>
      <c r="C709" s="397" t="s">
        <v>1613</v>
      </c>
      <c r="D709" s="398">
        <v>34640</v>
      </c>
      <c r="E709" s="397" t="s">
        <v>918</v>
      </c>
      <c r="F709" s="397" t="s">
        <v>919</v>
      </c>
      <c r="G709" s="397" t="s">
        <v>985</v>
      </c>
      <c r="H709" s="423">
        <v>2118</v>
      </c>
      <c r="I709" s="397" t="s">
        <v>318</v>
      </c>
      <c r="J709" s="400">
        <f t="shared" ca="1" si="11"/>
        <v>29</v>
      </c>
    </row>
    <row r="710" spans="1:10" ht="15" x14ac:dyDescent="0.25">
      <c r="A710" s="397">
        <v>10001788</v>
      </c>
      <c r="B710" s="397">
        <v>8460470792</v>
      </c>
      <c r="C710" s="397" t="s">
        <v>1614</v>
      </c>
      <c r="D710" s="398">
        <v>33996</v>
      </c>
      <c r="E710" s="397" t="s">
        <v>774</v>
      </c>
      <c r="F710" s="397" t="s">
        <v>775</v>
      </c>
      <c r="G710" s="397" t="s">
        <v>985</v>
      </c>
      <c r="H710" s="423">
        <v>2117</v>
      </c>
      <c r="I710" s="397" t="s">
        <v>317</v>
      </c>
      <c r="J710" s="400">
        <f t="shared" ca="1" si="11"/>
        <v>30</v>
      </c>
    </row>
    <row r="711" spans="1:10" ht="15" x14ac:dyDescent="0.25">
      <c r="A711" s="397">
        <v>10001791</v>
      </c>
      <c r="B711" s="397">
        <v>8439851952</v>
      </c>
      <c r="C711" s="397" t="s">
        <v>1615</v>
      </c>
      <c r="D711" s="398">
        <v>31934</v>
      </c>
      <c r="E711" s="397" t="s">
        <v>868</v>
      </c>
      <c r="F711" s="397" t="s">
        <v>869</v>
      </c>
      <c r="G711" s="397" t="s">
        <v>902</v>
      </c>
      <c r="H711" s="423">
        <v>2169</v>
      </c>
      <c r="I711" s="397" t="s">
        <v>346</v>
      </c>
      <c r="J711" s="400">
        <f t="shared" ca="1" si="11"/>
        <v>36</v>
      </c>
    </row>
    <row r="712" spans="1:10" ht="15" x14ac:dyDescent="0.25">
      <c r="A712" s="397">
        <v>10001792</v>
      </c>
      <c r="B712" s="397">
        <v>8429253254</v>
      </c>
      <c r="C712" s="397" t="s">
        <v>1616</v>
      </c>
      <c r="D712" s="398">
        <v>30874</v>
      </c>
      <c r="E712" s="397" t="s">
        <v>840</v>
      </c>
      <c r="F712" s="397" t="s">
        <v>841</v>
      </c>
      <c r="G712" s="397" t="s">
        <v>985</v>
      </c>
      <c r="H712" s="423">
        <v>2165</v>
      </c>
      <c r="I712" s="397" t="s">
        <v>342</v>
      </c>
      <c r="J712" s="400">
        <f t="shared" ca="1" si="11"/>
        <v>39</v>
      </c>
    </row>
    <row r="713" spans="1:10" ht="15" x14ac:dyDescent="0.25">
      <c r="A713" s="397">
        <v>10001793</v>
      </c>
      <c r="B713" s="397">
        <v>8437480957</v>
      </c>
      <c r="C713" s="397" t="s">
        <v>1617</v>
      </c>
      <c r="D713" s="398">
        <v>31697</v>
      </c>
      <c r="E713" s="397" t="s">
        <v>868</v>
      </c>
      <c r="F713" s="397" t="s">
        <v>869</v>
      </c>
      <c r="G713" s="397" t="s">
        <v>902</v>
      </c>
      <c r="H713" s="423">
        <v>2214</v>
      </c>
      <c r="I713" s="397" t="s">
        <v>350</v>
      </c>
      <c r="J713" s="400">
        <f t="shared" ca="1" si="11"/>
        <v>37</v>
      </c>
    </row>
    <row r="714" spans="1:10" ht="15" x14ac:dyDescent="0.25">
      <c r="A714" s="397">
        <v>10001794</v>
      </c>
      <c r="B714" s="397">
        <v>8442082794</v>
      </c>
      <c r="C714" s="397" t="s">
        <v>1618</v>
      </c>
      <c r="D714" s="398">
        <v>32157</v>
      </c>
      <c r="E714" s="397" t="s">
        <v>868</v>
      </c>
      <c r="F714" s="397" t="s">
        <v>869</v>
      </c>
      <c r="G714" s="397" t="s">
        <v>902</v>
      </c>
      <c r="H714" s="423">
        <v>2139</v>
      </c>
      <c r="I714" s="397" t="s">
        <v>329</v>
      </c>
      <c r="J714" s="400">
        <f t="shared" ca="1" si="11"/>
        <v>35</v>
      </c>
    </row>
    <row r="715" spans="1:10" ht="15" x14ac:dyDescent="0.25">
      <c r="A715" s="397">
        <v>10001795</v>
      </c>
      <c r="B715" s="397">
        <v>8447772748</v>
      </c>
      <c r="C715" s="397" t="s">
        <v>214</v>
      </c>
      <c r="D715" s="398">
        <v>32726</v>
      </c>
      <c r="E715" s="397" t="s">
        <v>774</v>
      </c>
      <c r="F715" s="397" t="s">
        <v>775</v>
      </c>
      <c r="G715" s="397" t="s">
        <v>902</v>
      </c>
      <c r="H715" s="423">
        <v>2117</v>
      </c>
      <c r="I715" s="397" t="s">
        <v>317</v>
      </c>
      <c r="J715" s="400">
        <f t="shared" ca="1" si="11"/>
        <v>34</v>
      </c>
    </row>
    <row r="716" spans="1:10" ht="15" x14ac:dyDescent="0.25">
      <c r="A716" s="397">
        <v>10001796</v>
      </c>
      <c r="B716" s="397">
        <v>8367122739</v>
      </c>
      <c r="C716" s="397" t="s">
        <v>1619</v>
      </c>
      <c r="D716" s="398">
        <v>24661</v>
      </c>
      <c r="E716" s="397" t="s">
        <v>792</v>
      </c>
      <c r="F716" s="397" t="s">
        <v>793</v>
      </c>
      <c r="G716" s="397" t="s">
        <v>1014</v>
      </c>
      <c r="H716" s="423">
        <v>2910</v>
      </c>
      <c r="I716" s="397" t="s">
        <v>422</v>
      </c>
      <c r="J716" s="400">
        <f t="shared" ca="1" si="11"/>
        <v>56</v>
      </c>
    </row>
    <row r="717" spans="1:10" ht="15" x14ac:dyDescent="0.25">
      <c r="A717" s="397">
        <v>10001799</v>
      </c>
      <c r="B717" s="397">
        <v>8442530479</v>
      </c>
      <c r="C717" s="397" t="s">
        <v>1620</v>
      </c>
      <c r="D717" s="398">
        <v>32202</v>
      </c>
      <c r="E717" s="397" t="s">
        <v>792</v>
      </c>
      <c r="F717" s="397" t="s">
        <v>793</v>
      </c>
      <c r="G717" s="397" t="s">
        <v>1014</v>
      </c>
      <c r="H717" s="423">
        <v>2910</v>
      </c>
      <c r="I717" s="397" t="s">
        <v>422</v>
      </c>
      <c r="J717" s="400">
        <f t="shared" ca="1" si="11"/>
        <v>35</v>
      </c>
    </row>
    <row r="718" spans="1:10" ht="15" x14ac:dyDescent="0.25">
      <c r="A718" s="397">
        <v>10001800</v>
      </c>
      <c r="B718" s="397">
        <v>8415300263</v>
      </c>
      <c r="C718" s="397" t="s">
        <v>1621</v>
      </c>
      <c r="D718" s="398">
        <v>29479</v>
      </c>
      <c r="E718" s="397" t="s">
        <v>1154</v>
      </c>
      <c r="F718" s="397" t="s">
        <v>1155</v>
      </c>
      <c r="G718" s="397" t="s">
        <v>1014</v>
      </c>
      <c r="H718" s="423">
        <v>2910</v>
      </c>
      <c r="I718" s="397" t="s">
        <v>422</v>
      </c>
      <c r="J718" s="400">
        <f t="shared" ca="1" si="11"/>
        <v>43</v>
      </c>
    </row>
    <row r="719" spans="1:10" ht="15" x14ac:dyDescent="0.25">
      <c r="A719" s="397">
        <v>10001804</v>
      </c>
      <c r="B719" s="397">
        <v>8391833836</v>
      </c>
      <c r="C719" s="397" t="s">
        <v>1622</v>
      </c>
      <c r="D719" s="398">
        <v>27132</v>
      </c>
      <c r="E719" s="397" t="s">
        <v>800</v>
      </c>
      <c r="F719" s="397" t="s">
        <v>801</v>
      </c>
      <c r="G719" s="397" t="s">
        <v>776</v>
      </c>
      <c r="H719" s="423">
        <v>2410</v>
      </c>
      <c r="I719" s="397" t="s">
        <v>366</v>
      </c>
      <c r="J719" s="400">
        <f t="shared" ca="1" si="11"/>
        <v>49</v>
      </c>
    </row>
    <row r="720" spans="1:10" ht="15" x14ac:dyDescent="0.25">
      <c r="A720" s="397">
        <v>10001805</v>
      </c>
      <c r="B720" s="397">
        <v>8464342063</v>
      </c>
      <c r="C720" s="397" t="s">
        <v>1623</v>
      </c>
      <c r="D720" s="398">
        <v>34383</v>
      </c>
      <c r="E720" s="397" t="s">
        <v>1295</v>
      </c>
      <c r="F720" s="397" t="s">
        <v>1296</v>
      </c>
      <c r="G720" s="397" t="s">
        <v>1049</v>
      </c>
      <c r="H720" s="423">
        <v>3910</v>
      </c>
      <c r="I720" s="397" t="s">
        <v>520</v>
      </c>
      <c r="J720" s="400">
        <f t="shared" ca="1" si="11"/>
        <v>29</v>
      </c>
    </row>
    <row r="721" spans="1:10" ht="15" x14ac:dyDescent="0.25">
      <c r="A721" s="397">
        <v>10001806</v>
      </c>
      <c r="B721" s="397">
        <v>8382053971</v>
      </c>
      <c r="C721" s="397" t="s">
        <v>1624</v>
      </c>
      <c r="D721" s="398">
        <v>26154</v>
      </c>
      <c r="E721" s="397" t="s">
        <v>784</v>
      </c>
      <c r="F721" s="397" t="s">
        <v>785</v>
      </c>
      <c r="G721" s="397" t="s">
        <v>891</v>
      </c>
      <c r="H721" s="423">
        <v>2410</v>
      </c>
      <c r="I721" s="397" t="s">
        <v>366</v>
      </c>
      <c r="J721" s="400">
        <f t="shared" ca="1" si="11"/>
        <v>52</v>
      </c>
    </row>
    <row r="722" spans="1:10" ht="15" x14ac:dyDescent="0.25">
      <c r="A722" s="397">
        <v>10001807</v>
      </c>
      <c r="B722" s="397">
        <v>8360241228</v>
      </c>
      <c r="C722" s="397" t="s">
        <v>1625</v>
      </c>
      <c r="D722" s="398">
        <v>23973</v>
      </c>
      <c r="E722" s="397" t="s">
        <v>1522</v>
      </c>
      <c r="F722" s="397" t="s">
        <v>1523</v>
      </c>
      <c r="G722" s="397" t="s">
        <v>1626</v>
      </c>
      <c r="H722" s="423">
        <v>9231</v>
      </c>
      <c r="I722" s="397" t="s">
        <v>730</v>
      </c>
      <c r="J722" s="400">
        <f t="shared" ca="1" si="11"/>
        <v>58</v>
      </c>
    </row>
    <row r="723" spans="1:10" ht="15" x14ac:dyDescent="0.25">
      <c r="A723" s="397">
        <v>10001808</v>
      </c>
      <c r="B723" s="397">
        <v>8381284139</v>
      </c>
      <c r="C723" s="397" t="s">
        <v>1627</v>
      </c>
      <c r="D723" s="398">
        <v>26077</v>
      </c>
      <c r="E723" s="397" t="s">
        <v>1045</v>
      </c>
      <c r="F723" s="397" t="s">
        <v>1046</v>
      </c>
      <c r="G723" s="397" t="s">
        <v>1014</v>
      </c>
      <c r="H723" s="423">
        <v>2624</v>
      </c>
      <c r="I723" s="397" t="s">
        <v>401</v>
      </c>
      <c r="J723" s="400">
        <f t="shared" ca="1" si="11"/>
        <v>52</v>
      </c>
    </row>
    <row r="724" spans="1:10" ht="15" x14ac:dyDescent="0.25">
      <c r="A724" s="397">
        <v>10001809</v>
      </c>
      <c r="B724" s="397">
        <v>8456822582</v>
      </c>
      <c r="C724" s="397" t="s">
        <v>1628</v>
      </c>
      <c r="D724" s="398">
        <v>33631</v>
      </c>
      <c r="E724" s="397" t="s">
        <v>840</v>
      </c>
      <c r="F724" s="397" t="s">
        <v>841</v>
      </c>
      <c r="G724" s="397" t="s">
        <v>985</v>
      </c>
      <c r="H724" s="423">
        <v>2121</v>
      </c>
      <c r="I724" s="397" t="s">
        <v>319</v>
      </c>
      <c r="J724" s="400">
        <f t="shared" ca="1" si="11"/>
        <v>31</v>
      </c>
    </row>
    <row r="725" spans="1:10" ht="15" x14ac:dyDescent="0.25">
      <c r="A725" s="397">
        <v>10001811</v>
      </c>
      <c r="B725" s="397">
        <v>8435150860</v>
      </c>
      <c r="C725" s="397" t="s">
        <v>1629</v>
      </c>
      <c r="D725" s="398">
        <v>31464</v>
      </c>
      <c r="E725" s="397" t="s">
        <v>774</v>
      </c>
      <c r="F725" s="397" t="s">
        <v>775</v>
      </c>
      <c r="G725" s="397" t="s">
        <v>902</v>
      </c>
      <c r="H725" s="423">
        <v>2167</v>
      </c>
      <c r="I725" s="397" t="s">
        <v>344</v>
      </c>
      <c r="J725" s="400">
        <f t="shared" ca="1" si="11"/>
        <v>37</v>
      </c>
    </row>
    <row r="726" spans="1:10" ht="15" x14ac:dyDescent="0.25">
      <c r="A726" s="397">
        <v>10001813</v>
      </c>
      <c r="B726" s="397">
        <v>8453283079</v>
      </c>
      <c r="C726" s="397" t="s">
        <v>1630</v>
      </c>
      <c r="D726" s="398">
        <v>33277</v>
      </c>
      <c r="E726" s="397" t="s">
        <v>833</v>
      </c>
      <c r="F726" s="397" t="s">
        <v>834</v>
      </c>
      <c r="G726" s="397" t="s">
        <v>822</v>
      </c>
      <c r="H726" s="423">
        <v>2410</v>
      </c>
      <c r="I726" s="397" t="s">
        <v>366</v>
      </c>
      <c r="J726" s="400">
        <f t="shared" ca="1" si="11"/>
        <v>32</v>
      </c>
    </row>
    <row r="727" spans="1:10" ht="15" x14ac:dyDescent="0.25">
      <c r="A727" s="397">
        <v>10001814</v>
      </c>
      <c r="B727" s="397">
        <v>8387485616</v>
      </c>
      <c r="C727" s="397" t="s">
        <v>1631</v>
      </c>
      <c r="D727" s="398">
        <v>26697</v>
      </c>
      <c r="E727" s="397" t="s">
        <v>868</v>
      </c>
      <c r="F727" s="397" t="s">
        <v>869</v>
      </c>
      <c r="G727" s="397" t="s">
        <v>985</v>
      </c>
      <c r="H727" s="423">
        <v>2117</v>
      </c>
      <c r="I727" s="397" t="s">
        <v>317</v>
      </c>
      <c r="J727" s="400">
        <f t="shared" ca="1" si="11"/>
        <v>50</v>
      </c>
    </row>
    <row r="728" spans="1:10" ht="15" x14ac:dyDescent="0.25">
      <c r="A728" s="397">
        <v>10001815</v>
      </c>
      <c r="B728" s="397">
        <v>8468362336</v>
      </c>
      <c r="C728" s="397" t="s">
        <v>166</v>
      </c>
      <c r="D728" s="398">
        <v>34785</v>
      </c>
      <c r="E728" s="397" t="s">
        <v>849</v>
      </c>
      <c r="F728" s="397" t="s">
        <v>850</v>
      </c>
      <c r="G728" s="397" t="s">
        <v>985</v>
      </c>
      <c r="H728" s="423">
        <v>2167</v>
      </c>
      <c r="I728" s="397" t="s">
        <v>344</v>
      </c>
      <c r="J728" s="400">
        <f t="shared" ca="1" si="11"/>
        <v>28</v>
      </c>
    </row>
    <row r="729" spans="1:10" ht="15" x14ac:dyDescent="0.25">
      <c r="A729" s="397">
        <v>10001816</v>
      </c>
      <c r="B729" s="397">
        <v>8465090238</v>
      </c>
      <c r="C729" s="397" t="s">
        <v>1632</v>
      </c>
      <c r="D729" s="398">
        <v>34458</v>
      </c>
      <c r="E729" s="397" t="s">
        <v>1051</v>
      </c>
      <c r="F729" s="397" t="s">
        <v>1052</v>
      </c>
      <c r="G729" s="397" t="s">
        <v>1049</v>
      </c>
      <c r="H729" s="423">
        <v>4134</v>
      </c>
      <c r="I729" s="397" t="s">
        <v>534</v>
      </c>
      <c r="J729" s="400">
        <f t="shared" ca="1" si="11"/>
        <v>29</v>
      </c>
    </row>
    <row r="730" spans="1:10" ht="15" x14ac:dyDescent="0.25">
      <c r="A730" s="397">
        <v>10001818</v>
      </c>
      <c r="B730" s="397">
        <v>8459273199</v>
      </c>
      <c r="C730" s="397" t="s">
        <v>1633</v>
      </c>
      <c r="D730" s="398">
        <v>33876</v>
      </c>
      <c r="E730" s="397" t="s">
        <v>1589</v>
      </c>
      <c r="F730" s="397" t="s">
        <v>1590</v>
      </c>
      <c r="G730" s="397" t="s">
        <v>1049</v>
      </c>
      <c r="H730" s="423">
        <v>3910</v>
      </c>
      <c r="I730" s="397" t="s">
        <v>520</v>
      </c>
      <c r="J730" s="400">
        <f t="shared" ca="1" si="11"/>
        <v>31</v>
      </c>
    </row>
    <row r="731" spans="1:10" ht="15" x14ac:dyDescent="0.25">
      <c r="A731" s="397">
        <v>10001823</v>
      </c>
      <c r="B731" s="397">
        <v>8452851529</v>
      </c>
      <c r="C731" s="397" t="s">
        <v>1634</v>
      </c>
      <c r="D731" s="398">
        <v>33234</v>
      </c>
      <c r="E731" s="397" t="s">
        <v>1025</v>
      </c>
      <c r="F731" s="397" t="s">
        <v>1026</v>
      </c>
      <c r="G731" s="397" t="s">
        <v>1049</v>
      </c>
      <c r="H731" s="423">
        <v>3910</v>
      </c>
      <c r="I731" s="397" t="s">
        <v>520</v>
      </c>
      <c r="J731" s="400">
        <f t="shared" ca="1" si="11"/>
        <v>33</v>
      </c>
    </row>
    <row r="732" spans="1:10" ht="15" x14ac:dyDescent="0.25">
      <c r="A732" s="397">
        <v>10001829</v>
      </c>
      <c r="B732" s="397">
        <v>8400125053</v>
      </c>
      <c r="C732" s="397" t="s">
        <v>1635</v>
      </c>
      <c r="D732" s="398">
        <v>27961</v>
      </c>
      <c r="E732" s="397" t="s">
        <v>800</v>
      </c>
      <c r="F732" s="397" t="s">
        <v>801</v>
      </c>
      <c r="G732" s="397" t="s">
        <v>776</v>
      </c>
      <c r="H732" s="423">
        <v>2410</v>
      </c>
      <c r="I732" s="397" t="s">
        <v>366</v>
      </c>
      <c r="J732" s="400">
        <f t="shared" ca="1" si="11"/>
        <v>47</v>
      </c>
    </row>
    <row r="733" spans="1:10" ht="15" x14ac:dyDescent="0.25">
      <c r="A733" s="397">
        <v>10001830</v>
      </c>
      <c r="B733" s="397">
        <v>8447572374</v>
      </c>
      <c r="C733" s="397" t="s">
        <v>1636</v>
      </c>
      <c r="D733" s="398">
        <v>32706</v>
      </c>
      <c r="E733" s="397" t="s">
        <v>1039</v>
      </c>
      <c r="F733" s="397" t="s">
        <v>1040</v>
      </c>
      <c r="G733" s="397" t="s">
        <v>1209</v>
      </c>
      <c r="H733" s="423">
        <v>4229</v>
      </c>
      <c r="I733" s="397" t="s">
        <v>545</v>
      </c>
      <c r="J733" s="400">
        <f t="shared" ca="1" si="11"/>
        <v>34</v>
      </c>
    </row>
    <row r="734" spans="1:10" ht="15" x14ac:dyDescent="0.25">
      <c r="A734" s="397">
        <v>10001832</v>
      </c>
      <c r="B734" s="397">
        <v>8447632261</v>
      </c>
      <c r="C734" s="397" t="s">
        <v>1637</v>
      </c>
      <c r="D734" s="398">
        <v>32712</v>
      </c>
      <c r="E734" s="397" t="s">
        <v>762</v>
      </c>
      <c r="F734" s="397" t="s">
        <v>763</v>
      </c>
      <c r="G734" s="397" t="s">
        <v>985</v>
      </c>
      <c r="H734" s="423">
        <v>2139</v>
      </c>
      <c r="I734" s="397" t="s">
        <v>329</v>
      </c>
      <c r="J734" s="400">
        <f t="shared" ca="1" si="11"/>
        <v>34</v>
      </c>
    </row>
    <row r="735" spans="1:10" ht="15" x14ac:dyDescent="0.25">
      <c r="A735" s="397">
        <v>10001835</v>
      </c>
      <c r="B735" s="397">
        <v>8397883924</v>
      </c>
      <c r="C735" s="397" t="s">
        <v>1638</v>
      </c>
      <c r="D735" s="398">
        <v>27737</v>
      </c>
      <c r="E735" s="397" t="s">
        <v>1154</v>
      </c>
      <c r="F735" s="397" t="s">
        <v>1155</v>
      </c>
      <c r="G735" s="397" t="s">
        <v>1049</v>
      </c>
      <c r="H735" s="423">
        <v>2910</v>
      </c>
      <c r="I735" s="397" t="s">
        <v>422</v>
      </c>
      <c r="J735" s="400">
        <f t="shared" ca="1" si="11"/>
        <v>48</v>
      </c>
    </row>
    <row r="736" spans="1:10" ht="15" x14ac:dyDescent="0.25">
      <c r="A736" s="397">
        <v>10001838</v>
      </c>
      <c r="B736" s="397">
        <v>8354930351</v>
      </c>
      <c r="C736" s="397" t="s">
        <v>1231</v>
      </c>
      <c r="D736" s="398">
        <v>23442</v>
      </c>
      <c r="E736" s="397" t="s">
        <v>1042</v>
      </c>
      <c r="F736" s="397" t="s">
        <v>1043</v>
      </c>
      <c r="G736" s="397" t="s">
        <v>1068</v>
      </c>
      <c r="H736" s="423">
        <v>7521</v>
      </c>
      <c r="I736" s="397" t="s">
        <v>652</v>
      </c>
      <c r="J736" s="400">
        <f t="shared" ca="1" si="11"/>
        <v>59</v>
      </c>
    </row>
    <row r="737" spans="1:10" ht="15" x14ac:dyDescent="0.25">
      <c r="A737" s="397">
        <v>10001845</v>
      </c>
      <c r="B737" s="397">
        <v>8477402981</v>
      </c>
      <c r="C737" s="397" t="s">
        <v>1639</v>
      </c>
      <c r="D737" s="398">
        <v>35689</v>
      </c>
      <c r="E737" s="397" t="s">
        <v>762</v>
      </c>
      <c r="F737" s="397" t="s">
        <v>763</v>
      </c>
      <c r="G737" s="397" t="s">
        <v>985</v>
      </c>
      <c r="H737" s="423">
        <v>2117</v>
      </c>
      <c r="I737" s="397" t="s">
        <v>317</v>
      </c>
      <c r="J737" s="400">
        <f t="shared" ca="1" si="11"/>
        <v>26</v>
      </c>
    </row>
    <row r="738" spans="1:10" ht="15" x14ac:dyDescent="0.25">
      <c r="A738" s="397">
        <v>10001846</v>
      </c>
      <c r="B738" s="397">
        <v>8392431405</v>
      </c>
      <c r="C738" s="397" t="s">
        <v>1640</v>
      </c>
      <c r="D738" s="398">
        <v>27192</v>
      </c>
      <c r="E738" s="397" t="s">
        <v>1279</v>
      </c>
      <c r="F738" s="397" t="s">
        <v>1280</v>
      </c>
      <c r="G738" s="397" t="s">
        <v>985</v>
      </c>
      <c r="H738" s="423">
        <v>2117</v>
      </c>
      <c r="I738" s="397" t="s">
        <v>317</v>
      </c>
      <c r="J738" s="400">
        <f t="shared" ca="1" si="11"/>
        <v>49</v>
      </c>
    </row>
    <row r="739" spans="1:10" ht="15" x14ac:dyDescent="0.25">
      <c r="A739" s="397">
        <v>10001851</v>
      </c>
      <c r="B739" s="397">
        <v>8470832808</v>
      </c>
      <c r="C739" s="397" t="s">
        <v>1641</v>
      </c>
      <c r="D739" s="398">
        <v>35032</v>
      </c>
      <c r="E739" s="397" t="s">
        <v>1175</v>
      </c>
      <c r="F739" s="397" t="s">
        <v>1176</v>
      </c>
      <c r="G739" s="397" t="s">
        <v>1049</v>
      </c>
      <c r="H739" s="423">
        <v>3910</v>
      </c>
      <c r="I739" s="397" t="s">
        <v>520</v>
      </c>
      <c r="J739" s="400">
        <f t="shared" ca="1" si="11"/>
        <v>28</v>
      </c>
    </row>
    <row r="740" spans="1:10" ht="15" x14ac:dyDescent="0.25">
      <c r="A740" s="397">
        <v>10001854</v>
      </c>
      <c r="B740" s="397">
        <v>8463041248</v>
      </c>
      <c r="C740" s="397" t="s">
        <v>1642</v>
      </c>
      <c r="D740" s="398">
        <v>34253</v>
      </c>
      <c r="E740" s="397" t="s">
        <v>1042</v>
      </c>
      <c r="F740" s="397" t="s">
        <v>1043</v>
      </c>
      <c r="G740" s="397" t="s">
        <v>1014</v>
      </c>
      <c r="H740" s="423">
        <v>3163</v>
      </c>
      <c r="I740" s="397" t="s">
        <v>452</v>
      </c>
      <c r="J740" s="400">
        <f t="shared" ca="1" si="11"/>
        <v>30</v>
      </c>
    </row>
    <row r="741" spans="1:10" ht="15" x14ac:dyDescent="0.25">
      <c r="A741" s="397">
        <v>10001857</v>
      </c>
      <c r="B741" s="397">
        <v>8347262403</v>
      </c>
      <c r="C741" s="397" t="s">
        <v>1643</v>
      </c>
      <c r="D741" s="398">
        <v>22675</v>
      </c>
      <c r="E741" s="397" t="s">
        <v>1385</v>
      </c>
      <c r="F741" s="397" t="s">
        <v>1386</v>
      </c>
      <c r="G741" s="397" t="s">
        <v>1014</v>
      </c>
      <c r="H741" s="423">
        <v>1419</v>
      </c>
      <c r="I741" s="397" t="s">
        <v>310</v>
      </c>
      <c r="J741" s="400">
        <f t="shared" ca="1" si="11"/>
        <v>61</v>
      </c>
    </row>
    <row r="742" spans="1:10" ht="15" x14ac:dyDescent="0.25">
      <c r="A742" s="397">
        <v>10001859</v>
      </c>
      <c r="B742" s="397">
        <v>8443273798</v>
      </c>
      <c r="C742" s="397" t="s">
        <v>1644</v>
      </c>
      <c r="D742" s="398">
        <v>32276</v>
      </c>
      <c r="E742" s="397" t="s">
        <v>846</v>
      </c>
      <c r="F742" s="397" t="s">
        <v>847</v>
      </c>
      <c r="G742" s="397" t="s">
        <v>925</v>
      </c>
      <c r="H742" s="423">
        <v>2410</v>
      </c>
      <c r="I742" s="397" t="s">
        <v>366</v>
      </c>
      <c r="J742" s="400">
        <f t="shared" ca="1" si="11"/>
        <v>35</v>
      </c>
    </row>
    <row r="743" spans="1:10" ht="15" x14ac:dyDescent="0.25">
      <c r="A743" s="397">
        <v>10001861</v>
      </c>
      <c r="B743" s="397">
        <v>8392061268</v>
      </c>
      <c r="C743" s="397" t="s">
        <v>1645</v>
      </c>
      <c r="D743" s="398">
        <v>27155</v>
      </c>
      <c r="E743" s="397" t="s">
        <v>1531</v>
      </c>
      <c r="F743" s="397" t="s">
        <v>1532</v>
      </c>
      <c r="G743" s="397" t="s">
        <v>1556</v>
      </c>
      <c r="H743" s="423">
        <v>2410</v>
      </c>
      <c r="I743" s="397" t="s">
        <v>366</v>
      </c>
      <c r="J743" s="400">
        <f t="shared" ca="1" si="11"/>
        <v>49</v>
      </c>
    </row>
    <row r="744" spans="1:10" ht="15" x14ac:dyDescent="0.25">
      <c r="A744" s="397">
        <v>10001863</v>
      </c>
      <c r="B744" s="397">
        <v>8451324509</v>
      </c>
      <c r="C744" s="397" t="s">
        <v>1646</v>
      </c>
      <c r="D744" s="398">
        <v>33081</v>
      </c>
      <c r="E744" s="397" t="s">
        <v>774</v>
      </c>
      <c r="F744" s="397" t="s">
        <v>775</v>
      </c>
      <c r="G744" s="397" t="s">
        <v>831</v>
      </c>
      <c r="H744" s="423">
        <v>2139</v>
      </c>
      <c r="I744" s="397" t="s">
        <v>329</v>
      </c>
      <c r="J744" s="400">
        <f t="shared" ca="1" si="11"/>
        <v>33</v>
      </c>
    </row>
    <row r="745" spans="1:10" ht="15" x14ac:dyDescent="0.25">
      <c r="A745" s="397">
        <v>10001871</v>
      </c>
      <c r="B745" s="397">
        <v>8463660355</v>
      </c>
      <c r="C745" s="397" t="s">
        <v>1647</v>
      </c>
      <c r="D745" s="398">
        <v>34315</v>
      </c>
      <c r="E745" s="397" t="s">
        <v>810</v>
      </c>
      <c r="F745" s="397" t="s">
        <v>811</v>
      </c>
      <c r="G745" s="397" t="s">
        <v>1209</v>
      </c>
      <c r="H745" s="423">
        <v>2910</v>
      </c>
      <c r="I745" s="397" t="s">
        <v>422</v>
      </c>
      <c r="J745" s="400">
        <f t="shared" ca="1" si="11"/>
        <v>30</v>
      </c>
    </row>
    <row r="746" spans="1:10" ht="15" x14ac:dyDescent="0.25">
      <c r="A746" s="397">
        <v>10001877</v>
      </c>
      <c r="B746" s="397">
        <v>8474940427</v>
      </c>
      <c r="C746" s="397" t="s">
        <v>1648</v>
      </c>
      <c r="D746" s="398">
        <v>35443</v>
      </c>
      <c r="E746" s="397" t="s">
        <v>1385</v>
      </c>
      <c r="F746" s="397" t="s">
        <v>1386</v>
      </c>
      <c r="G746" s="397" t="s">
        <v>1014</v>
      </c>
      <c r="H746" s="423">
        <v>3910</v>
      </c>
      <c r="I746" s="397" t="s">
        <v>520</v>
      </c>
      <c r="J746" s="400">
        <f t="shared" ca="1" si="11"/>
        <v>26</v>
      </c>
    </row>
    <row r="747" spans="1:10" ht="15" x14ac:dyDescent="0.25">
      <c r="A747" s="397">
        <v>10001878</v>
      </c>
      <c r="B747" s="397">
        <v>8412103416</v>
      </c>
      <c r="C747" s="397" t="s">
        <v>1649</v>
      </c>
      <c r="D747" s="398">
        <v>29159</v>
      </c>
      <c r="E747" s="397" t="s">
        <v>1463</v>
      </c>
      <c r="F747" s="397" t="s">
        <v>1464</v>
      </c>
      <c r="G747" s="397" t="s">
        <v>1014</v>
      </c>
      <c r="H747" s="423">
        <v>2910</v>
      </c>
      <c r="I747" s="397" t="s">
        <v>422</v>
      </c>
      <c r="J747" s="400">
        <f t="shared" ca="1" si="11"/>
        <v>44</v>
      </c>
    </row>
    <row r="748" spans="1:10" ht="15" x14ac:dyDescent="0.25">
      <c r="A748" s="397">
        <v>10001879</v>
      </c>
      <c r="B748" s="397">
        <v>8341603020</v>
      </c>
      <c r="C748" s="397" t="s">
        <v>1650</v>
      </c>
      <c r="D748" s="398">
        <v>22109</v>
      </c>
      <c r="E748" s="397" t="s">
        <v>833</v>
      </c>
      <c r="F748" s="397" t="s">
        <v>834</v>
      </c>
      <c r="G748" s="397" t="s">
        <v>764</v>
      </c>
      <c r="H748" s="423">
        <v>2410</v>
      </c>
      <c r="I748" s="397" t="s">
        <v>366</v>
      </c>
      <c r="J748" s="400">
        <f t="shared" ca="1" si="11"/>
        <v>63</v>
      </c>
    </row>
    <row r="749" spans="1:10" ht="15" x14ac:dyDescent="0.25">
      <c r="A749" s="397">
        <v>10001887</v>
      </c>
      <c r="B749" s="397">
        <v>8462701147</v>
      </c>
      <c r="C749" s="397" t="s">
        <v>1651</v>
      </c>
      <c r="D749" s="398">
        <v>34219</v>
      </c>
      <c r="E749" s="397" t="s">
        <v>792</v>
      </c>
      <c r="F749" s="397" t="s">
        <v>793</v>
      </c>
      <c r="G749" s="397" t="s">
        <v>831</v>
      </c>
      <c r="H749" s="423">
        <v>2532</v>
      </c>
      <c r="I749" s="397" t="s">
        <v>389</v>
      </c>
      <c r="J749" s="400">
        <f t="shared" ca="1" si="11"/>
        <v>30</v>
      </c>
    </row>
    <row r="750" spans="1:10" ht="15" x14ac:dyDescent="0.25">
      <c r="A750" s="397">
        <v>10001888</v>
      </c>
      <c r="B750" s="397">
        <v>8384415307</v>
      </c>
      <c r="C750" s="397" t="s">
        <v>1652</v>
      </c>
      <c r="D750" s="398">
        <v>26390</v>
      </c>
      <c r="E750" s="397" t="s">
        <v>795</v>
      </c>
      <c r="F750" s="397" t="s">
        <v>796</v>
      </c>
      <c r="G750" s="397" t="s">
        <v>880</v>
      </c>
      <c r="H750" s="423">
        <v>2139</v>
      </c>
      <c r="I750" s="397" t="s">
        <v>329</v>
      </c>
      <c r="J750" s="400">
        <f t="shared" ca="1" si="11"/>
        <v>51</v>
      </c>
    </row>
    <row r="751" spans="1:10" ht="15" x14ac:dyDescent="0.25">
      <c r="A751" s="397">
        <v>10001889</v>
      </c>
      <c r="B751" s="397">
        <v>8476082037</v>
      </c>
      <c r="C751" s="397" t="s">
        <v>1653</v>
      </c>
      <c r="D751" s="398">
        <v>35557</v>
      </c>
      <c r="E751" s="397" t="s">
        <v>1107</v>
      </c>
      <c r="F751" s="397" t="s">
        <v>1108</v>
      </c>
      <c r="G751" s="397" t="s">
        <v>1049</v>
      </c>
      <c r="H751" s="423">
        <v>3910</v>
      </c>
      <c r="I751" s="397" t="s">
        <v>520</v>
      </c>
      <c r="J751" s="400">
        <f t="shared" ca="1" si="11"/>
        <v>26</v>
      </c>
    </row>
    <row r="752" spans="1:10" ht="15" x14ac:dyDescent="0.25">
      <c r="A752" s="397">
        <v>10001890</v>
      </c>
      <c r="B752" s="397">
        <v>8458363844</v>
      </c>
      <c r="C752" s="397" t="s">
        <v>1654</v>
      </c>
      <c r="D752" s="398">
        <v>33785</v>
      </c>
      <c r="E752" s="397" t="s">
        <v>774</v>
      </c>
      <c r="F752" s="397" t="s">
        <v>775</v>
      </c>
      <c r="G752" s="397" t="s">
        <v>985</v>
      </c>
      <c r="H752" s="423">
        <v>2910</v>
      </c>
      <c r="I752" s="397" t="s">
        <v>422</v>
      </c>
      <c r="J752" s="400">
        <f t="shared" ca="1" si="11"/>
        <v>31</v>
      </c>
    </row>
    <row r="753" spans="1:10" ht="15" x14ac:dyDescent="0.25">
      <c r="A753" s="397">
        <v>10001891</v>
      </c>
      <c r="B753" s="397">
        <v>8461660684</v>
      </c>
      <c r="C753" s="397" t="s">
        <v>1655</v>
      </c>
      <c r="D753" s="398">
        <v>34115</v>
      </c>
      <c r="E753" s="397" t="s">
        <v>762</v>
      </c>
      <c r="F753" s="397" t="s">
        <v>763</v>
      </c>
      <c r="G753" s="397" t="s">
        <v>831</v>
      </c>
      <c r="H753" s="423">
        <v>2910</v>
      </c>
      <c r="I753" s="397" t="s">
        <v>422</v>
      </c>
      <c r="J753" s="400">
        <f t="shared" ca="1" si="11"/>
        <v>30</v>
      </c>
    </row>
    <row r="754" spans="1:10" ht="15" x14ac:dyDescent="0.25">
      <c r="A754" s="397">
        <v>10001892</v>
      </c>
      <c r="B754" s="397">
        <v>8483220415</v>
      </c>
      <c r="C754" s="397" t="s">
        <v>1656</v>
      </c>
      <c r="D754" s="398">
        <v>36271</v>
      </c>
      <c r="E754" s="397" t="s">
        <v>803</v>
      </c>
      <c r="F754" s="397" t="s">
        <v>804</v>
      </c>
      <c r="G754" s="397" t="s">
        <v>985</v>
      </c>
      <c r="H754" s="423">
        <v>2139</v>
      </c>
      <c r="I754" s="397" t="s">
        <v>329</v>
      </c>
      <c r="J754" s="400">
        <f t="shared" ca="1" si="11"/>
        <v>24</v>
      </c>
    </row>
    <row r="755" spans="1:10" ht="15" x14ac:dyDescent="0.25">
      <c r="A755" s="397">
        <v>10001893</v>
      </c>
      <c r="B755" s="397">
        <v>8459421406</v>
      </c>
      <c r="C755" s="397" t="s">
        <v>1657</v>
      </c>
      <c r="D755" s="398">
        <v>33891</v>
      </c>
      <c r="E755" s="397" t="s">
        <v>868</v>
      </c>
      <c r="F755" s="397" t="s">
        <v>869</v>
      </c>
      <c r="G755" s="397" t="s">
        <v>985</v>
      </c>
      <c r="H755" s="423">
        <v>2131</v>
      </c>
      <c r="I755" s="397" t="s">
        <v>322</v>
      </c>
      <c r="J755" s="400">
        <f t="shared" ca="1" si="11"/>
        <v>31</v>
      </c>
    </row>
    <row r="756" spans="1:10" ht="15" x14ac:dyDescent="0.25">
      <c r="A756" s="397">
        <v>10001894</v>
      </c>
      <c r="B756" s="397">
        <v>8332374189</v>
      </c>
      <c r="C756" s="397" t="s">
        <v>1658</v>
      </c>
      <c r="D756" s="398">
        <v>21186</v>
      </c>
      <c r="E756" s="397" t="s">
        <v>868</v>
      </c>
      <c r="F756" s="397" t="s">
        <v>869</v>
      </c>
      <c r="G756" s="397" t="s">
        <v>1049</v>
      </c>
      <c r="H756" s="423">
        <v>3910</v>
      </c>
      <c r="I756" s="397" t="s">
        <v>520</v>
      </c>
      <c r="J756" s="400">
        <f t="shared" ca="1" si="11"/>
        <v>65</v>
      </c>
    </row>
    <row r="757" spans="1:10" ht="15" x14ac:dyDescent="0.25">
      <c r="A757" s="397">
        <v>10001895</v>
      </c>
      <c r="B757" s="397">
        <v>8441923213</v>
      </c>
      <c r="C757" s="397" t="s">
        <v>1659</v>
      </c>
      <c r="D757" s="398">
        <v>32141</v>
      </c>
      <c r="E757" s="397" t="s">
        <v>1295</v>
      </c>
      <c r="F757" s="397" t="s">
        <v>1296</v>
      </c>
      <c r="G757" s="397" t="s">
        <v>1049</v>
      </c>
      <c r="H757" s="423">
        <v>3410</v>
      </c>
      <c r="I757" s="397" t="s">
        <v>478</v>
      </c>
      <c r="J757" s="400">
        <f t="shared" ca="1" si="11"/>
        <v>36</v>
      </c>
    </row>
    <row r="758" spans="1:10" ht="15" x14ac:dyDescent="0.25">
      <c r="A758" s="397">
        <v>10001896</v>
      </c>
      <c r="B758" s="397">
        <v>8401954231</v>
      </c>
      <c r="C758" s="397" t="s">
        <v>1660</v>
      </c>
      <c r="D758" s="398">
        <v>28144</v>
      </c>
      <c r="E758" s="397" t="s">
        <v>766</v>
      </c>
      <c r="F758" s="397" t="s">
        <v>767</v>
      </c>
      <c r="G758" s="397" t="s">
        <v>768</v>
      </c>
      <c r="H758" s="423">
        <v>1328</v>
      </c>
      <c r="I758" s="397" t="s">
        <v>295</v>
      </c>
      <c r="J758" s="400">
        <f t="shared" ca="1" si="11"/>
        <v>46</v>
      </c>
    </row>
    <row r="759" spans="1:10" ht="15" x14ac:dyDescent="0.25">
      <c r="A759" s="397">
        <v>10001897</v>
      </c>
      <c r="B759" s="397">
        <v>8456510645</v>
      </c>
      <c r="C759" s="397" t="s">
        <v>1661</v>
      </c>
      <c r="D759" s="398">
        <v>33600</v>
      </c>
      <c r="E759" s="397" t="s">
        <v>833</v>
      </c>
      <c r="F759" s="397" t="s">
        <v>834</v>
      </c>
      <c r="G759" s="397" t="s">
        <v>822</v>
      </c>
      <c r="H759" s="423">
        <v>2410</v>
      </c>
      <c r="I759" s="397" t="s">
        <v>366</v>
      </c>
      <c r="J759" s="400">
        <f t="shared" ca="1" si="11"/>
        <v>32</v>
      </c>
    </row>
    <row r="760" spans="1:10" ht="15" x14ac:dyDescent="0.25">
      <c r="A760" s="397">
        <v>10001898</v>
      </c>
      <c r="B760" s="397">
        <v>8456992658</v>
      </c>
      <c r="C760" s="397" t="s">
        <v>1662</v>
      </c>
      <c r="D760" s="398">
        <v>33648</v>
      </c>
      <c r="E760" s="397" t="s">
        <v>778</v>
      </c>
      <c r="F760" s="397" t="s">
        <v>779</v>
      </c>
      <c r="G760" s="397" t="s">
        <v>822</v>
      </c>
      <c r="H760" s="423">
        <v>2410</v>
      </c>
      <c r="I760" s="397" t="s">
        <v>366</v>
      </c>
      <c r="J760" s="400">
        <f t="shared" ca="1" si="11"/>
        <v>31</v>
      </c>
    </row>
    <row r="761" spans="1:10" ht="15" x14ac:dyDescent="0.25">
      <c r="A761" s="397">
        <v>10001899</v>
      </c>
      <c r="B761" s="397">
        <v>8459312267</v>
      </c>
      <c r="C761" s="397" t="s">
        <v>1663</v>
      </c>
      <c r="D761" s="398">
        <v>33880</v>
      </c>
      <c r="E761" s="397" t="s">
        <v>1501</v>
      </c>
      <c r="F761" s="397" t="s">
        <v>1502</v>
      </c>
      <c r="G761" s="397" t="s">
        <v>1049</v>
      </c>
      <c r="H761" s="423">
        <v>3632</v>
      </c>
      <c r="I761" s="397" t="s">
        <v>497</v>
      </c>
      <c r="J761" s="400">
        <f t="shared" ca="1" si="11"/>
        <v>31</v>
      </c>
    </row>
    <row r="762" spans="1:10" ht="15" x14ac:dyDescent="0.25">
      <c r="A762" s="397">
        <v>10001900</v>
      </c>
      <c r="B762" s="397">
        <v>8469340409</v>
      </c>
      <c r="C762" s="397" t="s">
        <v>1664</v>
      </c>
      <c r="D762" s="398">
        <v>34883</v>
      </c>
      <c r="E762" s="397" t="s">
        <v>1184</v>
      </c>
      <c r="F762" s="397" t="s">
        <v>1185</v>
      </c>
      <c r="G762" s="397" t="s">
        <v>1049</v>
      </c>
      <c r="H762" s="423">
        <v>3632</v>
      </c>
      <c r="I762" s="397" t="s">
        <v>497</v>
      </c>
      <c r="J762" s="400">
        <f t="shared" ca="1" si="11"/>
        <v>28</v>
      </c>
    </row>
    <row r="763" spans="1:10" ht="15" x14ac:dyDescent="0.25">
      <c r="A763" s="397">
        <v>10001902</v>
      </c>
      <c r="B763" s="397">
        <v>8381002001</v>
      </c>
      <c r="C763" s="397" t="s">
        <v>1665</v>
      </c>
      <c r="D763" s="398">
        <v>26049</v>
      </c>
      <c r="E763" s="397" t="s">
        <v>1030</v>
      </c>
      <c r="F763" s="397" t="s">
        <v>1031</v>
      </c>
      <c r="G763" s="397" t="s">
        <v>1049</v>
      </c>
      <c r="H763" s="423">
        <v>2910</v>
      </c>
      <c r="I763" s="397" t="s">
        <v>422</v>
      </c>
      <c r="J763" s="400">
        <f t="shared" ca="1" si="11"/>
        <v>52</v>
      </c>
    </row>
    <row r="764" spans="1:10" ht="15" x14ac:dyDescent="0.25">
      <c r="A764" s="397">
        <v>10001905</v>
      </c>
      <c r="B764" s="397">
        <v>8425661145</v>
      </c>
      <c r="C764" s="397" t="s">
        <v>1666</v>
      </c>
      <c r="D764" s="398">
        <v>30515</v>
      </c>
      <c r="E764" s="397" t="s">
        <v>868</v>
      </c>
      <c r="F764" s="397" t="s">
        <v>869</v>
      </c>
      <c r="G764" s="397" t="s">
        <v>902</v>
      </c>
      <c r="H764" s="423">
        <v>2139</v>
      </c>
      <c r="I764" s="397" t="s">
        <v>329</v>
      </c>
      <c r="J764" s="400">
        <f t="shared" ca="1" si="11"/>
        <v>40</v>
      </c>
    </row>
    <row r="765" spans="1:10" ht="15" x14ac:dyDescent="0.25">
      <c r="A765" s="397">
        <v>10001907</v>
      </c>
      <c r="B765" s="397">
        <v>8430140549</v>
      </c>
      <c r="C765" s="397" t="s">
        <v>1667</v>
      </c>
      <c r="D765" s="398">
        <v>30963</v>
      </c>
      <c r="E765" s="397" t="s">
        <v>868</v>
      </c>
      <c r="F765" s="397" t="s">
        <v>869</v>
      </c>
      <c r="G765" s="397" t="s">
        <v>1014</v>
      </c>
      <c r="H765" s="423">
        <v>2910</v>
      </c>
      <c r="I765" s="397" t="s">
        <v>422</v>
      </c>
      <c r="J765" s="400">
        <f t="shared" ca="1" si="11"/>
        <v>39</v>
      </c>
    </row>
    <row r="766" spans="1:10" ht="15" x14ac:dyDescent="0.25">
      <c r="A766" s="397">
        <v>10001908</v>
      </c>
      <c r="B766" s="397">
        <v>8459972100</v>
      </c>
      <c r="C766" s="397" t="s">
        <v>1668</v>
      </c>
      <c r="D766" s="398">
        <v>33946</v>
      </c>
      <c r="E766" s="397" t="s">
        <v>762</v>
      </c>
      <c r="F766" s="397" t="s">
        <v>763</v>
      </c>
      <c r="G766" s="397" t="s">
        <v>985</v>
      </c>
      <c r="H766" s="423">
        <v>2139</v>
      </c>
      <c r="I766" s="397" t="s">
        <v>329</v>
      </c>
      <c r="J766" s="400">
        <f t="shared" ca="1" si="11"/>
        <v>31</v>
      </c>
    </row>
    <row r="767" spans="1:10" ht="15" x14ac:dyDescent="0.25">
      <c r="A767" s="397">
        <v>10001914</v>
      </c>
      <c r="B767" s="397">
        <v>8388324136</v>
      </c>
      <c r="C767" s="397" t="s">
        <v>1669</v>
      </c>
      <c r="D767" s="398">
        <v>26781</v>
      </c>
      <c r="E767" s="397" t="s">
        <v>849</v>
      </c>
      <c r="F767" s="397" t="s">
        <v>850</v>
      </c>
      <c r="G767" s="397" t="s">
        <v>985</v>
      </c>
      <c r="H767" s="423">
        <v>2139</v>
      </c>
      <c r="I767" s="397" t="s">
        <v>329</v>
      </c>
      <c r="J767" s="400">
        <f t="shared" ca="1" si="11"/>
        <v>50</v>
      </c>
    </row>
    <row r="768" spans="1:10" ht="15" x14ac:dyDescent="0.25">
      <c r="A768" s="397">
        <v>10001915</v>
      </c>
      <c r="B768" s="397">
        <v>8426662528</v>
      </c>
      <c r="C768" s="397" t="s">
        <v>1670</v>
      </c>
      <c r="D768" s="398">
        <v>30615</v>
      </c>
      <c r="E768" s="397" t="s">
        <v>849</v>
      </c>
      <c r="F768" s="397" t="s">
        <v>850</v>
      </c>
      <c r="G768" s="397" t="s">
        <v>985</v>
      </c>
      <c r="H768" s="423">
        <v>2139</v>
      </c>
      <c r="I768" s="397" t="s">
        <v>329</v>
      </c>
      <c r="J768" s="400">
        <f t="shared" ca="1" si="11"/>
        <v>40</v>
      </c>
    </row>
    <row r="769" spans="1:10" ht="15" x14ac:dyDescent="0.25">
      <c r="A769" s="397">
        <v>10001916</v>
      </c>
      <c r="B769" s="397">
        <v>8330572722</v>
      </c>
      <c r="C769" s="397" t="s">
        <v>1671</v>
      </c>
      <c r="D769" s="398">
        <v>21006</v>
      </c>
      <c r="E769" s="397" t="s">
        <v>849</v>
      </c>
      <c r="F769" s="397" t="s">
        <v>850</v>
      </c>
      <c r="G769" s="397" t="s">
        <v>1049</v>
      </c>
      <c r="H769" s="423">
        <v>3910</v>
      </c>
      <c r="I769" s="397" t="s">
        <v>520</v>
      </c>
      <c r="J769" s="400">
        <f t="shared" ca="1" si="11"/>
        <v>66</v>
      </c>
    </row>
    <row r="770" spans="1:10" ht="15" x14ac:dyDescent="0.25">
      <c r="A770" s="397">
        <v>10001918</v>
      </c>
      <c r="B770" s="397">
        <v>8411242498</v>
      </c>
      <c r="C770" s="397" t="s">
        <v>1672</v>
      </c>
      <c r="D770" s="398">
        <v>29073</v>
      </c>
      <c r="E770" s="397" t="s">
        <v>849</v>
      </c>
      <c r="F770" s="397" t="s">
        <v>850</v>
      </c>
      <c r="G770" s="397" t="s">
        <v>985</v>
      </c>
      <c r="H770" s="423">
        <v>2161</v>
      </c>
      <c r="I770" s="397" t="s">
        <v>339</v>
      </c>
      <c r="J770" s="400">
        <f t="shared" ca="1" si="11"/>
        <v>44</v>
      </c>
    </row>
    <row r="771" spans="1:10" ht="15" x14ac:dyDescent="0.25">
      <c r="A771" s="397">
        <v>10001919</v>
      </c>
      <c r="B771" s="397">
        <v>8427861834</v>
      </c>
      <c r="C771" s="397" t="s">
        <v>1673</v>
      </c>
      <c r="D771" s="398">
        <v>30735</v>
      </c>
      <c r="E771" s="397" t="s">
        <v>1039</v>
      </c>
      <c r="F771" s="397" t="s">
        <v>1040</v>
      </c>
      <c r="G771" s="397" t="s">
        <v>1014</v>
      </c>
      <c r="H771" s="423">
        <v>4229</v>
      </c>
      <c r="I771" s="397" t="s">
        <v>545</v>
      </c>
      <c r="J771" s="400">
        <f t="shared" ref="J771:J834" ca="1" si="12">YEAR(TODAY())-YEAR(D771)</f>
        <v>39</v>
      </c>
    </row>
    <row r="772" spans="1:10" ht="15" x14ac:dyDescent="0.25">
      <c r="A772" s="397">
        <v>10001921</v>
      </c>
      <c r="B772" s="397">
        <v>8469730517</v>
      </c>
      <c r="C772" s="397" t="s">
        <v>1674</v>
      </c>
      <c r="D772" s="398">
        <v>34922</v>
      </c>
      <c r="E772" s="397" t="s">
        <v>1175</v>
      </c>
      <c r="F772" s="397" t="s">
        <v>1176</v>
      </c>
      <c r="G772" s="397" t="s">
        <v>1049</v>
      </c>
      <c r="H772" s="423">
        <v>3910</v>
      </c>
      <c r="I772" s="397" t="s">
        <v>520</v>
      </c>
      <c r="J772" s="400">
        <f t="shared" ca="1" si="12"/>
        <v>28</v>
      </c>
    </row>
    <row r="773" spans="1:10" ht="15" x14ac:dyDescent="0.25">
      <c r="A773" s="397">
        <v>10001922</v>
      </c>
      <c r="B773" s="397">
        <v>8392460766</v>
      </c>
      <c r="C773" s="397" t="s">
        <v>1675</v>
      </c>
      <c r="D773" s="398">
        <v>27195</v>
      </c>
      <c r="E773" s="397" t="s">
        <v>1164</v>
      </c>
      <c r="F773" s="397" t="s">
        <v>1165</v>
      </c>
      <c r="G773" s="397" t="s">
        <v>1014</v>
      </c>
      <c r="H773" s="423">
        <v>2910</v>
      </c>
      <c r="I773" s="397" t="s">
        <v>422</v>
      </c>
      <c r="J773" s="400">
        <f t="shared" ca="1" si="12"/>
        <v>49</v>
      </c>
    </row>
    <row r="774" spans="1:10" ht="15" x14ac:dyDescent="0.25">
      <c r="A774" s="397">
        <v>10001923</v>
      </c>
      <c r="B774" s="397">
        <v>8443541296</v>
      </c>
      <c r="C774" s="397" t="s">
        <v>1676</v>
      </c>
      <c r="D774" s="398">
        <v>32303</v>
      </c>
      <c r="E774" s="397" t="s">
        <v>1039</v>
      </c>
      <c r="F774" s="397" t="s">
        <v>1040</v>
      </c>
      <c r="G774" s="397" t="s">
        <v>1014</v>
      </c>
      <c r="H774" s="423">
        <v>4229</v>
      </c>
      <c r="I774" s="397" t="s">
        <v>545</v>
      </c>
      <c r="J774" s="400">
        <f t="shared" ca="1" si="12"/>
        <v>35</v>
      </c>
    </row>
    <row r="775" spans="1:10" ht="15" x14ac:dyDescent="0.25">
      <c r="A775" s="397">
        <v>10001924</v>
      </c>
      <c r="B775" s="397">
        <v>8395723636</v>
      </c>
      <c r="C775" s="397" t="s">
        <v>1677</v>
      </c>
      <c r="D775" s="398">
        <v>27521</v>
      </c>
      <c r="E775" s="397" t="s">
        <v>771</v>
      </c>
      <c r="F775" s="397" t="s">
        <v>772</v>
      </c>
      <c r="G775" s="397" t="s">
        <v>776</v>
      </c>
      <c r="H775" s="423">
        <v>2410</v>
      </c>
      <c r="I775" s="397" t="s">
        <v>366</v>
      </c>
      <c r="J775" s="400">
        <f t="shared" ca="1" si="12"/>
        <v>48</v>
      </c>
    </row>
    <row r="776" spans="1:10" ht="15" x14ac:dyDescent="0.25">
      <c r="A776" s="397">
        <v>10001928</v>
      </c>
      <c r="B776" s="397">
        <v>8399494542</v>
      </c>
      <c r="C776" s="397" t="s">
        <v>1678</v>
      </c>
      <c r="D776" s="398">
        <v>27898</v>
      </c>
      <c r="E776" s="397" t="s">
        <v>1295</v>
      </c>
      <c r="F776" s="397" t="s">
        <v>1296</v>
      </c>
      <c r="G776" s="397" t="s">
        <v>1049</v>
      </c>
      <c r="H776" s="423">
        <v>3910</v>
      </c>
      <c r="I776" s="397" t="s">
        <v>520</v>
      </c>
      <c r="J776" s="400">
        <f t="shared" ca="1" si="12"/>
        <v>47</v>
      </c>
    </row>
    <row r="777" spans="1:10" ht="15" x14ac:dyDescent="0.25">
      <c r="A777" s="397">
        <v>10001931</v>
      </c>
      <c r="B777" s="397">
        <v>8486570808</v>
      </c>
      <c r="C777" s="397" t="s">
        <v>1679</v>
      </c>
      <c r="D777" s="398">
        <v>36606</v>
      </c>
      <c r="E777" s="397" t="s">
        <v>762</v>
      </c>
      <c r="F777" s="397" t="s">
        <v>763</v>
      </c>
      <c r="G777" s="397" t="s">
        <v>1049</v>
      </c>
      <c r="H777" s="423">
        <v>3910</v>
      </c>
      <c r="I777" s="397" t="s">
        <v>520</v>
      </c>
      <c r="J777" s="400">
        <f t="shared" ca="1" si="12"/>
        <v>23</v>
      </c>
    </row>
    <row r="778" spans="1:10" ht="15" x14ac:dyDescent="0.25">
      <c r="A778" s="397">
        <v>10001932</v>
      </c>
      <c r="B778" s="397">
        <v>8421413546</v>
      </c>
      <c r="C778" s="397" t="s">
        <v>1680</v>
      </c>
      <c r="D778" s="398">
        <v>30090</v>
      </c>
      <c r="E778" s="397" t="s">
        <v>833</v>
      </c>
      <c r="F778" s="397" t="s">
        <v>834</v>
      </c>
      <c r="G778" s="397" t="s">
        <v>891</v>
      </c>
      <c r="H778" s="423">
        <v>2410</v>
      </c>
      <c r="I778" s="397" t="s">
        <v>366</v>
      </c>
      <c r="J778" s="400">
        <f t="shared" ca="1" si="12"/>
        <v>41</v>
      </c>
    </row>
    <row r="779" spans="1:10" ht="15" x14ac:dyDescent="0.25">
      <c r="A779" s="397">
        <v>10001934</v>
      </c>
      <c r="B779" s="397">
        <v>8408820435</v>
      </c>
      <c r="C779" s="397" t="s">
        <v>1681</v>
      </c>
      <c r="D779" s="398">
        <v>28831</v>
      </c>
      <c r="E779" s="397" t="s">
        <v>1051</v>
      </c>
      <c r="F779" s="397" t="s">
        <v>1052</v>
      </c>
      <c r="G779" s="397" t="s">
        <v>1014</v>
      </c>
      <c r="H779" s="423">
        <v>1412</v>
      </c>
      <c r="I779" s="397" t="s">
        <v>305</v>
      </c>
      <c r="J779" s="400">
        <f t="shared" ca="1" si="12"/>
        <v>45</v>
      </c>
    </row>
    <row r="780" spans="1:10" ht="15" x14ac:dyDescent="0.25">
      <c r="A780" s="397">
        <v>10001936</v>
      </c>
      <c r="B780" s="397">
        <v>8471202522</v>
      </c>
      <c r="C780" s="397" t="s">
        <v>1139</v>
      </c>
      <c r="D780" s="398">
        <v>35069</v>
      </c>
      <c r="E780" s="397" t="s">
        <v>1184</v>
      </c>
      <c r="F780" s="397" t="s">
        <v>1185</v>
      </c>
      <c r="G780" s="397" t="s">
        <v>1049</v>
      </c>
      <c r="H780" s="423">
        <v>3632</v>
      </c>
      <c r="I780" s="397" t="s">
        <v>497</v>
      </c>
      <c r="J780" s="400">
        <f t="shared" ca="1" si="12"/>
        <v>27</v>
      </c>
    </row>
    <row r="781" spans="1:10" ht="15" x14ac:dyDescent="0.25">
      <c r="A781" s="397">
        <v>10001938</v>
      </c>
      <c r="B781" s="397">
        <v>8380284038</v>
      </c>
      <c r="C781" s="397" t="s">
        <v>1682</v>
      </c>
      <c r="D781" s="398">
        <v>25977</v>
      </c>
      <c r="E781" s="397" t="s">
        <v>849</v>
      </c>
      <c r="F781" s="397" t="s">
        <v>850</v>
      </c>
      <c r="G781" s="397" t="s">
        <v>985</v>
      </c>
      <c r="H781" s="423">
        <v>2139</v>
      </c>
      <c r="I781" s="397" t="s">
        <v>329</v>
      </c>
      <c r="J781" s="400">
        <f t="shared" ca="1" si="12"/>
        <v>52</v>
      </c>
    </row>
    <row r="782" spans="1:10" ht="15" x14ac:dyDescent="0.25">
      <c r="A782" s="397">
        <v>10001940</v>
      </c>
      <c r="B782" s="397">
        <v>8431501502</v>
      </c>
      <c r="C782" s="397" t="s">
        <v>1683</v>
      </c>
      <c r="D782" s="398">
        <v>31099</v>
      </c>
      <c r="E782" s="397" t="s">
        <v>1051</v>
      </c>
      <c r="F782" s="397" t="s">
        <v>1052</v>
      </c>
      <c r="G782" s="397" t="s">
        <v>1049</v>
      </c>
      <c r="H782" s="423">
        <v>4122</v>
      </c>
      <c r="I782" s="397" t="s">
        <v>528</v>
      </c>
      <c r="J782" s="400">
        <f t="shared" ca="1" si="12"/>
        <v>38</v>
      </c>
    </row>
    <row r="783" spans="1:10" ht="15" x14ac:dyDescent="0.25">
      <c r="A783" s="397">
        <v>10001942</v>
      </c>
      <c r="B783" s="397">
        <v>8470952773</v>
      </c>
      <c r="C783" s="397" t="s">
        <v>1684</v>
      </c>
      <c r="D783" s="398">
        <v>35044</v>
      </c>
      <c r="E783" s="397" t="s">
        <v>1039</v>
      </c>
      <c r="F783" s="397" t="s">
        <v>1040</v>
      </c>
      <c r="G783" s="397" t="s">
        <v>1049</v>
      </c>
      <c r="H783" s="423">
        <v>4229</v>
      </c>
      <c r="I783" s="397" t="s">
        <v>545</v>
      </c>
      <c r="J783" s="400">
        <f t="shared" ca="1" si="12"/>
        <v>28</v>
      </c>
    </row>
    <row r="784" spans="1:10" ht="15" x14ac:dyDescent="0.25">
      <c r="A784" s="397">
        <v>10001945</v>
      </c>
      <c r="B784" s="397">
        <v>8479830956</v>
      </c>
      <c r="C784" s="397" t="s">
        <v>1685</v>
      </c>
      <c r="D784" s="398">
        <v>35932</v>
      </c>
      <c r="E784" s="397" t="s">
        <v>788</v>
      </c>
      <c r="F784" s="397" t="s">
        <v>789</v>
      </c>
      <c r="G784" s="397" t="s">
        <v>1014</v>
      </c>
      <c r="H784" s="423">
        <v>2149</v>
      </c>
      <c r="I784" s="397" t="s">
        <v>334</v>
      </c>
      <c r="J784" s="400">
        <f t="shared" ca="1" si="12"/>
        <v>25</v>
      </c>
    </row>
    <row r="785" spans="1:10" ht="15" x14ac:dyDescent="0.25">
      <c r="A785" s="397">
        <v>10001946</v>
      </c>
      <c r="B785" s="397">
        <v>8353902435</v>
      </c>
      <c r="C785" s="397" t="s">
        <v>1686</v>
      </c>
      <c r="D785" s="398">
        <v>23339</v>
      </c>
      <c r="E785" s="397" t="s">
        <v>762</v>
      </c>
      <c r="F785" s="397" t="s">
        <v>763</v>
      </c>
      <c r="G785" s="397" t="s">
        <v>985</v>
      </c>
      <c r="H785" s="423">
        <v>2117</v>
      </c>
      <c r="I785" s="397" t="s">
        <v>317</v>
      </c>
      <c r="J785" s="400">
        <f t="shared" ca="1" si="12"/>
        <v>60</v>
      </c>
    </row>
    <row r="786" spans="1:10" ht="15" x14ac:dyDescent="0.25">
      <c r="A786" s="397">
        <v>10001949</v>
      </c>
      <c r="B786" s="397">
        <v>8354163245</v>
      </c>
      <c r="C786" s="397" t="s">
        <v>1687</v>
      </c>
      <c r="D786" s="398">
        <v>23365</v>
      </c>
      <c r="E786" s="397" t="s">
        <v>849</v>
      </c>
      <c r="F786" s="397" t="s">
        <v>850</v>
      </c>
      <c r="G786" s="397" t="s">
        <v>1084</v>
      </c>
      <c r="H786" s="423">
        <v>3115</v>
      </c>
      <c r="I786" s="397" t="s">
        <v>427</v>
      </c>
      <c r="J786" s="400">
        <f t="shared" ca="1" si="12"/>
        <v>60</v>
      </c>
    </row>
    <row r="787" spans="1:10" ht="15" x14ac:dyDescent="0.25">
      <c r="A787" s="397">
        <v>10001950</v>
      </c>
      <c r="B787" s="397">
        <v>8458500310</v>
      </c>
      <c r="C787" s="397" t="s">
        <v>1688</v>
      </c>
      <c r="D787" s="398">
        <v>33799</v>
      </c>
      <c r="E787" s="397" t="s">
        <v>1279</v>
      </c>
      <c r="F787" s="397" t="s">
        <v>1280</v>
      </c>
      <c r="G787" s="397" t="s">
        <v>1014</v>
      </c>
      <c r="H787" s="423">
        <v>2910</v>
      </c>
      <c r="I787" s="397" t="s">
        <v>422</v>
      </c>
      <c r="J787" s="400">
        <f t="shared" ca="1" si="12"/>
        <v>31</v>
      </c>
    </row>
    <row r="788" spans="1:10" ht="15" x14ac:dyDescent="0.25">
      <c r="A788" s="397">
        <v>10001951</v>
      </c>
      <c r="B788" s="397">
        <v>8447622487</v>
      </c>
      <c r="C788" s="397" t="s">
        <v>1689</v>
      </c>
      <c r="D788" s="398">
        <v>32711</v>
      </c>
      <c r="E788" s="397" t="s">
        <v>1045</v>
      </c>
      <c r="F788" s="397" t="s">
        <v>1046</v>
      </c>
      <c r="G788" s="397" t="s">
        <v>1049</v>
      </c>
      <c r="H788" s="423">
        <v>3611</v>
      </c>
      <c r="I788" s="397" t="s">
        <v>485</v>
      </c>
      <c r="J788" s="400">
        <f t="shared" ca="1" si="12"/>
        <v>34</v>
      </c>
    </row>
    <row r="789" spans="1:10" ht="15" x14ac:dyDescent="0.25">
      <c r="A789" s="397">
        <v>10001958</v>
      </c>
      <c r="B789" s="397">
        <v>8429410953</v>
      </c>
      <c r="C789" s="397" t="s">
        <v>1690</v>
      </c>
      <c r="D789" s="398">
        <v>30890</v>
      </c>
      <c r="E789" s="397" t="s">
        <v>1051</v>
      </c>
      <c r="F789" s="397" t="s">
        <v>1052</v>
      </c>
      <c r="G789" s="397" t="s">
        <v>1049</v>
      </c>
      <c r="H789" s="423">
        <v>4134</v>
      </c>
      <c r="I789" s="397" t="s">
        <v>534</v>
      </c>
      <c r="J789" s="400">
        <f t="shared" ca="1" si="12"/>
        <v>39</v>
      </c>
    </row>
    <row r="790" spans="1:10" ht="15" x14ac:dyDescent="0.25">
      <c r="A790" s="397">
        <v>10001959</v>
      </c>
      <c r="B790" s="397">
        <v>8440121865</v>
      </c>
      <c r="C790" s="397" t="s">
        <v>1691</v>
      </c>
      <c r="D790" s="398">
        <v>31961</v>
      </c>
      <c r="E790" s="397" t="s">
        <v>1039</v>
      </c>
      <c r="F790" s="397" t="s">
        <v>1040</v>
      </c>
      <c r="G790" s="397" t="s">
        <v>1014</v>
      </c>
      <c r="H790" s="423">
        <v>1329</v>
      </c>
      <c r="I790" s="397" t="s">
        <v>296</v>
      </c>
      <c r="J790" s="400">
        <f t="shared" ca="1" si="12"/>
        <v>36</v>
      </c>
    </row>
    <row r="791" spans="1:10" ht="15" x14ac:dyDescent="0.25">
      <c r="A791" s="397">
        <v>10001960</v>
      </c>
      <c r="B791" s="397">
        <v>8365792761</v>
      </c>
      <c r="C791" s="397" t="s">
        <v>1692</v>
      </c>
      <c r="D791" s="398">
        <v>24528</v>
      </c>
      <c r="E791" s="397" t="s">
        <v>858</v>
      </c>
      <c r="F791" s="397" t="s">
        <v>859</v>
      </c>
      <c r="G791" s="397" t="s">
        <v>1014</v>
      </c>
      <c r="H791" s="423">
        <v>2910</v>
      </c>
      <c r="I791" s="397" t="s">
        <v>422</v>
      </c>
      <c r="J791" s="400">
        <f t="shared" ca="1" si="12"/>
        <v>56</v>
      </c>
    </row>
    <row r="792" spans="1:10" ht="15" x14ac:dyDescent="0.25">
      <c r="A792" s="397">
        <v>10001964</v>
      </c>
      <c r="B792" s="397">
        <v>8386020911</v>
      </c>
      <c r="C792" s="397" t="s">
        <v>1693</v>
      </c>
      <c r="D792" s="398">
        <v>26551</v>
      </c>
      <c r="E792" s="397" t="s">
        <v>868</v>
      </c>
      <c r="F792" s="397" t="s">
        <v>869</v>
      </c>
      <c r="G792" s="397" t="s">
        <v>902</v>
      </c>
      <c r="H792" s="423">
        <v>2167</v>
      </c>
      <c r="I792" s="397" t="s">
        <v>344</v>
      </c>
      <c r="J792" s="400">
        <f t="shared" ca="1" si="12"/>
        <v>51</v>
      </c>
    </row>
    <row r="793" spans="1:10" ht="15" x14ac:dyDescent="0.25">
      <c r="A793" s="397">
        <v>10001965</v>
      </c>
      <c r="B793" s="397">
        <v>8470991035</v>
      </c>
      <c r="C793" s="397" t="s">
        <v>1694</v>
      </c>
      <c r="D793" s="398">
        <v>35048</v>
      </c>
      <c r="E793" s="397" t="s">
        <v>868</v>
      </c>
      <c r="F793" s="397" t="s">
        <v>869</v>
      </c>
      <c r="G793" s="397" t="s">
        <v>985</v>
      </c>
      <c r="H793" s="423">
        <v>2167</v>
      </c>
      <c r="I793" s="397" t="s">
        <v>344</v>
      </c>
      <c r="J793" s="400">
        <f t="shared" ca="1" si="12"/>
        <v>28</v>
      </c>
    </row>
    <row r="794" spans="1:10" ht="15" x14ac:dyDescent="0.25">
      <c r="A794" s="397">
        <v>10001966</v>
      </c>
      <c r="B794" s="397">
        <v>8461583191</v>
      </c>
      <c r="C794" s="397" t="s">
        <v>1695</v>
      </c>
      <c r="D794" s="398">
        <v>34107</v>
      </c>
      <c r="E794" s="397" t="s">
        <v>803</v>
      </c>
      <c r="F794" s="397" t="s">
        <v>804</v>
      </c>
      <c r="G794" s="397" t="s">
        <v>1049</v>
      </c>
      <c r="H794" s="423">
        <v>3910</v>
      </c>
      <c r="I794" s="397" t="s">
        <v>520</v>
      </c>
      <c r="J794" s="400">
        <f t="shared" ca="1" si="12"/>
        <v>30</v>
      </c>
    </row>
    <row r="795" spans="1:10" ht="15" x14ac:dyDescent="0.25">
      <c r="A795" s="397">
        <v>10001970</v>
      </c>
      <c r="B795" s="397">
        <v>8424321014</v>
      </c>
      <c r="C795" s="397" t="s">
        <v>1696</v>
      </c>
      <c r="D795" s="398">
        <v>30381</v>
      </c>
      <c r="E795" s="397" t="s">
        <v>1103</v>
      </c>
      <c r="F795" s="397" t="s">
        <v>1104</v>
      </c>
      <c r="G795" s="397" t="s">
        <v>1049</v>
      </c>
      <c r="H795" s="423">
        <v>3910</v>
      </c>
      <c r="I795" s="397" t="s">
        <v>520</v>
      </c>
      <c r="J795" s="400">
        <f t="shared" ca="1" si="12"/>
        <v>40</v>
      </c>
    </row>
    <row r="796" spans="1:10" ht="15" x14ac:dyDescent="0.25">
      <c r="A796" s="397">
        <v>10001971</v>
      </c>
      <c r="B796" s="397">
        <v>8445893076</v>
      </c>
      <c r="C796" s="397" t="s">
        <v>1697</v>
      </c>
      <c r="D796" s="398">
        <v>32538</v>
      </c>
      <c r="E796" s="397" t="s">
        <v>762</v>
      </c>
      <c r="F796" s="397" t="s">
        <v>763</v>
      </c>
      <c r="G796" s="397" t="s">
        <v>1049</v>
      </c>
      <c r="H796" s="423">
        <v>4111</v>
      </c>
      <c r="I796" s="397" t="s">
        <v>522</v>
      </c>
      <c r="J796" s="400">
        <f t="shared" ca="1" si="12"/>
        <v>34</v>
      </c>
    </row>
    <row r="797" spans="1:10" ht="15" x14ac:dyDescent="0.25">
      <c r="A797" s="397">
        <v>10001972</v>
      </c>
      <c r="B797" s="397">
        <v>8462731127</v>
      </c>
      <c r="C797" s="397" t="s">
        <v>1698</v>
      </c>
      <c r="D797" s="398">
        <v>34222</v>
      </c>
      <c r="E797" s="397" t="s">
        <v>762</v>
      </c>
      <c r="F797" s="397" t="s">
        <v>763</v>
      </c>
      <c r="G797" s="397" t="s">
        <v>985</v>
      </c>
      <c r="H797" s="423">
        <v>2169</v>
      </c>
      <c r="I797" s="397" t="s">
        <v>346</v>
      </c>
      <c r="J797" s="400">
        <f t="shared" ca="1" si="12"/>
        <v>30</v>
      </c>
    </row>
    <row r="798" spans="1:10" ht="15" x14ac:dyDescent="0.25">
      <c r="A798" s="397">
        <v>10001973</v>
      </c>
      <c r="B798" s="397">
        <v>8472472035</v>
      </c>
      <c r="C798" s="397" t="s">
        <v>1699</v>
      </c>
      <c r="D798" s="398">
        <v>35196</v>
      </c>
      <c r="E798" s="397" t="s">
        <v>762</v>
      </c>
      <c r="F798" s="397" t="s">
        <v>763</v>
      </c>
      <c r="G798" s="397" t="s">
        <v>831</v>
      </c>
      <c r="H798" s="423">
        <v>2139</v>
      </c>
      <c r="I798" s="397" t="s">
        <v>329</v>
      </c>
      <c r="J798" s="400">
        <f t="shared" ca="1" si="12"/>
        <v>27</v>
      </c>
    </row>
    <row r="799" spans="1:10" ht="15" x14ac:dyDescent="0.25">
      <c r="A799" s="397">
        <v>10001974</v>
      </c>
      <c r="B799" s="397">
        <v>8457043838</v>
      </c>
      <c r="C799" s="397" t="s">
        <v>1700</v>
      </c>
      <c r="D799" s="398">
        <v>33653</v>
      </c>
      <c r="E799" s="397" t="s">
        <v>1501</v>
      </c>
      <c r="F799" s="397" t="s">
        <v>1502</v>
      </c>
      <c r="G799" s="397" t="s">
        <v>1049</v>
      </c>
      <c r="H799" s="423">
        <v>3632</v>
      </c>
      <c r="I799" s="397" t="s">
        <v>497</v>
      </c>
      <c r="J799" s="400">
        <f t="shared" ca="1" si="12"/>
        <v>31</v>
      </c>
    </row>
    <row r="800" spans="1:10" ht="15" x14ac:dyDescent="0.25">
      <c r="A800" s="397">
        <v>10001975</v>
      </c>
      <c r="B800" s="397">
        <v>8445030736</v>
      </c>
      <c r="C800" s="397" t="s">
        <v>1701</v>
      </c>
      <c r="D800" s="398">
        <v>32452</v>
      </c>
      <c r="E800" s="397" t="s">
        <v>868</v>
      </c>
      <c r="F800" s="397" t="s">
        <v>869</v>
      </c>
      <c r="G800" s="397" t="s">
        <v>985</v>
      </c>
      <c r="H800" s="423">
        <v>2139</v>
      </c>
      <c r="I800" s="397" t="s">
        <v>329</v>
      </c>
      <c r="J800" s="400">
        <f t="shared" ca="1" si="12"/>
        <v>35</v>
      </c>
    </row>
    <row r="801" spans="1:10" ht="15" x14ac:dyDescent="0.25">
      <c r="A801" s="397">
        <v>10001976</v>
      </c>
      <c r="B801" s="397">
        <v>8400143507</v>
      </c>
      <c r="C801" s="397" t="s">
        <v>1702</v>
      </c>
      <c r="D801" s="398">
        <v>27963</v>
      </c>
      <c r="E801" s="397" t="s">
        <v>1164</v>
      </c>
      <c r="F801" s="397" t="s">
        <v>1165</v>
      </c>
      <c r="G801" s="397" t="s">
        <v>1014</v>
      </c>
      <c r="H801" s="423">
        <v>3910</v>
      </c>
      <c r="I801" s="397" t="s">
        <v>520</v>
      </c>
      <c r="J801" s="400">
        <f t="shared" ca="1" si="12"/>
        <v>47</v>
      </c>
    </row>
    <row r="802" spans="1:10" ht="15" x14ac:dyDescent="0.25">
      <c r="A802" s="397">
        <v>10001977</v>
      </c>
      <c r="B802" s="397">
        <v>8479521163</v>
      </c>
      <c r="C802" s="397" t="s">
        <v>1703</v>
      </c>
      <c r="D802" s="398">
        <v>35901</v>
      </c>
      <c r="E802" s="397" t="s">
        <v>1076</v>
      </c>
      <c r="F802" s="397" t="s">
        <v>1077</v>
      </c>
      <c r="G802" s="397" t="s">
        <v>1049</v>
      </c>
      <c r="H802" s="423">
        <v>3910</v>
      </c>
      <c r="I802" s="397" t="s">
        <v>520</v>
      </c>
      <c r="J802" s="400">
        <f t="shared" ca="1" si="12"/>
        <v>25</v>
      </c>
    </row>
    <row r="803" spans="1:10" ht="15" x14ac:dyDescent="0.25">
      <c r="A803" s="397">
        <v>10001978</v>
      </c>
      <c r="B803" s="397">
        <v>8404893268</v>
      </c>
      <c r="C803" s="397" t="s">
        <v>1704</v>
      </c>
      <c r="D803" s="398">
        <v>28438</v>
      </c>
      <c r="E803" s="397" t="s">
        <v>1589</v>
      </c>
      <c r="F803" s="397" t="s">
        <v>1590</v>
      </c>
      <c r="G803" s="397" t="s">
        <v>1014</v>
      </c>
      <c r="H803" s="423">
        <v>2910</v>
      </c>
      <c r="I803" s="397" t="s">
        <v>422</v>
      </c>
      <c r="J803" s="400">
        <f t="shared" ca="1" si="12"/>
        <v>46</v>
      </c>
    </row>
    <row r="804" spans="1:10" ht="15" x14ac:dyDescent="0.25">
      <c r="A804" s="397">
        <v>10001979</v>
      </c>
      <c r="B804" s="397">
        <v>8405900829</v>
      </c>
      <c r="C804" s="397" t="s">
        <v>1705</v>
      </c>
      <c r="D804" s="398">
        <v>28539</v>
      </c>
      <c r="E804" s="397" t="s">
        <v>771</v>
      </c>
      <c r="F804" s="397" t="s">
        <v>772</v>
      </c>
      <c r="G804" s="397" t="s">
        <v>902</v>
      </c>
      <c r="H804" s="423">
        <v>2624</v>
      </c>
      <c r="I804" s="397" t="s">
        <v>401</v>
      </c>
      <c r="J804" s="400">
        <f t="shared" ca="1" si="12"/>
        <v>45</v>
      </c>
    </row>
    <row r="805" spans="1:10" ht="15" x14ac:dyDescent="0.25">
      <c r="A805" s="397">
        <v>10001980</v>
      </c>
      <c r="B805" s="397">
        <v>8415364997</v>
      </c>
      <c r="C805" s="397" t="s">
        <v>1706</v>
      </c>
      <c r="D805" s="398">
        <v>29485</v>
      </c>
      <c r="E805" s="397" t="s">
        <v>784</v>
      </c>
      <c r="F805" s="397" t="s">
        <v>785</v>
      </c>
      <c r="G805" s="397" t="s">
        <v>925</v>
      </c>
      <c r="H805" s="423">
        <v>2410</v>
      </c>
      <c r="I805" s="397" t="s">
        <v>366</v>
      </c>
      <c r="J805" s="400">
        <f t="shared" ca="1" si="12"/>
        <v>43</v>
      </c>
    </row>
    <row r="806" spans="1:10" ht="15" x14ac:dyDescent="0.25">
      <c r="A806" s="397">
        <v>10001981</v>
      </c>
      <c r="B806" s="397">
        <v>8371850115</v>
      </c>
      <c r="C806" s="397" t="s">
        <v>1707</v>
      </c>
      <c r="D806" s="398">
        <v>25134</v>
      </c>
      <c r="E806" s="397" t="s">
        <v>833</v>
      </c>
      <c r="F806" s="397" t="s">
        <v>834</v>
      </c>
      <c r="G806" s="397" t="s">
        <v>891</v>
      </c>
      <c r="H806" s="423">
        <v>2410</v>
      </c>
      <c r="I806" s="397" t="s">
        <v>366</v>
      </c>
      <c r="J806" s="400">
        <f t="shared" ca="1" si="12"/>
        <v>55</v>
      </c>
    </row>
    <row r="807" spans="1:10" ht="15" x14ac:dyDescent="0.25">
      <c r="A807" s="397">
        <v>10001982</v>
      </c>
      <c r="B807" s="397">
        <v>8450030404</v>
      </c>
      <c r="C807" s="397" t="s">
        <v>1708</v>
      </c>
      <c r="D807" s="398">
        <v>32952</v>
      </c>
      <c r="E807" s="397" t="s">
        <v>824</v>
      </c>
      <c r="F807" s="397" t="s">
        <v>825</v>
      </c>
      <c r="G807" s="397" t="s">
        <v>1027</v>
      </c>
      <c r="H807" s="423">
        <v>2410</v>
      </c>
      <c r="I807" s="397" t="s">
        <v>366</v>
      </c>
      <c r="J807" s="400">
        <f t="shared" ca="1" si="12"/>
        <v>33</v>
      </c>
    </row>
    <row r="808" spans="1:10" ht="15" x14ac:dyDescent="0.25">
      <c r="A808" s="397">
        <v>10001983</v>
      </c>
      <c r="B808" s="397">
        <v>8456011665</v>
      </c>
      <c r="C808" s="397" t="s">
        <v>1709</v>
      </c>
      <c r="D808" s="398">
        <v>33550</v>
      </c>
      <c r="E808" s="397" t="s">
        <v>868</v>
      </c>
      <c r="F808" s="397" t="s">
        <v>869</v>
      </c>
      <c r="G808" s="397" t="s">
        <v>985</v>
      </c>
      <c r="H808" s="423">
        <v>2139</v>
      </c>
      <c r="I808" s="397" t="s">
        <v>329</v>
      </c>
      <c r="J808" s="400">
        <f t="shared" ca="1" si="12"/>
        <v>32</v>
      </c>
    </row>
    <row r="809" spans="1:10" ht="15" x14ac:dyDescent="0.25">
      <c r="A809" s="397">
        <v>10001984</v>
      </c>
      <c r="B809" s="397">
        <v>8472651363</v>
      </c>
      <c r="C809" s="397" t="s">
        <v>1710</v>
      </c>
      <c r="D809" s="398">
        <v>35214</v>
      </c>
      <c r="E809" s="397" t="s">
        <v>1576</v>
      </c>
      <c r="F809" s="397" t="s">
        <v>1026</v>
      </c>
      <c r="G809" s="397" t="s">
        <v>1014</v>
      </c>
      <c r="H809" s="423">
        <v>2910</v>
      </c>
      <c r="I809" s="397" t="s">
        <v>422</v>
      </c>
      <c r="J809" s="400">
        <f t="shared" ca="1" si="12"/>
        <v>27</v>
      </c>
    </row>
    <row r="810" spans="1:10" ht="15" x14ac:dyDescent="0.25">
      <c r="A810" s="397">
        <v>10001985</v>
      </c>
      <c r="B810" s="397">
        <v>8486242665</v>
      </c>
      <c r="C810" s="397" t="s">
        <v>1711</v>
      </c>
      <c r="D810" s="398">
        <v>36573</v>
      </c>
      <c r="E810" s="397" t="s">
        <v>1126</v>
      </c>
      <c r="F810" s="397" t="s">
        <v>1127</v>
      </c>
      <c r="G810" s="397" t="s">
        <v>1049</v>
      </c>
      <c r="H810" s="423">
        <v>3910</v>
      </c>
      <c r="I810" s="397" t="s">
        <v>520</v>
      </c>
      <c r="J810" s="400">
        <f t="shared" ca="1" si="12"/>
        <v>23</v>
      </c>
    </row>
    <row r="811" spans="1:10" ht="15" x14ac:dyDescent="0.25">
      <c r="A811" s="397">
        <v>10001986</v>
      </c>
      <c r="B811" s="397">
        <v>8439382790</v>
      </c>
      <c r="C811" s="397" t="s">
        <v>1712</v>
      </c>
      <c r="D811" s="398">
        <v>31887</v>
      </c>
      <c r="E811" s="397" t="s">
        <v>1522</v>
      </c>
      <c r="F811" s="397" t="s">
        <v>1523</v>
      </c>
      <c r="G811" s="397" t="s">
        <v>1014</v>
      </c>
      <c r="H811" s="423">
        <v>2910</v>
      </c>
      <c r="I811" s="397" t="s">
        <v>422</v>
      </c>
      <c r="J811" s="400">
        <f t="shared" ca="1" si="12"/>
        <v>36</v>
      </c>
    </row>
    <row r="812" spans="1:10" ht="15" x14ac:dyDescent="0.25">
      <c r="A812" s="397">
        <v>10001987</v>
      </c>
      <c r="B812" s="397">
        <v>8401383412</v>
      </c>
      <c r="C812" s="397" t="s">
        <v>1713</v>
      </c>
      <c r="D812" s="398">
        <v>28087</v>
      </c>
      <c r="E812" s="397" t="s">
        <v>1714</v>
      </c>
      <c r="F812" s="397" t="s">
        <v>1715</v>
      </c>
      <c r="G812" s="397" t="s">
        <v>1014</v>
      </c>
      <c r="H812" s="423">
        <v>2910</v>
      </c>
      <c r="I812" s="397" t="s">
        <v>422</v>
      </c>
      <c r="J812" s="400">
        <f t="shared" ca="1" si="12"/>
        <v>47</v>
      </c>
    </row>
    <row r="813" spans="1:10" ht="15" x14ac:dyDescent="0.25">
      <c r="A813" s="397">
        <v>10001988</v>
      </c>
      <c r="B813" s="397">
        <v>8455192550</v>
      </c>
      <c r="C813" s="397" t="s">
        <v>1716</v>
      </c>
      <c r="D813" s="398">
        <v>33468</v>
      </c>
      <c r="E813" s="397" t="s">
        <v>1714</v>
      </c>
      <c r="F813" s="397" t="s">
        <v>1715</v>
      </c>
      <c r="G813" s="397" t="s">
        <v>1049</v>
      </c>
      <c r="H813" s="423">
        <v>3910</v>
      </c>
      <c r="I813" s="397" t="s">
        <v>520</v>
      </c>
      <c r="J813" s="400">
        <f t="shared" ca="1" si="12"/>
        <v>32</v>
      </c>
    </row>
    <row r="814" spans="1:10" ht="15" x14ac:dyDescent="0.25">
      <c r="A814" s="397">
        <v>10001989</v>
      </c>
      <c r="B814" s="397">
        <v>8450510597</v>
      </c>
      <c r="C814" s="397" t="s">
        <v>1717</v>
      </c>
      <c r="D814" s="398">
        <v>33000</v>
      </c>
      <c r="E814" s="397" t="s">
        <v>1164</v>
      </c>
      <c r="F814" s="397" t="s">
        <v>1165</v>
      </c>
      <c r="G814" s="397" t="s">
        <v>1049</v>
      </c>
      <c r="H814" s="423">
        <v>3910</v>
      </c>
      <c r="I814" s="397" t="s">
        <v>520</v>
      </c>
      <c r="J814" s="400">
        <f t="shared" ca="1" si="12"/>
        <v>33</v>
      </c>
    </row>
    <row r="815" spans="1:10" ht="15" x14ac:dyDescent="0.25">
      <c r="A815" s="397">
        <v>10001997</v>
      </c>
      <c r="B815" s="397">
        <v>8332495547</v>
      </c>
      <c r="C815" s="397" t="s">
        <v>1718</v>
      </c>
      <c r="D815" s="398">
        <v>21198</v>
      </c>
      <c r="E815" s="397" t="s">
        <v>784</v>
      </c>
      <c r="F815" s="397" t="s">
        <v>785</v>
      </c>
      <c r="G815" s="397" t="s">
        <v>764</v>
      </c>
      <c r="H815" s="423">
        <v>2410</v>
      </c>
      <c r="I815" s="397" t="s">
        <v>366</v>
      </c>
      <c r="J815" s="400">
        <f t="shared" ca="1" si="12"/>
        <v>65</v>
      </c>
    </row>
    <row r="816" spans="1:10" ht="15" x14ac:dyDescent="0.25">
      <c r="A816" s="397">
        <v>10001998</v>
      </c>
      <c r="B816" s="397">
        <v>8412310314</v>
      </c>
      <c r="C816" s="397" t="s">
        <v>1719</v>
      </c>
      <c r="D816" s="398">
        <v>29180</v>
      </c>
      <c r="E816" s="397" t="s">
        <v>1051</v>
      </c>
      <c r="F816" s="397" t="s">
        <v>1052</v>
      </c>
      <c r="G816" s="397" t="s">
        <v>1049</v>
      </c>
      <c r="H816" s="423">
        <v>4122</v>
      </c>
      <c r="I816" s="397" t="s">
        <v>528</v>
      </c>
      <c r="J816" s="400">
        <f t="shared" ca="1" si="12"/>
        <v>44</v>
      </c>
    </row>
    <row r="817" spans="1:10" ht="15" x14ac:dyDescent="0.25">
      <c r="A817" s="397">
        <v>10001999</v>
      </c>
      <c r="B817" s="397">
        <v>8454981969</v>
      </c>
      <c r="C817" s="397" t="s">
        <v>1720</v>
      </c>
      <c r="D817" s="398">
        <v>33447</v>
      </c>
      <c r="E817" s="397" t="s">
        <v>762</v>
      </c>
      <c r="F817" s="397" t="s">
        <v>763</v>
      </c>
      <c r="G817" s="397" t="s">
        <v>776</v>
      </c>
      <c r="H817" s="423">
        <v>2410</v>
      </c>
      <c r="I817" s="397" t="s">
        <v>366</v>
      </c>
      <c r="J817" s="400">
        <f t="shared" ca="1" si="12"/>
        <v>32</v>
      </c>
    </row>
    <row r="818" spans="1:10" ht="15" x14ac:dyDescent="0.25">
      <c r="A818" s="397">
        <v>10002000</v>
      </c>
      <c r="B818" s="397">
        <v>8460982173</v>
      </c>
      <c r="C818" s="397" t="s">
        <v>1721</v>
      </c>
      <c r="D818" s="398">
        <v>34047</v>
      </c>
      <c r="E818" s="397" t="s">
        <v>1279</v>
      </c>
      <c r="F818" s="397" t="s">
        <v>1280</v>
      </c>
      <c r="G818" s="397" t="s">
        <v>1049</v>
      </c>
      <c r="H818" s="423">
        <v>4112</v>
      </c>
      <c r="I818" s="397" t="s">
        <v>523</v>
      </c>
      <c r="J818" s="400">
        <f t="shared" ca="1" si="12"/>
        <v>30</v>
      </c>
    </row>
    <row r="819" spans="1:10" ht="15" x14ac:dyDescent="0.25">
      <c r="A819" s="397">
        <v>10002001</v>
      </c>
      <c r="B819" s="397">
        <v>8401664799</v>
      </c>
      <c r="C819" s="397" t="s">
        <v>1722</v>
      </c>
      <c r="D819" s="398">
        <v>28115</v>
      </c>
      <c r="E819" s="397" t="s">
        <v>1103</v>
      </c>
      <c r="F819" s="397" t="s">
        <v>1104</v>
      </c>
      <c r="G819" s="397" t="s">
        <v>1209</v>
      </c>
      <c r="H819" s="423">
        <v>2611</v>
      </c>
      <c r="I819" s="397" t="s">
        <v>392</v>
      </c>
      <c r="J819" s="400">
        <f t="shared" ca="1" si="12"/>
        <v>47</v>
      </c>
    </row>
    <row r="820" spans="1:10" ht="15" x14ac:dyDescent="0.25">
      <c r="A820" s="397">
        <v>10002002</v>
      </c>
      <c r="B820" s="397">
        <v>8442550232</v>
      </c>
      <c r="C820" s="397" t="s">
        <v>1723</v>
      </c>
      <c r="D820" s="398">
        <v>32204</v>
      </c>
      <c r="E820" s="397" t="s">
        <v>1103</v>
      </c>
      <c r="F820" s="397" t="s">
        <v>1104</v>
      </c>
      <c r="G820" s="397" t="s">
        <v>1209</v>
      </c>
      <c r="H820" s="423">
        <v>2611</v>
      </c>
      <c r="I820" s="397" t="s">
        <v>392</v>
      </c>
      <c r="J820" s="400">
        <f t="shared" ca="1" si="12"/>
        <v>35</v>
      </c>
    </row>
    <row r="821" spans="1:10" ht="15" x14ac:dyDescent="0.25">
      <c r="A821" s="397">
        <v>10002003</v>
      </c>
      <c r="B821" s="397">
        <v>8471092190</v>
      </c>
      <c r="C821" s="397" t="s">
        <v>1724</v>
      </c>
      <c r="D821" s="398">
        <v>35058</v>
      </c>
      <c r="E821" s="397" t="s">
        <v>810</v>
      </c>
      <c r="F821" s="397" t="s">
        <v>811</v>
      </c>
      <c r="G821" s="397" t="s">
        <v>1014</v>
      </c>
      <c r="H821" s="423">
        <v>2139</v>
      </c>
      <c r="I821" s="397" t="s">
        <v>329</v>
      </c>
      <c r="J821" s="400">
        <f t="shared" ca="1" si="12"/>
        <v>28</v>
      </c>
    </row>
    <row r="822" spans="1:10" ht="15" x14ac:dyDescent="0.25">
      <c r="A822" s="397">
        <v>10002004</v>
      </c>
      <c r="B822" s="397">
        <v>8419890081</v>
      </c>
      <c r="C822" s="397" t="s">
        <v>1725</v>
      </c>
      <c r="D822" s="398">
        <v>29938</v>
      </c>
      <c r="E822" s="397" t="s">
        <v>1103</v>
      </c>
      <c r="F822" s="397" t="s">
        <v>1104</v>
      </c>
      <c r="G822" s="397" t="s">
        <v>1209</v>
      </c>
      <c r="H822" s="423">
        <v>3221</v>
      </c>
      <c r="I822" s="397" t="s">
        <v>460</v>
      </c>
      <c r="J822" s="400">
        <f t="shared" ca="1" si="12"/>
        <v>42</v>
      </c>
    </row>
    <row r="823" spans="1:10" ht="15" x14ac:dyDescent="0.25">
      <c r="A823" s="397">
        <v>10002005</v>
      </c>
      <c r="B823" s="397">
        <v>8400614186</v>
      </c>
      <c r="C823" s="397" t="s">
        <v>1726</v>
      </c>
      <c r="D823" s="398">
        <v>28010</v>
      </c>
      <c r="E823" s="397" t="s">
        <v>800</v>
      </c>
      <c r="F823" s="397" t="s">
        <v>801</v>
      </c>
      <c r="G823" s="397" t="s">
        <v>891</v>
      </c>
      <c r="H823" s="423">
        <v>2410</v>
      </c>
      <c r="I823" s="397" t="s">
        <v>366</v>
      </c>
      <c r="J823" s="400">
        <f t="shared" ca="1" si="12"/>
        <v>47</v>
      </c>
    </row>
    <row r="824" spans="1:10" ht="15" x14ac:dyDescent="0.25">
      <c r="A824" s="397">
        <v>10002006</v>
      </c>
      <c r="B824" s="397">
        <v>8464542070</v>
      </c>
      <c r="C824" s="397" t="s">
        <v>1727</v>
      </c>
      <c r="D824" s="398">
        <v>34403</v>
      </c>
      <c r="E824" s="397" t="s">
        <v>1096</v>
      </c>
      <c r="F824" s="397" t="s">
        <v>1097</v>
      </c>
      <c r="G824" s="397" t="s">
        <v>1014</v>
      </c>
      <c r="H824" s="423">
        <v>2139</v>
      </c>
      <c r="I824" s="397" t="s">
        <v>329</v>
      </c>
      <c r="J824" s="400">
        <f t="shared" ca="1" si="12"/>
        <v>29</v>
      </c>
    </row>
    <row r="825" spans="1:10" ht="15" x14ac:dyDescent="0.25">
      <c r="A825" s="397">
        <v>10002007</v>
      </c>
      <c r="B825" s="397">
        <v>8303113313</v>
      </c>
      <c r="C825" s="397" t="s">
        <v>1728</v>
      </c>
      <c r="D825" s="398">
        <v>18260</v>
      </c>
      <c r="E825" s="397" t="s">
        <v>762</v>
      </c>
      <c r="F825" s="397" t="s">
        <v>763</v>
      </c>
      <c r="G825" s="397" t="s">
        <v>985</v>
      </c>
      <c r="H825" s="423">
        <v>2117</v>
      </c>
      <c r="I825" s="397" t="s">
        <v>317</v>
      </c>
      <c r="J825" s="400">
        <f t="shared" ca="1" si="12"/>
        <v>74</v>
      </c>
    </row>
    <row r="826" spans="1:10" ht="15" x14ac:dyDescent="0.25">
      <c r="A826" s="397">
        <v>10002008</v>
      </c>
      <c r="B826" s="397">
        <v>8450163250</v>
      </c>
      <c r="C826" s="397" t="s">
        <v>1729</v>
      </c>
      <c r="D826" s="398">
        <v>32965</v>
      </c>
      <c r="E826" s="397" t="s">
        <v>846</v>
      </c>
      <c r="F826" s="397" t="s">
        <v>847</v>
      </c>
      <c r="G826" s="397" t="s">
        <v>925</v>
      </c>
      <c r="H826" s="423">
        <v>2410</v>
      </c>
      <c r="I826" s="397" t="s">
        <v>366</v>
      </c>
      <c r="J826" s="400">
        <f t="shared" ca="1" si="12"/>
        <v>33</v>
      </c>
    </row>
    <row r="827" spans="1:10" ht="15" x14ac:dyDescent="0.25">
      <c r="A827" s="397">
        <v>10002009</v>
      </c>
      <c r="B827" s="397">
        <v>8456000604</v>
      </c>
      <c r="C827" s="397" t="s">
        <v>1730</v>
      </c>
      <c r="D827" s="398">
        <v>33549</v>
      </c>
      <c r="E827" s="397" t="s">
        <v>1731</v>
      </c>
      <c r="F827" s="397" t="s">
        <v>1732</v>
      </c>
      <c r="G827" s="397" t="s">
        <v>776</v>
      </c>
      <c r="H827" s="423">
        <v>2410</v>
      </c>
      <c r="I827" s="397" t="s">
        <v>366</v>
      </c>
      <c r="J827" s="400">
        <f t="shared" ca="1" si="12"/>
        <v>32</v>
      </c>
    </row>
    <row r="828" spans="1:10" ht="15" x14ac:dyDescent="0.25">
      <c r="A828" s="397">
        <v>10002010</v>
      </c>
      <c r="B828" s="397">
        <v>8456852562</v>
      </c>
      <c r="C828" s="397" t="s">
        <v>1733</v>
      </c>
      <c r="D828" s="398">
        <v>33634</v>
      </c>
      <c r="E828" s="397" t="s">
        <v>1731</v>
      </c>
      <c r="F828" s="397" t="s">
        <v>1732</v>
      </c>
      <c r="G828" s="397" t="s">
        <v>776</v>
      </c>
      <c r="H828" s="423">
        <v>2410</v>
      </c>
      <c r="I828" s="397" t="s">
        <v>366</v>
      </c>
      <c r="J828" s="400">
        <f t="shared" ca="1" si="12"/>
        <v>31</v>
      </c>
    </row>
    <row r="829" spans="1:10" ht="15" x14ac:dyDescent="0.25">
      <c r="A829" s="397">
        <v>10002011</v>
      </c>
      <c r="B829" s="397">
        <v>8455620730</v>
      </c>
      <c r="C829" s="397" t="s">
        <v>1734</v>
      </c>
      <c r="D829" s="398">
        <v>33511</v>
      </c>
      <c r="E829" s="397" t="s">
        <v>868</v>
      </c>
      <c r="F829" s="397" t="s">
        <v>869</v>
      </c>
      <c r="G829" s="397" t="s">
        <v>985</v>
      </c>
      <c r="H829" s="423">
        <v>2139</v>
      </c>
      <c r="I829" s="397" t="s">
        <v>329</v>
      </c>
      <c r="J829" s="400">
        <f t="shared" ca="1" si="12"/>
        <v>32</v>
      </c>
    </row>
    <row r="830" spans="1:10" ht="15" x14ac:dyDescent="0.25">
      <c r="A830" s="397">
        <v>10002012</v>
      </c>
      <c r="B830" s="397">
        <v>8477941602</v>
      </c>
      <c r="C830" s="397" t="s">
        <v>1735</v>
      </c>
      <c r="D830" s="398">
        <v>35743</v>
      </c>
      <c r="E830" s="397" t="s">
        <v>868</v>
      </c>
      <c r="F830" s="397" t="s">
        <v>869</v>
      </c>
      <c r="G830" s="397" t="s">
        <v>985</v>
      </c>
      <c r="H830" s="423">
        <v>2121</v>
      </c>
      <c r="I830" s="397" t="s">
        <v>319</v>
      </c>
      <c r="J830" s="400">
        <f t="shared" ca="1" si="12"/>
        <v>26</v>
      </c>
    </row>
    <row r="831" spans="1:10" ht="15" x14ac:dyDescent="0.25">
      <c r="A831" s="397">
        <v>10002013</v>
      </c>
      <c r="B831" s="397">
        <v>8422550644</v>
      </c>
      <c r="C831" s="397" t="s">
        <v>1736</v>
      </c>
      <c r="D831" s="398">
        <v>30204</v>
      </c>
      <c r="E831" s="397" t="s">
        <v>1164</v>
      </c>
      <c r="F831" s="397" t="s">
        <v>1165</v>
      </c>
      <c r="G831" s="397" t="s">
        <v>1049</v>
      </c>
      <c r="H831" s="423">
        <v>3910</v>
      </c>
      <c r="I831" s="397" t="s">
        <v>520</v>
      </c>
      <c r="J831" s="400">
        <f t="shared" ca="1" si="12"/>
        <v>41</v>
      </c>
    </row>
    <row r="832" spans="1:10" ht="15" x14ac:dyDescent="0.25">
      <c r="A832" s="397">
        <v>10002014</v>
      </c>
      <c r="B832" s="397">
        <v>8471190532</v>
      </c>
      <c r="C832" s="397" t="s">
        <v>1737</v>
      </c>
      <c r="D832" s="398">
        <v>35068</v>
      </c>
      <c r="E832" s="397" t="s">
        <v>1076</v>
      </c>
      <c r="F832" s="397" t="s">
        <v>1077</v>
      </c>
      <c r="G832" s="397" t="s">
        <v>1049</v>
      </c>
      <c r="H832" s="423">
        <v>3910</v>
      </c>
      <c r="I832" s="397" t="s">
        <v>520</v>
      </c>
      <c r="J832" s="400">
        <f t="shared" ca="1" si="12"/>
        <v>27</v>
      </c>
    </row>
    <row r="833" spans="1:10" ht="15" x14ac:dyDescent="0.25">
      <c r="A833" s="397">
        <v>10002016</v>
      </c>
      <c r="B833" s="397">
        <v>8430310738</v>
      </c>
      <c r="C833" s="397" t="s">
        <v>1738</v>
      </c>
      <c r="D833" s="398">
        <v>30980</v>
      </c>
      <c r="E833" s="397" t="s">
        <v>1096</v>
      </c>
      <c r="F833" s="397" t="s">
        <v>1097</v>
      </c>
      <c r="G833" s="397" t="s">
        <v>1209</v>
      </c>
      <c r="H833" s="423">
        <v>3910</v>
      </c>
      <c r="I833" s="397" t="s">
        <v>520</v>
      </c>
      <c r="J833" s="400">
        <f t="shared" ca="1" si="12"/>
        <v>39</v>
      </c>
    </row>
    <row r="834" spans="1:10" ht="15" x14ac:dyDescent="0.25">
      <c r="A834" s="397">
        <v>10002017</v>
      </c>
      <c r="B834" s="397">
        <v>8473952286</v>
      </c>
      <c r="C834" s="397" t="s">
        <v>1739</v>
      </c>
      <c r="D834" s="398">
        <v>35344</v>
      </c>
      <c r="E834" s="397" t="s">
        <v>868</v>
      </c>
      <c r="F834" s="397" t="s">
        <v>869</v>
      </c>
      <c r="G834" s="397" t="s">
        <v>985</v>
      </c>
      <c r="H834" s="423">
        <v>2139</v>
      </c>
      <c r="I834" s="397" t="s">
        <v>329</v>
      </c>
      <c r="J834" s="400">
        <f t="shared" ca="1" si="12"/>
        <v>27</v>
      </c>
    </row>
    <row r="835" spans="1:10" ht="15" x14ac:dyDescent="0.25">
      <c r="A835" s="397">
        <v>10002018</v>
      </c>
      <c r="B835" s="397">
        <v>8355672534</v>
      </c>
      <c r="C835" s="397" t="s">
        <v>1740</v>
      </c>
      <c r="D835" s="398">
        <v>23516</v>
      </c>
      <c r="E835" s="397" t="s">
        <v>868</v>
      </c>
      <c r="F835" s="397" t="s">
        <v>869</v>
      </c>
      <c r="G835" s="397" t="s">
        <v>985</v>
      </c>
      <c r="H835" s="423">
        <v>2117</v>
      </c>
      <c r="I835" s="397" t="s">
        <v>317</v>
      </c>
      <c r="J835" s="400">
        <f t="shared" ref="J835:J898" ca="1" si="13">YEAR(TODAY())-YEAR(D835)</f>
        <v>59</v>
      </c>
    </row>
    <row r="836" spans="1:10" ht="15" x14ac:dyDescent="0.25">
      <c r="A836" s="397">
        <v>10002019</v>
      </c>
      <c r="B836" s="397">
        <v>8488942230</v>
      </c>
      <c r="C836" s="397" t="s">
        <v>1741</v>
      </c>
      <c r="D836" s="398">
        <v>36843</v>
      </c>
      <c r="E836" s="397" t="s">
        <v>795</v>
      </c>
      <c r="F836" s="397" t="s">
        <v>796</v>
      </c>
      <c r="G836" s="397" t="s">
        <v>1742</v>
      </c>
      <c r="H836" s="423">
        <v>3115</v>
      </c>
      <c r="I836" s="397" t="s">
        <v>427</v>
      </c>
      <c r="J836" s="400">
        <f t="shared" ca="1" si="13"/>
        <v>23</v>
      </c>
    </row>
    <row r="837" spans="1:10" ht="15" x14ac:dyDescent="0.25">
      <c r="A837" s="397">
        <v>10002020</v>
      </c>
      <c r="B837" s="397">
        <v>8486551374</v>
      </c>
      <c r="C837" s="397" t="s">
        <v>1743</v>
      </c>
      <c r="D837" s="398">
        <v>36604</v>
      </c>
      <c r="E837" s="397" t="s">
        <v>918</v>
      </c>
      <c r="F837" s="397" t="s">
        <v>919</v>
      </c>
      <c r="G837" s="397" t="s">
        <v>1049</v>
      </c>
      <c r="H837" s="423">
        <v>3190</v>
      </c>
      <c r="I837" s="397" t="s">
        <v>456</v>
      </c>
      <c r="J837" s="400">
        <f t="shared" ca="1" si="13"/>
        <v>23</v>
      </c>
    </row>
    <row r="838" spans="1:10" ht="15" x14ac:dyDescent="0.25">
      <c r="A838" s="397">
        <v>10002021</v>
      </c>
      <c r="B838" s="397">
        <v>8479450444</v>
      </c>
      <c r="C838" s="397" t="s">
        <v>1744</v>
      </c>
      <c r="D838" s="398">
        <v>35894</v>
      </c>
      <c r="E838" s="397" t="s">
        <v>868</v>
      </c>
      <c r="F838" s="397" t="s">
        <v>869</v>
      </c>
      <c r="G838" s="397" t="s">
        <v>1049</v>
      </c>
      <c r="H838" s="423">
        <v>2910</v>
      </c>
      <c r="I838" s="397" t="s">
        <v>422</v>
      </c>
      <c r="J838" s="400">
        <f t="shared" ca="1" si="13"/>
        <v>25</v>
      </c>
    </row>
    <row r="839" spans="1:10" ht="15" x14ac:dyDescent="0.25">
      <c r="A839" s="397">
        <v>10002022</v>
      </c>
      <c r="B839" s="397">
        <v>8365593564</v>
      </c>
      <c r="C839" s="397" t="s">
        <v>1745</v>
      </c>
      <c r="D839" s="398">
        <v>24508</v>
      </c>
      <c r="E839" s="397" t="s">
        <v>868</v>
      </c>
      <c r="F839" s="397" t="s">
        <v>869</v>
      </c>
      <c r="G839" s="397" t="s">
        <v>1049</v>
      </c>
      <c r="H839" s="423">
        <v>2910</v>
      </c>
      <c r="I839" s="397" t="s">
        <v>422</v>
      </c>
      <c r="J839" s="400">
        <f t="shared" ca="1" si="13"/>
        <v>56</v>
      </c>
    </row>
    <row r="840" spans="1:10" ht="15" x14ac:dyDescent="0.25">
      <c r="A840" s="397">
        <v>10002023</v>
      </c>
      <c r="B840" s="397">
        <v>8350852550</v>
      </c>
      <c r="C840" s="397" t="s">
        <v>1746</v>
      </c>
      <c r="D840" s="398">
        <v>23034</v>
      </c>
      <c r="E840" s="397" t="s">
        <v>868</v>
      </c>
      <c r="F840" s="397" t="s">
        <v>869</v>
      </c>
      <c r="G840" s="397" t="s">
        <v>985</v>
      </c>
      <c r="H840" s="423">
        <v>2139</v>
      </c>
      <c r="I840" s="397" t="s">
        <v>329</v>
      </c>
      <c r="J840" s="400">
        <f t="shared" ca="1" si="13"/>
        <v>60</v>
      </c>
    </row>
    <row r="841" spans="1:10" ht="15" x14ac:dyDescent="0.25">
      <c r="A841" s="397">
        <v>10002024</v>
      </c>
      <c r="B841" s="397">
        <v>8353391902</v>
      </c>
      <c r="C841" s="397" t="s">
        <v>1747</v>
      </c>
      <c r="D841" s="398">
        <v>23288</v>
      </c>
      <c r="E841" s="397" t="s">
        <v>868</v>
      </c>
      <c r="F841" s="397" t="s">
        <v>869</v>
      </c>
      <c r="G841" s="397" t="s">
        <v>1049</v>
      </c>
      <c r="H841" s="423">
        <v>2910</v>
      </c>
      <c r="I841" s="397" t="s">
        <v>422</v>
      </c>
      <c r="J841" s="400">
        <f t="shared" ca="1" si="13"/>
        <v>60</v>
      </c>
    </row>
    <row r="842" spans="1:10" ht="15" x14ac:dyDescent="0.25">
      <c r="A842" s="397">
        <v>10002025</v>
      </c>
      <c r="B842" s="397">
        <v>8443042931</v>
      </c>
      <c r="C842" s="397" t="s">
        <v>1748</v>
      </c>
      <c r="D842" s="398">
        <v>32253</v>
      </c>
      <c r="E842" s="397" t="s">
        <v>868</v>
      </c>
      <c r="F842" s="397" t="s">
        <v>869</v>
      </c>
      <c r="G842" s="397" t="s">
        <v>985</v>
      </c>
      <c r="H842" s="423">
        <v>2168</v>
      </c>
      <c r="I842" s="397" t="s">
        <v>345</v>
      </c>
      <c r="J842" s="400">
        <f t="shared" ca="1" si="13"/>
        <v>35</v>
      </c>
    </row>
    <row r="843" spans="1:10" ht="15" x14ac:dyDescent="0.25">
      <c r="A843" s="397">
        <v>10002026</v>
      </c>
      <c r="B843" s="397">
        <v>8453660115</v>
      </c>
      <c r="C843" s="397" t="s">
        <v>1749</v>
      </c>
      <c r="D843" s="398">
        <v>33315</v>
      </c>
      <c r="E843" s="397" t="s">
        <v>868</v>
      </c>
      <c r="F843" s="397" t="s">
        <v>869</v>
      </c>
      <c r="G843" s="397" t="s">
        <v>985</v>
      </c>
      <c r="H843" s="423">
        <v>2169</v>
      </c>
      <c r="I843" s="397" t="s">
        <v>346</v>
      </c>
      <c r="J843" s="400">
        <f t="shared" ca="1" si="13"/>
        <v>32</v>
      </c>
    </row>
    <row r="844" spans="1:10" ht="15" x14ac:dyDescent="0.25">
      <c r="A844" s="397">
        <v>10002027</v>
      </c>
      <c r="B844" s="397">
        <v>8449114357</v>
      </c>
      <c r="C844" s="397" t="s">
        <v>1750</v>
      </c>
      <c r="D844" s="398">
        <v>32860</v>
      </c>
      <c r="E844" s="397" t="s">
        <v>868</v>
      </c>
      <c r="F844" s="397" t="s">
        <v>869</v>
      </c>
      <c r="G844" s="397" t="s">
        <v>985</v>
      </c>
      <c r="H844" s="423">
        <v>2116</v>
      </c>
      <c r="I844" s="397" t="s">
        <v>316</v>
      </c>
      <c r="J844" s="400">
        <f t="shared" ca="1" si="13"/>
        <v>34</v>
      </c>
    </row>
    <row r="845" spans="1:10" ht="15" x14ac:dyDescent="0.25">
      <c r="A845" s="397">
        <v>10002028</v>
      </c>
      <c r="B845" s="397">
        <v>8428730148</v>
      </c>
      <c r="C845" s="397" t="s">
        <v>1751</v>
      </c>
      <c r="D845" s="398">
        <v>30822</v>
      </c>
      <c r="E845" s="397" t="s">
        <v>868</v>
      </c>
      <c r="F845" s="397" t="s">
        <v>869</v>
      </c>
      <c r="G845" s="397" t="s">
        <v>1049</v>
      </c>
      <c r="H845" s="423">
        <v>3910</v>
      </c>
      <c r="I845" s="397" t="s">
        <v>520</v>
      </c>
      <c r="J845" s="400">
        <f t="shared" ca="1" si="13"/>
        <v>39</v>
      </c>
    </row>
    <row r="846" spans="1:10" ht="15" x14ac:dyDescent="0.25">
      <c r="A846" s="397">
        <v>10002029</v>
      </c>
      <c r="B846" s="397">
        <v>8439311400</v>
      </c>
      <c r="C846" s="397" t="s">
        <v>1752</v>
      </c>
      <c r="D846" s="398">
        <v>31880</v>
      </c>
      <c r="E846" s="397" t="s">
        <v>868</v>
      </c>
      <c r="F846" s="397" t="s">
        <v>869</v>
      </c>
      <c r="G846" s="397" t="s">
        <v>985</v>
      </c>
      <c r="H846" s="423">
        <v>2116</v>
      </c>
      <c r="I846" s="397" t="s">
        <v>316</v>
      </c>
      <c r="J846" s="400">
        <f t="shared" ca="1" si="13"/>
        <v>36</v>
      </c>
    </row>
    <row r="847" spans="1:10" ht="15" x14ac:dyDescent="0.25">
      <c r="A847" s="397">
        <v>10002030</v>
      </c>
      <c r="B847" s="397">
        <v>8388670670</v>
      </c>
      <c r="C847" s="397" t="s">
        <v>1753</v>
      </c>
      <c r="D847" s="398">
        <v>26816</v>
      </c>
      <c r="E847" s="397" t="s">
        <v>868</v>
      </c>
      <c r="F847" s="397" t="s">
        <v>869</v>
      </c>
      <c r="G847" s="397" t="s">
        <v>985</v>
      </c>
      <c r="H847" s="423">
        <v>2118</v>
      </c>
      <c r="I847" s="397" t="s">
        <v>318</v>
      </c>
      <c r="J847" s="400">
        <f t="shared" ca="1" si="13"/>
        <v>50</v>
      </c>
    </row>
    <row r="848" spans="1:10" ht="15" x14ac:dyDescent="0.25">
      <c r="A848" s="397">
        <v>10002031</v>
      </c>
      <c r="B848" s="397">
        <v>8377233223</v>
      </c>
      <c r="C848" s="397" t="s">
        <v>1754</v>
      </c>
      <c r="D848" s="398">
        <v>25672</v>
      </c>
      <c r="E848" s="397" t="s">
        <v>840</v>
      </c>
      <c r="F848" s="397" t="s">
        <v>841</v>
      </c>
      <c r="G848" s="397" t="s">
        <v>1755</v>
      </c>
      <c r="H848" s="423">
        <v>3190</v>
      </c>
      <c r="I848" s="397" t="s">
        <v>456</v>
      </c>
      <c r="J848" s="400">
        <f t="shared" ca="1" si="13"/>
        <v>53</v>
      </c>
    </row>
    <row r="849" spans="1:10" ht="15" x14ac:dyDescent="0.25">
      <c r="A849" s="397">
        <v>10002032</v>
      </c>
      <c r="B849" s="397">
        <v>8450630401</v>
      </c>
      <c r="C849" s="397" t="s">
        <v>1756</v>
      </c>
      <c r="D849" s="398">
        <v>33012</v>
      </c>
      <c r="E849" s="397" t="s">
        <v>840</v>
      </c>
      <c r="F849" s="397" t="s">
        <v>841</v>
      </c>
      <c r="G849" s="397" t="s">
        <v>831</v>
      </c>
      <c r="H849" s="423">
        <v>2118</v>
      </c>
      <c r="I849" s="397" t="s">
        <v>318</v>
      </c>
      <c r="J849" s="400">
        <f t="shared" ca="1" si="13"/>
        <v>33</v>
      </c>
    </row>
    <row r="850" spans="1:10" ht="15" x14ac:dyDescent="0.25">
      <c r="A850" s="397">
        <v>10002033</v>
      </c>
      <c r="B850" s="397">
        <v>8375352837</v>
      </c>
      <c r="C850" s="397" t="s">
        <v>1757</v>
      </c>
      <c r="D850" s="398">
        <v>25484</v>
      </c>
      <c r="E850" s="397" t="s">
        <v>868</v>
      </c>
      <c r="F850" s="397" t="s">
        <v>869</v>
      </c>
      <c r="G850" s="397" t="s">
        <v>985</v>
      </c>
      <c r="H850" s="423">
        <v>2122</v>
      </c>
      <c r="I850" s="397" t="s">
        <v>320</v>
      </c>
      <c r="J850" s="400">
        <f t="shared" ca="1" si="13"/>
        <v>54</v>
      </c>
    </row>
    <row r="851" spans="1:10" ht="15" x14ac:dyDescent="0.25">
      <c r="A851" s="397">
        <v>10002034</v>
      </c>
      <c r="B851" s="397">
        <v>8358032285</v>
      </c>
      <c r="C851" s="397" t="s">
        <v>1758</v>
      </c>
      <c r="D851" s="398">
        <v>23752</v>
      </c>
      <c r="E851" s="397" t="s">
        <v>868</v>
      </c>
      <c r="F851" s="397" t="s">
        <v>869</v>
      </c>
      <c r="G851" s="397" t="s">
        <v>985</v>
      </c>
      <c r="H851" s="423">
        <v>2139</v>
      </c>
      <c r="I851" s="397" t="s">
        <v>329</v>
      </c>
      <c r="J851" s="400">
        <f t="shared" ca="1" si="13"/>
        <v>58</v>
      </c>
    </row>
    <row r="852" spans="1:10" ht="15" x14ac:dyDescent="0.25">
      <c r="A852" s="397">
        <v>10002035</v>
      </c>
      <c r="B852" s="397">
        <v>8436493206</v>
      </c>
      <c r="C852" s="397" t="s">
        <v>1759</v>
      </c>
      <c r="D852" s="398">
        <v>31598</v>
      </c>
      <c r="E852" s="397" t="s">
        <v>868</v>
      </c>
      <c r="F852" s="397" t="s">
        <v>869</v>
      </c>
      <c r="G852" s="397" t="s">
        <v>1049</v>
      </c>
      <c r="H852" s="423">
        <v>2910</v>
      </c>
      <c r="I852" s="397" t="s">
        <v>422</v>
      </c>
      <c r="J852" s="400">
        <f t="shared" ca="1" si="13"/>
        <v>37</v>
      </c>
    </row>
    <row r="853" spans="1:10" ht="15" x14ac:dyDescent="0.25">
      <c r="A853" s="397">
        <v>10002036</v>
      </c>
      <c r="B853" s="397">
        <v>8440502516</v>
      </c>
      <c r="C853" s="397" t="s">
        <v>1760</v>
      </c>
      <c r="D853" s="398">
        <v>31999</v>
      </c>
      <c r="E853" s="397" t="s">
        <v>1107</v>
      </c>
      <c r="F853" s="397" t="s">
        <v>1108</v>
      </c>
      <c r="G853" s="397" t="s">
        <v>1049</v>
      </c>
      <c r="H853" s="423">
        <v>3910</v>
      </c>
      <c r="I853" s="397" t="s">
        <v>520</v>
      </c>
      <c r="J853" s="400">
        <f t="shared" ca="1" si="13"/>
        <v>36</v>
      </c>
    </row>
    <row r="854" spans="1:10" ht="15" x14ac:dyDescent="0.25">
      <c r="A854" s="397">
        <v>10002037</v>
      </c>
      <c r="B854" s="397">
        <v>8397073647</v>
      </c>
      <c r="C854" s="397" t="s">
        <v>1761</v>
      </c>
      <c r="D854" s="398">
        <v>27656</v>
      </c>
      <c r="E854" s="397" t="s">
        <v>1103</v>
      </c>
      <c r="F854" s="397" t="s">
        <v>1104</v>
      </c>
      <c r="G854" s="397" t="s">
        <v>1049</v>
      </c>
      <c r="H854" s="423">
        <v>3910</v>
      </c>
      <c r="I854" s="397" t="s">
        <v>520</v>
      </c>
      <c r="J854" s="400">
        <f t="shared" ca="1" si="13"/>
        <v>48</v>
      </c>
    </row>
    <row r="855" spans="1:10" ht="15" x14ac:dyDescent="0.25">
      <c r="A855" s="397">
        <v>10002038</v>
      </c>
      <c r="B855" s="397">
        <v>8451490050</v>
      </c>
      <c r="C855" s="397" t="s">
        <v>1762</v>
      </c>
      <c r="D855" s="398">
        <v>33098</v>
      </c>
      <c r="E855" s="397" t="s">
        <v>1184</v>
      </c>
      <c r="F855" s="397" t="s">
        <v>1185</v>
      </c>
      <c r="G855" s="397" t="s">
        <v>1014</v>
      </c>
      <c r="H855" s="423">
        <v>2910</v>
      </c>
      <c r="I855" s="397" t="s">
        <v>422</v>
      </c>
      <c r="J855" s="400">
        <f t="shared" ca="1" si="13"/>
        <v>33</v>
      </c>
    </row>
    <row r="856" spans="1:10" ht="15" x14ac:dyDescent="0.25">
      <c r="A856" s="397">
        <v>10002039</v>
      </c>
      <c r="B856" s="397">
        <v>8438973132</v>
      </c>
      <c r="C856" s="397" t="s">
        <v>1763</v>
      </c>
      <c r="D856" s="398">
        <v>31846</v>
      </c>
      <c r="E856" s="397" t="s">
        <v>868</v>
      </c>
      <c r="F856" s="397" t="s">
        <v>869</v>
      </c>
      <c r="G856" s="397" t="s">
        <v>985</v>
      </c>
      <c r="H856" s="423">
        <v>2116</v>
      </c>
      <c r="I856" s="397" t="s">
        <v>316</v>
      </c>
      <c r="J856" s="400">
        <f t="shared" ca="1" si="13"/>
        <v>36</v>
      </c>
    </row>
    <row r="857" spans="1:10" ht="15" x14ac:dyDescent="0.25">
      <c r="A857" s="397">
        <v>10002040</v>
      </c>
      <c r="B857" s="397">
        <v>8434170299</v>
      </c>
      <c r="C857" s="397" t="s">
        <v>1764</v>
      </c>
      <c r="D857" s="398">
        <v>31366</v>
      </c>
      <c r="E857" s="397" t="s">
        <v>788</v>
      </c>
      <c r="F857" s="397" t="s">
        <v>789</v>
      </c>
      <c r="G857" s="397" t="s">
        <v>902</v>
      </c>
      <c r="H857" s="423">
        <v>2139</v>
      </c>
      <c r="I857" s="397" t="s">
        <v>329</v>
      </c>
      <c r="J857" s="400">
        <f t="shared" ca="1" si="13"/>
        <v>38</v>
      </c>
    </row>
    <row r="858" spans="1:10" ht="15" x14ac:dyDescent="0.25">
      <c r="A858" s="397">
        <v>10002041</v>
      </c>
      <c r="B858" s="397">
        <v>8481082155</v>
      </c>
      <c r="C858" s="397" t="s">
        <v>1765</v>
      </c>
      <c r="D858" s="398">
        <v>36057</v>
      </c>
      <c r="E858" s="397" t="s">
        <v>1175</v>
      </c>
      <c r="F858" s="397" t="s">
        <v>1176</v>
      </c>
      <c r="G858" s="397" t="s">
        <v>1049</v>
      </c>
      <c r="H858" s="423">
        <v>3910</v>
      </c>
      <c r="I858" s="397" t="s">
        <v>520</v>
      </c>
      <c r="J858" s="400">
        <f t="shared" ca="1" si="13"/>
        <v>25</v>
      </c>
    </row>
    <row r="859" spans="1:10" ht="15" x14ac:dyDescent="0.25">
      <c r="A859" s="397">
        <v>10002042</v>
      </c>
      <c r="B859" s="397">
        <v>8473740297</v>
      </c>
      <c r="C859" s="397" t="s">
        <v>1766</v>
      </c>
      <c r="D859" s="398">
        <v>35323</v>
      </c>
      <c r="E859" s="397" t="s">
        <v>810</v>
      </c>
      <c r="F859" s="397" t="s">
        <v>811</v>
      </c>
      <c r="G859" s="397" t="s">
        <v>1014</v>
      </c>
      <c r="H859" s="423">
        <v>2122</v>
      </c>
      <c r="I859" s="397" t="s">
        <v>320</v>
      </c>
      <c r="J859" s="400">
        <f t="shared" ca="1" si="13"/>
        <v>27</v>
      </c>
    </row>
    <row r="860" spans="1:10" ht="15" x14ac:dyDescent="0.25">
      <c r="A860" s="397">
        <v>10002043</v>
      </c>
      <c r="B860" s="397">
        <v>8377113341</v>
      </c>
      <c r="C860" s="397" t="s">
        <v>1767</v>
      </c>
      <c r="D860" s="398">
        <v>25660</v>
      </c>
      <c r="E860" s="397" t="s">
        <v>868</v>
      </c>
      <c r="F860" s="397" t="s">
        <v>869</v>
      </c>
      <c r="G860" s="397" t="s">
        <v>985</v>
      </c>
      <c r="H860" s="423">
        <v>2139</v>
      </c>
      <c r="I860" s="397" t="s">
        <v>329</v>
      </c>
      <c r="J860" s="400">
        <f t="shared" ca="1" si="13"/>
        <v>53</v>
      </c>
    </row>
    <row r="861" spans="1:10" ht="15" x14ac:dyDescent="0.25">
      <c r="A861" s="397">
        <v>10002044</v>
      </c>
      <c r="B861" s="397">
        <v>8378243737</v>
      </c>
      <c r="C861" s="397" t="s">
        <v>1768</v>
      </c>
      <c r="D861" s="398">
        <v>25773</v>
      </c>
      <c r="E861" s="397" t="s">
        <v>1064</v>
      </c>
      <c r="F861" s="397" t="s">
        <v>1065</v>
      </c>
      <c r="G861" s="397" t="s">
        <v>1014</v>
      </c>
      <c r="H861" s="423">
        <v>1335</v>
      </c>
      <c r="I861" s="397" t="s">
        <v>301</v>
      </c>
      <c r="J861" s="400">
        <f t="shared" ca="1" si="13"/>
        <v>53</v>
      </c>
    </row>
    <row r="862" spans="1:10" ht="15" x14ac:dyDescent="0.25">
      <c r="A862" s="397">
        <v>10002045</v>
      </c>
      <c r="B862" s="397">
        <v>8465163111</v>
      </c>
      <c r="C862" s="397" t="s">
        <v>1769</v>
      </c>
      <c r="D862" s="398">
        <v>34465</v>
      </c>
      <c r="E862" s="397" t="s">
        <v>1537</v>
      </c>
      <c r="F862" s="397" t="s">
        <v>1538</v>
      </c>
      <c r="G862" s="397" t="s">
        <v>1049</v>
      </c>
      <c r="H862" s="423">
        <v>3910</v>
      </c>
      <c r="I862" s="397" t="s">
        <v>520</v>
      </c>
      <c r="J862" s="400">
        <f t="shared" ca="1" si="13"/>
        <v>29</v>
      </c>
    </row>
    <row r="863" spans="1:10" ht="15" x14ac:dyDescent="0.25">
      <c r="A863" s="397">
        <v>10002046</v>
      </c>
      <c r="B863" s="397">
        <v>8318834208</v>
      </c>
      <c r="C863" s="397" t="s">
        <v>1770</v>
      </c>
      <c r="D863" s="398">
        <v>19832</v>
      </c>
      <c r="E863" s="397" t="s">
        <v>795</v>
      </c>
      <c r="F863" s="397" t="s">
        <v>796</v>
      </c>
      <c r="G863" s="397" t="s">
        <v>1084</v>
      </c>
      <c r="H863" s="423">
        <v>3115</v>
      </c>
      <c r="I863" s="397" t="s">
        <v>427</v>
      </c>
      <c r="J863" s="400">
        <f t="shared" ca="1" si="13"/>
        <v>69</v>
      </c>
    </row>
    <row r="864" spans="1:10" ht="15" x14ac:dyDescent="0.25">
      <c r="A864" s="397">
        <v>10002047</v>
      </c>
      <c r="B864" s="397">
        <v>8480090987</v>
      </c>
      <c r="C864" s="397" t="s">
        <v>1771</v>
      </c>
      <c r="D864" s="398">
        <v>35958</v>
      </c>
      <c r="E864" s="397" t="s">
        <v>1051</v>
      </c>
      <c r="F864" s="397" t="s">
        <v>1052</v>
      </c>
      <c r="G864" s="397" t="s">
        <v>1049</v>
      </c>
      <c r="H864" s="423">
        <v>4134</v>
      </c>
      <c r="I864" s="397" t="s">
        <v>534</v>
      </c>
      <c r="J864" s="400">
        <f t="shared" ca="1" si="13"/>
        <v>25</v>
      </c>
    </row>
    <row r="865" spans="1:10" ht="15" x14ac:dyDescent="0.25">
      <c r="A865" s="397">
        <v>10002048</v>
      </c>
      <c r="B865" s="397">
        <v>8309423470</v>
      </c>
      <c r="C865" s="397" t="s">
        <v>1381</v>
      </c>
      <c r="D865" s="398">
        <v>18891</v>
      </c>
      <c r="E865" s="397" t="s">
        <v>771</v>
      </c>
      <c r="F865" s="397" t="s">
        <v>772</v>
      </c>
      <c r="G865" s="397" t="s">
        <v>1209</v>
      </c>
      <c r="H865" s="423">
        <v>2624</v>
      </c>
      <c r="I865" s="397" t="s">
        <v>401</v>
      </c>
      <c r="J865" s="400">
        <f t="shared" ca="1" si="13"/>
        <v>72</v>
      </c>
    </row>
    <row r="866" spans="1:10" ht="15" x14ac:dyDescent="0.25">
      <c r="A866" s="397">
        <v>10002049</v>
      </c>
      <c r="B866" s="397">
        <v>8485391136</v>
      </c>
      <c r="C866" s="397" t="s">
        <v>1772</v>
      </c>
      <c r="D866" s="398">
        <v>36488</v>
      </c>
      <c r="E866" s="397" t="s">
        <v>795</v>
      </c>
      <c r="F866" s="397" t="s">
        <v>796</v>
      </c>
      <c r="G866" s="397" t="s">
        <v>1084</v>
      </c>
      <c r="H866" s="423">
        <v>3139</v>
      </c>
      <c r="I866" s="397" t="s">
        <v>438</v>
      </c>
      <c r="J866" s="400">
        <f t="shared" ca="1" si="13"/>
        <v>24</v>
      </c>
    </row>
    <row r="867" spans="1:10" ht="15" x14ac:dyDescent="0.25">
      <c r="A867" s="397">
        <v>10002050</v>
      </c>
      <c r="B867" s="397">
        <v>8484210146</v>
      </c>
      <c r="C867" s="397" t="s">
        <v>1773</v>
      </c>
      <c r="D867" s="398">
        <v>36370</v>
      </c>
      <c r="E867" s="397" t="s">
        <v>762</v>
      </c>
      <c r="F867" s="397" t="s">
        <v>763</v>
      </c>
      <c r="G867" s="397" t="s">
        <v>1084</v>
      </c>
      <c r="H867" s="423">
        <v>3139</v>
      </c>
      <c r="I867" s="397" t="s">
        <v>438</v>
      </c>
      <c r="J867" s="400">
        <f t="shared" ca="1" si="13"/>
        <v>24</v>
      </c>
    </row>
    <row r="868" spans="1:10" ht="15" x14ac:dyDescent="0.25">
      <c r="A868" s="397">
        <v>10002051</v>
      </c>
      <c r="B868" s="397">
        <v>8464521502</v>
      </c>
      <c r="C868" s="397" t="s">
        <v>1473</v>
      </c>
      <c r="D868" s="398">
        <v>34401</v>
      </c>
      <c r="E868" s="397" t="s">
        <v>762</v>
      </c>
      <c r="F868" s="397" t="s">
        <v>763</v>
      </c>
      <c r="G868" s="397" t="s">
        <v>985</v>
      </c>
      <c r="H868" s="423">
        <v>2117</v>
      </c>
      <c r="I868" s="397" t="s">
        <v>317</v>
      </c>
      <c r="J868" s="400">
        <f t="shared" ca="1" si="13"/>
        <v>29</v>
      </c>
    </row>
    <row r="869" spans="1:10" ht="15" x14ac:dyDescent="0.25">
      <c r="A869" s="397">
        <v>10002052</v>
      </c>
      <c r="B869" s="397">
        <v>8459943798</v>
      </c>
      <c r="C869" s="397" t="s">
        <v>1774</v>
      </c>
      <c r="D869" s="398">
        <v>33943</v>
      </c>
      <c r="E869" s="397" t="s">
        <v>762</v>
      </c>
      <c r="F869" s="397" t="s">
        <v>763</v>
      </c>
      <c r="G869" s="397" t="s">
        <v>985</v>
      </c>
      <c r="H869" s="423">
        <v>2118</v>
      </c>
      <c r="I869" s="397" t="s">
        <v>318</v>
      </c>
      <c r="J869" s="400">
        <f t="shared" ca="1" si="13"/>
        <v>31</v>
      </c>
    </row>
    <row r="870" spans="1:10" ht="15" x14ac:dyDescent="0.25">
      <c r="A870" s="397">
        <v>10002053</v>
      </c>
      <c r="B870" s="397">
        <v>8452043619</v>
      </c>
      <c r="C870" s="397" t="s">
        <v>1775</v>
      </c>
      <c r="D870" s="398">
        <v>33153</v>
      </c>
      <c r="E870" s="397" t="s">
        <v>774</v>
      </c>
      <c r="F870" s="397" t="s">
        <v>775</v>
      </c>
      <c r="G870" s="397" t="s">
        <v>985</v>
      </c>
      <c r="H870" s="423">
        <v>2167</v>
      </c>
      <c r="I870" s="397" t="s">
        <v>344</v>
      </c>
      <c r="J870" s="400">
        <f t="shared" ca="1" si="13"/>
        <v>33</v>
      </c>
    </row>
    <row r="871" spans="1:10" ht="15" x14ac:dyDescent="0.25">
      <c r="A871" s="397">
        <v>10002056</v>
      </c>
      <c r="B871" s="397">
        <v>8481051845</v>
      </c>
      <c r="C871" s="397" t="s">
        <v>1776</v>
      </c>
      <c r="D871" s="398">
        <v>36054</v>
      </c>
      <c r="E871" s="397" t="s">
        <v>1421</v>
      </c>
      <c r="F871" s="397" t="s">
        <v>1422</v>
      </c>
      <c r="G871" s="397" t="s">
        <v>1209</v>
      </c>
      <c r="H871" s="423">
        <v>2910</v>
      </c>
      <c r="I871" s="397" t="s">
        <v>422</v>
      </c>
      <c r="J871" s="400">
        <f t="shared" ca="1" si="13"/>
        <v>25</v>
      </c>
    </row>
    <row r="872" spans="1:10" ht="15" x14ac:dyDescent="0.25">
      <c r="A872" s="397">
        <v>10002057</v>
      </c>
      <c r="B872" s="397">
        <v>8463393128</v>
      </c>
      <c r="C872" s="397" t="s">
        <v>1777</v>
      </c>
      <c r="D872" s="398">
        <v>34288</v>
      </c>
      <c r="E872" s="397" t="s">
        <v>771</v>
      </c>
      <c r="F872" s="397" t="s">
        <v>772</v>
      </c>
      <c r="G872" s="397" t="s">
        <v>1049</v>
      </c>
      <c r="H872" s="423">
        <v>3910</v>
      </c>
      <c r="I872" s="397" t="s">
        <v>520</v>
      </c>
      <c r="J872" s="400">
        <f t="shared" ca="1" si="13"/>
        <v>30</v>
      </c>
    </row>
    <row r="873" spans="1:10" ht="15" x14ac:dyDescent="0.25">
      <c r="A873" s="397">
        <v>10002058</v>
      </c>
      <c r="B873" s="397">
        <v>8465210845</v>
      </c>
      <c r="C873" s="397" t="s">
        <v>1778</v>
      </c>
      <c r="D873" s="398">
        <v>34470</v>
      </c>
      <c r="E873" s="397" t="s">
        <v>778</v>
      </c>
      <c r="F873" s="397" t="s">
        <v>779</v>
      </c>
      <c r="G873" s="397" t="s">
        <v>1049</v>
      </c>
      <c r="H873" s="423">
        <v>3910</v>
      </c>
      <c r="I873" s="397" t="s">
        <v>520</v>
      </c>
      <c r="J873" s="400">
        <f t="shared" ca="1" si="13"/>
        <v>29</v>
      </c>
    </row>
    <row r="874" spans="1:10" ht="15" x14ac:dyDescent="0.25">
      <c r="A874" s="397">
        <v>10002059</v>
      </c>
      <c r="B874" s="397">
        <v>8358303319</v>
      </c>
      <c r="C874" s="397" t="s">
        <v>1779</v>
      </c>
      <c r="D874" s="398">
        <v>23779</v>
      </c>
      <c r="E874" s="397" t="s">
        <v>1544</v>
      </c>
      <c r="F874" s="397" t="s">
        <v>1545</v>
      </c>
      <c r="G874" s="397" t="s">
        <v>1014</v>
      </c>
      <c r="H874" s="423">
        <v>2624</v>
      </c>
      <c r="I874" s="397" t="s">
        <v>401</v>
      </c>
      <c r="J874" s="400">
        <f t="shared" ca="1" si="13"/>
        <v>58</v>
      </c>
    </row>
    <row r="875" spans="1:10" ht="15" x14ac:dyDescent="0.25">
      <c r="A875" s="397">
        <v>10002060</v>
      </c>
      <c r="B875" s="397">
        <v>8466090657</v>
      </c>
      <c r="C875" s="397" t="s">
        <v>1780</v>
      </c>
      <c r="D875" s="398">
        <v>34558</v>
      </c>
      <c r="E875" s="397" t="s">
        <v>868</v>
      </c>
      <c r="F875" s="397" t="s">
        <v>869</v>
      </c>
      <c r="G875" s="397" t="s">
        <v>985</v>
      </c>
      <c r="H875" s="423">
        <v>2165</v>
      </c>
      <c r="I875" s="397" t="s">
        <v>342</v>
      </c>
      <c r="J875" s="400">
        <f t="shared" ca="1" si="13"/>
        <v>29</v>
      </c>
    </row>
    <row r="876" spans="1:10" ht="15" x14ac:dyDescent="0.25">
      <c r="A876" s="397">
        <v>10002061</v>
      </c>
      <c r="B876" s="397">
        <v>8442350756</v>
      </c>
      <c r="C876" s="397" t="s">
        <v>1781</v>
      </c>
      <c r="D876" s="398">
        <v>32184</v>
      </c>
      <c r="E876" s="397" t="s">
        <v>824</v>
      </c>
      <c r="F876" s="397" t="s">
        <v>825</v>
      </c>
      <c r="G876" s="397" t="s">
        <v>1014</v>
      </c>
      <c r="H876" s="423">
        <v>3632</v>
      </c>
      <c r="I876" s="397" t="s">
        <v>497</v>
      </c>
      <c r="J876" s="400">
        <f t="shared" ca="1" si="13"/>
        <v>35</v>
      </c>
    </row>
    <row r="877" spans="1:10" ht="15" x14ac:dyDescent="0.25">
      <c r="A877" s="397">
        <v>10002062</v>
      </c>
      <c r="B877" s="397">
        <v>8358692501</v>
      </c>
      <c r="C877" s="397" t="s">
        <v>1782</v>
      </c>
      <c r="D877" s="398">
        <v>23818</v>
      </c>
      <c r="E877" s="397" t="s">
        <v>868</v>
      </c>
      <c r="F877" s="397" t="s">
        <v>869</v>
      </c>
      <c r="G877" s="397" t="s">
        <v>985</v>
      </c>
      <c r="H877" s="423">
        <v>2111</v>
      </c>
      <c r="I877" s="397" t="s">
        <v>311</v>
      </c>
      <c r="J877" s="400">
        <f t="shared" ca="1" si="13"/>
        <v>58</v>
      </c>
    </row>
    <row r="878" spans="1:10" ht="15" x14ac:dyDescent="0.25">
      <c r="A878" s="397">
        <v>10002063</v>
      </c>
      <c r="B878" s="397">
        <v>8367733835</v>
      </c>
      <c r="C878" s="397" t="s">
        <v>1783</v>
      </c>
      <c r="D878" s="398">
        <v>24722</v>
      </c>
      <c r="E878" s="397" t="s">
        <v>1051</v>
      </c>
      <c r="F878" s="397" t="s">
        <v>1052</v>
      </c>
      <c r="G878" s="397" t="s">
        <v>1049</v>
      </c>
      <c r="H878" s="423">
        <v>4122</v>
      </c>
      <c r="I878" s="397" t="s">
        <v>528</v>
      </c>
      <c r="J878" s="400">
        <f t="shared" ca="1" si="13"/>
        <v>56</v>
      </c>
    </row>
    <row r="879" spans="1:10" ht="15" x14ac:dyDescent="0.25">
      <c r="A879" s="397">
        <v>10002064</v>
      </c>
      <c r="B879" s="397">
        <v>8422850095</v>
      </c>
      <c r="C879" s="397" t="s">
        <v>1784</v>
      </c>
      <c r="D879" s="398">
        <v>30234</v>
      </c>
      <c r="E879" s="397" t="s">
        <v>1051</v>
      </c>
      <c r="F879" s="397" t="s">
        <v>1052</v>
      </c>
      <c r="G879" s="397" t="s">
        <v>1049</v>
      </c>
      <c r="H879" s="423">
        <v>4134</v>
      </c>
      <c r="I879" s="397" t="s">
        <v>534</v>
      </c>
      <c r="J879" s="400">
        <f t="shared" ca="1" si="13"/>
        <v>41</v>
      </c>
    </row>
    <row r="880" spans="1:10" ht="15" x14ac:dyDescent="0.25">
      <c r="A880" s="397">
        <v>10002065</v>
      </c>
      <c r="B880" s="397">
        <v>8392743369</v>
      </c>
      <c r="C880" s="397" t="s">
        <v>1785</v>
      </c>
      <c r="D880" s="398">
        <v>27223</v>
      </c>
      <c r="E880" s="397" t="s">
        <v>1039</v>
      </c>
      <c r="F880" s="397" t="s">
        <v>1040</v>
      </c>
      <c r="G880" s="397" t="s">
        <v>1209</v>
      </c>
      <c r="H880" s="423">
        <v>4229</v>
      </c>
      <c r="I880" s="397" t="s">
        <v>545</v>
      </c>
      <c r="J880" s="400">
        <f t="shared" ca="1" si="13"/>
        <v>49</v>
      </c>
    </row>
    <row r="881" spans="1:10" ht="15" x14ac:dyDescent="0.25">
      <c r="A881" s="397">
        <v>10002066</v>
      </c>
      <c r="B881" s="397">
        <v>8446450216</v>
      </c>
      <c r="C881" s="397" t="s">
        <v>1786</v>
      </c>
      <c r="D881" s="398">
        <v>32594</v>
      </c>
      <c r="E881" s="397" t="s">
        <v>1175</v>
      </c>
      <c r="F881" s="397" t="s">
        <v>1176</v>
      </c>
      <c r="G881" s="397" t="s">
        <v>1049</v>
      </c>
      <c r="H881" s="423">
        <v>2910</v>
      </c>
      <c r="I881" s="397" t="s">
        <v>422</v>
      </c>
      <c r="J881" s="400">
        <f t="shared" ca="1" si="13"/>
        <v>34</v>
      </c>
    </row>
    <row r="882" spans="1:10" ht="15" x14ac:dyDescent="0.25">
      <c r="A882" s="397">
        <v>10002067</v>
      </c>
      <c r="B882" s="397">
        <v>8474110068</v>
      </c>
      <c r="C882" s="397" t="s">
        <v>1787</v>
      </c>
      <c r="D882" s="398">
        <v>35360</v>
      </c>
      <c r="E882" s="397" t="s">
        <v>1164</v>
      </c>
      <c r="F882" s="397" t="s">
        <v>1165</v>
      </c>
      <c r="G882" s="397" t="s">
        <v>1049</v>
      </c>
      <c r="H882" s="423">
        <v>3910</v>
      </c>
      <c r="I882" s="397" t="s">
        <v>520</v>
      </c>
      <c r="J882" s="400">
        <f t="shared" ca="1" si="13"/>
        <v>27</v>
      </c>
    </row>
    <row r="883" spans="1:10" ht="15" x14ac:dyDescent="0.25">
      <c r="A883" s="397">
        <v>10002068</v>
      </c>
      <c r="B883" s="397">
        <v>8462660505</v>
      </c>
      <c r="C883" s="397" t="s">
        <v>1788</v>
      </c>
      <c r="D883" s="398">
        <v>34215</v>
      </c>
      <c r="E883" s="397" t="s">
        <v>1164</v>
      </c>
      <c r="F883" s="397" t="s">
        <v>1165</v>
      </c>
      <c r="G883" s="397" t="s">
        <v>1049</v>
      </c>
      <c r="H883" s="423">
        <v>3910</v>
      </c>
      <c r="I883" s="397" t="s">
        <v>520</v>
      </c>
      <c r="J883" s="400">
        <f t="shared" ca="1" si="13"/>
        <v>30</v>
      </c>
    </row>
    <row r="884" spans="1:10" ht="15" x14ac:dyDescent="0.25">
      <c r="A884" s="397">
        <v>10002069</v>
      </c>
      <c r="B884" s="397">
        <v>8457462482</v>
      </c>
      <c r="C884" s="397" t="s">
        <v>1789</v>
      </c>
      <c r="D884" s="398">
        <v>33695</v>
      </c>
      <c r="E884" s="397" t="s">
        <v>1064</v>
      </c>
      <c r="F884" s="397" t="s">
        <v>1065</v>
      </c>
      <c r="G884" s="397" t="s">
        <v>1014</v>
      </c>
      <c r="H884" s="423">
        <v>2910</v>
      </c>
      <c r="I884" s="397" t="s">
        <v>422</v>
      </c>
      <c r="J884" s="400">
        <f t="shared" ca="1" si="13"/>
        <v>31</v>
      </c>
    </row>
    <row r="885" spans="1:10" ht="15" x14ac:dyDescent="0.25">
      <c r="A885" s="397">
        <v>10002070</v>
      </c>
      <c r="B885" s="397">
        <v>8341122936</v>
      </c>
      <c r="C885" s="397" t="s">
        <v>1790</v>
      </c>
      <c r="D885" s="398">
        <v>22061</v>
      </c>
      <c r="E885" s="397" t="s">
        <v>810</v>
      </c>
      <c r="F885" s="397" t="s">
        <v>811</v>
      </c>
      <c r="G885" s="397" t="s">
        <v>1209</v>
      </c>
      <c r="H885" s="423">
        <v>2116</v>
      </c>
      <c r="I885" s="397" t="s">
        <v>316</v>
      </c>
      <c r="J885" s="400">
        <f t="shared" ca="1" si="13"/>
        <v>63</v>
      </c>
    </row>
    <row r="886" spans="1:10" ht="15" x14ac:dyDescent="0.25">
      <c r="A886" s="397">
        <v>10002071</v>
      </c>
      <c r="B886" s="397">
        <v>8464281692</v>
      </c>
      <c r="C886" s="397" t="s">
        <v>1791</v>
      </c>
      <c r="D886" s="398">
        <v>34377</v>
      </c>
      <c r="E886" s="397" t="s">
        <v>806</v>
      </c>
      <c r="F886" s="397" t="s">
        <v>807</v>
      </c>
      <c r="G886" s="397" t="s">
        <v>925</v>
      </c>
      <c r="H886" s="423">
        <v>2410</v>
      </c>
      <c r="I886" s="397" t="s">
        <v>366</v>
      </c>
      <c r="J886" s="400">
        <f t="shared" ca="1" si="13"/>
        <v>29</v>
      </c>
    </row>
    <row r="887" spans="1:10" ht="15" x14ac:dyDescent="0.25">
      <c r="A887" s="397">
        <v>10002072</v>
      </c>
      <c r="B887" s="397">
        <v>8462140455</v>
      </c>
      <c r="C887" s="397" t="s">
        <v>1792</v>
      </c>
      <c r="D887" s="398">
        <v>34163</v>
      </c>
      <c r="E887" s="397" t="s">
        <v>1064</v>
      </c>
      <c r="F887" s="397" t="s">
        <v>1065</v>
      </c>
      <c r="G887" s="397" t="s">
        <v>1141</v>
      </c>
      <c r="H887" s="423">
        <v>3910</v>
      </c>
      <c r="I887" s="397" t="s">
        <v>520</v>
      </c>
      <c r="J887" s="400">
        <f t="shared" ca="1" si="13"/>
        <v>30</v>
      </c>
    </row>
    <row r="888" spans="1:10" ht="15" x14ac:dyDescent="0.25">
      <c r="A888" s="397">
        <v>10002073</v>
      </c>
      <c r="B888" s="397">
        <v>8374523034</v>
      </c>
      <c r="C888" s="397" t="s">
        <v>1793</v>
      </c>
      <c r="D888" s="398">
        <v>25401</v>
      </c>
      <c r="E888" s="397" t="s">
        <v>771</v>
      </c>
      <c r="F888" s="397" t="s">
        <v>772</v>
      </c>
      <c r="G888" s="397" t="s">
        <v>891</v>
      </c>
      <c r="H888" s="423">
        <v>2410</v>
      </c>
      <c r="I888" s="397" t="s">
        <v>366</v>
      </c>
      <c r="J888" s="400">
        <f t="shared" ca="1" si="13"/>
        <v>54</v>
      </c>
    </row>
    <row r="889" spans="1:10" ht="15" x14ac:dyDescent="0.25">
      <c r="A889" s="397">
        <v>10002074</v>
      </c>
      <c r="B889" s="397">
        <v>8469820931</v>
      </c>
      <c r="C889" s="397" t="s">
        <v>1794</v>
      </c>
      <c r="D889" s="398">
        <v>34931</v>
      </c>
      <c r="E889" s="397" t="s">
        <v>806</v>
      </c>
      <c r="F889" s="397" t="s">
        <v>807</v>
      </c>
      <c r="G889" s="397" t="s">
        <v>925</v>
      </c>
      <c r="H889" s="423">
        <v>2410</v>
      </c>
      <c r="I889" s="397" t="s">
        <v>366</v>
      </c>
      <c r="J889" s="400">
        <f t="shared" ca="1" si="13"/>
        <v>28</v>
      </c>
    </row>
    <row r="890" spans="1:10" ht="15" x14ac:dyDescent="0.25">
      <c r="A890" s="397">
        <v>10002075</v>
      </c>
      <c r="B890" s="397">
        <v>8488690673</v>
      </c>
      <c r="C890" s="397" t="s">
        <v>1795</v>
      </c>
      <c r="D890" s="398">
        <v>36818</v>
      </c>
      <c r="E890" s="397" t="s">
        <v>868</v>
      </c>
      <c r="F890" s="397" t="s">
        <v>869</v>
      </c>
      <c r="G890" s="397" t="s">
        <v>1049</v>
      </c>
      <c r="H890" s="423">
        <v>3910</v>
      </c>
      <c r="I890" s="397" t="s">
        <v>520</v>
      </c>
      <c r="J890" s="400">
        <f t="shared" ca="1" si="13"/>
        <v>23</v>
      </c>
    </row>
    <row r="891" spans="1:10" ht="15" x14ac:dyDescent="0.25">
      <c r="A891" s="397">
        <v>10002076</v>
      </c>
      <c r="B891" s="397">
        <v>8448150856</v>
      </c>
      <c r="C891" s="397" t="s">
        <v>167</v>
      </c>
      <c r="D891" s="398">
        <v>32764</v>
      </c>
      <c r="E891" s="397" t="s">
        <v>1025</v>
      </c>
      <c r="F891" s="397" t="s">
        <v>1026</v>
      </c>
      <c r="G891" s="397" t="s">
        <v>1014</v>
      </c>
      <c r="H891" s="423">
        <v>3910</v>
      </c>
      <c r="I891" s="397" t="s">
        <v>520</v>
      </c>
      <c r="J891" s="400">
        <f t="shared" ca="1" si="13"/>
        <v>34</v>
      </c>
    </row>
    <row r="892" spans="1:10" ht="15" x14ac:dyDescent="0.25">
      <c r="A892" s="397">
        <v>10002077</v>
      </c>
      <c r="B892" s="397">
        <v>8411764036</v>
      </c>
      <c r="C892" s="397" t="s">
        <v>1796</v>
      </c>
      <c r="D892" s="398">
        <v>29125</v>
      </c>
      <c r="E892" s="397" t="s">
        <v>806</v>
      </c>
      <c r="F892" s="397" t="s">
        <v>807</v>
      </c>
      <c r="G892" s="397" t="s">
        <v>1284</v>
      </c>
      <c r="H892" s="423">
        <v>2410</v>
      </c>
      <c r="I892" s="397" t="s">
        <v>366</v>
      </c>
      <c r="J892" s="400">
        <f t="shared" ca="1" si="13"/>
        <v>44</v>
      </c>
    </row>
    <row r="893" spans="1:10" ht="15" x14ac:dyDescent="0.25">
      <c r="A893" s="397">
        <v>10002078</v>
      </c>
      <c r="B893" s="397">
        <v>8464484135</v>
      </c>
      <c r="C893" s="397" t="s">
        <v>1797</v>
      </c>
      <c r="D893" s="398">
        <v>34397</v>
      </c>
      <c r="E893" s="397" t="s">
        <v>784</v>
      </c>
      <c r="F893" s="397" t="s">
        <v>785</v>
      </c>
      <c r="G893" s="397" t="s">
        <v>925</v>
      </c>
      <c r="H893" s="423">
        <v>2410</v>
      </c>
      <c r="I893" s="397" t="s">
        <v>366</v>
      </c>
      <c r="J893" s="400">
        <f t="shared" ca="1" si="13"/>
        <v>29</v>
      </c>
    </row>
    <row r="894" spans="1:10" ht="15" x14ac:dyDescent="0.25">
      <c r="A894" s="397">
        <v>10002079</v>
      </c>
      <c r="B894" s="397">
        <v>8427273789</v>
      </c>
      <c r="C894" s="397" t="s">
        <v>1798</v>
      </c>
      <c r="D894" s="398">
        <v>30676</v>
      </c>
      <c r="E894" s="397" t="s">
        <v>771</v>
      </c>
      <c r="F894" s="397" t="s">
        <v>772</v>
      </c>
      <c r="G894" s="397" t="s">
        <v>880</v>
      </c>
      <c r="H894" s="423">
        <v>2166</v>
      </c>
      <c r="I894" s="397" t="s">
        <v>343</v>
      </c>
      <c r="J894" s="400">
        <f t="shared" ca="1" si="13"/>
        <v>40</v>
      </c>
    </row>
    <row r="895" spans="1:10" ht="15" x14ac:dyDescent="0.25">
      <c r="A895" s="397">
        <v>10002080</v>
      </c>
      <c r="B895" s="397">
        <v>8427800118</v>
      </c>
      <c r="C895" s="397" t="s">
        <v>1799</v>
      </c>
      <c r="D895" s="398">
        <v>30729</v>
      </c>
      <c r="E895" s="397" t="s">
        <v>806</v>
      </c>
      <c r="F895" s="397" t="s">
        <v>807</v>
      </c>
      <c r="G895" s="397" t="s">
        <v>925</v>
      </c>
      <c r="H895" s="423">
        <v>2410</v>
      </c>
      <c r="I895" s="397" t="s">
        <v>366</v>
      </c>
      <c r="J895" s="400">
        <f t="shared" ca="1" si="13"/>
        <v>39</v>
      </c>
    </row>
    <row r="896" spans="1:10" ht="15" x14ac:dyDescent="0.25">
      <c r="A896" s="397">
        <v>10002081</v>
      </c>
      <c r="B896" s="397">
        <v>8459391582</v>
      </c>
      <c r="C896" s="397" t="s">
        <v>1800</v>
      </c>
      <c r="D896" s="398">
        <v>33888</v>
      </c>
      <c r="E896" s="397" t="s">
        <v>806</v>
      </c>
      <c r="F896" s="397" t="s">
        <v>807</v>
      </c>
      <c r="G896" s="397" t="s">
        <v>1284</v>
      </c>
      <c r="H896" s="423">
        <v>2410</v>
      </c>
      <c r="I896" s="397" t="s">
        <v>366</v>
      </c>
      <c r="J896" s="400">
        <f t="shared" ca="1" si="13"/>
        <v>31</v>
      </c>
    </row>
    <row r="897" spans="1:10" ht="15" x14ac:dyDescent="0.25">
      <c r="A897" s="397">
        <v>10002082</v>
      </c>
      <c r="B897" s="397">
        <v>8460831345</v>
      </c>
      <c r="C897" s="397" t="s">
        <v>1801</v>
      </c>
      <c r="D897" s="398">
        <v>34032</v>
      </c>
      <c r="E897" s="397" t="s">
        <v>868</v>
      </c>
      <c r="F897" s="397" t="s">
        <v>869</v>
      </c>
      <c r="G897" s="397" t="s">
        <v>1049</v>
      </c>
      <c r="H897" s="423">
        <v>3910</v>
      </c>
      <c r="I897" s="397" t="s">
        <v>520</v>
      </c>
      <c r="J897" s="400">
        <f t="shared" ca="1" si="13"/>
        <v>30</v>
      </c>
    </row>
    <row r="898" spans="1:10" ht="15" x14ac:dyDescent="0.25">
      <c r="A898" s="397">
        <v>10002083</v>
      </c>
      <c r="B898" s="397">
        <v>8396355045</v>
      </c>
      <c r="C898" s="397" t="s">
        <v>1802</v>
      </c>
      <c r="D898" s="398">
        <v>27584</v>
      </c>
      <c r="E898" s="397" t="s">
        <v>840</v>
      </c>
      <c r="F898" s="397" t="s">
        <v>841</v>
      </c>
      <c r="G898" s="397" t="s">
        <v>985</v>
      </c>
      <c r="H898" s="423">
        <v>2118</v>
      </c>
      <c r="I898" s="397" t="s">
        <v>318</v>
      </c>
      <c r="J898" s="400">
        <f t="shared" ca="1" si="13"/>
        <v>48</v>
      </c>
    </row>
    <row r="899" spans="1:10" ht="15" x14ac:dyDescent="0.25">
      <c r="A899" s="397">
        <v>10002084</v>
      </c>
      <c r="B899" s="397">
        <v>8484400956</v>
      </c>
      <c r="C899" s="397" t="s">
        <v>1803</v>
      </c>
      <c r="D899" s="398">
        <v>36389</v>
      </c>
      <c r="E899" s="397" t="s">
        <v>1025</v>
      </c>
      <c r="F899" s="397" t="s">
        <v>1026</v>
      </c>
      <c r="G899" s="397" t="s">
        <v>1049</v>
      </c>
      <c r="H899" s="423">
        <v>3910</v>
      </c>
      <c r="I899" s="397" t="s">
        <v>520</v>
      </c>
      <c r="J899" s="400">
        <f t="shared" ref="J899:J962" ca="1" si="14">YEAR(TODAY())-YEAR(D899)</f>
        <v>24</v>
      </c>
    </row>
    <row r="900" spans="1:10" ht="15" x14ac:dyDescent="0.25">
      <c r="A900" s="397">
        <v>10002085</v>
      </c>
      <c r="B900" s="397">
        <v>8468190098</v>
      </c>
      <c r="C900" s="397" t="s">
        <v>1804</v>
      </c>
      <c r="D900" s="398">
        <v>34768</v>
      </c>
      <c r="E900" s="397" t="s">
        <v>1279</v>
      </c>
      <c r="F900" s="397" t="s">
        <v>1280</v>
      </c>
      <c r="G900" s="397" t="s">
        <v>1049</v>
      </c>
      <c r="H900" s="423">
        <v>2132</v>
      </c>
      <c r="I900" s="397" t="s">
        <v>323</v>
      </c>
      <c r="J900" s="400">
        <f t="shared" ca="1" si="14"/>
        <v>28</v>
      </c>
    </row>
    <row r="901" spans="1:10" ht="15" x14ac:dyDescent="0.25">
      <c r="A901" s="397">
        <v>10002086</v>
      </c>
      <c r="B901" s="397">
        <v>8477182833</v>
      </c>
      <c r="C901" s="397" t="s">
        <v>1805</v>
      </c>
      <c r="D901" s="398">
        <v>35667</v>
      </c>
      <c r="E901" s="397" t="s">
        <v>824</v>
      </c>
      <c r="F901" s="397" t="s">
        <v>825</v>
      </c>
      <c r="G901" s="397" t="s">
        <v>1027</v>
      </c>
      <c r="H901" s="423">
        <v>2410</v>
      </c>
      <c r="I901" s="397" t="s">
        <v>366</v>
      </c>
      <c r="J901" s="400">
        <f t="shared" ca="1" si="14"/>
        <v>26</v>
      </c>
    </row>
    <row r="902" spans="1:10" ht="15" x14ac:dyDescent="0.25">
      <c r="A902" s="397">
        <v>10002087</v>
      </c>
      <c r="B902" s="397">
        <v>8423311996</v>
      </c>
      <c r="C902" s="397" t="s">
        <v>1806</v>
      </c>
      <c r="D902" s="398">
        <v>30280</v>
      </c>
      <c r="E902" s="397" t="s">
        <v>824</v>
      </c>
      <c r="F902" s="397" t="s">
        <v>825</v>
      </c>
      <c r="G902" s="397" t="s">
        <v>1027</v>
      </c>
      <c r="H902" s="423">
        <v>2410</v>
      </c>
      <c r="I902" s="397" t="s">
        <v>366</v>
      </c>
      <c r="J902" s="400">
        <f t="shared" ca="1" si="14"/>
        <v>41</v>
      </c>
    </row>
    <row r="903" spans="1:10" ht="15" x14ac:dyDescent="0.25">
      <c r="A903" s="397">
        <v>10002088</v>
      </c>
      <c r="B903" s="397">
        <v>8463713424</v>
      </c>
      <c r="C903" s="397" t="s">
        <v>1807</v>
      </c>
      <c r="D903" s="398">
        <v>34320</v>
      </c>
      <c r="E903" s="397" t="s">
        <v>1064</v>
      </c>
      <c r="F903" s="397" t="s">
        <v>1065</v>
      </c>
      <c r="G903" s="397" t="s">
        <v>1808</v>
      </c>
      <c r="H903" s="423">
        <v>2910</v>
      </c>
      <c r="I903" s="397" t="s">
        <v>422</v>
      </c>
      <c r="J903" s="400">
        <f t="shared" ca="1" si="14"/>
        <v>30</v>
      </c>
    </row>
    <row r="904" spans="1:10" ht="15" x14ac:dyDescent="0.25">
      <c r="A904" s="397">
        <v>10002089</v>
      </c>
      <c r="B904" s="397">
        <v>8453561745</v>
      </c>
      <c r="C904" s="397" t="s">
        <v>1809</v>
      </c>
      <c r="D904" s="398">
        <v>33305</v>
      </c>
      <c r="E904" s="397" t="s">
        <v>1064</v>
      </c>
      <c r="F904" s="397" t="s">
        <v>1065</v>
      </c>
      <c r="G904" s="397" t="s">
        <v>1014</v>
      </c>
      <c r="H904" s="423">
        <v>2629</v>
      </c>
      <c r="I904" s="397" t="s">
        <v>406</v>
      </c>
      <c r="J904" s="400">
        <f t="shared" ca="1" si="14"/>
        <v>32</v>
      </c>
    </row>
    <row r="905" spans="1:10" ht="15" x14ac:dyDescent="0.25">
      <c r="A905" s="397">
        <v>10002090</v>
      </c>
      <c r="B905" s="397">
        <v>8427691262</v>
      </c>
      <c r="C905" s="397" t="s">
        <v>1810</v>
      </c>
      <c r="D905" s="398">
        <v>30718</v>
      </c>
      <c r="E905" s="397" t="s">
        <v>1525</v>
      </c>
      <c r="F905" s="397" t="s">
        <v>1526</v>
      </c>
      <c r="G905" s="397" t="s">
        <v>822</v>
      </c>
      <c r="H905" s="423">
        <v>1328</v>
      </c>
      <c r="I905" s="397" t="s">
        <v>295</v>
      </c>
      <c r="J905" s="400">
        <f t="shared" ca="1" si="14"/>
        <v>39</v>
      </c>
    </row>
    <row r="906" spans="1:10" ht="15" x14ac:dyDescent="0.25">
      <c r="A906" s="397">
        <v>10002091</v>
      </c>
      <c r="B906" s="397">
        <v>8356123089</v>
      </c>
      <c r="C906" s="397" t="s">
        <v>1811</v>
      </c>
      <c r="D906" s="398">
        <v>23561</v>
      </c>
      <c r="E906" s="397" t="s">
        <v>1531</v>
      </c>
      <c r="F906" s="397" t="s">
        <v>1532</v>
      </c>
      <c r="G906" s="397" t="s">
        <v>902</v>
      </c>
      <c r="H906" s="423">
        <v>1328</v>
      </c>
      <c r="I906" s="397" t="s">
        <v>295</v>
      </c>
      <c r="J906" s="400">
        <f t="shared" ca="1" si="14"/>
        <v>59</v>
      </c>
    </row>
    <row r="907" spans="1:10" ht="15" x14ac:dyDescent="0.25">
      <c r="A907" s="397">
        <v>10002092</v>
      </c>
      <c r="B907" s="397">
        <v>8336430938</v>
      </c>
      <c r="C907" s="397" t="s">
        <v>1812</v>
      </c>
      <c r="D907" s="398">
        <v>21592</v>
      </c>
      <c r="E907" s="397" t="s">
        <v>1731</v>
      </c>
      <c r="F907" s="397" t="s">
        <v>1732</v>
      </c>
      <c r="G907" s="397" t="s">
        <v>891</v>
      </c>
      <c r="H907" s="423">
        <v>2410</v>
      </c>
      <c r="I907" s="397" t="s">
        <v>366</v>
      </c>
      <c r="J907" s="400">
        <f t="shared" ca="1" si="14"/>
        <v>64</v>
      </c>
    </row>
    <row r="908" spans="1:10" ht="15" x14ac:dyDescent="0.25">
      <c r="A908" s="397">
        <v>10002093</v>
      </c>
      <c r="B908" s="397">
        <v>8361542329</v>
      </c>
      <c r="C908" s="397" t="s">
        <v>1813</v>
      </c>
      <c r="D908" s="398">
        <v>24103</v>
      </c>
      <c r="E908" s="397" t="s">
        <v>1061</v>
      </c>
      <c r="F908" s="397" t="s">
        <v>1062</v>
      </c>
      <c r="G908" s="397" t="s">
        <v>822</v>
      </c>
      <c r="H908" s="423">
        <v>2410</v>
      </c>
      <c r="I908" s="397" t="s">
        <v>366</v>
      </c>
      <c r="J908" s="400">
        <f t="shared" ca="1" si="14"/>
        <v>58</v>
      </c>
    </row>
    <row r="909" spans="1:10" ht="15" x14ac:dyDescent="0.25">
      <c r="A909" s="397">
        <v>10002094</v>
      </c>
      <c r="B909" s="397">
        <v>8488731965</v>
      </c>
      <c r="C909" s="397" t="s">
        <v>1814</v>
      </c>
      <c r="D909" s="398">
        <v>36822</v>
      </c>
      <c r="E909" s="397" t="s">
        <v>1175</v>
      </c>
      <c r="F909" s="397" t="s">
        <v>1176</v>
      </c>
      <c r="G909" s="397" t="s">
        <v>1049</v>
      </c>
      <c r="H909" s="423">
        <v>2152</v>
      </c>
      <c r="I909" s="397" t="s">
        <v>336</v>
      </c>
      <c r="J909" s="400">
        <f t="shared" ca="1" si="14"/>
        <v>23</v>
      </c>
    </row>
    <row r="910" spans="1:10" ht="15" x14ac:dyDescent="0.25">
      <c r="A910" s="397">
        <v>10002095</v>
      </c>
      <c r="B910" s="397">
        <v>8462144000</v>
      </c>
      <c r="C910" s="397" t="s">
        <v>1815</v>
      </c>
      <c r="D910" s="398">
        <v>34163</v>
      </c>
      <c r="E910" s="397" t="s">
        <v>762</v>
      </c>
      <c r="F910" s="397" t="s">
        <v>763</v>
      </c>
      <c r="G910" s="397" t="s">
        <v>985</v>
      </c>
      <c r="H910" s="423">
        <v>2117</v>
      </c>
      <c r="I910" s="397" t="s">
        <v>317</v>
      </c>
      <c r="J910" s="400">
        <f t="shared" ca="1" si="14"/>
        <v>30</v>
      </c>
    </row>
    <row r="911" spans="1:10" ht="15" x14ac:dyDescent="0.25">
      <c r="A911" s="397">
        <v>10002096</v>
      </c>
      <c r="B911" s="397">
        <v>8406724838</v>
      </c>
      <c r="C911" s="397" t="s">
        <v>1816</v>
      </c>
      <c r="D911" s="398">
        <v>28621</v>
      </c>
      <c r="E911" s="397" t="s">
        <v>868</v>
      </c>
      <c r="F911" s="397" t="s">
        <v>869</v>
      </c>
      <c r="G911" s="397" t="s">
        <v>1014</v>
      </c>
      <c r="H911" s="423">
        <v>2910</v>
      </c>
      <c r="I911" s="397" t="s">
        <v>422</v>
      </c>
      <c r="J911" s="400">
        <f t="shared" ca="1" si="14"/>
        <v>45</v>
      </c>
    </row>
    <row r="912" spans="1:10" ht="15" x14ac:dyDescent="0.25">
      <c r="A912" s="397">
        <v>10002097</v>
      </c>
      <c r="B912" s="397">
        <v>8413021448</v>
      </c>
      <c r="C912" s="397" t="s">
        <v>1817</v>
      </c>
      <c r="D912" s="398">
        <v>29251</v>
      </c>
      <c r="E912" s="397" t="s">
        <v>868</v>
      </c>
      <c r="F912" s="397" t="s">
        <v>869</v>
      </c>
      <c r="G912" s="397" t="s">
        <v>985</v>
      </c>
      <c r="H912" s="423">
        <v>2132</v>
      </c>
      <c r="I912" s="397" t="s">
        <v>323</v>
      </c>
      <c r="J912" s="400">
        <f t="shared" ca="1" si="14"/>
        <v>43</v>
      </c>
    </row>
    <row r="913" spans="1:10" ht="15" x14ac:dyDescent="0.25">
      <c r="A913" s="397">
        <v>10002098</v>
      </c>
      <c r="B913" s="397">
        <v>8413741289</v>
      </c>
      <c r="C913" s="397" t="s">
        <v>1818</v>
      </c>
      <c r="D913" s="398">
        <v>29323</v>
      </c>
      <c r="E913" s="397" t="s">
        <v>868</v>
      </c>
      <c r="F913" s="397" t="s">
        <v>869</v>
      </c>
      <c r="G913" s="397" t="s">
        <v>1014</v>
      </c>
      <c r="H913" s="423">
        <v>2910</v>
      </c>
      <c r="I913" s="397" t="s">
        <v>422</v>
      </c>
      <c r="J913" s="400">
        <f t="shared" ca="1" si="14"/>
        <v>43</v>
      </c>
    </row>
    <row r="914" spans="1:10" ht="15" x14ac:dyDescent="0.25">
      <c r="A914" s="397">
        <v>10002099</v>
      </c>
      <c r="B914" s="397">
        <v>8376910663</v>
      </c>
      <c r="C914" s="397" t="s">
        <v>1819</v>
      </c>
      <c r="D914" s="398">
        <v>25640</v>
      </c>
      <c r="E914" s="397" t="s">
        <v>918</v>
      </c>
      <c r="F914" s="397" t="s">
        <v>919</v>
      </c>
      <c r="G914" s="397" t="s">
        <v>985</v>
      </c>
      <c r="H914" s="423">
        <v>3190</v>
      </c>
      <c r="I914" s="397" t="s">
        <v>456</v>
      </c>
      <c r="J914" s="400">
        <f t="shared" ca="1" si="14"/>
        <v>53</v>
      </c>
    </row>
    <row r="915" spans="1:10" ht="15" x14ac:dyDescent="0.25">
      <c r="A915" s="397">
        <v>10002101</v>
      </c>
      <c r="B915" s="397">
        <v>8440192479</v>
      </c>
      <c r="C915" s="397" t="s">
        <v>1820</v>
      </c>
      <c r="D915" s="398">
        <v>31968</v>
      </c>
      <c r="E915" s="397" t="s">
        <v>1045</v>
      </c>
      <c r="F915" s="397" t="s">
        <v>1046</v>
      </c>
      <c r="G915" s="397" t="s">
        <v>1049</v>
      </c>
      <c r="H915" s="423">
        <v>3611</v>
      </c>
      <c r="I915" s="397" t="s">
        <v>485</v>
      </c>
      <c r="J915" s="400">
        <f t="shared" ca="1" si="14"/>
        <v>36</v>
      </c>
    </row>
    <row r="916" spans="1:10" ht="15" x14ac:dyDescent="0.25">
      <c r="A916" s="397">
        <v>10002102</v>
      </c>
      <c r="B916" s="397">
        <v>8370713343</v>
      </c>
      <c r="C916" s="397" t="s">
        <v>1821</v>
      </c>
      <c r="D916" s="398">
        <v>25020</v>
      </c>
      <c r="E916" s="397" t="s">
        <v>868</v>
      </c>
      <c r="F916" s="397" t="s">
        <v>869</v>
      </c>
      <c r="G916" s="397" t="s">
        <v>1014</v>
      </c>
      <c r="H916" s="423">
        <v>2910</v>
      </c>
      <c r="I916" s="397" t="s">
        <v>422</v>
      </c>
      <c r="J916" s="400">
        <f t="shared" ca="1" si="14"/>
        <v>55</v>
      </c>
    </row>
    <row r="917" spans="1:10" ht="15" x14ac:dyDescent="0.25">
      <c r="A917" s="397">
        <v>10002103</v>
      </c>
      <c r="B917" s="397">
        <v>8352903705</v>
      </c>
      <c r="C917" s="397" t="s">
        <v>1822</v>
      </c>
      <c r="D917" s="398">
        <v>23239</v>
      </c>
      <c r="E917" s="397" t="s">
        <v>868</v>
      </c>
      <c r="F917" s="397" t="s">
        <v>869</v>
      </c>
      <c r="G917" s="397" t="s">
        <v>1014</v>
      </c>
      <c r="H917" s="423">
        <v>2910</v>
      </c>
      <c r="I917" s="397" t="s">
        <v>422</v>
      </c>
      <c r="J917" s="400">
        <f t="shared" ca="1" si="14"/>
        <v>60</v>
      </c>
    </row>
    <row r="918" spans="1:10" ht="15" x14ac:dyDescent="0.25">
      <c r="A918" s="397">
        <v>10002104</v>
      </c>
      <c r="B918" s="397">
        <v>8388700855</v>
      </c>
      <c r="C918" s="397" t="s">
        <v>1823</v>
      </c>
      <c r="D918" s="398">
        <v>26819</v>
      </c>
      <c r="E918" s="397" t="s">
        <v>1537</v>
      </c>
      <c r="F918" s="397" t="s">
        <v>1538</v>
      </c>
      <c r="G918" s="397" t="s">
        <v>1014</v>
      </c>
      <c r="H918" s="423">
        <v>2118</v>
      </c>
      <c r="I918" s="397" t="s">
        <v>318</v>
      </c>
      <c r="J918" s="400">
        <f t="shared" ca="1" si="14"/>
        <v>50</v>
      </c>
    </row>
    <row r="919" spans="1:10" ht="15" x14ac:dyDescent="0.25">
      <c r="A919" s="397">
        <v>10002105</v>
      </c>
      <c r="B919" s="397">
        <v>8409362279</v>
      </c>
      <c r="C919" s="397" t="s">
        <v>1824</v>
      </c>
      <c r="D919" s="398">
        <v>28885</v>
      </c>
      <c r="E919" s="397" t="s">
        <v>810</v>
      </c>
      <c r="F919" s="397" t="s">
        <v>811</v>
      </c>
      <c r="G919" s="397" t="s">
        <v>1049</v>
      </c>
      <c r="H919" s="423">
        <v>3910</v>
      </c>
      <c r="I919" s="397" t="s">
        <v>520</v>
      </c>
      <c r="J919" s="400">
        <f t="shared" ca="1" si="14"/>
        <v>44</v>
      </c>
    </row>
    <row r="920" spans="1:10" ht="15" x14ac:dyDescent="0.25">
      <c r="A920" s="397">
        <v>10002106</v>
      </c>
      <c r="B920" s="397">
        <v>8467512571</v>
      </c>
      <c r="C920" s="397" t="s">
        <v>1825</v>
      </c>
      <c r="D920" s="398">
        <v>34700</v>
      </c>
      <c r="E920" s="397" t="s">
        <v>840</v>
      </c>
      <c r="F920" s="397" t="s">
        <v>841</v>
      </c>
      <c r="G920" s="397" t="s">
        <v>985</v>
      </c>
      <c r="H920" s="423">
        <v>2139</v>
      </c>
      <c r="I920" s="397" t="s">
        <v>329</v>
      </c>
      <c r="J920" s="400">
        <f t="shared" ca="1" si="14"/>
        <v>28</v>
      </c>
    </row>
    <row r="921" spans="1:10" ht="15" x14ac:dyDescent="0.25">
      <c r="A921" s="397">
        <v>10002107</v>
      </c>
      <c r="B921" s="397">
        <v>8459972100</v>
      </c>
      <c r="C921" s="397" t="s">
        <v>1668</v>
      </c>
      <c r="D921" s="398">
        <v>33946</v>
      </c>
      <c r="E921" s="397" t="s">
        <v>762</v>
      </c>
      <c r="F921" s="397" t="s">
        <v>763</v>
      </c>
      <c r="G921" s="397" t="s">
        <v>985</v>
      </c>
      <c r="H921" s="423">
        <v>2139</v>
      </c>
      <c r="I921" s="397" t="s">
        <v>329</v>
      </c>
      <c r="J921" s="400">
        <f t="shared" ca="1" si="14"/>
        <v>31</v>
      </c>
    </row>
    <row r="922" spans="1:10" ht="15" x14ac:dyDescent="0.25">
      <c r="A922" s="397">
        <v>10002108</v>
      </c>
      <c r="B922" s="397">
        <v>8484211363</v>
      </c>
      <c r="C922" s="397" t="s">
        <v>1826</v>
      </c>
      <c r="D922" s="398">
        <v>36370</v>
      </c>
      <c r="E922" s="397" t="s">
        <v>840</v>
      </c>
      <c r="F922" s="397" t="s">
        <v>841</v>
      </c>
      <c r="G922" s="397" t="s">
        <v>985</v>
      </c>
      <c r="H922" s="423">
        <v>2118</v>
      </c>
      <c r="I922" s="397" t="s">
        <v>318</v>
      </c>
      <c r="J922" s="400">
        <f t="shared" ca="1" si="14"/>
        <v>24</v>
      </c>
    </row>
    <row r="923" spans="1:10" ht="15" x14ac:dyDescent="0.25">
      <c r="A923" s="397">
        <v>10002109</v>
      </c>
      <c r="B923" s="397">
        <v>8480742054</v>
      </c>
      <c r="C923" s="397" t="s">
        <v>1827</v>
      </c>
      <c r="D923" s="398">
        <v>36023</v>
      </c>
      <c r="E923" s="397" t="s">
        <v>795</v>
      </c>
      <c r="F923" s="397" t="s">
        <v>796</v>
      </c>
      <c r="G923" s="397" t="s">
        <v>985</v>
      </c>
      <c r="H923" s="423">
        <v>2117</v>
      </c>
      <c r="I923" s="397" t="s">
        <v>317</v>
      </c>
      <c r="J923" s="400">
        <f t="shared" ca="1" si="14"/>
        <v>25</v>
      </c>
    </row>
    <row r="924" spans="1:10" ht="15" x14ac:dyDescent="0.25">
      <c r="A924" s="397">
        <v>10002110</v>
      </c>
      <c r="B924" s="397">
        <v>8354163245</v>
      </c>
      <c r="C924" s="397" t="s">
        <v>1687</v>
      </c>
      <c r="D924" s="398">
        <v>23365</v>
      </c>
      <c r="E924" s="397" t="s">
        <v>849</v>
      </c>
      <c r="F924" s="397" t="s">
        <v>850</v>
      </c>
      <c r="G924" s="397" t="s">
        <v>1084</v>
      </c>
      <c r="H924" s="423">
        <v>3115</v>
      </c>
      <c r="I924" s="397" t="s">
        <v>427</v>
      </c>
      <c r="J924" s="400">
        <f t="shared" ca="1" si="14"/>
        <v>60</v>
      </c>
    </row>
    <row r="925" spans="1:10" ht="15" x14ac:dyDescent="0.25">
      <c r="A925" s="397">
        <v>10002111</v>
      </c>
      <c r="B925" s="397">
        <v>8476212844</v>
      </c>
      <c r="C925" s="397" t="s">
        <v>1828</v>
      </c>
      <c r="D925" s="398">
        <v>35570</v>
      </c>
      <c r="E925" s="397" t="s">
        <v>774</v>
      </c>
      <c r="F925" s="397" t="s">
        <v>775</v>
      </c>
      <c r="G925" s="397" t="s">
        <v>985</v>
      </c>
      <c r="H925" s="423">
        <v>2117</v>
      </c>
      <c r="I925" s="397" t="s">
        <v>317</v>
      </c>
      <c r="J925" s="400">
        <f t="shared" ca="1" si="14"/>
        <v>26</v>
      </c>
    </row>
    <row r="926" spans="1:10" ht="15" x14ac:dyDescent="0.25">
      <c r="A926" s="397">
        <v>10002112</v>
      </c>
      <c r="B926" s="397">
        <v>8475400280</v>
      </c>
      <c r="C926" s="397" t="s">
        <v>1829</v>
      </c>
      <c r="D926" s="398">
        <v>35489</v>
      </c>
      <c r="E926" s="397" t="s">
        <v>762</v>
      </c>
      <c r="F926" s="397" t="s">
        <v>763</v>
      </c>
      <c r="G926" s="397" t="s">
        <v>985</v>
      </c>
      <c r="H926" s="423">
        <v>2117</v>
      </c>
      <c r="I926" s="397" t="s">
        <v>317</v>
      </c>
      <c r="J926" s="400">
        <f t="shared" ca="1" si="14"/>
        <v>26</v>
      </c>
    </row>
    <row r="927" spans="1:10" ht="15" x14ac:dyDescent="0.25">
      <c r="A927" s="397">
        <v>10002113</v>
      </c>
      <c r="B927" s="397">
        <v>8486210135</v>
      </c>
      <c r="C927" s="397" t="s">
        <v>1830</v>
      </c>
      <c r="D927" s="398">
        <v>36570</v>
      </c>
      <c r="E927" s="397" t="s">
        <v>762</v>
      </c>
      <c r="F927" s="397" t="s">
        <v>763</v>
      </c>
      <c r="G927" s="397" t="s">
        <v>985</v>
      </c>
      <c r="H927" s="423">
        <v>2139</v>
      </c>
      <c r="I927" s="397" t="s">
        <v>329</v>
      </c>
      <c r="J927" s="400">
        <f t="shared" ca="1" si="14"/>
        <v>23</v>
      </c>
    </row>
    <row r="928" spans="1:10" ht="15" x14ac:dyDescent="0.25">
      <c r="A928" s="397">
        <v>10002114</v>
      </c>
      <c r="B928" s="397">
        <v>8480971606</v>
      </c>
      <c r="C928" s="397" t="s">
        <v>1831</v>
      </c>
      <c r="D928" s="398">
        <v>36046</v>
      </c>
      <c r="E928" s="397" t="s">
        <v>762</v>
      </c>
      <c r="F928" s="397" t="s">
        <v>763</v>
      </c>
      <c r="G928" s="397" t="s">
        <v>1049</v>
      </c>
      <c r="H928" s="423">
        <v>3910</v>
      </c>
      <c r="I928" s="397" t="s">
        <v>520</v>
      </c>
      <c r="J928" s="400">
        <f t="shared" ca="1" si="14"/>
        <v>25</v>
      </c>
    </row>
    <row r="929" spans="1:10" ht="15" x14ac:dyDescent="0.25">
      <c r="A929" s="397">
        <v>10002115</v>
      </c>
      <c r="B929" s="397">
        <v>8396372314</v>
      </c>
      <c r="C929" s="397" t="s">
        <v>1832</v>
      </c>
      <c r="D929" s="398">
        <v>27586</v>
      </c>
      <c r="E929" s="397" t="s">
        <v>792</v>
      </c>
      <c r="F929" s="397" t="s">
        <v>793</v>
      </c>
      <c r="G929" s="397" t="s">
        <v>831</v>
      </c>
      <c r="H929" s="423">
        <v>2131</v>
      </c>
      <c r="I929" s="397" t="s">
        <v>322</v>
      </c>
      <c r="J929" s="400">
        <f t="shared" ca="1" si="14"/>
        <v>48</v>
      </c>
    </row>
    <row r="930" spans="1:10" ht="15" x14ac:dyDescent="0.25">
      <c r="A930" s="397">
        <v>10002116</v>
      </c>
      <c r="B930" s="397">
        <v>8445122509</v>
      </c>
      <c r="C930" s="397" t="s">
        <v>1833</v>
      </c>
      <c r="D930" s="398">
        <v>32461</v>
      </c>
      <c r="E930" s="397" t="s">
        <v>868</v>
      </c>
      <c r="F930" s="397" t="s">
        <v>869</v>
      </c>
      <c r="G930" s="397" t="s">
        <v>1014</v>
      </c>
      <c r="H930" s="423">
        <v>2910</v>
      </c>
      <c r="I930" s="397" t="s">
        <v>422</v>
      </c>
      <c r="J930" s="400">
        <f t="shared" ca="1" si="14"/>
        <v>35</v>
      </c>
    </row>
    <row r="931" spans="1:10" ht="15" x14ac:dyDescent="0.25">
      <c r="A931" s="397">
        <v>10002117</v>
      </c>
      <c r="B931" s="397">
        <v>8383022344</v>
      </c>
      <c r="C931" s="397" t="s">
        <v>1834</v>
      </c>
      <c r="D931" s="398">
        <v>26251</v>
      </c>
      <c r="E931" s="397" t="s">
        <v>1045</v>
      </c>
      <c r="F931" s="397" t="s">
        <v>1046</v>
      </c>
      <c r="G931" s="397" t="s">
        <v>1209</v>
      </c>
      <c r="H931" s="423">
        <v>2624</v>
      </c>
      <c r="I931" s="397" t="s">
        <v>401</v>
      </c>
      <c r="J931" s="400">
        <f t="shared" ca="1" si="14"/>
        <v>52</v>
      </c>
    </row>
    <row r="932" spans="1:10" ht="15" x14ac:dyDescent="0.25">
      <c r="A932" s="397">
        <v>10002118</v>
      </c>
      <c r="B932" s="397">
        <v>8424651286</v>
      </c>
      <c r="C932" s="397" t="s">
        <v>1835</v>
      </c>
      <c r="D932" s="398">
        <v>30414</v>
      </c>
      <c r="E932" s="397" t="s">
        <v>1045</v>
      </c>
      <c r="F932" s="397" t="s">
        <v>1046</v>
      </c>
      <c r="G932" s="397" t="s">
        <v>1209</v>
      </c>
      <c r="H932" s="423">
        <v>2624</v>
      </c>
      <c r="I932" s="397" t="s">
        <v>401</v>
      </c>
      <c r="J932" s="400">
        <f t="shared" ca="1" si="14"/>
        <v>40</v>
      </c>
    </row>
    <row r="933" spans="1:10" ht="15" x14ac:dyDescent="0.25">
      <c r="A933" s="397">
        <v>10002119</v>
      </c>
      <c r="B933" s="397">
        <v>8347131562</v>
      </c>
      <c r="C933" s="397" t="s">
        <v>1836</v>
      </c>
      <c r="D933" s="398">
        <v>22662</v>
      </c>
      <c r="E933" s="397" t="s">
        <v>1042</v>
      </c>
      <c r="F933" s="397" t="s">
        <v>1043</v>
      </c>
      <c r="G933" s="397" t="s">
        <v>1049</v>
      </c>
      <c r="H933" s="423">
        <v>4112</v>
      </c>
      <c r="I933" s="397" t="s">
        <v>523</v>
      </c>
      <c r="J933" s="400">
        <f t="shared" ca="1" si="14"/>
        <v>61</v>
      </c>
    </row>
    <row r="934" spans="1:10" ht="15" x14ac:dyDescent="0.25">
      <c r="A934" s="397">
        <v>10002120</v>
      </c>
      <c r="B934" s="397">
        <v>8439431996</v>
      </c>
      <c r="C934" s="397" t="s">
        <v>1837</v>
      </c>
      <c r="D934" s="398">
        <v>31892</v>
      </c>
      <c r="E934" s="397" t="s">
        <v>1103</v>
      </c>
      <c r="F934" s="397" t="s">
        <v>1104</v>
      </c>
      <c r="G934" s="397" t="s">
        <v>1049</v>
      </c>
      <c r="H934" s="423">
        <v>4112</v>
      </c>
      <c r="I934" s="397" t="s">
        <v>523</v>
      </c>
      <c r="J934" s="400">
        <f t="shared" ca="1" si="14"/>
        <v>36</v>
      </c>
    </row>
    <row r="935" spans="1:10" ht="15" x14ac:dyDescent="0.25">
      <c r="A935" s="397">
        <v>10002121</v>
      </c>
      <c r="B935" s="397">
        <v>8405152067</v>
      </c>
      <c r="C935" s="397" t="s">
        <v>1838</v>
      </c>
      <c r="D935" s="398">
        <v>28464</v>
      </c>
      <c r="E935" s="397" t="s">
        <v>1184</v>
      </c>
      <c r="F935" s="397" t="s">
        <v>1185</v>
      </c>
      <c r="G935" s="397" t="s">
        <v>1209</v>
      </c>
      <c r="H935" s="423">
        <v>3631</v>
      </c>
      <c r="I935" s="397" t="s">
        <v>496</v>
      </c>
      <c r="J935" s="400">
        <f t="shared" ca="1" si="14"/>
        <v>46</v>
      </c>
    </row>
    <row r="936" spans="1:10" ht="15" x14ac:dyDescent="0.25">
      <c r="A936" s="397">
        <v>10002122</v>
      </c>
      <c r="B936" s="397">
        <v>8375201448</v>
      </c>
      <c r="C936" s="397" t="s">
        <v>1839</v>
      </c>
      <c r="D936" s="398">
        <v>25469</v>
      </c>
      <c r="E936" s="397" t="s">
        <v>1045</v>
      </c>
      <c r="F936" s="397" t="s">
        <v>1046</v>
      </c>
      <c r="G936" s="397" t="s">
        <v>1209</v>
      </c>
      <c r="H936" s="423">
        <v>2624</v>
      </c>
      <c r="I936" s="397" t="s">
        <v>401</v>
      </c>
      <c r="J936" s="400">
        <f t="shared" ca="1" si="14"/>
        <v>54</v>
      </c>
    </row>
    <row r="937" spans="1:10" ht="15" x14ac:dyDescent="0.25">
      <c r="A937" s="397">
        <v>10002123</v>
      </c>
      <c r="B937" s="397">
        <v>8419883549</v>
      </c>
      <c r="C937" s="397" t="s">
        <v>1840</v>
      </c>
      <c r="D937" s="398">
        <v>29937</v>
      </c>
      <c r="E937" s="397" t="s">
        <v>762</v>
      </c>
      <c r="F937" s="397" t="s">
        <v>763</v>
      </c>
      <c r="G937" s="397" t="s">
        <v>831</v>
      </c>
      <c r="H937" s="423">
        <v>2166</v>
      </c>
      <c r="I937" s="397" t="s">
        <v>343</v>
      </c>
      <c r="J937" s="400">
        <f t="shared" ca="1" si="14"/>
        <v>42</v>
      </c>
    </row>
    <row r="938" spans="1:10" ht="15" x14ac:dyDescent="0.25">
      <c r="A938" s="397">
        <v>10002124</v>
      </c>
      <c r="B938" s="397">
        <v>8489570183</v>
      </c>
      <c r="C938" s="397" t="s">
        <v>1841</v>
      </c>
      <c r="D938" s="398">
        <v>36906</v>
      </c>
      <c r="E938" s="397" t="s">
        <v>918</v>
      </c>
      <c r="F938" s="397" t="s">
        <v>919</v>
      </c>
      <c r="G938" s="397" t="s">
        <v>1049</v>
      </c>
      <c r="H938" s="423">
        <v>3910</v>
      </c>
      <c r="I938" s="397" t="s">
        <v>520</v>
      </c>
      <c r="J938" s="400">
        <f t="shared" ca="1" si="14"/>
        <v>22</v>
      </c>
    </row>
    <row r="939" spans="1:10" ht="15" x14ac:dyDescent="0.25">
      <c r="A939" s="397">
        <v>10002125</v>
      </c>
      <c r="B939" s="397">
        <v>8438460151</v>
      </c>
      <c r="C939" s="397" t="s">
        <v>1842</v>
      </c>
      <c r="D939" s="398">
        <v>31795</v>
      </c>
      <c r="E939" s="397" t="s">
        <v>1051</v>
      </c>
      <c r="F939" s="397" t="s">
        <v>1052</v>
      </c>
      <c r="G939" s="397" t="s">
        <v>1209</v>
      </c>
      <c r="H939" s="423">
        <v>4134</v>
      </c>
      <c r="I939" s="397" t="s">
        <v>534</v>
      </c>
      <c r="J939" s="400">
        <f t="shared" ca="1" si="14"/>
        <v>36</v>
      </c>
    </row>
    <row r="940" spans="1:10" ht="15" x14ac:dyDescent="0.25">
      <c r="A940" s="397">
        <v>10002126</v>
      </c>
      <c r="B940" s="397">
        <v>8463240089</v>
      </c>
      <c r="C940" s="397" t="s">
        <v>1843</v>
      </c>
      <c r="D940" s="398">
        <v>34273</v>
      </c>
      <c r="E940" s="397" t="s">
        <v>1096</v>
      </c>
      <c r="F940" s="397" t="s">
        <v>1097</v>
      </c>
      <c r="G940" s="397" t="s">
        <v>1049</v>
      </c>
      <c r="H940" s="423">
        <v>2152</v>
      </c>
      <c r="I940" s="397" t="s">
        <v>336</v>
      </c>
      <c r="J940" s="400">
        <f t="shared" ca="1" si="14"/>
        <v>30</v>
      </c>
    </row>
    <row r="941" spans="1:10" ht="15" x14ac:dyDescent="0.25">
      <c r="A941" s="397">
        <v>10002127</v>
      </c>
      <c r="B941" s="397">
        <v>8396230846</v>
      </c>
      <c r="C941" s="397" t="s">
        <v>1844</v>
      </c>
      <c r="D941" s="398">
        <v>27572</v>
      </c>
      <c r="E941" s="397" t="s">
        <v>762</v>
      </c>
      <c r="F941" s="397" t="s">
        <v>763</v>
      </c>
      <c r="G941" s="397" t="s">
        <v>985</v>
      </c>
      <c r="H941" s="423">
        <v>2117</v>
      </c>
      <c r="I941" s="397" t="s">
        <v>317</v>
      </c>
      <c r="J941" s="400">
        <f t="shared" ca="1" si="14"/>
        <v>48</v>
      </c>
    </row>
    <row r="942" spans="1:10" ht="15" x14ac:dyDescent="0.25">
      <c r="A942" s="397">
        <v>10002128</v>
      </c>
      <c r="B942" s="397">
        <v>8350332492</v>
      </c>
      <c r="C942" s="397" t="s">
        <v>1845</v>
      </c>
      <c r="D942" s="398">
        <v>22982</v>
      </c>
      <c r="E942" s="397" t="s">
        <v>840</v>
      </c>
      <c r="F942" s="397" t="s">
        <v>841</v>
      </c>
      <c r="G942" s="397" t="s">
        <v>1846</v>
      </c>
      <c r="H942" s="423">
        <v>3139</v>
      </c>
      <c r="I942" s="397" t="s">
        <v>438</v>
      </c>
      <c r="J942" s="400">
        <f t="shared" ca="1" si="14"/>
        <v>61</v>
      </c>
    </row>
    <row r="943" spans="1:10" ht="15" x14ac:dyDescent="0.25">
      <c r="A943" s="397">
        <v>10002129</v>
      </c>
      <c r="B943" s="397">
        <v>8486331811</v>
      </c>
      <c r="C943" s="397" t="s">
        <v>1847</v>
      </c>
      <c r="D943" s="398">
        <v>36582</v>
      </c>
      <c r="E943" s="397" t="s">
        <v>868</v>
      </c>
      <c r="F943" s="397" t="s">
        <v>869</v>
      </c>
      <c r="G943" s="397" t="s">
        <v>985</v>
      </c>
      <c r="H943" s="423">
        <v>2139</v>
      </c>
      <c r="I943" s="397" t="s">
        <v>329</v>
      </c>
      <c r="J943" s="400">
        <f t="shared" ca="1" si="14"/>
        <v>23</v>
      </c>
    </row>
    <row r="944" spans="1:10" ht="15" x14ac:dyDescent="0.25">
      <c r="A944" s="397">
        <v>10002130</v>
      </c>
      <c r="B944" s="397">
        <v>8455410205</v>
      </c>
      <c r="C944" s="397" t="s">
        <v>1848</v>
      </c>
      <c r="D944" s="398">
        <v>33490</v>
      </c>
      <c r="E944" s="397" t="s">
        <v>788</v>
      </c>
      <c r="F944" s="397" t="s">
        <v>789</v>
      </c>
      <c r="G944" s="397" t="s">
        <v>925</v>
      </c>
      <c r="H944" s="423">
        <v>2410</v>
      </c>
      <c r="I944" s="397" t="s">
        <v>366</v>
      </c>
      <c r="J944" s="400">
        <f t="shared" ca="1" si="14"/>
        <v>32</v>
      </c>
    </row>
    <row r="945" spans="1:10" ht="15" x14ac:dyDescent="0.25">
      <c r="A945" s="397">
        <v>10002131</v>
      </c>
      <c r="B945" s="397">
        <v>8483641119</v>
      </c>
      <c r="C945" s="397" t="s">
        <v>1849</v>
      </c>
      <c r="D945" s="398">
        <v>36313</v>
      </c>
      <c r="E945" s="397" t="s">
        <v>868</v>
      </c>
      <c r="F945" s="397" t="s">
        <v>869</v>
      </c>
      <c r="G945" s="397" t="s">
        <v>1049</v>
      </c>
      <c r="H945" s="423">
        <v>3910</v>
      </c>
      <c r="I945" s="397" t="s">
        <v>520</v>
      </c>
      <c r="J945" s="400">
        <f t="shared" ca="1" si="14"/>
        <v>24</v>
      </c>
    </row>
    <row r="946" spans="1:10" ht="15" x14ac:dyDescent="0.25">
      <c r="A946" s="397">
        <v>10002132</v>
      </c>
      <c r="B946" s="397">
        <v>8386391111</v>
      </c>
      <c r="C946" s="397" t="s">
        <v>1850</v>
      </c>
      <c r="D946" s="398">
        <v>26588</v>
      </c>
      <c r="E946" s="397" t="s">
        <v>868</v>
      </c>
      <c r="F946" s="397" t="s">
        <v>869</v>
      </c>
      <c r="G946" s="397" t="s">
        <v>1014</v>
      </c>
      <c r="H946" s="423">
        <v>2611</v>
      </c>
      <c r="I946" s="397" t="s">
        <v>392</v>
      </c>
      <c r="J946" s="400">
        <f t="shared" ca="1" si="14"/>
        <v>51</v>
      </c>
    </row>
    <row r="947" spans="1:10" ht="15" x14ac:dyDescent="0.25">
      <c r="A947" s="397">
        <v>10002133</v>
      </c>
      <c r="B947" s="397">
        <v>8455631996</v>
      </c>
      <c r="C947" s="397" t="s">
        <v>1851</v>
      </c>
      <c r="D947" s="398">
        <v>33512</v>
      </c>
      <c r="E947" s="397" t="s">
        <v>868</v>
      </c>
      <c r="F947" s="397" t="s">
        <v>869</v>
      </c>
      <c r="G947" s="397" t="s">
        <v>985</v>
      </c>
      <c r="H947" s="423">
        <v>2139</v>
      </c>
      <c r="I947" s="397" t="s">
        <v>329</v>
      </c>
      <c r="J947" s="400">
        <f t="shared" ca="1" si="14"/>
        <v>32</v>
      </c>
    </row>
    <row r="948" spans="1:10" ht="15" x14ac:dyDescent="0.25">
      <c r="A948" s="397">
        <v>10002134</v>
      </c>
      <c r="B948" s="397">
        <v>8386874112</v>
      </c>
      <c r="C948" s="397" t="s">
        <v>1852</v>
      </c>
      <c r="D948" s="398">
        <v>26636</v>
      </c>
      <c r="E948" s="397" t="s">
        <v>1525</v>
      </c>
      <c r="F948" s="397" t="s">
        <v>1526</v>
      </c>
      <c r="G948" s="397" t="s">
        <v>891</v>
      </c>
      <c r="H948" s="423">
        <v>2410</v>
      </c>
      <c r="I948" s="397" t="s">
        <v>366</v>
      </c>
      <c r="J948" s="400">
        <f t="shared" ca="1" si="14"/>
        <v>51</v>
      </c>
    </row>
    <row r="949" spans="1:10" ht="15" x14ac:dyDescent="0.25">
      <c r="A949" s="397">
        <v>10002135</v>
      </c>
      <c r="B949" s="397">
        <v>8403497016</v>
      </c>
      <c r="C949" s="397" t="s">
        <v>1853</v>
      </c>
      <c r="D949" s="398">
        <v>28298</v>
      </c>
      <c r="E949" s="397" t="s">
        <v>840</v>
      </c>
      <c r="F949" s="397" t="s">
        <v>841</v>
      </c>
      <c r="G949" s="397" t="s">
        <v>985</v>
      </c>
      <c r="H949" s="423">
        <v>2118</v>
      </c>
      <c r="I949" s="397" t="s">
        <v>318</v>
      </c>
      <c r="J949" s="400">
        <f t="shared" ca="1" si="14"/>
        <v>46</v>
      </c>
    </row>
    <row r="950" spans="1:10" ht="15" x14ac:dyDescent="0.25">
      <c r="A950" s="397">
        <v>10002136</v>
      </c>
      <c r="B950" s="397">
        <v>8398834293</v>
      </c>
      <c r="C950" s="397" t="s">
        <v>1854</v>
      </c>
      <c r="D950" s="398">
        <v>27832</v>
      </c>
      <c r="E950" s="397" t="s">
        <v>1045</v>
      </c>
      <c r="F950" s="397" t="s">
        <v>1046</v>
      </c>
      <c r="G950" s="397" t="s">
        <v>1209</v>
      </c>
      <c r="H950" s="423">
        <v>3611</v>
      </c>
      <c r="I950" s="397" t="s">
        <v>485</v>
      </c>
      <c r="J950" s="400">
        <f t="shared" ca="1" si="14"/>
        <v>47</v>
      </c>
    </row>
    <row r="951" spans="1:10" ht="15" x14ac:dyDescent="0.25">
      <c r="A951" s="397">
        <v>10002137</v>
      </c>
      <c r="B951" s="397">
        <v>8453170231</v>
      </c>
      <c r="C951" s="397" t="s">
        <v>1855</v>
      </c>
      <c r="D951" s="398">
        <v>33266</v>
      </c>
      <c r="E951" s="397" t="s">
        <v>766</v>
      </c>
      <c r="F951" s="397" t="s">
        <v>767</v>
      </c>
      <c r="G951" s="397" t="s">
        <v>1049</v>
      </c>
      <c r="H951" s="423">
        <v>3910</v>
      </c>
      <c r="I951" s="397" t="s">
        <v>520</v>
      </c>
      <c r="J951" s="400">
        <f t="shared" ca="1" si="14"/>
        <v>32</v>
      </c>
    </row>
    <row r="952" spans="1:10" ht="15" x14ac:dyDescent="0.25">
      <c r="A952" s="397">
        <v>10002138</v>
      </c>
      <c r="B952" s="397">
        <v>8448411374</v>
      </c>
      <c r="C952" s="397" t="s">
        <v>1856</v>
      </c>
      <c r="D952" s="398">
        <v>32790</v>
      </c>
      <c r="E952" s="397" t="s">
        <v>868</v>
      </c>
      <c r="F952" s="397" t="s">
        <v>869</v>
      </c>
      <c r="G952" s="397" t="s">
        <v>1014</v>
      </c>
      <c r="H952" s="423">
        <v>2910</v>
      </c>
      <c r="I952" s="397" t="s">
        <v>422</v>
      </c>
      <c r="J952" s="400">
        <f t="shared" ca="1" si="14"/>
        <v>34</v>
      </c>
    </row>
    <row r="953" spans="1:10" ht="15" x14ac:dyDescent="0.25">
      <c r="A953" s="397">
        <v>10002139</v>
      </c>
      <c r="B953" s="397">
        <v>8404423393</v>
      </c>
      <c r="C953" s="397" t="s">
        <v>1857</v>
      </c>
      <c r="D953" s="398">
        <v>28391</v>
      </c>
      <c r="E953" s="397" t="s">
        <v>1051</v>
      </c>
      <c r="F953" s="397" t="s">
        <v>1052</v>
      </c>
      <c r="G953" s="397" t="s">
        <v>1014</v>
      </c>
      <c r="H953" s="423">
        <v>1412</v>
      </c>
      <c r="I953" s="397" t="s">
        <v>305</v>
      </c>
      <c r="J953" s="400">
        <f t="shared" ca="1" si="14"/>
        <v>46</v>
      </c>
    </row>
    <row r="954" spans="1:10" ht="15" x14ac:dyDescent="0.25">
      <c r="A954" s="397">
        <v>10002140</v>
      </c>
      <c r="B954" s="397">
        <v>8379271661</v>
      </c>
      <c r="C954" s="397" t="s">
        <v>1858</v>
      </c>
      <c r="D954" s="398">
        <v>25876</v>
      </c>
      <c r="E954" s="397" t="s">
        <v>1039</v>
      </c>
      <c r="F954" s="397" t="s">
        <v>1040</v>
      </c>
      <c r="G954" s="397" t="s">
        <v>1014</v>
      </c>
      <c r="H954" s="423">
        <v>3511</v>
      </c>
      <c r="I954" s="397" t="s">
        <v>480</v>
      </c>
      <c r="J954" s="400">
        <f t="shared" ca="1" si="14"/>
        <v>53</v>
      </c>
    </row>
    <row r="955" spans="1:10" ht="15" x14ac:dyDescent="0.25">
      <c r="A955" s="397">
        <v>10002142</v>
      </c>
      <c r="B955" s="397">
        <v>8423111202</v>
      </c>
      <c r="C955" s="397" t="s">
        <v>1859</v>
      </c>
      <c r="D955" s="398">
        <v>30260</v>
      </c>
      <c r="E955" s="397" t="s">
        <v>1172</v>
      </c>
      <c r="F955" s="397" t="s">
        <v>1173</v>
      </c>
      <c r="G955" s="397" t="s">
        <v>1014</v>
      </c>
      <c r="H955" s="423">
        <v>2116</v>
      </c>
      <c r="I955" s="397" t="s">
        <v>316</v>
      </c>
      <c r="J955" s="400">
        <f t="shared" ca="1" si="14"/>
        <v>41</v>
      </c>
    </row>
    <row r="956" spans="1:10" ht="15" x14ac:dyDescent="0.25">
      <c r="A956" s="397">
        <v>10002143</v>
      </c>
      <c r="B956" s="397">
        <v>8473223225</v>
      </c>
      <c r="C956" s="397" t="s">
        <v>1860</v>
      </c>
      <c r="D956" s="398">
        <v>35271</v>
      </c>
      <c r="E956" s="397" t="s">
        <v>788</v>
      </c>
      <c r="F956" s="397" t="s">
        <v>789</v>
      </c>
      <c r="G956" s="397" t="s">
        <v>1049</v>
      </c>
      <c r="H956" s="423">
        <v>3910</v>
      </c>
      <c r="I956" s="397" t="s">
        <v>520</v>
      </c>
      <c r="J956" s="400">
        <f t="shared" ca="1" si="14"/>
        <v>27</v>
      </c>
    </row>
    <row r="957" spans="1:10" ht="15" x14ac:dyDescent="0.25">
      <c r="A957" s="397">
        <v>10002144</v>
      </c>
      <c r="B957" s="397">
        <v>8408270109</v>
      </c>
      <c r="C957" s="397" t="s">
        <v>1861</v>
      </c>
      <c r="D957" s="398">
        <v>28776</v>
      </c>
      <c r="E957" s="397" t="s">
        <v>1064</v>
      </c>
      <c r="F957" s="397" t="s">
        <v>1065</v>
      </c>
      <c r="G957" s="397" t="s">
        <v>1862</v>
      </c>
      <c r="H957" s="423">
        <v>2711</v>
      </c>
      <c r="I957" s="397" t="s">
        <v>407</v>
      </c>
      <c r="J957" s="400">
        <f t="shared" ca="1" si="14"/>
        <v>45</v>
      </c>
    </row>
    <row r="958" spans="1:10" ht="15" x14ac:dyDescent="0.25">
      <c r="A958" s="397">
        <v>10002145</v>
      </c>
      <c r="B958" s="397">
        <v>8406632178</v>
      </c>
      <c r="C958" s="397" t="s">
        <v>1863</v>
      </c>
      <c r="D958" s="398">
        <v>28612</v>
      </c>
      <c r="E958" s="397" t="s">
        <v>1864</v>
      </c>
      <c r="F958" s="397" t="s">
        <v>1865</v>
      </c>
      <c r="G958" s="397" t="s">
        <v>1209</v>
      </c>
      <c r="H958" s="423">
        <v>1329</v>
      </c>
      <c r="I958" s="397" t="s">
        <v>296</v>
      </c>
      <c r="J958" s="400">
        <f t="shared" ca="1" si="14"/>
        <v>45</v>
      </c>
    </row>
    <row r="959" spans="1:10" ht="15" x14ac:dyDescent="0.25">
      <c r="A959" s="397">
        <v>10002146</v>
      </c>
      <c r="B959" s="397">
        <v>8450510813</v>
      </c>
      <c r="C959" s="397" t="s">
        <v>1866</v>
      </c>
      <c r="D959" s="398">
        <v>33000</v>
      </c>
      <c r="E959" s="397" t="s">
        <v>1107</v>
      </c>
      <c r="F959" s="397" t="s">
        <v>1108</v>
      </c>
      <c r="G959" s="397" t="s">
        <v>1014</v>
      </c>
      <c r="H959" s="423">
        <v>2910</v>
      </c>
      <c r="I959" s="397" t="s">
        <v>422</v>
      </c>
      <c r="J959" s="400">
        <f t="shared" ca="1" si="14"/>
        <v>33</v>
      </c>
    </row>
    <row r="960" spans="1:10" ht="15" x14ac:dyDescent="0.25">
      <c r="A960" s="397">
        <v>10002147</v>
      </c>
      <c r="B960" s="397">
        <v>8420560138</v>
      </c>
      <c r="C960" s="397" t="s">
        <v>1867</v>
      </c>
      <c r="D960" s="398">
        <v>30005</v>
      </c>
      <c r="E960" s="397" t="s">
        <v>762</v>
      </c>
      <c r="F960" s="397" t="s">
        <v>763</v>
      </c>
      <c r="G960" s="397" t="s">
        <v>985</v>
      </c>
      <c r="H960" s="423">
        <v>2139</v>
      </c>
      <c r="I960" s="397" t="s">
        <v>329</v>
      </c>
      <c r="J960" s="400">
        <f t="shared" ca="1" si="14"/>
        <v>41</v>
      </c>
    </row>
    <row r="961" spans="1:10" ht="15" x14ac:dyDescent="0.25">
      <c r="A961" s="397">
        <v>10002148</v>
      </c>
      <c r="B961" s="397">
        <v>8474341183</v>
      </c>
      <c r="C961" s="397" t="s">
        <v>1868</v>
      </c>
      <c r="D961" s="398">
        <v>35383</v>
      </c>
      <c r="E961" s="397" t="s">
        <v>840</v>
      </c>
      <c r="F961" s="397" t="s">
        <v>841</v>
      </c>
      <c r="G961" s="397" t="s">
        <v>985</v>
      </c>
      <c r="H961" s="423">
        <v>2139</v>
      </c>
      <c r="I961" s="397" t="s">
        <v>329</v>
      </c>
      <c r="J961" s="400">
        <f t="shared" ca="1" si="14"/>
        <v>27</v>
      </c>
    </row>
    <row r="962" spans="1:10" ht="15" x14ac:dyDescent="0.25">
      <c r="A962" s="397">
        <v>10002149</v>
      </c>
      <c r="B962" s="397">
        <v>8428023395</v>
      </c>
      <c r="C962" s="397" t="s">
        <v>1869</v>
      </c>
      <c r="D962" s="398">
        <v>30751</v>
      </c>
      <c r="E962" s="397" t="s">
        <v>849</v>
      </c>
      <c r="F962" s="397" t="s">
        <v>850</v>
      </c>
      <c r="G962" s="397" t="s">
        <v>1846</v>
      </c>
      <c r="H962" s="423">
        <v>3134</v>
      </c>
      <c r="I962" s="397" t="s">
        <v>435</v>
      </c>
      <c r="J962" s="400">
        <f t="shared" ca="1" si="14"/>
        <v>39</v>
      </c>
    </row>
    <row r="963" spans="1:10" ht="15" x14ac:dyDescent="0.25">
      <c r="A963" s="397">
        <v>10002150</v>
      </c>
      <c r="B963" s="397">
        <v>8477071462</v>
      </c>
      <c r="C963" s="397" t="s">
        <v>1870</v>
      </c>
      <c r="D963" s="398">
        <v>35656</v>
      </c>
      <c r="E963" s="397" t="s">
        <v>762</v>
      </c>
      <c r="F963" s="397" t="s">
        <v>763</v>
      </c>
      <c r="G963" s="397" t="s">
        <v>985</v>
      </c>
      <c r="H963" s="423">
        <v>2117</v>
      </c>
      <c r="I963" s="397" t="s">
        <v>317</v>
      </c>
      <c r="J963" s="400">
        <f t="shared" ref="J963:J1026" ca="1" si="15">YEAR(TODAY())-YEAR(D963)</f>
        <v>26</v>
      </c>
    </row>
    <row r="964" spans="1:10" ht="15" x14ac:dyDescent="0.25">
      <c r="A964" s="397">
        <v>10002151</v>
      </c>
      <c r="B964" s="397">
        <v>8477230684</v>
      </c>
      <c r="C964" s="397" t="s">
        <v>1871</v>
      </c>
      <c r="D964" s="398">
        <v>35672</v>
      </c>
      <c r="E964" s="397" t="s">
        <v>795</v>
      </c>
      <c r="F964" s="397" t="s">
        <v>796</v>
      </c>
      <c r="G964" s="397" t="s">
        <v>985</v>
      </c>
      <c r="H964" s="423">
        <v>2117</v>
      </c>
      <c r="I964" s="397" t="s">
        <v>317</v>
      </c>
      <c r="J964" s="400">
        <f t="shared" ca="1" si="15"/>
        <v>26</v>
      </c>
    </row>
    <row r="965" spans="1:10" ht="15" x14ac:dyDescent="0.25">
      <c r="A965" s="397">
        <v>10002152</v>
      </c>
      <c r="B965" s="397">
        <v>8449450209</v>
      </c>
      <c r="C965" s="397" t="s">
        <v>1872</v>
      </c>
      <c r="D965" s="398">
        <v>32894</v>
      </c>
      <c r="E965" s="397" t="s">
        <v>1154</v>
      </c>
      <c r="F965" s="397" t="s">
        <v>1155</v>
      </c>
      <c r="G965" s="397" t="s">
        <v>1014</v>
      </c>
      <c r="H965" s="423">
        <v>2910</v>
      </c>
      <c r="I965" s="397" t="s">
        <v>422</v>
      </c>
      <c r="J965" s="400">
        <f t="shared" ca="1" si="15"/>
        <v>33</v>
      </c>
    </row>
    <row r="966" spans="1:10" ht="15" x14ac:dyDescent="0.25">
      <c r="A966" s="397">
        <v>10002153</v>
      </c>
      <c r="B966" s="397">
        <v>8427710135</v>
      </c>
      <c r="C966" s="397" t="s">
        <v>1873</v>
      </c>
      <c r="D966" s="398">
        <v>30720</v>
      </c>
      <c r="E966" s="397" t="s">
        <v>1175</v>
      </c>
      <c r="F966" s="397" t="s">
        <v>1176</v>
      </c>
      <c r="G966" s="397" t="s">
        <v>1209</v>
      </c>
      <c r="H966" s="423">
        <v>2910</v>
      </c>
      <c r="I966" s="397" t="s">
        <v>422</v>
      </c>
      <c r="J966" s="400">
        <f t="shared" ca="1" si="15"/>
        <v>39</v>
      </c>
    </row>
    <row r="967" spans="1:10" ht="15" x14ac:dyDescent="0.25">
      <c r="A967" s="397">
        <v>10002154</v>
      </c>
      <c r="B967" s="397">
        <v>8418461764</v>
      </c>
      <c r="C967" s="397" t="s">
        <v>1874</v>
      </c>
      <c r="D967" s="398">
        <v>29795</v>
      </c>
      <c r="E967" s="397" t="s">
        <v>858</v>
      </c>
      <c r="F967" s="397" t="s">
        <v>859</v>
      </c>
      <c r="G967" s="397" t="s">
        <v>891</v>
      </c>
      <c r="H967" s="423">
        <v>2410</v>
      </c>
      <c r="I967" s="397" t="s">
        <v>366</v>
      </c>
      <c r="J967" s="400">
        <f t="shared" ca="1" si="15"/>
        <v>42</v>
      </c>
    </row>
    <row r="968" spans="1:10" ht="15" x14ac:dyDescent="0.25">
      <c r="A968" s="397">
        <v>10002155</v>
      </c>
      <c r="B968" s="397">
        <v>8437704251</v>
      </c>
      <c r="C968" s="397" t="s">
        <v>1875</v>
      </c>
      <c r="D968" s="398">
        <v>31719</v>
      </c>
      <c r="E968" s="397" t="s">
        <v>840</v>
      </c>
      <c r="F968" s="397" t="s">
        <v>841</v>
      </c>
      <c r="G968" s="397" t="s">
        <v>985</v>
      </c>
      <c r="H968" s="423">
        <v>2118</v>
      </c>
      <c r="I968" s="397" t="s">
        <v>318</v>
      </c>
      <c r="J968" s="400">
        <f t="shared" ca="1" si="15"/>
        <v>37</v>
      </c>
    </row>
    <row r="969" spans="1:10" ht="15" x14ac:dyDescent="0.25">
      <c r="A969" s="397">
        <v>10002156</v>
      </c>
      <c r="B969" s="397">
        <v>8422403099</v>
      </c>
      <c r="C969" s="397" t="s">
        <v>1876</v>
      </c>
      <c r="D969" s="398">
        <v>30189</v>
      </c>
      <c r="E969" s="397" t="s">
        <v>762</v>
      </c>
      <c r="F969" s="397" t="s">
        <v>763</v>
      </c>
      <c r="G969" s="397" t="s">
        <v>985</v>
      </c>
      <c r="H969" s="423">
        <v>2169</v>
      </c>
      <c r="I969" s="397" t="s">
        <v>346</v>
      </c>
      <c r="J969" s="400">
        <f t="shared" ca="1" si="15"/>
        <v>41</v>
      </c>
    </row>
    <row r="970" spans="1:10" ht="15" x14ac:dyDescent="0.25">
      <c r="A970" s="397">
        <v>10002157</v>
      </c>
      <c r="B970" s="397">
        <v>8490422486</v>
      </c>
      <c r="C970" s="397" t="s">
        <v>1877</v>
      </c>
      <c r="D970" s="398">
        <v>36991</v>
      </c>
      <c r="E970" s="397" t="s">
        <v>1175</v>
      </c>
      <c r="F970" s="397" t="s">
        <v>1176</v>
      </c>
      <c r="G970" s="397" t="s">
        <v>1049</v>
      </c>
      <c r="H970" s="423">
        <v>3910</v>
      </c>
      <c r="I970" s="397" t="s">
        <v>520</v>
      </c>
      <c r="J970" s="400">
        <f t="shared" ca="1" si="15"/>
        <v>22</v>
      </c>
    </row>
    <row r="971" spans="1:10" ht="15" x14ac:dyDescent="0.25">
      <c r="A971" s="397">
        <v>10002158</v>
      </c>
      <c r="B971" s="397">
        <v>8412820428</v>
      </c>
      <c r="C971" s="397" t="s">
        <v>1878</v>
      </c>
      <c r="D971" s="398">
        <v>29231</v>
      </c>
      <c r="E971" s="397" t="s">
        <v>1184</v>
      </c>
      <c r="F971" s="397" t="s">
        <v>1185</v>
      </c>
      <c r="G971" s="397" t="s">
        <v>1049</v>
      </c>
      <c r="H971" s="423">
        <v>3910</v>
      </c>
      <c r="I971" s="397" t="s">
        <v>520</v>
      </c>
      <c r="J971" s="400">
        <f t="shared" ca="1" si="15"/>
        <v>43</v>
      </c>
    </row>
    <row r="972" spans="1:10" ht="15" x14ac:dyDescent="0.25">
      <c r="A972" s="397">
        <v>10002159</v>
      </c>
      <c r="B972" s="397">
        <v>8438901476</v>
      </c>
      <c r="C972" s="397" t="s">
        <v>1879</v>
      </c>
      <c r="D972" s="398">
        <v>31839</v>
      </c>
      <c r="E972" s="397" t="s">
        <v>1175</v>
      </c>
      <c r="F972" s="397" t="s">
        <v>1176</v>
      </c>
      <c r="G972" s="397" t="s">
        <v>1209</v>
      </c>
      <c r="H972" s="423">
        <v>3632</v>
      </c>
      <c r="I972" s="397" t="s">
        <v>497</v>
      </c>
      <c r="J972" s="400">
        <f t="shared" ca="1" si="15"/>
        <v>36</v>
      </c>
    </row>
    <row r="973" spans="1:10" ht="15" x14ac:dyDescent="0.25">
      <c r="A973" s="397">
        <v>10002160</v>
      </c>
      <c r="B973" s="397">
        <v>8490251584</v>
      </c>
      <c r="C973" s="397" t="s">
        <v>1880</v>
      </c>
      <c r="D973" s="398">
        <v>36974</v>
      </c>
      <c r="E973" s="397" t="s">
        <v>868</v>
      </c>
      <c r="F973" s="397" t="s">
        <v>869</v>
      </c>
      <c r="G973" s="397" t="s">
        <v>1049</v>
      </c>
      <c r="H973" s="423">
        <v>3910</v>
      </c>
      <c r="I973" s="397" t="s">
        <v>520</v>
      </c>
      <c r="J973" s="400">
        <f t="shared" ca="1" si="15"/>
        <v>22</v>
      </c>
    </row>
    <row r="974" spans="1:10" ht="15" x14ac:dyDescent="0.25">
      <c r="A974" s="397">
        <v>10002161</v>
      </c>
      <c r="B974" s="397">
        <v>8495532743</v>
      </c>
      <c r="C974" s="397" t="s">
        <v>1881</v>
      </c>
      <c r="D974" s="398">
        <v>37502</v>
      </c>
      <c r="E974" s="397" t="s">
        <v>1107</v>
      </c>
      <c r="F974" s="397" t="s">
        <v>1108</v>
      </c>
      <c r="G974" s="397" t="s">
        <v>1049</v>
      </c>
      <c r="H974" s="423">
        <v>3910</v>
      </c>
      <c r="I974" s="397" t="s">
        <v>520</v>
      </c>
      <c r="J974" s="400">
        <f t="shared" ca="1" si="15"/>
        <v>21</v>
      </c>
    </row>
    <row r="975" spans="1:10" ht="15" x14ac:dyDescent="0.25">
      <c r="A975" s="397">
        <v>10002162</v>
      </c>
      <c r="B975" s="397">
        <v>8437290244</v>
      </c>
      <c r="C975" s="397" t="s">
        <v>1882</v>
      </c>
      <c r="D975" s="398">
        <v>31678</v>
      </c>
      <c r="E975" s="397" t="s">
        <v>868</v>
      </c>
      <c r="F975" s="397" t="s">
        <v>869</v>
      </c>
      <c r="G975" s="397" t="s">
        <v>985</v>
      </c>
      <c r="H975" s="423">
        <v>2118</v>
      </c>
      <c r="I975" s="397" t="s">
        <v>318</v>
      </c>
      <c r="J975" s="400">
        <f t="shared" ca="1" si="15"/>
        <v>37</v>
      </c>
    </row>
    <row r="976" spans="1:10" ht="15" x14ac:dyDescent="0.25">
      <c r="A976" s="397">
        <v>10002164</v>
      </c>
      <c r="B976" s="397">
        <v>8491580409</v>
      </c>
      <c r="C976" s="397" t="s">
        <v>1883</v>
      </c>
      <c r="D976" s="398">
        <v>37107</v>
      </c>
      <c r="E976" s="397" t="s">
        <v>824</v>
      </c>
      <c r="F976" s="397" t="s">
        <v>825</v>
      </c>
      <c r="G976" s="397" t="s">
        <v>1049</v>
      </c>
      <c r="H976" s="423">
        <v>3910</v>
      </c>
      <c r="I976" s="397" t="s">
        <v>520</v>
      </c>
      <c r="J976" s="400">
        <f t="shared" ca="1" si="15"/>
        <v>22</v>
      </c>
    </row>
    <row r="977" spans="1:10" ht="15" x14ac:dyDescent="0.25">
      <c r="A977" s="397">
        <v>10002165</v>
      </c>
      <c r="B977" s="397">
        <v>8439390491</v>
      </c>
      <c r="C977" s="397" t="s">
        <v>147</v>
      </c>
      <c r="D977" s="398">
        <v>31888</v>
      </c>
      <c r="E977" s="397" t="s">
        <v>774</v>
      </c>
      <c r="F977" s="397" t="s">
        <v>775</v>
      </c>
      <c r="G977" s="397" t="s">
        <v>985</v>
      </c>
      <c r="H977" s="423">
        <v>2169</v>
      </c>
      <c r="I977" s="397" t="s">
        <v>346</v>
      </c>
      <c r="J977" s="400">
        <f t="shared" ca="1" si="15"/>
        <v>36</v>
      </c>
    </row>
    <row r="978" spans="1:10" ht="15" x14ac:dyDescent="0.25">
      <c r="A978" s="397">
        <v>10002166</v>
      </c>
      <c r="B978" s="397">
        <v>8408291289</v>
      </c>
      <c r="C978" s="397" t="s">
        <v>1884</v>
      </c>
      <c r="D978" s="398">
        <v>28778</v>
      </c>
      <c r="E978" s="397" t="s">
        <v>1054</v>
      </c>
      <c r="F978" s="397" t="s">
        <v>1055</v>
      </c>
      <c r="G978" s="397" t="s">
        <v>1049</v>
      </c>
      <c r="H978" s="423">
        <v>3910</v>
      </c>
      <c r="I978" s="397" t="s">
        <v>520</v>
      </c>
      <c r="J978" s="400">
        <f t="shared" ca="1" si="15"/>
        <v>45</v>
      </c>
    </row>
    <row r="979" spans="1:10" ht="15" x14ac:dyDescent="0.25">
      <c r="A979" s="397">
        <v>10002167</v>
      </c>
      <c r="B979" s="397">
        <v>8476102356</v>
      </c>
      <c r="C979" s="397" t="s">
        <v>164</v>
      </c>
      <c r="D979" s="398">
        <v>35559</v>
      </c>
      <c r="E979" s="397" t="s">
        <v>849</v>
      </c>
      <c r="F979" s="397" t="s">
        <v>850</v>
      </c>
      <c r="G979" s="397" t="s">
        <v>985</v>
      </c>
      <c r="H979" s="423">
        <v>2139</v>
      </c>
      <c r="I979" s="397" t="s">
        <v>329</v>
      </c>
      <c r="J979" s="400">
        <f t="shared" ca="1" si="15"/>
        <v>26</v>
      </c>
    </row>
    <row r="980" spans="1:10" ht="15" x14ac:dyDescent="0.25">
      <c r="A980" s="397">
        <v>10002168</v>
      </c>
      <c r="B980" s="397">
        <v>8413223210</v>
      </c>
      <c r="C980" s="397" t="s">
        <v>1885</v>
      </c>
      <c r="D980" s="398">
        <v>29271</v>
      </c>
      <c r="E980" s="397" t="s">
        <v>868</v>
      </c>
      <c r="F980" s="397" t="s">
        <v>869</v>
      </c>
      <c r="G980" s="397" t="s">
        <v>985</v>
      </c>
      <c r="H980" s="423">
        <v>2149</v>
      </c>
      <c r="I980" s="397" t="s">
        <v>334</v>
      </c>
      <c r="J980" s="400">
        <f t="shared" ca="1" si="15"/>
        <v>43</v>
      </c>
    </row>
    <row r="981" spans="1:10" ht="15" x14ac:dyDescent="0.25">
      <c r="A981" s="397">
        <v>10002169</v>
      </c>
      <c r="B981" s="397">
        <v>8494880098</v>
      </c>
      <c r="C981" s="397" t="s">
        <v>1886</v>
      </c>
      <c r="D981" s="398">
        <v>37437</v>
      </c>
      <c r="E981" s="397" t="s">
        <v>795</v>
      </c>
      <c r="F981" s="397" t="s">
        <v>796</v>
      </c>
      <c r="G981" s="397" t="s">
        <v>1846</v>
      </c>
      <c r="H981" s="423">
        <v>3134</v>
      </c>
      <c r="I981" s="397" t="s">
        <v>435</v>
      </c>
      <c r="J981" s="400">
        <f t="shared" ca="1" si="15"/>
        <v>21</v>
      </c>
    </row>
    <row r="982" spans="1:10" ht="15" x14ac:dyDescent="0.25">
      <c r="A982" s="397">
        <v>10002170</v>
      </c>
      <c r="B982" s="397">
        <v>8474931819</v>
      </c>
      <c r="C982" s="397" t="s">
        <v>1887</v>
      </c>
      <c r="D982" s="398">
        <v>35442</v>
      </c>
      <c r="E982" s="397" t="s">
        <v>795</v>
      </c>
      <c r="F982" s="397" t="s">
        <v>796</v>
      </c>
      <c r="G982" s="397" t="s">
        <v>985</v>
      </c>
      <c r="H982" s="423">
        <v>2117</v>
      </c>
      <c r="I982" s="397" t="s">
        <v>317</v>
      </c>
      <c r="J982" s="400">
        <f t="shared" ca="1" si="15"/>
        <v>26</v>
      </c>
    </row>
    <row r="983" spans="1:10" ht="15" x14ac:dyDescent="0.25">
      <c r="A983" s="397">
        <v>10002171</v>
      </c>
      <c r="B983" s="397">
        <v>8349722673</v>
      </c>
      <c r="C983" s="397" t="s">
        <v>1346</v>
      </c>
      <c r="D983" s="398">
        <v>22921</v>
      </c>
      <c r="E983" s="397" t="s">
        <v>849</v>
      </c>
      <c r="F983" s="397" t="s">
        <v>850</v>
      </c>
      <c r="G983" s="397" t="s">
        <v>902</v>
      </c>
      <c r="H983" s="423">
        <v>2163</v>
      </c>
      <c r="I983" s="397" t="s">
        <v>340</v>
      </c>
      <c r="J983" s="400">
        <f t="shared" ca="1" si="15"/>
        <v>61</v>
      </c>
    </row>
    <row r="984" spans="1:10" ht="15" x14ac:dyDescent="0.25">
      <c r="A984" s="397">
        <v>10002172</v>
      </c>
      <c r="B984" s="397">
        <v>8451441513</v>
      </c>
      <c r="C984" s="397" t="s">
        <v>1888</v>
      </c>
      <c r="D984" s="398">
        <v>33093</v>
      </c>
      <c r="E984" s="397" t="s">
        <v>774</v>
      </c>
      <c r="F984" s="397" t="s">
        <v>775</v>
      </c>
      <c r="G984" s="397" t="s">
        <v>902</v>
      </c>
      <c r="H984" s="423">
        <v>2167</v>
      </c>
      <c r="I984" s="397" t="s">
        <v>344</v>
      </c>
      <c r="J984" s="400">
        <f t="shared" ca="1" si="15"/>
        <v>33</v>
      </c>
    </row>
    <row r="985" spans="1:10" ht="15" x14ac:dyDescent="0.25">
      <c r="A985" s="397">
        <v>10002173</v>
      </c>
      <c r="B985" s="397">
        <v>8420512370</v>
      </c>
      <c r="C985" s="397" t="s">
        <v>1889</v>
      </c>
      <c r="D985" s="398">
        <v>30000</v>
      </c>
      <c r="E985" s="397" t="s">
        <v>849</v>
      </c>
      <c r="F985" s="397" t="s">
        <v>850</v>
      </c>
      <c r="G985" s="397" t="s">
        <v>902</v>
      </c>
      <c r="H985" s="423">
        <v>2169</v>
      </c>
      <c r="I985" s="397" t="s">
        <v>346</v>
      </c>
      <c r="J985" s="400">
        <f t="shared" ca="1" si="15"/>
        <v>41</v>
      </c>
    </row>
    <row r="986" spans="1:10" ht="15" x14ac:dyDescent="0.25">
      <c r="A986" s="397">
        <v>10002174</v>
      </c>
      <c r="B986" s="397">
        <v>8399513814</v>
      </c>
      <c r="C986" s="397" t="s">
        <v>1890</v>
      </c>
      <c r="D986" s="398">
        <v>27900</v>
      </c>
      <c r="E986" s="397" t="s">
        <v>849</v>
      </c>
      <c r="F986" s="397" t="s">
        <v>850</v>
      </c>
      <c r="G986" s="397" t="s">
        <v>902</v>
      </c>
      <c r="H986" s="423">
        <v>2117</v>
      </c>
      <c r="I986" s="397" t="s">
        <v>317</v>
      </c>
      <c r="J986" s="400">
        <f t="shared" ca="1" si="15"/>
        <v>47</v>
      </c>
    </row>
    <row r="987" spans="1:10" ht="15" x14ac:dyDescent="0.25">
      <c r="A987" s="397">
        <v>10002175</v>
      </c>
      <c r="B987" s="397">
        <v>8402940218</v>
      </c>
      <c r="C987" s="397" t="s">
        <v>1891</v>
      </c>
      <c r="D987" s="398">
        <v>28243</v>
      </c>
      <c r="E987" s="397" t="s">
        <v>1578</v>
      </c>
      <c r="F987" s="397" t="s">
        <v>1579</v>
      </c>
      <c r="G987" s="397" t="s">
        <v>1049</v>
      </c>
      <c r="H987" s="423">
        <v>3632</v>
      </c>
      <c r="I987" s="397" t="s">
        <v>497</v>
      </c>
      <c r="J987" s="400">
        <f t="shared" ca="1" si="15"/>
        <v>46</v>
      </c>
    </row>
    <row r="988" spans="1:10" ht="15" x14ac:dyDescent="0.25">
      <c r="A988" s="397">
        <v>10002176</v>
      </c>
      <c r="B988" s="397">
        <v>8476082282</v>
      </c>
      <c r="C988" s="397" t="s">
        <v>1892</v>
      </c>
      <c r="D988" s="398">
        <v>35557</v>
      </c>
      <c r="E988" s="397" t="s">
        <v>1039</v>
      </c>
      <c r="F988" s="397" t="s">
        <v>1040</v>
      </c>
      <c r="G988" s="397" t="s">
        <v>1209</v>
      </c>
      <c r="H988" s="423">
        <v>3511</v>
      </c>
      <c r="I988" s="397" t="s">
        <v>480</v>
      </c>
      <c r="J988" s="400">
        <f t="shared" ca="1" si="15"/>
        <v>26</v>
      </c>
    </row>
    <row r="989" spans="1:10" ht="15" x14ac:dyDescent="0.25">
      <c r="A989" s="397">
        <v>10002177</v>
      </c>
      <c r="B989" s="397">
        <v>8472050033</v>
      </c>
      <c r="C989" s="397" t="s">
        <v>1893</v>
      </c>
      <c r="D989" s="398">
        <v>35154</v>
      </c>
      <c r="E989" s="397" t="s">
        <v>1096</v>
      </c>
      <c r="F989" s="397" t="s">
        <v>1097</v>
      </c>
      <c r="G989" s="397" t="s">
        <v>1049</v>
      </c>
      <c r="H989" s="423">
        <v>3143</v>
      </c>
      <c r="I989" s="397" t="s">
        <v>441</v>
      </c>
      <c r="J989" s="400">
        <f t="shared" ca="1" si="15"/>
        <v>27</v>
      </c>
    </row>
    <row r="990" spans="1:10" ht="15" x14ac:dyDescent="0.25">
      <c r="A990" s="397">
        <v>10002178</v>
      </c>
      <c r="B990" s="397">
        <v>8412650174</v>
      </c>
      <c r="C990" s="397" t="s">
        <v>1894</v>
      </c>
      <c r="D990" s="398">
        <v>29214</v>
      </c>
      <c r="E990" s="397" t="s">
        <v>1042</v>
      </c>
      <c r="F990" s="397" t="s">
        <v>1043</v>
      </c>
      <c r="G990" s="397" t="s">
        <v>1755</v>
      </c>
      <c r="H990" s="423">
        <v>7341</v>
      </c>
      <c r="I990" s="397" t="s">
        <v>633</v>
      </c>
      <c r="J990" s="400">
        <f t="shared" ca="1" si="15"/>
        <v>44</v>
      </c>
    </row>
    <row r="991" spans="1:10" ht="15" x14ac:dyDescent="0.25">
      <c r="A991" s="397">
        <v>10002179</v>
      </c>
      <c r="B991" s="397">
        <v>8463320732</v>
      </c>
      <c r="C991" s="397" t="s">
        <v>1895</v>
      </c>
      <c r="D991" s="398">
        <v>34281</v>
      </c>
      <c r="E991" s="397" t="s">
        <v>810</v>
      </c>
      <c r="F991" s="397" t="s">
        <v>811</v>
      </c>
      <c r="G991" s="397" t="s">
        <v>1014</v>
      </c>
      <c r="H991" s="423">
        <v>2139</v>
      </c>
      <c r="I991" s="397" t="s">
        <v>329</v>
      </c>
      <c r="J991" s="400">
        <f t="shared" ca="1" si="15"/>
        <v>30</v>
      </c>
    </row>
    <row r="992" spans="1:10" ht="15" x14ac:dyDescent="0.25">
      <c r="A992" s="397">
        <v>10002180</v>
      </c>
      <c r="B992" s="397">
        <v>8452993811</v>
      </c>
      <c r="C992" s="397" t="s">
        <v>1896</v>
      </c>
      <c r="D992" s="398">
        <v>33248</v>
      </c>
      <c r="E992" s="397" t="s">
        <v>1103</v>
      </c>
      <c r="F992" s="397" t="s">
        <v>1104</v>
      </c>
      <c r="G992" s="397" t="s">
        <v>1049</v>
      </c>
      <c r="H992" s="423">
        <v>3623</v>
      </c>
      <c r="I992" s="397" t="s">
        <v>494</v>
      </c>
      <c r="J992" s="400">
        <f t="shared" ca="1" si="15"/>
        <v>32</v>
      </c>
    </row>
    <row r="993" spans="1:10" ht="15" x14ac:dyDescent="0.25">
      <c r="A993" s="397">
        <v>10002181</v>
      </c>
      <c r="B993" s="397">
        <v>8394030483</v>
      </c>
      <c r="C993" s="397" t="s">
        <v>1897</v>
      </c>
      <c r="D993" s="398">
        <v>27352</v>
      </c>
      <c r="E993" s="397" t="s">
        <v>1898</v>
      </c>
      <c r="F993" s="397" t="s">
        <v>1899</v>
      </c>
      <c r="G993" s="397" t="s">
        <v>1548</v>
      </c>
      <c r="H993" s="423">
        <v>9112</v>
      </c>
      <c r="I993" s="397" t="s">
        <v>719</v>
      </c>
      <c r="J993" s="400">
        <f t="shared" ca="1" si="15"/>
        <v>49</v>
      </c>
    </row>
    <row r="994" spans="1:10" ht="15" x14ac:dyDescent="0.25">
      <c r="A994" s="397">
        <v>10002182</v>
      </c>
      <c r="B994" s="397">
        <v>8359472858</v>
      </c>
      <c r="C994" s="397" t="s">
        <v>1900</v>
      </c>
      <c r="D994" s="398">
        <v>23896</v>
      </c>
      <c r="E994" s="397" t="s">
        <v>800</v>
      </c>
      <c r="F994" s="397" t="s">
        <v>801</v>
      </c>
      <c r="G994" s="397" t="s">
        <v>764</v>
      </c>
      <c r="H994" s="423">
        <v>1328</v>
      </c>
      <c r="I994" s="397" t="s">
        <v>295</v>
      </c>
      <c r="J994" s="400">
        <f t="shared" ca="1" si="15"/>
        <v>58</v>
      </c>
    </row>
    <row r="995" spans="1:10" ht="15" x14ac:dyDescent="0.25">
      <c r="A995" s="397">
        <v>10002183</v>
      </c>
      <c r="B995" s="397">
        <v>8403430604</v>
      </c>
      <c r="C995" s="397" t="s">
        <v>1901</v>
      </c>
      <c r="D995" s="398">
        <v>28292</v>
      </c>
      <c r="E995" s="397" t="s">
        <v>1042</v>
      </c>
      <c r="F995" s="397" t="s">
        <v>1043</v>
      </c>
      <c r="G995" s="397" t="s">
        <v>1755</v>
      </c>
      <c r="H995" s="423">
        <v>7521</v>
      </c>
      <c r="I995" s="397" t="s">
        <v>652</v>
      </c>
      <c r="J995" s="400">
        <f t="shared" ca="1" si="15"/>
        <v>46</v>
      </c>
    </row>
    <row r="996" spans="1:10" ht="15" x14ac:dyDescent="0.25">
      <c r="A996" s="397">
        <v>10002184</v>
      </c>
      <c r="B996" s="397">
        <v>8390771837</v>
      </c>
      <c r="C996" s="397" t="s">
        <v>1902</v>
      </c>
      <c r="D996" s="398">
        <v>27026</v>
      </c>
      <c r="E996" s="397" t="s">
        <v>1061</v>
      </c>
      <c r="F996" s="397" t="s">
        <v>1062</v>
      </c>
      <c r="G996" s="397" t="s">
        <v>891</v>
      </c>
      <c r="H996" s="423">
        <v>2410</v>
      </c>
      <c r="I996" s="397" t="s">
        <v>366</v>
      </c>
      <c r="J996" s="400">
        <f t="shared" ca="1" si="15"/>
        <v>50</v>
      </c>
    </row>
    <row r="997" spans="1:10" ht="15" x14ac:dyDescent="0.25">
      <c r="A997" s="397">
        <v>10002185</v>
      </c>
      <c r="B997" s="397">
        <v>8475032443</v>
      </c>
      <c r="C997" s="397" t="s">
        <v>1903</v>
      </c>
      <c r="D997" s="398">
        <v>35452</v>
      </c>
      <c r="E997" s="397" t="s">
        <v>1501</v>
      </c>
      <c r="F997" s="397" t="s">
        <v>1502</v>
      </c>
      <c r="G997" s="397" t="s">
        <v>1049</v>
      </c>
      <c r="H997" s="423">
        <v>3632</v>
      </c>
      <c r="I997" s="397" t="s">
        <v>497</v>
      </c>
      <c r="J997" s="400">
        <f t="shared" ca="1" si="15"/>
        <v>26</v>
      </c>
    </row>
    <row r="998" spans="1:10" ht="15" x14ac:dyDescent="0.25">
      <c r="A998" s="397">
        <v>10002186</v>
      </c>
      <c r="B998" s="397">
        <v>8385943714</v>
      </c>
      <c r="C998" s="397" t="s">
        <v>1904</v>
      </c>
      <c r="D998" s="398">
        <v>26543</v>
      </c>
      <c r="E998" s="397" t="s">
        <v>1061</v>
      </c>
      <c r="F998" s="397" t="s">
        <v>1062</v>
      </c>
      <c r="G998" s="397" t="s">
        <v>891</v>
      </c>
      <c r="H998" s="423">
        <v>2410</v>
      </c>
      <c r="I998" s="397" t="s">
        <v>366</v>
      </c>
      <c r="J998" s="400">
        <f t="shared" ca="1" si="15"/>
        <v>51</v>
      </c>
    </row>
    <row r="999" spans="1:10" ht="15" x14ac:dyDescent="0.25">
      <c r="A999" s="397">
        <v>10002187</v>
      </c>
      <c r="B999" s="397">
        <v>8320203163</v>
      </c>
      <c r="C999" s="397" t="s">
        <v>1905</v>
      </c>
      <c r="D999" s="398">
        <v>19969</v>
      </c>
      <c r="E999" s="397" t="s">
        <v>810</v>
      </c>
      <c r="F999" s="397" t="s">
        <v>811</v>
      </c>
      <c r="G999" s="397" t="s">
        <v>1906</v>
      </c>
      <c r="H999" s="423">
        <v>2122</v>
      </c>
      <c r="I999" s="397" t="s">
        <v>320</v>
      </c>
      <c r="J999" s="400">
        <f t="shared" ca="1" si="15"/>
        <v>69</v>
      </c>
    </row>
    <row r="1000" spans="1:10" ht="15" x14ac:dyDescent="0.25">
      <c r="A1000" s="397">
        <v>10002188</v>
      </c>
      <c r="B1000" s="397">
        <v>8470681206</v>
      </c>
      <c r="C1000" s="397" t="s">
        <v>1907</v>
      </c>
      <c r="D1000" s="398">
        <v>35017</v>
      </c>
      <c r="E1000" s="397" t="s">
        <v>806</v>
      </c>
      <c r="F1000" s="397" t="s">
        <v>807</v>
      </c>
      <c r="G1000" s="397" t="s">
        <v>925</v>
      </c>
      <c r="H1000" s="423">
        <v>2410</v>
      </c>
      <c r="I1000" s="397" t="s">
        <v>366</v>
      </c>
      <c r="J1000" s="400">
        <f t="shared" ca="1" si="15"/>
        <v>28</v>
      </c>
    </row>
    <row r="1001" spans="1:10" ht="15" x14ac:dyDescent="0.25">
      <c r="A1001" s="397">
        <v>10002190</v>
      </c>
      <c r="B1001" s="397">
        <v>8354561240</v>
      </c>
      <c r="C1001" s="397" t="s">
        <v>200</v>
      </c>
      <c r="D1001" s="398">
        <v>23405</v>
      </c>
      <c r="E1001" s="397" t="s">
        <v>868</v>
      </c>
      <c r="F1001" s="397" t="s">
        <v>869</v>
      </c>
      <c r="G1001" s="397" t="s">
        <v>985</v>
      </c>
      <c r="H1001" s="423">
        <v>2117</v>
      </c>
      <c r="I1001" s="397" t="s">
        <v>317</v>
      </c>
      <c r="J1001" s="400">
        <f t="shared" ca="1" si="15"/>
        <v>59</v>
      </c>
    </row>
    <row r="1002" spans="1:10" ht="15" x14ac:dyDescent="0.25">
      <c r="A1002" s="397">
        <v>10002191</v>
      </c>
      <c r="B1002" s="397">
        <v>8456720208</v>
      </c>
      <c r="C1002" s="397" t="s">
        <v>1908</v>
      </c>
      <c r="D1002" s="398">
        <v>33621</v>
      </c>
      <c r="E1002" s="397" t="s">
        <v>1864</v>
      </c>
      <c r="F1002" s="397" t="s">
        <v>1865</v>
      </c>
      <c r="G1002" s="397" t="s">
        <v>1209</v>
      </c>
      <c r="H1002" s="423">
        <v>2628</v>
      </c>
      <c r="I1002" s="397" t="s">
        <v>405</v>
      </c>
      <c r="J1002" s="400">
        <f t="shared" ca="1" si="15"/>
        <v>31</v>
      </c>
    </row>
    <row r="1003" spans="1:10" ht="15" x14ac:dyDescent="0.25">
      <c r="A1003" s="397">
        <v>10002192</v>
      </c>
      <c r="B1003" s="397">
        <v>8368811929</v>
      </c>
      <c r="C1003" s="397" t="s">
        <v>1909</v>
      </c>
      <c r="D1003" s="398">
        <v>24830</v>
      </c>
      <c r="E1003" s="397" t="s">
        <v>806</v>
      </c>
      <c r="F1003" s="397" t="s">
        <v>807</v>
      </c>
      <c r="G1003" s="397" t="s">
        <v>768</v>
      </c>
      <c r="H1003" s="423">
        <v>2410</v>
      </c>
      <c r="I1003" s="397" t="s">
        <v>366</v>
      </c>
      <c r="J1003" s="400">
        <f t="shared" ca="1" si="15"/>
        <v>56</v>
      </c>
    </row>
    <row r="1004" spans="1:10" ht="15" x14ac:dyDescent="0.25">
      <c r="A1004" s="397">
        <v>10002193</v>
      </c>
      <c r="B1004" s="397">
        <v>8470432028</v>
      </c>
      <c r="C1004" s="397" t="s">
        <v>1910</v>
      </c>
      <c r="D1004" s="398">
        <v>34992</v>
      </c>
      <c r="E1004" s="397" t="s">
        <v>806</v>
      </c>
      <c r="F1004" s="397" t="s">
        <v>807</v>
      </c>
      <c r="G1004" s="397" t="s">
        <v>925</v>
      </c>
      <c r="H1004" s="423">
        <v>2410</v>
      </c>
      <c r="I1004" s="397" t="s">
        <v>366</v>
      </c>
      <c r="J1004" s="400">
        <f t="shared" ca="1" si="15"/>
        <v>28</v>
      </c>
    </row>
    <row r="1005" spans="1:10" ht="15" x14ac:dyDescent="0.25">
      <c r="A1005" s="397">
        <v>10002194</v>
      </c>
      <c r="B1005" s="397">
        <v>8428693250</v>
      </c>
      <c r="C1005" s="397" t="s">
        <v>1911</v>
      </c>
      <c r="D1005" s="398">
        <v>30818</v>
      </c>
      <c r="E1005" s="397" t="s">
        <v>868</v>
      </c>
      <c r="F1005" s="397" t="s">
        <v>869</v>
      </c>
      <c r="G1005" s="397" t="s">
        <v>985</v>
      </c>
      <c r="H1005" s="423">
        <v>2122</v>
      </c>
      <c r="I1005" s="397" t="s">
        <v>320</v>
      </c>
      <c r="J1005" s="400">
        <f t="shared" ca="1" si="15"/>
        <v>39</v>
      </c>
    </row>
    <row r="1006" spans="1:10" ht="15" x14ac:dyDescent="0.25">
      <c r="A1006" s="397">
        <v>10002195</v>
      </c>
      <c r="B1006" s="397">
        <v>8420971286</v>
      </c>
      <c r="C1006" s="397" t="s">
        <v>1912</v>
      </c>
      <c r="D1006" s="398">
        <v>30046</v>
      </c>
      <c r="E1006" s="397" t="s">
        <v>800</v>
      </c>
      <c r="F1006" s="397" t="s">
        <v>801</v>
      </c>
      <c r="G1006" s="397" t="s">
        <v>768</v>
      </c>
      <c r="H1006" s="423">
        <v>2410</v>
      </c>
      <c r="I1006" s="397" t="s">
        <v>366</v>
      </c>
      <c r="J1006" s="400">
        <f t="shared" ca="1" si="15"/>
        <v>41</v>
      </c>
    </row>
    <row r="1007" spans="1:10" ht="15" x14ac:dyDescent="0.25">
      <c r="A1007" s="397">
        <v>10002196</v>
      </c>
      <c r="B1007" s="397">
        <v>8430180605</v>
      </c>
      <c r="C1007" s="397" t="s">
        <v>1913</v>
      </c>
      <c r="D1007" s="398">
        <v>30967</v>
      </c>
      <c r="E1007" s="397" t="s">
        <v>774</v>
      </c>
      <c r="F1007" s="397" t="s">
        <v>775</v>
      </c>
      <c r="G1007" s="397" t="s">
        <v>985</v>
      </c>
      <c r="H1007" s="423">
        <v>2117</v>
      </c>
      <c r="I1007" s="397" t="s">
        <v>317</v>
      </c>
      <c r="J1007" s="400">
        <f t="shared" ca="1" si="15"/>
        <v>39</v>
      </c>
    </row>
    <row r="1008" spans="1:10" ht="15" x14ac:dyDescent="0.25">
      <c r="A1008" s="397">
        <v>10002197</v>
      </c>
      <c r="B1008" s="397">
        <v>8426710921</v>
      </c>
      <c r="C1008" s="397" t="s">
        <v>1914</v>
      </c>
      <c r="D1008" s="398">
        <v>30620</v>
      </c>
      <c r="E1008" s="397" t="s">
        <v>1039</v>
      </c>
      <c r="F1008" s="397" t="s">
        <v>1040</v>
      </c>
      <c r="G1008" s="397" t="s">
        <v>1049</v>
      </c>
      <c r="H1008" s="423">
        <v>3410</v>
      </c>
      <c r="I1008" s="397" t="s">
        <v>478</v>
      </c>
      <c r="J1008" s="400">
        <f t="shared" ca="1" si="15"/>
        <v>40</v>
      </c>
    </row>
    <row r="1009" spans="1:10" ht="15" x14ac:dyDescent="0.25">
      <c r="A1009" s="397">
        <v>10002198</v>
      </c>
      <c r="B1009" s="397">
        <v>8460470792</v>
      </c>
      <c r="C1009" s="397" t="s">
        <v>1614</v>
      </c>
      <c r="D1009" s="398">
        <v>33996</v>
      </c>
      <c r="E1009" s="397" t="s">
        <v>774</v>
      </c>
      <c r="F1009" s="397" t="s">
        <v>775</v>
      </c>
      <c r="G1009" s="397" t="s">
        <v>831</v>
      </c>
      <c r="H1009" s="423">
        <v>2117</v>
      </c>
      <c r="I1009" s="397" t="s">
        <v>317</v>
      </c>
      <c r="J1009" s="400">
        <f t="shared" ca="1" si="15"/>
        <v>30</v>
      </c>
    </row>
    <row r="1010" spans="1:10" ht="15" x14ac:dyDescent="0.25">
      <c r="A1010" s="397">
        <v>10002199</v>
      </c>
      <c r="B1010" s="397">
        <v>8481950971</v>
      </c>
      <c r="C1010" s="397" t="s">
        <v>1915</v>
      </c>
      <c r="D1010" s="398">
        <v>36144</v>
      </c>
      <c r="E1010" s="397" t="s">
        <v>1054</v>
      </c>
      <c r="F1010" s="397" t="s">
        <v>1055</v>
      </c>
      <c r="G1010" s="397" t="s">
        <v>1049</v>
      </c>
      <c r="H1010" s="423">
        <v>3910</v>
      </c>
      <c r="I1010" s="397" t="s">
        <v>520</v>
      </c>
      <c r="J1010" s="400">
        <f t="shared" ca="1" si="15"/>
        <v>25</v>
      </c>
    </row>
    <row r="1011" spans="1:10" ht="15" x14ac:dyDescent="0.25">
      <c r="A1011" s="397">
        <v>10002200</v>
      </c>
      <c r="B1011" s="397">
        <v>8450510597</v>
      </c>
      <c r="C1011" s="397" t="s">
        <v>1717</v>
      </c>
      <c r="D1011" s="398">
        <v>33000</v>
      </c>
      <c r="E1011" s="397" t="s">
        <v>1164</v>
      </c>
      <c r="F1011" s="397" t="s">
        <v>1165</v>
      </c>
      <c r="G1011" s="397" t="s">
        <v>1049</v>
      </c>
      <c r="H1011" s="423">
        <v>3910</v>
      </c>
      <c r="I1011" s="397" t="s">
        <v>520</v>
      </c>
      <c r="J1011" s="400">
        <f t="shared" ca="1" si="15"/>
        <v>33</v>
      </c>
    </row>
    <row r="1012" spans="1:10" ht="15" x14ac:dyDescent="0.25">
      <c r="A1012" s="397">
        <v>10002201</v>
      </c>
      <c r="B1012" s="397">
        <v>8480502614</v>
      </c>
      <c r="C1012" s="397" t="s">
        <v>1916</v>
      </c>
      <c r="D1012" s="398">
        <v>35999</v>
      </c>
      <c r="E1012" s="397" t="s">
        <v>1126</v>
      </c>
      <c r="F1012" s="397" t="s">
        <v>1127</v>
      </c>
      <c r="G1012" s="397" t="s">
        <v>1049</v>
      </c>
      <c r="H1012" s="423">
        <v>3910</v>
      </c>
      <c r="I1012" s="397" t="s">
        <v>520</v>
      </c>
      <c r="J1012" s="400">
        <f t="shared" ca="1" si="15"/>
        <v>25</v>
      </c>
    </row>
    <row r="1013" spans="1:10" ht="15" x14ac:dyDescent="0.25">
      <c r="A1013" s="397">
        <v>10002202</v>
      </c>
      <c r="B1013" s="397">
        <v>8431133368</v>
      </c>
      <c r="C1013" s="397" t="s">
        <v>1917</v>
      </c>
      <c r="D1013" s="398">
        <v>31062</v>
      </c>
      <c r="E1013" s="397" t="s">
        <v>1184</v>
      </c>
      <c r="F1013" s="397" t="s">
        <v>1185</v>
      </c>
      <c r="G1013" s="397" t="s">
        <v>1014</v>
      </c>
      <c r="H1013" s="423">
        <v>2532</v>
      </c>
      <c r="I1013" s="397" t="s">
        <v>389</v>
      </c>
      <c r="J1013" s="400">
        <f t="shared" ca="1" si="15"/>
        <v>38</v>
      </c>
    </row>
    <row r="1014" spans="1:10" ht="15" x14ac:dyDescent="0.25">
      <c r="A1014" s="397">
        <v>10002203</v>
      </c>
      <c r="B1014" s="397">
        <v>8463030467</v>
      </c>
      <c r="C1014" s="397" t="s">
        <v>1918</v>
      </c>
      <c r="D1014" s="398">
        <v>34252</v>
      </c>
      <c r="E1014" s="397" t="s">
        <v>846</v>
      </c>
      <c r="F1014" s="397" t="s">
        <v>847</v>
      </c>
      <c r="G1014" s="397" t="s">
        <v>925</v>
      </c>
      <c r="H1014" s="423">
        <v>2410</v>
      </c>
      <c r="I1014" s="397" t="s">
        <v>366</v>
      </c>
      <c r="J1014" s="400">
        <f t="shared" ca="1" si="15"/>
        <v>30</v>
      </c>
    </row>
    <row r="1015" spans="1:10" ht="15" x14ac:dyDescent="0.25">
      <c r="A1015" s="397">
        <v>10002204</v>
      </c>
      <c r="B1015" s="397">
        <v>8419321990</v>
      </c>
      <c r="C1015" s="397" t="s">
        <v>1919</v>
      </c>
      <c r="D1015" s="398">
        <v>29881</v>
      </c>
      <c r="E1015" s="397" t="s">
        <v>1731</v>
      </c>
      <c r="F1015" s="397" t="s">
        <v>1732</v>
      </c>
      <c r="G1015" s="397" t="s">
        <v>891</v>
      </c>
      <c r="H1015" s="423">
        <v>2410</v>
      </c>
      <c r="I1015" s="397" t="s">
        <v>366</v>
      </c>
      <c r="J1015" s="400">
        <f t="shared" ca="1" si="15"/>
        <v>42</v>
      </c>
    </row>
    <row r="1016" spans="1:10" ht="15" x14ac:dyDescent="0.25">
      <c r="A1016" s="397">
        <v>10002205</v>
      </c>
      <c r="B1016" s="397">
        <v>8410762048</v>
      </c>
      <c r="C1016" s="397" t="s">
        <v>1920</v>
      </c>
      <c r="D1016" s="398">
        <v>29025</v>
      </c>
      <c r="E1016" s="397" t="s">
        <v>1525</v>
      </c>
      <c r="F1016" s="397" t="s">
        <v>1526</v>
      </c>
      <c r="G1016" s="397" t="s">
        <v>891</v>
      </c>
      <c r="H1016" s="423">
        <v>2410</v>
      </c>
      <c r="I1016" s="397" t="s">
        <v>366</v>
      </c>
      <c r="J1016" s="400">
        <f t="shared" ca="1" si="15"/>
        <v>44</v>
      </c>
    </row>
    <row r="1017" spans="1:10" ht="15" x14ac:dyDescent="0.25">
      <c r="A1017" s="397">
        <v>10002206</v>
      </c>
      <c r="B1017" s="397">
        <v>8421490664</v>
      </c>
      <c r="C1017" s="397" t="s">
        <v>202</v>
      </c>
      <c r="D1017" s="398">
        <v>30098</v>
      </c>
      <c r="E1017" s="397" t="s">
        <v>1025</v>
      </c>
      <c r="F1017" s="397" t="s">
        <v>1026</v>
      </c>
      <c r="G1017" s="397" t="s">
        <v>1049</v>
      </c>
      <c r="H1017" s="423">
        <v>3190</v>
      </c>
      <c r="I1017" s="397" t="s">
        <v>456</v>
      </c>
      <c r="J1017" s="400">
        <f t="shared" ca="1" si="15"/>
        <v>41</v>
      </c>
    </row>
    <row r="1018" spans="1:10" ht="15" x14ac:dyDescent="0.25">
      <c r="A1018" s="397">
        <v>10002207</v>
      </c>
      <c r="B1018" s="397">
        <v>8347313725</v>
      </c>
      <c r="C1018" s="397" t="s">
        <v>1921</v>
      </c>
      <c r="D1018" s="398">
        <v>22680</v>
      </c>
      <c r="E1018" s="397" t="s">
        <v>1522</v>
      </c>
      <c r="F1018" s="397" t="s">
        <v>1523</v>
      </c>
      <c r="G1018" s="397" t="s">
        <v>1548</v>
      </c>
      <c r="H1018" s="423">
        <v>9231</v>
      </c>
      <c r="I1018" s="397" t="s">
        <v>730</v>
      </c>
      <c r="J1018" s="400">
        <f t="shared" ca="1" si="15"/>
        <v>61</v>
      </c>
    </row>
    <row r="1019" spans="1:10" ht="15" x14ac:dyDescent="0.25">
      <c r="A1019" s="397">
        <v>10002209</v>
      </c>
      <c r="B1019" s="397">
        <v>8466444890</v>
      </c>
      <c r="C1019" s="397" t="s">
        <v>1922</v>
      </c>
      <c r="D1019" s="398">
        <v>34593</v>
      </c>
      <c r="E1019" s="397" t="s">
        <v>781</v>
      </c>
      <c r="F1019" s="397" t="s">
        <v>782</v>
      </c>
      <c r="G1019" s="397" t="s">
        <v>776</v>
      </c>
      <c r="H1019" s="423">
        <v>2410</v>
      </c>
      <c r="I1019" s="397" t="s">
        <v>366</v>
      </c>
      <c r="J1019" s="400">
        <f t="shared" ca="1" si="15"/>
        <v>29</v>
      </c>
    </row>
    <row r="1020" spans="1:10" ht="15" x14ac:dyDescent="0.25">
      <c r="A1020" s="397">
        <v>10002210</v>
      </c>
      <c r="B1020" s="397">
        <v>8358790708</v>
      </c>
      <c r="C1020" s="397" t="s">
        <v>1923</v>
      </c>
      <c r="D1020" s="398">
        <v>23828</v>
      </c>
      <c r="E1020" s="397" t="s">
        <v>1042</v>
      </c>
      <c r="F1020" s="397" t="s">
        <v>1043</v>
      </c>
      <c r="G1020" s="397" t="s">
        <v>1755</v>
      </c>
      <c r="H1020" s="423">
        <v>8323</v>
      </c>
      <c r="I1020" s="397" t="s">
        <v>698</v>
      </c>
      <c r="J1020" s="400">
        <f t="shared" ca="1" si="15"/>
        <v>58</v>
      </c>
    </row>
    <row r="1021" spans="1:10" ht="15" x14ac:dyDescent="0.25">
      <c r="A1021" s="397">
        <v>10002211</v>
      </c>
      <c r="B1021" s="397">
        <v>8351943711</v>
      </c>
      <c r="C1021" s="397" t="s">
        <v>1924</v>
      </c>
      <c r="D1021" s="398">
        <v>23143</v>
      </c>
      <c r="E1021" s="397" t="s">
        <v>1042</v>
      </c>
      <c r="F1021" s="397" t="s">
        <v>1043</v>
      </c>
      <c r="G1021" s="397" t="s">
        <v>1755</v>
      </c>
      <c r="H1021" s="423">
        <v>8323</v>
      </c>
      <c r="I1021" s="397" t="s">
        <v>698</v>
      </c>
      <c r="J1021" s="400">
        <f t="shared" ca="1" si="15"/>
        <v>60</v>
      </c>
    </row>
    <row r="1022" spans="1:10" ht="15" x14ac:dyDescent="0.25">
      <c r="A1022" s="397">
        <v>10002212</v>
      </c>
      <c r="B1022" s="397">
        <v>8343912519</v>
      </c>
      <c r="C1022" s="397" t="s">
        <v>1925</v>
      </c>
      <c r="D1022" s="398">
        <v>22340</v>
      </c>
      <c r="E1022" s="397" t="s">
        <v>840</v>
      </c>
      <c r="F1022" s="397" t="s">
        <v>841</v>
      </c>
      <c r="G1022" s="397" t="s">
        <v>985</v>
      </c>
      <c r="H1022" s="423">
        <v>2118</v>
      </c>
      <c r="I1022" s="397" t="s">
        <v>318</v>
      </c>
      <c r="J1022" s="400">
        <f t="shared" ca="1" si="15"/>
        <v>62</v>
      </c>
    </row>
    <row r="1023" spans="1:10" ht="15" x14ac:dyDescent="0.25">
      <c r="A1023" s="397">
        <v>10002213</v>
      </c>
      <c r="B1023" s="397">
        <v>8388883704</v>
      </c>
      <c r="C1023" s="397" t="s">
        <v>1926</v>
      </c>
      <c r="D1023" s="398">
        <v>26837</v>
      </c>
      <c r="E1023" s="397" t="s">
        <v>858</v>
      </c>
      <c r="F1023" s="397" t="s">
        <v>859</v>
      </c>
      <c r="G1023" s="397" t="s">
        <v>891</v>
      </c>
      <c r="H1023" s="423">
        <v>2410</v>
      </c>
      <c r="I1023" s="397" t="s">
        <v>366</v>
      </c>
      <c r="J1023" s="400">
        <f t="shared" ca="1" si="15"/>
        <v>50</v>
      </c>
    </row>
    <row r="1024" spans="1:10" ht="15" x14ac:dyDescent="0.25">
      <c r="A1024" s="397">
        <v>10002214</v>
      </c>
      <c r="B1024" s="397">
        <v>8400542681</v>
      </c>
      <c r="C1024" s="397" t="s">
        <v>1927</v>
      </c>
      <c r="D1024" s="398">
        <v>28003</v>
      </c>
      <c r="E1024" s="397" t="s">
        <v>1864</v>
      </c>
      <c r="F1024" s="397" t="s">
        <v>1865</v>
      </c>
      <c r="G1024" s="397" t="s">
        <v>1209</v>
      </c>
      <c r="H1024" s="423">
        <v>2910</v>
      </c>
      <c r="I1024" s="397" t="s">
        <v>422</v>
      </c>
      <c r="J1024" s="400">
        <f t="shared" ca="1" si="15"/>
        <v>47</v>
      </c>
    </row>
    <row r="1025" spans="1:10" ht="15" x14ac:dyDescent="0.25">
      <c r="A1025" s="397">
        <v>10002215</v>
      </c>
      <c r="B1025" s="397">
        <v>8458452669</v>
      </c>
      <c r="C1025" s="397" t="s">
        <v>1928</v>
      </c>
      <c r="D1025" s="398">
        <v>33794</v>
      </c>
      <c r="E1025" s="397" t="s">
        <v>774</v>
      </c>
      <c r="F1025" s="397" t="s">
        <v>775</v>
      </c>
      <c r="G1025" s="397" t="s">
        <v>831</v>
      </c>
      <c r="H1025" s="423">
        <v>2117</v>
      </c>
      <c r="I1025" s="397" t="s">
        <v>317</v>
      </c>
      <c r="J1025" s="400">
        <f t="shared" ca="1" si="15"/>
        <v>31</v>
      </c>
    </row>
    <row r="1026" spans="1:10" ht="15" x14ac:dyDescent="0.25">
      <c r="A1026" s="397">
        <v>10002216</v>
      </c>
      <c r="B1026" s="397">
        <v>8469850865</v>
      </c>
      <c r="C1026" s="397" t="s">
        <v>1929</v>
      </c>
      <c r="D1026" s="398">
        <v>34934</v>
      </c>
      <c r="E1026" s="397" t="s">
        <v>762</v>
      </c>
      <c r="F1026" s="397" t="s">
        <v>763</v>
      </c>
      <c r="G1026" s="397" t="s">
        <v>1049</v>
      </c>
      <c r="H1026" s="423">
        <v>3910</v>
      </c>
      <c r="I1026" s="397" t="s">
        <v>520</v>
      </c>
      <c r="J1026" s="400">
        <f t="shared" ca="1" si="15"/>
        <v>28</v>
      </c>
    </row>
    <row r="1027" spans="1:10" ht="15" x14ac:dyDescent="0.25">
      <c r="A1027" s="397">
        <v>10002217</v>
      </c>
      <c r="B1027" s="397">
        <v>8453471932</v>
      </c>
      <c r="C1027" s="397" t="s">
        <v>1930</v>
      </c>
      <c r="D1027" s="398">
        <v>33296</v>
      </c>
      <c r="E1027" s="397" t="s">
        <v>1042</v>
      </c>
      <c r="F1027" s="397" t="s">
        <v>1043</v>
      </c>
      <c r="G1027" s="397" t="s">
        <v>1209</v>
      </c>
      <c r="H1027" s="423">
        <v>3163</v>
      </c>
      <c r="I1027" s="397" t="s">
        <v>452</v>
      </c>
      <c r="J1027" s="400">
        <f t="shared" ref="J1027:J1090" ca="1" si="16">YEAR(TODAY())-YEAR(D1027)</f>
        <v>32</v>
      </c>
    </row>
    <row r="1028" spans="1:10" ht="15" x14ac:dyDescent="0.25">
      <c r="A1028" s="397">
        <v>10002218</v>
      </c>
      <c r="B1028" s="397">
        <v>8388224557</v>
      </c>
      <c r="C1028" s="397" t="s">
        <v>1726</v>
      </c>
      <c r="D1028" s="398">
        <v>26771</v>
      </c>
      <c r="E1028" s="397" t="s">
        <v>1107</v>
      </c>
      <c r="F1028" s="397" t="s">
        <v>1108</v>
      </c>
      <c r="G1028" s="397" t="s">
        <v>1209</v>
      </c>
      <c r="H1028" s="423">
        <v>2910</v>
      </c>
      <c r="I1028" s="397" t="s">
        <v>422</v>
      </c>
      <c r="J1028" s="400">
        <f t="shared" ca="1" si="16"/>
        <v>50</v>
      </c>
    </row>
    <row r="1029" spans="1:10" ht="15" x14ac:dyDescent="0.25">
      <c r="A1029" s="397">
        <v>10002219</v>
      </c>
      <c r="B1029" s="397">
        <v>8455371226</v>
      </c>
      <c r="C1029" s="397" t="s">
        <v>1931</v>
      </c>
      <c r="D1029" s="398">
        <v>33486</v>
      </c>
      <c r="E1029" s="397" t="s">
        <v>833</v>
      </c>
      <c r="F1029" s="397" t="s">
        <v>834</v>
      </c>
      <c r="G1029" s="397" t="s">
        <v>831</v>
      </c>
      <c r="H1029" s="423">
        <v>3614</v>
      </c>
      <c r="I1029" s="397" t="s">
        <v>489</v>
      </c>
      <c r="J1029" s="400">
        <f t="shared" ca="1" si="16"/>
        <v>32</v>
      </c>
    </row>
    <row r="1030" spans="1:10" ht="15" x14ac:dyDescent="0.25">
      <c r="A1030" s="397">
        <v>10002220</v>
      </c>
      <c r="B1030" s="397">
        <v>8461551931</v>
      </c>
      <c r="C1030" s="397" t="s">
        <v>1932</v>
      </c>
      <c r="D1030" s="398">
        <v>34104</v>
      </c>
      <c r="E1030" s="397" t="s">
        <v>1107</v>
      </c>
      <c r="F1030" s="397" t="s">
        <v>1108</v>
      </c>
      <c r="G1030" s="397" t="s">
        <v>1209</v>
      </c>
      <c r="H1030" s="423">
        <v>2910</v>
      </c>
      <c r="I1030" s="397" t="s">
        <v>422</v>
      </c>
      <c r="J1030" s="400">
        <f t="shared" ca="1" si="16"/>
        <v>30</v>
      </c>
    </row>
    <row r="1031" spans="1:10" ht="15" x14ac:dyDescent="0.25">
      <c r="A1031" s="397">
        <v>10002221</v>
      </c>
      <c r="B1031" s="397">
        <v>8442950087</v>
      </c>
      <c r="C1031" s="397" t="s">
        <v>1933</v>
      </c>
      <c r="D1031" s="398">
        <v>32244</v>
      </c>
      <c r="E1031" s="397" t="s">
        <v>1279</v>
      </c>
      <c r="F1031" s="397" t="s">
        <v>1280</v>
      </c>
      <c r="G1031" s="397" t="s">
        <v>1209</v>
      </c>
      <c r="H1031" s="423">
        <v>2910</v>
      </c>
      <c r="I1031" s="397" t="s">
        <v>422</v>
      </c>
      <c r="J1031" s="400">
        <f t="shared" ca="1" si="16"/>
        <v>35</v>
      </c>
    </row>
    <row r="1032" spans="1:10" ht="15" x14ac:dyDescent="0.25">
      <c r="A1032" s="397">
        <v>10002222</v>
      </c>
      <c r="B1032" s="397">
        <v>8486551374</v>
      </c>
      <c r="C1032" s="397" t="s">
        <v>1743</v>
      </c>
      <c r="D1032" s="398">
        <v>36604</v>
      </c>
      <c r="E1032" s="397" t="s">
        <v>918</v>
      </c>
      <c r="F1032" s="397" t="s">
        <v>919</v>
      </c>
      <c r="G1032" s="397" t="s">
        <v>1049</v>
      </c>
      <c r="H1032" s="423">
        <v>3190</v>
      </c>
      <c r="I1032" s="397" t="s">
        <v>456</v>
      </c>
      <c r="J1032" s="400">
        <f t="shared" ca="1" si="16"/>
        <v>23</v>
      </c>
    </row>
    <row r="1033" spans="1:10" ht="15" x14ac:dyDescent="0.25">
      <c r="A1033" s="397">
        <v>10002223</v>
      </c>
      <c r="B1033" s="397">
        <v>8495413558</v>
      </c>
      <c r="C1033" s="397" t="s">
        <v>1934</v>
      </c>
      <c r="D1033" s="398">
        <v>37490</v>
      </c>
      <c r="E1033" s="397" t="s">
        <v>1279</v>
      </c>
      <c r="F1033" s="397" t="s">
        <v>1280</v>
      </c>
      <c r="G1033" s="397" t="s">
        <v>1049</v>
      </c>
      <c r="H1033" s="423">
        <v>3910</v>
      </c>
      <c r="I1033" s="397" t="s">
        <v>520</v>
      </c>
      <c r="J1033" s="400">
        <f t="shared" ca="1" si="16"/>
        <v>21</v>
      </c>
    </row>
    <row r="1034" spans="1:10" ht="15" x14ac:dyDescent="0.25">
      <c r="A1034" s="397">
        <v>10002224</v>
      </c>
      <c r="B1034" s="397">
        <v>8447040690</v>
      </c>
      <c r="C1034" s="397" t="s">
        <v>1935</v>
      </c>
      <c r="D1034" s="398">
        <v>32653</v>
      </c>
      <c r="E1034" s="397" t="s">
        <v>1051</v>
      </c>
      <c r="F1034" s="397" t="s">
        <v>1052</v>
      </c>
      <c r="G1034" s="397" t="s">
        <v>1014</v>
      </c>
      <c r="H1034" s="423">
        <v>4134</v>
      </c>
      <c r="I1034" s="397" t="s">
        <v>534</v>
      </c>
      <c r="J1034" s="400">
        <f t="shared" ca="1" si="16"/>
        <v>34</v>
      </c>
    </row>
    <row r="1035" spans="1:10" ht="15" x14ac:dyDescent="0.25">
      <c r="A1035" s="397">
        <v>10002225</v>
      </c>
      <c r="B1035" s="397">
        <v>8469944800</v>
      </c>
      <c r="C1035" s="397" t="s">
        <v>1936</v>
      </c>
      <c r="D1035" s="398">
        <v>34943</v>
      </c>
      <c r="E1035" s="397" t="s">
        <v>774</v>
      </c>
      <c r="F1035" s="397" t="s">
        <v>775</v>
      </c>
      <c r="G1035" s="397" t="s">
        <v>985</v>
      </c>
      <c r="H1035" s="423">
        <v>2161</v>
      </c>
      <c r="I1035" s="397" t="s">
        <v>339</v>
      </c>
      <c r="J1035" s="400">
        <f t="shared" ca="1" si="16"/>
        <v>28</v>
      </c>
    </row>
    <row r="1036" spans="1:10" ht="15" x14ac:dyDescent="0.25">
      <c r="A1036" s="397">
        <v>10002226</v>
      </c>
      <c r="B1036" s="397">
        <v>8479381701</v>
      </c>
      <c r="C1036" s="397" t="s">
        <v>1937</v>
      </c>
      <c r="D1036" s="398">
        <v>35887</v>
      </c>
      <c r="E1036" s="397" t="s">
        <v>1149</v>
      </c>
      <c r="F1036" s="397" t="s">
        <v>1150</v>
      </c>
      <c r="G1036" s="397" t="s">
        <v>1049</v>
      </c>
      <c r="H1036" s="423">
        <v>3910</v>
      </c>
      <c r="I1036" s="397" t="s">
        <v>520</v>
      </c>
      <c r="J1036" s="400">
        <f t="shared" ca="1" si="16"/>
        <v>25</v>
      </c>
    </row>
    <row r="1037" spans="1:10" ht="15" x14ac:dyDescent="0.25">
      <c r="A1037" s="397">
        <v>10002227</v>
      </c>
      <c r="B1037" s="397">
        <v>8413776155</v>
      </c>
      <c r="C1037" s="397" t="s">
        <v>1938</v>
      </c>
      <c r="D1037" s="398">
        <v>29326</v>
      </c>
      <c r="E1037" s="397" t="s">
        <v>849</v>
      </c>
      <c r="F1037" s="397" t="s">
        <v>850</v>
      </c>
      <c r="G1037" s="397" t="s">
        <v>985</v>
      </c>
      <c r="H1037" s="423">
        <v>2169</v>
      </c>
      <c r="I1037" s="397" t="s">
        <v>346</v>
      </c>
      <c r="J1037" s="400">
        <f t="shared" ca="1" si="16"/>
        <v>43</v>
      </c>
    </row>
    <row r="1038" spans="1:10" ht="15" x14ac:dyDescent="0.25">
      <c r="A1038" s="397">
        <v>10002228</v>
      </c>
      <c r="B1038" s="397">
        <v>8406323299</v>
      </c>
      <c r="C1038" s="397" t="s">
        <v>1939</v>
      </c>
      <c r="D1038" s="398">
        <v>28581</v>
      </c>
      <c r="E1038" s="397" t="s">
        <v>762</v>
      </c>
      <c r="F1038" s="397" t="s">
        <v>763</v>
      </c>
      <c r="G1038" s="397" t="s">
        <v>985</v>
      </c>
      <c r="H1038" s="423">
        <v>2139</v>
      </c>
      <c r="I1038" s="397" t="s">
        <v>329</v>
      </c>
      <c r="J1038" s="400">
        <f t="shared" ca="1" si="16"/>
        <v>45</v>
      </c>
    </row>
    <row r="1039" spans="1:10" ht="15" x14ac:dyDescent="0.25">
      <c r="A1039" s="397">
        <v>10002229</v>
      </c>
      <c r="B1039" s="397">
        <v>8313412607</v>
      </c>
      <c r="C1039" s="397" t="s">
        <v>989</v>
      </c>
      <c r="D1039" s="398">
        <v>19290</v>
      </c>
      <c r="E1039" s="397" t="s">
        <v>778</v>
      </c>
      <c r="F1039" s="397" t="s">
        <v>779</v>
      </c>
      <c r="G1039" s="397" t="s">
        <v>1014</v>
      </c>
      <c r="H1039" s="423">
        <v>2624</v>
      </c>
      <c r="I1039" s="397" t="s">
        <v>401</v>
      </c>
      <c r="J1039" s="400">
        <f t="shared" ca="1" si="16"/>
        <v>71</v>
      </c>
    </row>
    <row r="1040" spans="1:10" ht="15" x14ac:dyDescent="0.25">
      <c r="A1040" s="397">
        <v>10002230</v>
      </c>
      <c r="B1040" s="397">
        <v>8408982311</v>
      </c>
      <c r="C1040" s="397" t="s">
        <v>1940</v>
      </c>
      <c r="D1040" s="398">
        <v>28847</v>
      </c>
      <c r="E1040" s="397" t="s">
        <v>762</v>
      </c>
      <c r="F1040" s="397" t="s">
        <v>763</v>
      </c>
      <c r="G1040" s="397" t="s">
        <v>831</v>
      </c>
      <c r="H1040" s="423">
        <v>2139</v>
      </c>
      <c r="I1040" s="397" t="s">
        <v>329</v>
      </c>
      <c r="J1040" s="400">
        <f t="shared" ca="1" si="16"/>
        <v>45</v>
      </c>
    </row>
    <row r="1041" spans="1:10" ht="15" x14ac:dyDescent="0.25">
      <c r="A1041" s="397">
        <v>10002231</v>
      </c>
      <c r="B1041" s="397">
        <v>8431623594</v>
      </c>
      <c r="C1041" s="397" t="s">
        <v>1941</v>
      </c>
      <c r="D1041" s="398">
        <v>31111</v>
      </c>
      <c r="E1041" s="397" t="s">
        <v>1025</v>
      </c>
      <c r="F1041" s="397" t="s">
        <v>1026</v>
      </c>
      <c r="G1041" s="397" t="s">
        <v>1049</v>
      </c>
      <c r="H1041" s="423">
        <v>2910</v>
      </c>
      <c r="I1041" s="397" t="s">
        <v>422</v>
      </c>
      <c r="J1041" s="400">
        <f t="shared" ca="1" si="16"/>
        <v>38</v>
      </c>
    </row>
    <row r="1042" spans="1:10" ht="15" x14ac:dyDescent="0.25">
      <c r="A1042" s="397">
        <v>10002232</v>
      </c>
      <c r="B1042" s="397">
        <v>8364962566</v>
      </c>
      <c r="C1042" s="397" t="s">
        <v>1942</v>
      </c>
      <c r="D1042" s="398">
        <v>24445</v>
      </c>
      <c r="E1042" s="397" t="s">
        <v>868</v>
      </c>
      <c r="F1042" s="397" t="s">
        <v>869</v>
      </c>
      <c r="G1042" s="397" t="s">
        <v>902</v>
      </c>
      <c r="H1042" s="423">
        <v>2117</v>
      </c>
      <c r="I1042" s="397" t="s">
        <v>317</v>
      </c>
      <c r="J1042" s="400">
        <f t="shared" ca="1" si="16"/>
        <v>57</v>
      </c>
    </row>
    <row r="1043" spans="1:10" ht="15" x14ac:dyDescent="0.25">
      <c r="A1043" s="397">
        <v>10002233</v>
      </c>
      <c r="B1043" s="397">
        <v>8447262901</v>
      </c>
      <c r="C1043" s="397" t="s">
        <v>1527</v>
      </c>
      <c r="D1043" s="398">
        <v>32675</v>
      </c>
      <c r="E1043" s="397" t="s">
        <v>1501</v>
      </c>
      <c r="F1043" s="397" t="s">
        <v>1502</v>
      </c>
      <c r="G1043" s="397" t="s">
        <v>1049</v>
      </c>
      <c r="H1043" s="423">
        <v>3632</v>
      </c>
      <c r="I1043" s="397" t="s">
        <v>497</v>
      </c>
      <c r="J1043" s="400">
        <f t="shared" ca="1" si="16"/>
        <v>34</v>
      </c>
    </row>
    <row r="1044" spans="1:10" ht="15" x14ac:dyDescent="0.25">
      <c r="A1044" s="397">
        <v>10002234</v>
      </c>
      <c r="B1044" s="397">
        <v>8425542162</v>
      </c>
      <c r="C1044" s="397" t="s">
        <v>1943</v>
      </c>
      <c r="D1044" s="398">
        <v>30503</v>
      </c>
      <c r="E1044" s="397" t="s">
        <v>1051</v>
      </c>
      <c r="F1044" s="397" t="s">
        <v>1052</v>
      </c>
      <c r="G1044" s="397" t="s">
        <v>1049</v>
      </c>
      <c r="H1044" s="423">
        <v>4134</v>
      </c>
      <c r="I1044" s="397" t="s">
        <v>534</v>
      </c>
      <c r="J1044" s="400">
        <f t="shared" ca="1" si="16"/>
        <v>40</v>
      </c>
    </row>
    <row r="1045" spans="1:10" ht="15" x14ac:dyDescent="0.25">
      <c r="A1045" s="397">
        <v>10002235</v>
      </c>
      <c r="B1045" s="397">
        <v>8405792082</v>
      </c>
      <c r="C1045" s="397" t="s">
        <v>1944</v>
      </c>
      <c r="D1045" s="398">
        <v>28528</v>
      </c>
      <c r="E1045" s="397" t="s">
        <v>1096</v>
      </c>
      <c r="F1045" s="397" t="s">
        <v>1097</v>
      </c>
      <c r="G1045" s="397" t="s">
        <v>1014</v>
      </c>
      <c r="H1045" s="423">
        <v>2142</v>
      </c>
      <c r="I1045" s="397" t="s">
        <v>331</v>
      </c>
      <c r="J1045" s="400">
        <f t="shared" ca="1" si="16"/>
        <v>45</v>
      </c>
    </row>
    <row r="1046" spans="1:10" ht="15" x14ac:dyDescent="0.25">
      <c r="A1046" s="397">
        <v>10002236</v>
      </c>
      <c r="B1046" s="397">
        <v>8451130208</v>
      </c>
      <c r="C1046" s="397" t="s">
        <v>1945</v>
      </c>
      <c r="D1046" s="398">
        <v>33062</v>
      </c>
      <c r="E1046" s="397" t="s">
        <v>868</v>
      </c>
      <c r="F1046" s="397" t="s">
        <v>869</v>
      </c>
      <c r="G1046" s="397" t="s">
        <v>1209</v>
      </c>
      <c r="H1046" s="423">
        <v>2624</v>
      </c>
      <c r="I1046" s="397" t="s">
        <v>401</v>
      </c>
      <c r="J1046" s="400">
        <f t="shared" ca="1" si="16"/>
        <v>33</v>
      </c>
    </row>
    <row r="1047" spans="1:10" ht="15" x14ac:dyDescent="0.25">
      <c r="A1047" s="397">
        <v>10002237</v>
      </c>
      <c r="B1047" s="397">
        <v>8388331809</v>
      </c>
      <c r="C1047" s="397" t="s">
        <v>1946</v>
      </c>
      <c r="D1047" s="398">
        <v>26782</v>
      </c>
      <c r="E1047" s="397" t="s">
        <v>1054</v>
      </c>
      <c r="F1047" s="397" t="s">
        <v>1055</v>
      </c>
      <c r="G1047" s="397" t="s">
        <v>1049</v>
      </c>
      <c r="H1047" s="423">
        <v>2910</v>
      </c>
      <c r="I1047" s="397" t="s">
        <v>422</v>
      </c>
      <c r="J1047" s="400">
        <f t="shared" ca="1" si="16"/>
        <v>50</v>
      </c>
    </row>
    <row r="1048" spans="1:10" ht="15" x14ac:dyDescent="0.25">
      <c r="A1048" s="397">
        <v>10002238</v>
      </c>
      <c r="B1048" s="397">
        <v>8435411451</v>
      </c>
      <c r="C1048" s="397" t="s">
        <v>1236</v>
      </c>
      <c r="D1048" s="398">
        <v>31490</v>
      </c>
      <c r="E1048" s="397" t="s">
        <v>774</v>
      </c>
      <c r="F1048" s="397" t="s">
        <v>775</v>
      </c>
      <c r="G1048" s="397" t="s">
        <v>985</v>
      </c>
      <c r="H1048" s="423">
        <v>2139</v>
      </c>
      <c r="I1048" s="397" t="s">
        <v>329</v>
      </c>
      <c r="J1048" s="400">
        <f t="shared" ca="1" si="16"/>
        <v>37</v>
      </c>
    </row>
    <row r="1049" spans="1:10" ht="15" x14ac:dyDescent="0.25">
      <c r="A1049" s="397">
        <v>10002239</v>
      </c>
      <c r="B1049" s="397">
        <v>8406213698</v>
      </c>
      <c r="C1049" s="397" t="s">
        <v>1947</v>
      </c>
      <c r="D1049" s="398">
        <v>28570</v>
      </c>
      <c r="E1049" s="397" t="s">
        <v>762</v>
      </c>
      <c r="F1049" s="397" t="s">
        <v>763</v>
      </c>
      <c r="G1049" s="397" t="s">
        <v>985</v>
      </c>
      <c r="H1049" s="423">
        <v>2139</v>
      </c>
      <c r="I1049" s="397" t="s">
        <v>329</v>
      </c>
      <c r="J1049" s="400">
        <f t="shared" ca="1" si="16"/>
        <v>45</v>
      </c>
    </row>
    <row r="1050" spans="1:10" ht="15" x14ac:dyDescent="0.25">
      <c r="A1050" s="397">
        <v>10002240</v>
      </c>
      <c r="B1050" s="397">
        <v>8445211609</v>
      </c>
      <c r="C1050" s="397" t="s">
        <v>1948</v>
      </c>
      <c r="D1050" s="398">
        <v>32470</v>
      </c>
      <c r="E1050" s="397" t="s">
        <v>1096</v>
      </c>
      <c r="F1050" s="397" t="s">
        <v>1097</v>
      </c>
      <c r="G1050" s="397" t="s">
        <v>1049</v>
      </c>
      <c r="H1050" s="423">
        <v>2142</v>
      </c>
      <c r="I1050" s="397" t="s">
        <v>331</v>
      </c>
      <c r="J1050" s="400">
        <f t="shared" ca="1" si="16"/>
        <v>35</v>
      </c>
    </row>
    <row r="1051" spans="1:10" ht="15" x14ac:dyDescent="0.25">
      <c r="A1051" s="397">
        <v>10002241</v>
      </c>
      <c r="B1051" s="397">
        <v>8451551351</v>
      </c>
      <c r="C1051" s="397" t="s">
        <v>1949</v>
      </c>
      <c r="D1051" s="398">
        <v>33104</v>
      </c>
      <c r="E1051" s="397" t="s">
        <v>1042</v>
      </c>
      <c r="F1051" s="397" t="s">
        <v>1043</v>
      </c>
      <c r="G1051" s="397" t="s">
        <v>1049</v>
      </c>
      <c r="H1051" s="423">
        <v>3910</v>
      </c>
      <c r="I1051" s="397" t="s">
        <v>520</v>
      </c>
      <c r="J1051" s="400">
        <f t="shared" ca="1" si="16"/>
        <v>33</v>
      </c>
    </row>
    <row r="1052" spans="1:10" ht="15" x14ac:dyDescent="0.25">
      <c r="A1052" s="397">
        <v>10002242</v>
      </c>
      <c r="B1052" s="397">
        <v>8460091325</v>
      </c>
      <c r="C1052" s="397" t="s">
        <v>1950</v>
      </c>
      <c r="D1052" s="398">
        <v>33958</v>
      </c>
      <c r="E1052" s="397" t="s">
        <v>868</v>
      </c>
      <c r="F1052" s="397" t="s">
        <v>869</v>
      </c>
      <c r="G1052" s="397" t="s">
        <v>1209</v>
      </c>
      <c r="H1052" s="423">
        <v>2910</v>
      </c>
      <c r="I1052" s="397" t="s">
        <v>422</v>
      </c>
      <c r="J1052" s="400">
        <f t="shared" ca="1" si="16"/>
        <v>31</v>
      </c>
    </row>
    <row r="1053" spans="1:10" ht="15" x14ac:dyDescent="0.25">
      <c r="A1053" s="397">
        <v>10002243</v>
      </c>
      <c r="B1053" s="397">
        <v>8439082371</v>
      </c>
      <c r="C1053" s="397" t="s">
        <v>1951</v>
      </c>
      <c r="D1053" s="398">
        <v>31857</v>
      </c>
      <c r="E1053" s="397" t="s">
        <v>1051</v>
      </c>
      <c r="F1053" s="397" t="s">
        <v>1052</v>
      </c>
      <c r="G1053" s="397" t="s">
        <v>1049</v>
      </c>
      <c r="H1053" s="423">
        <v>4134</v>
      </c>
      <c r="I1053" s="397" t="s">
        <v>534</v>
      </c>
      <c r="J1053" s="400">
        <f t="shared" ca="1" si="16"/>
        <v>36</v>
      </c>
    </row>
    <row r="1054" spans="1:10" ht="15" x14ac:dyDescent="0.25">
      <c r="A1054" s="397">
        <v>10002244</v>
      </c>
      <c r="B1054" s="397">
        <v>8333262074</v>
      </c>
      <c r="C1054" s="397" t="s">
        <v>1952</v>
      </c>
      <c r="D1054" s="398">
        <v>21275</v>
      </c>
      <c r="E1054" s="397" t="s">
        <v>1025</v>
      </c>
      <c r="F1054" s="397" t="s">
        <v>1026</v>
      </c>
      <c r="G1054" s="397" t="s">
        <v>1548</v>
      </c>
      <c r="H1054" s="423">
        <v>9231</v>
      </c>
      <c r="I1054" s="397" t="s">
        <v>730</v>
      </c>
      <c r="J1054" s="400">
        <f t="shared" ca="1" si="16"/>
        <v>65</v>
      </c>
    </row>
    <row r="1055" spans="1:10" ht="15" x14ac:dyDescent="0.25">
      <c r="A1055" s="397">
        <v>10002245</v>
      </c>
      <c r="B1055" s="397">
        <v>8356670969</v>
      </c>
      <c r="C1055" s="397" t="s">
        <v>1953</v>
      </c>
      <c r="D1055" s="398">
        <v>23616</v>
      </c>
      <c r="E1055" s="397" t="s">
        <v>1025</v>
      </c>
      <c r="F1055" s="397" t="s">
        <v>1026</v>
      </c>
      <c r="G1055" s="397" t="s">
        <v>1548</v>
      </c>
      <c r="H1055" s="423">
        <v>9231</v>
      </c>
      <c r="I1055" s="397" t="s">
        <v>730</v>
      </c>
      <c r="J1055" s="400">
        <f t="shared" ca="1" si="16"/>
        <v>59</v>
      </c>
    </row>
    <row r="1056" spans="1:10" ht="15" x14ac:dyDescent="0.25">
      <c r="A1056" s="397">
        <v>10002246</v>
      </c>
      <c r="B1056" s="397">
        <v>8444571741</v>
      </c>
      <c r="C1056" s="397" t="s">
        <v>1954</v>
      </c>
      <c r="D1056" s="398">
        <v>32406</v>
      </c>
      <c r="E1056" s="397" t="s">
        <v>840</v>
      </c>
      <c r="F1056" s="397" t="s">
        <v>841</v>
      </c>
      <c r="G1056" s="397" t="s">
        <v>985</v>
      </c>
      <c r="H1056" s="423">
        <v>2118</v>
      </c>
      <c r="I1056" s="397" t="s">
        <v>318</v>
      </c>
      <c r="J1056" s="400">
        <f t="shared" ca="1" si="16"/>
        <v>35</v>
      </c>
    </row>
    <row r="1057" spans="1:10" ht="15" x14ac:dyDescent="0.25">
      <c r="A1057" s="397">
        <v>10002247</v>
      </c>
      <c r="B1057" s="397">
        <v>8366013340</v>
      </c>
      <c r="C1057" s="397" t="s">
        <v>1955</v>
      </c>
      <c r="D1057" s="398">
        <v>24550</v>
      </c>
      <c r="E1057" s="397" t="s">
        <v>1025</v>
      </c>
      <c r="F1057" s="397" t="s">
        <v>1026</v>
      </c>
      <c r="G1057" s="397" t="s">
        <v>1014</v>
      </c>
      <c r="H1057" s="423">
        <v>2910</v>
      </c>
      <c r="I1057" s="397" t="s">
        <v>422</v>
      </c>
      <c r="J1057" s="400">
        <f t="shared" ca="1" si="16"/>
        <v>56</v>
      </c>
    </row>
    <row r="1058" spans="1:10" ht="15" x14ac:dyDescent="0.25">
      <c r="A1058" s="397">
        <v>10002248</v>
      </c>
      <c r="B1058" s="397">
        <v>8349701293</v>
      </c>
      <c r="C1058" s="397" t="s">
        <v>1956</v>
      </c>
      <c r="D1058" s="398">
        <v>22919</v>
      </c>
      <c r="E1058" s="397" t="s">
        <v>1025</v>
      </c>
      <c r="F1058" s="397" t="s">
        <v>1026</v>
      </c>
      <c r="G1058" s="397" t="s">
        <v>1957</v>
      </c>
      <c r="H1058" s="423">
        <v>9112</v>
      </c>
      <c r="I1058" s="397" t="s">
        <v>719</v>
      </c>
      <c r="J1058" s="400">
        <f t="shared" ca="1" si="16"/>
        <v>61</v>
      </c>
    </row>
    <row r="1059" spans="1:10" ht="15" x14ac:dyDescent="0.25">
      <c r="A1059" s="397">
        <v>10002249</v>
      </c>
      <c r="B1059" s="397">
        <v>8354300404</v>
      </c>
      <c r="C1059" s="397" t="s">
        <v>1958</v>
      </c>
      <c r="D1059" s="398">
        <v>23379</v>
      </c>
      <c r="E1059" s="397" t="s">
        <v>1025</v>
      </c>
      <c r="F1059" s="397" t="s">
        <v>1026</v>
      </c>
      <c r="G1059" s="397" t="s">
        <v>1959</v>
      </c>
      <c r="H1059" s="423">
        <v>9231</v>
      </c>
      <c r="I1059" s="397" t="s">
        <v>730</v>
      </c>
      <c r="J1059" s="400">
        <f t="shared" ca="1" si="16"/>
        <v>59</v>
      </c>
    </row>
    <row r="1060" spans="1:10" ht="15" x14ac:dyDescent="0.25">
      <c r="A1060" s="397">
        <v>10002250</v>
      </c>
      <c r="B1060" s="397">
        <v>8367573021</v>
      </c>
      <c r="C1060" s="397" t="s">
        <v>1960</v>
      </c>
      <c r="D1060" s="398">
        <v>24706</v>
      </c>
      <c r="E1060" s="397" t="s">
        <v>1025</v>
      </c>
      <c r="F1060" s="397" t="s">
        <v>1026</v>
      </c>
      <c r="G1060" s="397" t="s">
        <v>1957</v>
      </c>
      <c r="H1060" s="423">
        <v>9119</v>
      </c>
      <c r="I1060" s="397" t="s">
        <v>723</v>
      </c>
      <c r="J1060" s="400">
        <f t="shared" ca="1" si="16"/>
        <v>56</v>
      </c>
    </row>
    <row r="1061" spans="1:10" ht="15" x14ac:dyDescent="0.25">
      <c r="A1061" s="397">
        <v>10002251</v>
      </c>
      <c r="B1061" s="397">
        <v>8413193028</v>
      </c>
      <c r="C1061" s="397" t="s">
        <v>1961</v>
      </c>
      <c r="D1061" s="398">
        <v>29268</v>
      </c>
      <c r="E1061" s="397" t="s">
        <v>1025</v>
      </c>
      <c r="F1061" s="397" t="s">
        <v>1026</v>
      </c>
      <c r="G1061" s="397" t="s">
        <v>1957</v>
      </c>
      <c r="H1061" s="423">
        <v>9112</v>
      </c>
      <c r="I1061" s="397" t="s">
        <v>719</v>
      </c>
      <c r="J1061" s="400">
        <f t="shared" ca="1" si="16"/>
        <v>43</v>
      </c>
    </row>
    <row r="1062" spans="1:10" ht="15" x14ac:dyDescent="0.25">
      <c r="A1062" s="397">
        <v>10002252</v>
      </c>
      <c r="B1062" s="397">
        <v>8338663301</v>
      </c>
      <c r="C1062" s="397" t="s">
        <v>1962</v>
      </c>
      <c r="D1062" s="398">
        <v>21815</v>
      </c>
      <c r="E1062" s="397" t="s">
        <v>1025</v>
      </c>
      <c r="F1062" s="397" t="s">
        <v>1026</v>
      </c>
      <c r="G1062" s="397" t="s">
        <v>1963</v>
      </c>
      <c r="H1062" s="423">
        <v>9231</v>
      </c>
      <c r="I1062" s="397" t="s">
        <v>730</v>
      </c>
      <c r="J1062" s="400">
        <f t="shared" ca="1" si="16"/>
        <v>64</v>
      </c>
    </row>
    <row r="1063" spans="1:10" ht="15" x14ac:dyDescent="0.25">
      <c r="A1063" s="397">
        <v>10002253</v>
      </c>
      <c r="B1063" s="397">
        <v>8411140164</v>
      </c>
      <c r="C1063" s="397" t="s">
        <v>1964</v>
      </c>
      <c r="D1063" s="398">
        <v>29063</v>
      </c>
      <c r="E1063" s="397" t="s">
        <v>1064</v>
      </c>
      <c r="F1063" s="397" t="s">
        <v>1065</v>
      </c>
      <c r="G1063" s="397" t="s">
        <v>1119</v>
      </c>
      <c r="H1063" s="423">
        <v>2711</v>
      </c>
      <c r="I1063" s="397" t="s">
        <v>407</v>
      </c>
      <c r="J1063" s="400">
        <f t="shared" ca="1" si="16"/>
        <v>44</v>
      </c>
    </row>
    <row r="1064" spans="1:10" ht="15" x14ac:dyDescent="0.25">
      <c r="A1064" s="397">
        <v>10002254</v>
      </c>
      <c r="B1064" s="397">
        <v>8374272325</v>
      </c>
      <c r="C1064" s="397" t="s">
        <v>1965</v>
      </c>
      <c r="D1064" s="398">
        <v>25376</v>
      </c>
      <c r="E1064" s="397" t="s">
        <v>833</v>
      </c>
      <c r="F1064" s="397" t="s">
        <v>834</v>
      </c>
      <c r="G1064" s="397" t="s">
        <v>764</v>
      </c>
      <c r="H1064" s="423">
        <v>2410</v>
      </c>
      <c r="I1064" s="397" t="s">
        <v>366</v>
      </c>
      <c r="J1064" s="400">
        <f t="shared" ca="1" si="16"/>
        <v>54</v>
      </c>
    </row>
    <row r="1065" spans="1:10" ht="15" x14ac:dyDescent="0.25">
      <c r="A1065" s="397">
        <v>10002255</v>
      </c>
      <c r="B1065" s="397">
        <v>8451923488</v>
      </c>
      <c r="C1065" s="397" t="s">
        <v>1492</v>
      </c>
      <c r="D1065" s="398">
        <v>33141</v>
      </c>
      <c r="E1065" s="397" t="s">
        <v>771</v>
      </c>
      <c r="F1065" s="397" t="s">
        <v>772</v>
      </c>
      <c r="G1065" s="397" t="s">
        <v>902</v>
      </c>
      <c r="H1065" s="423">
        <v>2624</v>
      </c>
      <c r="I1065" s="397" t="s">
        <v>401</v>
      </c>
      <c r="J1065" s="400">
        <f t="shared" ca="1" si="16"/>
        <v>33</v>
      </c>
    </row>
    <row r="1066" spans="1:10" ht="15" x14ac:dyDescent="0.25">
      <c r="A1066" s="397">
        <v>40001503</v>
      </c>
      <c r="B1066" s="397">
        <v>8429284885</v>
      </c>
      <c r="C1066" s="397" t="s">
        <v>1966</v>
      </c>
      <c r="D1066" s="398">
        <v>30877</v>
      </c>
      <c r="E1066" s="397" t="s">
        <v>762</v>
      </c>
      <c r="F1066" s="397" t="s">
        <v>763</v>
      </c>
      <c r="G1066" s="397" t="s">
        <v>1967</v>
      </c>
      <c r="H1066" s="423">
        <v>3139</v>
      </c>
      <c r="I1066" s="397" t="s">
        <v>438</v>
      </c>
      <c r="J1066" s="400">
        <f t="shared" ca="1" si="16"/>
        <v>39</v>
      </c>
    </row>
    <row r="1067" spans="1:10" ht="15" x14ac:dyDescent="0.25">
      <c r="A1067" s="397">
        <v>40001504</v>
      </c>
      <c r="B1067" s="397">
        <v>8415165196</v>
      </c>
      <c r="C1067" s="397" t="s">
        <v>1968</v>
      </c>
      <c r="D1067" s="398">
        <v>29465</v>
      </c>
      <c r="E1067" s="397" t="s">
        <v>762</v>
      </c>
      <c r="F1067" s="397" t="s">
        <v>763</v>
      </c>
      <c r="G1067" s="397" t="s">
        <v>1967</v>
      </c>
      <c r="H1067" s="423">
        <v>3139</v>
      </c>
      <c r="I1067" s="397" t="s">
        <v>438</v>
      </c>
      <c r="J1067" s="400">
        <f t="shared" ca="1" si="16"/>
        <v>43</v>
      </c>
    </row>
    <row r="1068" spans="1:10" ht="15" x14ac:dyDescent="0.25">
      <c r="A1068" s="397">
        <v>40001840</v>
      </c>
      <c r="B1068" s="397">
        <v>8469203630</v>
      </c>
      <c r="C1068" s="397" t="s">
        <v>1969</v>
      </c>
      <c r="D1068" s="398">
        <v>34869</v>
      </c>
      <c r="E1068" s="397" t="s">
        <v>795</v>
      </c>
      <c r="F1068" s="397" t="s">
        <v>796</v>
      </c>
      <c r="G1068" s="397" t="s">
        <v>1967</v>
      </c>
      <c r="H1068" s="423">
        <v>3910</v>
      </c>
      <c r="I1068" s="397" t="s">
        <v>520</v>
      </c>
      <c r="J1068" s="400">
        <f t="shared" ca="1" si="16"/>
        <v>28</v>
      </c>
    </row>
    <row r="1069" spans="1:10" ht="15" x14ac:dyDescent="0.25">
      <c r="A1069" s="397">
        <v>40001841</v>
      </c>
      <c r="B1069" s="397">
        <v>8468190098</v>
      </c>
      <c r="C1069" s="397" t="s">
        <v>1804</v>
      </c>
      <c r="D1069" s="398">
        <v>34768</v>
      </c>
      <c r="E1069" s="397" t="s">
        <v>1279</v>
      </c>
      <c r="F1069" s="397" t="s">
        <v>1280</v>
      </c>
      <c r="G1069" s="397" t="s">
        <v>1967</v>
      </c>
      <c r="H1069" s="423">
        <v>3910</v>
      </c>
      <c r="I1069" s="397" t="s">
        <v>520</v>
      </c>
      <c r="J1069" s="400">
        <f t="shared" ca="1" si="16"/>
        <v>28</v>
      </c>
    </row>
    <row r="1070" spans="1:10" ht="15" x14ac:dyDescent="0.25">
      <c r="A1070" s="397">
        <v>40001868</v>
      </c>
      <c r="B1070" s="397">
        <v>8467500360</v>
      </c>
      <c r="C1070" s="397" t="s">
        <v>1970</v>
      </c>
      <c r="D1070" s="398">
        <v>34699</v>
      </c>
      <c r="E1070" s="397" t="s">
        <v>762</v>
      </c>
      <c r="F1070" s="397" t="s">
        <v>763</v>
      </c>
      <c r="G1070" s="397" t="s">
        <v>1967</v>
      </c>
      <c r="H1070" s="423">
        <v>2117</v>
      </c>
      <c r="I1070" s="397" t="s">
        <v>317</v>
      </c>
      <c r="J1070" s="400">
        <f t="shared" ca="1" si="16"/>
        <v>29</v>
      </c>
    </row>
    <row r="1071" spans="1:10" ht="15" x14ac:dyDescent="0.25">
      <c r="A1071" s="397">
        <v>40001927</v>
      </c>
      <c r="B1071" s="397">
        <v>8485330935</v>
      </c>
      <c r="C1071" s="397" t="s">
        <v>1971</v>
      </c>
      <c r="D1071" s="398">
        <v>36482</v>
      </c>
      <c r="E1071" s="397" t="s">
        <v>1071</v>
      </c>
      <c r="F1071" s="397" t="s">
        <v>1072</v>
      </c>
      <c r="G1071" s="397" t="s">
        <v>1967</v>
      </c>
      <c r="H1071" s="423">
        <v>3910</v>
      </c>
      <c r="I1071" s="397" t="s">
        <v>520</v>
      </c>
      <c r="J1071" s="400">
        <f t="shared" ca="1" si="16"/>
        <v>24</v>
      </c>
    </row>
    <row r="1072" spans="1:10" ht="15" x14ac:dyDescent="0.25">
      <c r="A1072" s="397">
        <v>40001930</v>
      </c>
      <c r="B1072" s="397">
        <v>8489182566</v>
      </c>
      <c r="C1072" s="397" t="s">
        <v>1972</v>
      </c>
      <c r="D1072" s="398">
        <v>36867</v>
      </c>
      <c r="E1072" s="397" t="s">
        <v>849</v>
      </c>
      <c r="F1072" s="397" t="s">
        <v>850</v>
      </c>
      <c r="G1072" s="397" t="s">
        <v>1967</v>
      </c>
      <c r="H1072" s="423">
        <v>3139</v>
      </c>
      <c r="I1072" s="397" t="s">
        <v>438</v>
      </c>
      <c r="J1072" s="400">
        <f t="shared" ca="1" si="16"/>
        <v>23</v>
      </c>
    </row>
    <row r="1073" spans="1:10" ht="15" x14ac:dyDescent="0.25">
      <c r="A1073" s="397">
        <v>40001941</v>
      </c>
      <c r="B1073" s="397">
        <v>8460124053</v>
      </c>
      <c r="C1073" s="397" t="s">
        <v>1973</v>
      </c>
      <c r="D1073" s="398">
        <v>33961</v>
      </c>
      <c r="E1073" s="397" t="s">
        <v>774</v>
      </c>
      <c r="F1073" s="397" t="s">
        <v>775</v>
      </c>
      <c r="G1073" s="397" t="s">
        <v>1967</v>
      </c>
      <c r="H1073" s="423">
        <v>3139</v>
      </c>
      <c r="I1073" s="397" t="s">
        <v>438</v>
      </c>
      <c r="J1073" s="400">
        <f t="shared" ca="1" si="16"/>
        <v>31</v>
      </c>
    </row>
    <row r="1074" spans="1:10" ht="15" x14ac:dyDescent="0.25">
      <c r="A1074" s="397">
        <v>40001943</v>
      </c>
      <c r="B1074" s="397">
        <v>8456714798</v>
      </c>
      <c r="C1074" s="397" t="s">
        <v>1974</v>
      </c>
      <c r="D1074" s="398">
        <v>33620</v>
      </c>
      <c r="E1074" s="397" t="s">
        <v>774</v>
      </c>
      <c r="F1074" s="397" t="s">
        <v>775</v>
      </c>
      <c r="G1074" s="397" t="s">
        <v>1967</v>
      </c>
      <c r="H1074" s="423">
        <v>3139</v>
      </c>
      <c r="I1074" s="397" t="s">
        <v>438</v>
      </c>
      <c r="J1074" s="400">
        <f t="shared" ca="1" si="16"/>
        <v>31</v>
      </c>
    </row>
    <row r="1075" spans="1:10" ht="15" x14ac:dyDescent="0.25">
      <c r="A1075" s="397">
        <v>40001944</v>
      </c>
      <c r="B1075" s="397">
        <v>8435814688</v>
      </c>
      <c r="C1075" s="397" t="s">
        <v>1975</v>
      </c>
      <c r="D1075" s="398">
        <v>31530</v>
      </c>
      <c r="E1075" s="397" t="s">
        <v>774</v>
      </c>
      <c r="F1075" s="397" t="s">
        <v>775</v>
      </c>
      <c r="G1075" s="397" t="s">
        <v>1967</v>
      </c>
      <c r="H1075" s="423">
        <v>3134</v>
      </c>
      <c r="I1075" s="397" t="s">
        <v>435</v>
      </c>
      <c r="J1075" s="400">
        <f t="shared" ca="1" si="16"/>
        <v>37</v>
      </c>
    </row>
    <row r="1076" spans="1:10" ht="15" x14ac:dyDescent="0.25">
      <c r="A1076" s="397">
        <v>40001952</v>
      </c>
      <c r="B1076" s="397">
        <v>8484400956</v>
      </c>
      <c r="C1076" s="397" t="s">
        <v>1803</v>
      </c>
      <c r="D1076" s="398">
        <v>36389</v>
      </c>
      <c r="E1076" s="397" t="s">
        <v>803</v>
      </c>
      <c r="F1076" s="397" t="s">
        <v>804</v>
      </c>
      <c r="G1076" s="397" t="s">
        <v>1967</v>
      </c>
      <c r="H1076" s="423">
        <v>3910</v>
      </c>
      <c r="I1076" s="397" t="s">
        <v>520</v>
      </c>
      <c r="J1076" s="400">
        <f t="shared" ca="1" si="16"/>
        <v>24</v>
      </c>
    </row>
    <row r="1077" spans="1:10" ht="15" x14ac:dyDescent="0.25">
      <c r="A1077" s="397">
        <v>40001968</v>
      </c>
      <c r="B1077" s="397">
        <v>8485760360</v>
      </c>
      <c r="C1077" s="397" t="s">
        <v>1976</v>
      </c>
      <c r="D1077" s="398">
        <v>36525</v>
      </c>
      <c r="E1077" s="397" t="s">
        <v>1184</v>
      </c>
      <c r="F1077" s="397" t="s">
        <v>1185</v>
      </c>
      <c r="G1077" s="397" t="s">
        <v>1967</v>
      </c>
      <c r="H1077" s="423">
        <v>3632</v>
      </c>
      <c r="I1077" s="397" t="s">
        <v>497</v>
      </c>
      <c r="J1077" s="400">
        <f t="shared" ca="1" si="16"/>
        <v>24</v>
      </c>
    </row>
    <row r="1078" spans="1:10" ht="15" x14ac:dyDescent="0.25">
      <c r="A1078" s="397">
        <v>40001969</v>
      </c>
      <c r="B1078" s="397">
        <v>8478060022</v>
      </c>
      <c r="C1078" s="397" t="s">
        <v>1977</v>
      </c>
      <c r="D1078" s="398">
        <v>35755</v>
      </c>
      <c r="E1078" s="397" t="s">
        <v>810</v>
      </c>
      <c r="F1078" s="397" t="s">
        <v>811</v>
      </c>
      <c r="G1078" s="397" t="s">
        <v>1967</v>
      </c>
      <c r="H1078" s="423">
        <v>3910</v>
      </c>
      <c r="I1078" s="397" t="s">
        <v>520</v>
      </c>
      <c r="J1078" s="400">
        <f t="shared" ca="1" si="16"/>
        <v>26</v>
      </c>
    </row>
    <row r="1079" spans="1:10" ht="15" x14ac:dyDescent="0.25">
      <c r="A1079" s="397">
        <v>40001976</v>
      </c>
      <c r="B1079" s="397">
        <v>8478871454</v>
      </c>
      <c r="C1079" s="397" t="s">
        <v>1978</v>
      </c>
      <c r="D1079" s="398">
        <v>35836</v>
      </c>
      <c r="E1079" s="397" t="s">
        <v>774</v>
      </c>
      <c r="F1079" s="397" t="s">
        <v>775</v>
      </c>
      <c r="G1079" s="397" t="s">
        <v>1084</v>
      </c>
      <c r="H1079" s="423">
        <v>3115</v>
      </c>
      <c r="I1079" s="397" t="s">
        <v>427</v>
      </c>
      <c r="J1079" s="400">
        <f t="shared" ca="1" si="16"/>
        <v>25</v>
      </c>
    </row>
    <row r="1080" spans="1:10" ht="15" x14ac:dyDescent="0.25">
      <c r="A1080" s="397">
        <v>40001977</v>
      </c>
      <c r="B1080" s="397">
        <v>8481622583</v>
      </c>
      <c r="C1080" s="397" t="s">
        <v>1979</v>
      </c>
      <c r="D1080" s="398">
        <v>36111</v>
      </c>
      <c r="E1080" s="397" t="s">
        <v>833</v>
      </c>
      <c r="F1080" s="397" t="s">
        <v>834</v>
      </c>
      <c r="G1080" s="397" t="s">
        <v>1049</v>
      </c>
      <c r="H1080" s="423">
        <v>4112</v>
      </c>
      <c r="I1080" s="397" t="s">
        <v>523</v>
      </c>
      <c r="J1080" s="400">
        <f t="shared" ca="1" si="16"/>
        <v>25</v>
      </c>
    </row>
    <row r="1081" spans="1:10" ht="15" x14ac:dyDescent="0.25">
      <c r="A1081" s="397">
        <v>40001978</v>
      </c>
      <c r="B1081" s="397">
        <v>8483760827</v>
      </c>
      <c r="C1081" s="397" t="s">
        <v>1980</v>
      </c>
      <c r="D1081" s="398">
        <v>36325</v>
      </c>
      <c r="E1081" s="397" t="s">
        <v>1103</v>
      </c>
      <c r="F1081" s="397" t="s">
        <v>1104</v>
      </c>
      <c r="G1081" s="397" t="s">
        <v>1049</v>
      </c>
      <c r="H1081" s="423">
        <v>4112</v>
      </c>
      <c r="I1081" s="397" t="s">
        <v>523</v>
      </c>
      <c r="J1081" s="400">
        <f t="shared" ca="1" si="16"/>
        <v>24</v>
      </c>
    </row>
    <row r="1082" spans="1:10" ht="15" x14ac:dyDescent="0.25">
      <c r="A1082" s="397">
        <v>40001979</v>
      </c>
      <c r="B1082" s="397">
        <v>8486231183</v>
      </c>
      <c r="C1082" s="397" t="s">
        <v>1981</v>
      </c>
      <c r="D1082" s="398">
        <v>36572</v>
      </c>
      <c r="E1082" s="397" t="s">
        <v>788</v>
      </c>
      <c r="F1082" s="397" t="s">
        <v>789</v>
      </c>
      <c r="G1082" s="397" t="s">
        <v>1084</v>
      </c>
      <c r="H1082" s="423">
        <v>3139</v>
      </c>
      <c r="I1082" s="397" t="s">
        <v>438</v>
      </c>
      <c r="J1082" s="400">
        <f t="shared" ca="1" si="16"/>
        <v>23</v>
      </c>
    </row>
    <row r="1083" spans="1:10" ht="15" x14ac:dyDescent="0.25">
      <c r="A1083" s="397">
        <v>40001980</v>
      </c>
      <c r="B1083" s="397">
        <v>8489090904</v>
      </c>
      <c r="C1083" s="397" t="s">
        <v>1982</v>
      </c>
      <c r="D1083" s="398">
        <v>36858</v>
      </c>
      <c r="E1083" s="397" t="s">
        <v>788</v>
      </c>
      <c r="F1083" s="397" t="s">
        <v>789</v>
      </c>
      <c r="G1083" s="397" t="s">
        <v>1084</v>
      </c>
      <c r="H1083" s="423">
        <v>3139</v>
      </c>
      <c r="I1083" s="397" t="s">
        <v>438</v>
      </c>
      <c r="J1083" s="400">
        <f t="shared" ca="1" si="16"/>
        <v>23</v>
      </c>
    </row>
    <row r="1084" spans="1:10" ht="15" x14ac:dyDescent="0.25">
      <c r="A1084" s="397">
        <v>40001981</v>
      </c>
      <c r="B1084" s="397">
        <v>8479381701</v>
      </c>
      <c r="C1084" s="397" t="s">
        <v>1937</v>
      </c>
      <c r="D1084" s="398">
        <v>35887</v>
      </c>
      <c r="E1084" s="397" t="s">
        <v>1279</v>
      </c>
      <c r="F1084" s="397" t="s">
        <v>1280</v>
      </c>
      <c r="G1084" s="397" t="s">
        <v>1049</v>
      </c>
      <c r="H1084" s="423">
        <v>3910</v>
      </c>
      <c r="I1084" s="397" t="s">
        <v>520</v>
      </c>
      <c r="J1084" s="400">
        <f t="shared" ca="1" si="16"/>
        <v>25</v>
      </c>
    </row>
    <row r="1085" spans="1:10" ht="15" x14ac:dyDescent="0.25">
      <c r="A1085" s="397">
        <v>40001982</v>
      </c>
      <c r="B1085" s="397">
        <v>8478392939</v>
      </c>
      <c r="C1085" s="397" t="s">
        <v>1983</v>
      </c>
      <c r="D1085" s="398">
        <v>35788</v>
      </c>
      <c r="E1085" s="397" t="s">
        <v>1501</v>
      </c>
      <c r="F1085" s="397" t="s">
        <v>1502</v>
      </c>
      <c r="G1085" s="397" t="s">
        <v>1967</v>
      </c>
      <c r="H1085" s="423">
        <v>3910</v>
      </c>
      <c r="I1085" s="397" t="s">
        <v>520</v>
      </c>
      <c r="J1085" s="400">
        <f t="shared" ca="1" si="16"/>
        <v>26</v>
      </c>
    </row>
    <row r="1086" spans="1:10" ht="15" x14ac:dyDescent="0.25">
      <c r="A1086" s="397">
        <v>40001983</v>
      </c>
      <c r="B1086" s="397">
        <v>8482750704</v>
      </c>
      <c r="C1086" s="397" t="s">
        <v>1984</v>
      </c>
      <c r="D1086" s="398">
        <v>36224</v>
      </c>
      <c r="E1086" s="397" t="s">
        <v>810</v>
      </c>
      <c r="F1086" s="397" t="s">
        <v>811</v>
      </c>
      <c r="G1086" s="397" t="s">
        <v>1084</v>
      </c>
      <c r="H1086" s="423">
        <v>3139</v>
      </c>
      <c r="I1086" s="397" t="s">
        <v>438</v>
      </c>
      <c r="J1086" s="400">
        <f t="shared" ca="1" si="16"/>
        <v>24</v>
      </c>
    </row>
    <row r="1087" spans="1:10" ht="15" x14ac:dyDescent="0.25">
      <c r="A1087" s="397">
        <v>40001984</v>
      </c>
      <c r="B1087" s="397">
        <v>8478060022</v>
      </c>
      <c r="C1087" s="397" t="s">
        <v>1977</v>
      </c>
      <c r="D1087" s="398">
        <v>35755</v>
      </c>
      <c r="E1087" s="397" t="s">
        <v>810</v>
      </c>
      <c r="F1087" s="397" t="s">
        <v>811</v>
      </c>
      <c r="G1087" s="397" t="s">
        <v>1084</v>
      </c>
      <c r="H1087" s="423">
        <v>3139</v>
      </c>
      <c r="I1087" s="397" t="s">
        <v>438</v>
      </c>
      <c r="J1087" s="400">
        <f t="shared" ca="1" si="16"/>
        <v>26</v>
      </c>
    </row>
    <row r="1088" spans="1:10" ht="15" x14ac:dyDescent="0.25">
      <c r="A1088" s="397">
        <v>40001985</v>
      </c>
      <c r="B1088" s="397">
        <v>8469983482</v>
      </c>
      <c r="C1088" s="397" t="s">
        <v>1985</v>
      </c>
      <c r="D1088" s="398">
        <v>34947</v>
      </c>
      <c r="E1088" s="397" t="s">
        <v>762</v>
      </c>
      <c r="F1088" s="397" t="s">
        <v>763</v>
      </c>
      <c r="G1088" s="397" t="s">
        <v>1049</v>
      </c>
      <c r="H1088" s="423">
        <v>3910</v>
      </c>
      <c r="I1088" s="397" t="s">
        <v>520</v>
      </c>
      <c r="J1088" s="400">
        <f t="shared" ca="1" si="16"/>
        <v>28</v>
      </c>
    </row>
    <row r="1089" spans="1:10" ht="15" x14ac:dyDescent="0.25">
      <c r="A1089" s="397">
        <v>40001986</v>
      </c>
      <c r="B1089" s="397">
        <v>8484823075</v>
      </c>
      <c r="C1089" s="397" t="s">
        <v>1986</v>
      </c>
      <c r="D1089" s="398">
        <v>36431</v>
      </c>
      <c r="E1089" s="397" t="s">
        <v>803</v>
      </c>
      <c r="F1089" s="397" t="s">
        <v>804</v>
      </c>
      <c r="G1089" s="397" t="s">
        <v>1049</v>
      </c>
      <c r="H1089" s="423">
        <v>3910</v>
      </c>
      <c r="I1089" s="397" t="s">
        <v>520</v>
      </c>
      <c r="J1089" s="400">
        <f t="shared" ca="1" si="16"/>
        <v>24</v>
      </c>
    </row>
    <row r="1090" spans="1:10" ht="15" x14ac:dyDescent="0.25">
      <c r="A1090" s="397">
        <v>40001987</v>
      </c>
      <c r="B1090" s="397">
        <v>8492451181</v>
      </c>
      <c r="C1090" s="397" t="s">
        <v>1987</v>
      </c>
      <c r="D1090" s="398">
        <v>37194</v>
      </c>
      <c r="E1090" s="397" t="s">
        <v>1045</v>
      </c>
      <c r="F1090" s="397" t="s">
        <v>1046</v>
      </c>
      <c r="G1090" s="397" t="s">
        <v>1049</v>
      </c>
      <c r="H1090" s="423">
        <v>3910</v>
      </c>
      <c r="I1090" s="397" t="s">
        <v>520</v>
      </c>
      <c r="J1090" s="400">
        <f t="shared" ca="1" si="16"/>
        <v>22</v>
      </c>
    </row>
    <row r="1091" spans="1:10" ht="15" x14ac:dyDescent="0.25">
      <c r="A1091" s="397">
        <v>40001988</v>
      </c>
      <c r="B1091" s="397">
        <v>8477442533</v>
      </c>
      <c r="C1091" s="397" t="s">
        <v>1988</v>
      </c>
      <c r="D1091" s="398">
        <v>35693</v>
      </c>
      <c r="E1091" s="397" t="s">
        <v>774</v>
      </c>
      <c r="F1091" s="397" t="s">
        <v>775</v>
      </c>
      <c r="G1091" s="397" t="s">
        <v>1049</v>
      </c>
      <c r="H1091" s="423">
        <v>3910</v>
      </c>
      <c r="I1091" s="397" t="s">
        <v>520</v>
      </c>
      <c r="J1091" s="400">
        <f t="shared" ref="J1091:J1126" ca="1" si="17">YEAR(TODAY())-YEAR(D1091)</f>
        <v>26</v>
      </c>
    </row>
    <row r="1092" spans="1:10" ht="15" x14ac:dyDescent="0.25">
      <c r="A1092" s="397">
        <v>40001989</v>
      </c>
      <c r="B1092" s="397">
        <v>8488100272</v>
      </c>
      <c r="C1092" s="397" t="s">
        <v>1989</v>
      </c>
      <c r="D1092" s="398">
        <v>36759</v>
      </c>
      <c r="E1092" s="397" t="s">
        <v>774</v>
      </c>
      <c r="F1092" s="397" t="s">
        <v>775</v>
      </c>
      <c r="G1092" s="397" t="s">
        <v>1049</v>
      </c>
      <c r="H1092" s="423">
        <v>3910</v>
      </c>
      <c r="I1092" s="397" t="s">
        <v>520</v>
      </c>
      <c r="J1092" s="400">
        <f t="shared" ca="1" si="17"/>
        <v>23</v>
      </c>
    </row>
    <row r="1093" spans="1:10" ht="15" x14ac:dyDescent="0.25">
      <c r="A1093" s="397">
        <v>40001990</v>
      </c>
      <c r="B1093" s="397">
        <v>8486161819</v>
      </c>
      <c r="C1093" s="397" t="s">
        <v>1990</v>
      </c>
      <c r="D1093" s="398">
        <v>36565</v>
      </c>
      <c r="E1093" s="397" t="s">
        <v>810</v>
      </c>
      <c r="F1093" s="397" t="s">
        <v>811</v>
      </c>
      <c r="G1093" s="397" t="s">
        <v>1049</v>
      </c>
      <c r="H1093" s="423">
        <v>3910</v>
      </c>
      <c r="I1093" s="397" t="s">
        <v>520</v>
      </c>
      <c r="J1093" s="400">
        <f t="shared" ca="1" si="17"/>
        <v>23</v>
      </c>
    </row>
    <row r="1094" spans="1:10" ht="15" x14ac:dyDescent="0.25">
      <c r="A1094" s="397">
        <v>40001991</v>
      </c>
      <c r="B1094" s="397">
        <v>8476240163</v>
      </c>
      <c r="C1094" s="397" t="s">
        <v>1991</v>
      </c>
      <c r="D1094" s="398">
        <v>35573</v>
      </c>
      <c r="E1094" s="397" t="s">
        <v>1045</v>
      </c>
      <c r="F1094" s="397" t="s">
        <v>1046</v>
      </c>
      <c r="G1094" s="397" t="s">
        <v>1049</v>
      </c>
      <c r="H1094" s="423">
        <v>3910</v>
      </c>
      <c r="I1094" s="397" t="s">
        <v>520</v>
      </c>
      <c r="J1094" s="400">
        <f t="shared" ca="1" si="17"/>
        <v>26</v>
      </c>
    </row>
    <row r="1095" spans="1:10" ht="15" x14ac:dyDescent="0.25">
      <c r="A1095" s="397">
        <v>40001992</v>
      </c>
      <c r="B1095" s="397">
        <v>8494913751</v>
      </c>
      <c r="C1095" s="397" t="s">
        <v>1992</v>
      </c>
      <c r="D1095" s="398">
        <v>37440</v>
      </c>
      <c r="E1095" s="397" t="s">
        <v>762</v>
      </c>
      <c r="F1095" s="397" t="s">
        <v>763</v>
      </c>
      <c r="G1095" s="397" t="s">
        <v>1049</v>
      </c>
      <c r="H1095" s="423">
        <v>3910</v>
      </c>
      <c r="I1095" s="397" t="s">
        <v>520</v>
      </c>
      <c r="J1095" s="400">
        <f t="shared" ca="1" si="17"/>
        <v>21</v>
      </c>
    </row>
    <row r="1096" spans="1:10" ht="15" x14ac:dyDescent="0.25">
      <c r="A1096" s="397">
        <v>40001993</v>
      </c>
      <c r="B1096" s="397">
        <v>8439804598</v>
      </c>
      <c r="C1096" s="397" t="s">
        <v>1993</v>
      </c>
      <c r="D1096" s="398">
        <v>31929</v>
      </c>
      <c r="E1096" s="397" t="s">
        <v>810</v>
      </c>
      <c r="F1096" s="397" t="s">
        <v>811</v>
      </c>
      <c r="G1096" s="397" t="s">
        <v>1084</v>
      </c>
      <c r="H1096" s="423">
        <v>2141</v>
      </c>
      <c r="I1096" s="397" t="s">
        <v>330</v>
      </c>
      <c r="J1096" s="400">
        <f t="shared" ca="1" si="17"/>
        <v>36</v>
      </c>
    </row>
    <row r="1097" spans="1:10" ht="15" x14ac:dyDescent="0.25">
      <c r="A1097" s="397">
        <v>40001994</v>
      </c>
      <c r="B1097" s="397">
        <v>8483760827</v>
      </c>
      <c r="C1097" s="397" t="s">
        <v>1980</v>
      </c>
      <c r="D1097" s="398">
        <v>36325</v>
      </c>
      <c r="E1097" s="397" t="s">
        <v>1103</v>
      </c>
      <c r="F1097" s="397" t="s">
        <v>1104</v>
      </c>
      <c r="G1097" s="397" t="s">
        <v>1049</v>
      </c>
      <c r="H1097" s="423">
        <v>3910</v>
      </c>
      <c r="I1097" s="397" t="s">
        <v>520</v>
      </c>
      <c r="J1097" s="400">
        <f t="shared" ca="1" si="17"/>
        <v>24</v>
      </c>
    </row>
    <row r="1098" spans="1:10" ht="15" x14ac:dyDescent="0.25">
      <c r="A1098" s="397">
        <v>40001995</v>
      </c>
      <c r="B1098" s="397">
        <v>8483840200</v>
      </c>
      <c r="C1098" s="397" t="s">
        <v>1994</v>
      </c>
      <c r="D1098" s="398">
        <v>36333</v>
      </c>
      <c r="E1098" s="397" t="s">
        <v>762</v>
      </c>
      <c r="F1098" s="397" t="s">
        <v>763</v>
      </c>
      <c r="G1098" s="397" t="s">
        <v>1049</v>
      </c>
      <c r="H1098" s="423">
        <v>3910</v>
      </c>
      <c r="I1098" s="397" t="s">
        <v>520</v>
      </c>
      <c r="J1098" s="400">
        <f t="shared" ca="1" si="17"/>
        <v>24</v>
      </c>
    </row>
    <row r="1099" spans="1:10" ht="15" x14ac:dyDescent="0.25">
      <c r="A1099" s="397">
        <v>40001997</v>
      </c>
      <c r="B1099" s="397">
        <v>8486870631</v>
      </c>
      <c r="C1099" s="397" t="s">
        <v>1995</v>
      </c>
      <c r="D1099" s="398">
        <v>36636</v>
      </c>
      <c r="E1099" s="397" t="s">
        <v>849</v>
      </c>
      <c r="F1099" s="397" t="s">
        <v>850</v>
      </c>
      <c r="G1099" s="397" t="s">
        <v>1084</v>
      </c>
      <c r="H1099" s="423">
        <v>3139</v>
      </c>
      <c r="I1099" s="397" t="s">
        <v>438</v>
      </c>
      <c r="J1099" s="400">
        <f t="shared" ca="1" si="17"/>
        <v>23</v>
      </c>
    </row>
    <row r="1100" spans="1:10" ht="15" x14ac:dyDescent="0.25">
      <c r="A1100" s="397">
        <v>40001998</v>
      </c>
      <c r="B1100" s="397">
        <v>8487130356</v>
      </c>
      <c r="C1100" s="397" t="s">
        <v>1996</v>
      </c>
      <c r="D1100" s="398">
        <v>36662</v>
      </c>
      <c r="E1100" s="397" t="s">
        <v>849</v>
      </c>
      <c r="F1100" s="397" t="s">
        <v>850</v>
      </c>
      <c r="G1100" s="397" t="s">
        <v>1084</v>
      </c>
      <c r="H1100" s="423">
        <v>3139</v>
      </c>
      <c r="I1100" s="397" t="s">
        <v>438</v>
      </c>
      <c r="J1100" s="400">
        <f t="shared" ca="1" si="17"/>
        <v>23</v>
      </c>
    </row>
    <row r="1101" spans="1:10" ht="15" x14ac:dyDescent="0.25">
      <c r="A1101" s="397">
        <v>40001999</v>
      </c>
      <c r="B1101" s="397">
        <v>8423862720</v>
      </c>
      <c r="C1101" s="397" t="s">
        <v>1997</v>
      </c>
      <c r="D1101" s="398">
        <v>30335</v>
      </c>
      <c r="E1101" s="397" t="s">
        <v>762</v>
      </c>
      <c r="F1101" s="397" t="s">
        <v>763</v>
      </c>
      <c r="G1101" s="397" t="s">
        <v>1049</v>
      </c>
      <c r="H1101" s="423">
        <v>3910</v>
      </c>
      <c r="I1101" s="397" t="s">
        <v>520</v>
      </c>
      <c r="J1101" s="400">
        <f t="shared" ca="1" si="17"/>
        <v>40</v>
      </c>
    </row>
    <row r="1102" spans="1:10" ht="15" x14ac:dyDescent="0.25">
      <c r="A1102" s="397">
        <v>40002000</v>
      </c>
      <c r="B1102" s="397">
        <v>8490931135</v>
      </c>
      <c r="C1102" s="397" t="s">
        <v>1998</v>
      </c>
      <c r="D1102" s="398">
        <v>37042</v>
      </c>
      <c r="E1102" s="397" t="s">
        <v>774</v>
      </c>
      <c r="F1102" s="397" t="s">
        <v>775</v>
      </c>
      <c r="G1102" s="397" t="s">
        <v>1049</v>
      </c>
      <c r="H1102" s="423">
        <v>3910</v>
      </c>
      <c r="I1102" s="397" t="s">
        <v>520</v>
      </c>
      <c r="J1102" s="400">
        <f t="shared" ca="1" si="17"/>
        <v>22</v>
      </c>
    </row>
    <row r="1103" spans="1:10" ht="15" x14ac:dyDescent="0.25">
      <c r="A1103" s="397">
        <v>40002001</v>
      </c>
      <c r="B1103" s="397">
        <v>8488862237</v>
      </c>
      <c r="C1103" s="397" t="s">
        <v>1999</v>
      </c>
      <c r="D1103" s="398">
        <v>36835</v>
      </c>
      <c r="E1103" s="397" t="s">
        <v>762</v>
      </c>
      <c r="F1103" s="397" t="s">
        <v>763</v>
      </c>
      <c r="G1103" s="397" t="s">
        <v>1049</v>
      </c>
      <c r="H1103" s="423">
        <v>3910</v>
      </c>
      <c r="I1103" s="397" t="s">
        <v>520</v>
      </c>
      <c r="J1103" s="400">
        <f t="shared" ca="1" si="17"/>
        <v>23</v>
      </c>
    </row>
    <row r="1104" spans="1:10" ht="15" x14ac:dyDescent="0.25">
      <c r="A1104" s="397">
        <v>40002002</v>
      </c>
      <c r="B1104" s="397">
        <v>8483740257</v>
      </c>
      <c r="C1104" s="397" t="s">
        <v>2000</v>
      </c>
      <c r="D1104" s="398">
        <v>36323</v>
      </c>
      <c r="E1104" s="397" t="s">
        <v>774</v>
      </c>
      <c r="F1104" s="397" t="s">
        <v>775</v>
      </c>
      <c r="G1104" s="397" t="s">
        <v>1049</v>
      </c>
      <c r="H1104" s="423">
        <v>3910</v>
      </c>
      <c r="I1104" s="397" t="s">
        <v>520</v>
      </c>
      <c r="J1104" s="400">
        <f t="shared" ca="1" si="17"/>
        <v>24</v>
      </c>
    </row>
    <row r="1105" spans="1:10" ht="15" x14ac:dyDescent="0.25">
      <c r="A1105" s="397">
        <v>40002003</v>
      </c>
      <c r="B1105" s="397">
        <v>8478010726</v>
      </c>
      <c r="C1105" s="397" t="s">
        <v>2001</v>
      </c>
      <c r="D1105" s="398">
        <v>35750</v>
      </c>
      <c r="E1105" s="397" t="s">
        <v>795</v>
      </c>
      <c r="F1105" s="397" t="s">
        <v>796</v>
      </c>
      <c r="G1105" s="397" t="s">
        <v>1846</v>
      </c>
      <c r="H1105" s="423">
        <v>3910</v>
      </c>
      <c r="I1105" s="397" t="s">
        <v>520</v>
      </c>
      <c r="J1105" s="400">
        <f t="shared" ca="1" si="17"/>
        <v>26</v>
      </c>
    </row>
    <row r="1106" spans="1:10" ht="15" x14ac:dyDescent="0.25">
      <c r="A1106" s="397">
        <v>40002004</v>
      </c>
      <c r="B1106" s="397">
        <v>8483771608</v>
      </c>
      <c r="C1106" s="397" t="s">
        <v>2002</v>
      </c>
      <c r="D1106" s="398">
        <v>36326</v>
      </c>
      <c r="E1106" s="397" t="s">
        <v>1184</v>
      </c>
      <c r="F1106" s="397" t="s">
        <v>1185</v>
      </c>
      <c r="G1106" s="397" t="s">
        <v>1049</v>
      </c>
      <c r="H1106" s="423">
        <v>2910</v>
      </c>
      <c r="I1106" s="397" t="s">
        <v>422</v>
      </c>
      <c r="J1106" s="400">
        <f t="shared" ca="1" si="17"/>
        <v>24</v>
      </c>
    </row>
    <row r="1107" spans="1:10" ht="15" x14ac:dyDescent="0.25">
      <c r="A1107" s="397">
        <v>40002005</v>
      </c>
      <c r="B1107" s="397">
        <v>8492451181</v>
      </c>
      <c r="C1107" s="397" t="s">
        <v>1987</v>
      </c>
      <c r="D1107" s="398">
        <v>37194</v>
      </c>
      <c r="E1107" s="397" t="s">
        <v>1045</v>
      </c>
      <c r="F1107" s="397" t="s">
        <v>1046</v>
      </c>
      <c r="G1107" s="397" t="s">
        <v>1049</v>
      </c>
      <c r="H1107" s="423">
        <v>3910</v>
      </c>
      <c r="I1107" s="397" t="s">
        <v>520</v>
      </c>
      <c r="J1107" s="400">
        <f t="shared" ca="1" si="17"/>
        <v>22</v>
      </c>
    </row>
    <row r="1108" spans="1:10" ht="15" x14ac:dyDescent="0.25">
      <c r="A1108" s="397">
        <v>40002006</v>
      </c>
      <c r="B1108" s="397">
        <v>8474240247</v>
      </c>
      <c r="C1108" s="397" t="s">
        <v>2003</v>
      </c>
      <c r="D1108" s="398">
        <v>35373</v>
      </c>
      <c r="E1108" s="397" t="s">
        <v>849</v>
      </c>
      <c r="F1108" s="397" t="s">
        <v>850</v>
      </c>
      <c r="G1108" s="397" t="s">
        <v>1049</v>
      </c>
      <c r="H1108" s="423">
        <v>3910</v>
      </c>
      <c r="I1108" s="397" t="s">
        <v>520</v>
      </c>
      <c r="J1108" s="400">
        <f t="shared" ca="1" si="17"/>
        <v>27</v>
      </c>
    </row>
    <row r="1109" spans="1:10" ht="15" x14ac:dyDescent="0.25">
      <c r="A1109" s="397">
        <v>40002007</v>
      </c>
      <c r="B1109" s="397">
        <v>8485500210</v>
      </c>
      <c r="C1109" s="397" t="s">
        <v>2004</v>
      </c>
      <c r="D1109" s="398">
        <v>36499</v>
      </c>
      <c r="E1109" s="397" t="s">
        <v>840</v>
      </c>
      <c r="F1109" s="397" t="s">
        <v>841</v>
      </c>
      <c r="G1109" s="397" t="s">
        <v>1049</v>
      </c>
      <c r="H1109" s="423">
        <v>3910</v>
      </c>
      <c r="I1109" s="397" t="s">
        <v>520</v>
      </c>
      <c r="J1109" s="400">
        <f t="shared" ca="1" si="17"/>
        <v>24</v>
      </c>
    </row>
    <row r="1110" spans="1:10" ht="15" x14ac:dyDescent="0.25">
      <c r="A1110" s="397">
        <v>40002008</v>
      </c>
      <c r="B1110" s="397">
        <v>8485451619</v>
      </c>
      <c r="C1110" s="397" t="s">
        <v>2005</v>
      </c>
      <c r="D1110" s="398">
        <v>36494</v>
      </c>
      <c r="E1110" s="397" t="s">
        <v>840</v>
      </c>
      <c r="F1110" s="397" t="s">
        <v>841</v>
      </c>
      <c r="G1110" s="397" t="s">
        <v>1049</v>
      </c>
      <c r="H1110" s="423">
        <v>3910</v>
      </c>
      <c r="I1110" s="397" t="s">
        <v>520</v>
      </c>
      <c r="J1110" s="400">
        <f t="shared" ca="1" si="17"/>
        <v>24</v>
      </c>
    </row>
    <row r="1111" spans="1:10" ht="15" x14ac:dyDescent="0.25">
      <c r="A1111" s="397">
        <v>40002009</v>
      </c>
      <c r="B1111" s="397">
        <v>8479381701</v>
      </c>
      <c r="C1111" s="397" t="s">
        <v>1937</v>
      </c>
      <c r="D1111" s="398">
        <v>35887</v>
      </c>
      <c r="E1111" s="397" t="s">
        <v>1154</v>
      </c>
      <c r="F1111" s="397" t="s">
        <v>1155</v>
      </c>
      <c r="G1111" s="397" t="s">
        <v>1049</v>
      </c>
      <c r="H1111" s="423">
        <v>3632</v>
      </c>
      <c r="I1111" s="397" t="s">
        <v>497</v>
      </c>
      <c r="J1111" s="400">
        <f t="shared" ca="1" si="17"/>
        <v>25</v>
      </c>
    </row>
    <row r="1112" spans="1:10" ht="15" x14ac:dyDescent="0.25">
      <c r="A1112" s="397">
        <v>40002011</v>
      </c>
      <c r="B1112" s="397">
        <v>8477600996</v>
      </c>
      <c r="C1112" s="397" t="s">
        <v>2006</v>
      </c>
      <c r="D1112" s="398">
        <v>35709</v>
      </c>
      <c r="E1112" s="397" t="s">
        <v>762</v>
      </c>
      <c r="F1112" s="397" t="s">
        <v>763</v>
      </c>
      <c r="G1112" s="397" t="s">
        <v>1084</v>
      </c>
      <c r="H1112" s="423">
        <v>3910</v>
      </c>
      <c r="I1112" s="397" t="s">
        <v>520</v>
      </c>
      <c r="J1112" s="400">
        <f t="shared" ca="1" si="17"/>
        <v>26</v>
      </c>
    </row>
    <row r="1113" spans="1:10" ht="15" x14ac:dyDescent="0.25">
      <c r="A1113" s="397">
        <v>40002012</v>
      </c>
      <c r="B1113" s="397">
        <v>8485702417</v>
      </c>
      <c r="C1113" s="397" t="s">
        <v>2007</v>
      </c>
      <c r="D1113" s="398">
        <v>36519</v>
      </c>
      <c r="E1113" s="397" t="s">
        <v>762</v>
      </c>
      <c r="F1113" s="397" t="s">
        <v>763</v>
      </c>
      <c r="G1113" s="397" t="s">
        <v>1049</v>
      </c>
      <c r="H1113" s="423">
        <v>3910</v>
      </c>
      <c r="I1113" s="397" t="s">
        <v>520</v>
      </c>
      <c r="J1113" s="400">
        <f t="shared" ca="1" si="17"/>
        <v>24</v>
      </c>
    </row>
    <row r="1114" spans="1:10" ht="15" x14ac:dyDescent="0.25">
      <c r="A1114" s="397">
        <v>40002013</v>
      </c>
      <c r="B1114" s="397">
        <v>8486631289</v>
      </c>
      <c r="C1114" s="397" t="s">
        <v>2008</v>
      </c>
      <c r="D1114" s="398">
        <v>36612</v>
      </c>
      <c r="E1114" s="397" t="s">
        <v>840</v>
      </c>
      <c r="F1114" s="397" t="s">
        <v>841</v>
      </c>
      <c r="G1114" s="397" t="s">
        <v>1084</v>
      </c>
      <c r="H1114" s="423">
        <v>3910</v>
      </c>
      <c r="I1114" s="397" t="s">
        <v>520</v>
      </c>
      <c r="J1114" s="400">
        <f t="shared" ca="1" si="17"/>
        <v>23</v>
      </c>
    </row>
    <row r="1115" spans="1:10" ht="15" x14ac:dyDescent="0.25">
      <c r="A1115" s="397">
        <v>40002014</v>
      </c>
      <c r="B1115" s="397">
        <v>8467950226</v>
      </c>
      <c r="C1115" s="397" t="s">
        <v>2009</v>
      </c>
      <c r="D1115" s="398">
        <v>34744</v>
      </c>
      <c r="E1115" s="397" t="s">
        <v>1071</v>
      </c>
      <c r="F1115" s="397" t="s">
        <v>1072</v>
      </c>
      <c r="G1115" s="397" t="s">
        <v>1049</v>
      </c>
      <c r="H1115" s="423">
        <v>4134</v>
      </c>
      <c r="I1115" s="397" t="s">
        <v>534</v>
      </c>
      <c r="J1115" s="400">
        <f t="shared" ca="1" si="17"/>
        <v>28</v>
      </c>
    </row>
    <row r="1116" spans="1:10" ht="15" x14ac:dyDescent="0.25">
      <c r="A1116" s="397">
        <v>40002015</v>
      </c>
      <c r="B1116" s="397">
        <v>8482040391</v>
      </c>
      <c r="C1116" s="397" t="s">
        <v>2010</v>
      </c>
      <c r="D1116" s="398">
        <v>36153</v>
      </c>
      <c r="E1116" s="397" t="s">
        <v>1071</v>
      </c>
      <c r="F1116" s="397" t="s">
        <v>1072</v>
      </c>
      <c r="G1116" s="397" t="s">
        <v>1049</v>
      </c>
      <c r="H1116" s="423">
        <v>3910</v>
      </c>
      <c r="I1116" s="397" t="s">
        <v>520</v>
      </c>
      <c r="J1116" s="400">
        <f t="shared" ca="1" si="17"/>
        <v>25</v>
      </c>
    </row>
    <row r="1117" spans="1:10" ht="15" x14ac:dyDescent="0.25">
      <c r="A1117" s="397">
        <v>40002016</v>
      </c>
      <c r="B1117" s="397">
        <v>8485391136</v>
      </c>
      <c r="C1117" s="397" t="s">
        <v>1772</v>
      </c>
      <c r="D1117" s="398">
        <v>36488</v>
      </c>
      <c r="E1117" s="397" t="s">
        <v>762</v>
      </c>
      <c r="F1117" s="397" t="s">
        <v>763</v>
      </c>
      <c r="G1117" s="397" t="s">
        <v>1049</v>
      </c>
      <c r="H1117" s="423">
        <v>3910</v>
      </c>
      <c r="I1117" s="397" t="s">
        <v>520</v>
      </c>
      <c r="J1117" s="400">
        <f t="shared" ca="1" si="17"/>
        <v>24</v>
      </c>
    </row>
    <row r="1118" spans="1:10" ht="15" x14ac:dyDescent="0.25">
      <c r="A1118" s="397">
        <v>40002017</v>
      </c>
      <c r="B1118" s="397">
        <v>8485451619</v>
      </c>
      <c r="C1118" s="397" t="s">
        <v>2005</v>
      </c>
      <c r="D1118" s="398">
        <v>36494</v>
      </c>
      <c r="E1118" s="397" t="s">
        <v>840</v>
      </c>
      <c r="F1118" s="397" t="s">
        <v>841</v>
      </c>
      <c r="G1118" s="397" t="s">
        <v>1049</v>
      </c>
      <c r="H1118" s="423">
        <v>3910</v>
      </c>
      <c r="I1118" s="397" t="s">
        <v>520</v>
      </c>
      <c r="J1118" s="400">
        <f t="shared" ca="1" si="17"/>
        <v>24</v>
      </c>
    </row>
    <row r="1119" spans="1:10" ht="15" x14ac:dyDescent="0.25">
      <c r="A1119" s="397">
        <v>40002018</v>
      </c>
      <c r="B1119" s="397">
        <v>8485500210</v>
      </c>
      <c r="C1119" s="397" t="s">
        <v>2004</v>
      </c>
      <c r="D1119" s="398">
        <v>36499</v>
      </c>
      <c r="E1119" s="397" t="s">
        <v>840</v>
      </c>
      <c r="F1119" s="397" t="s">
        <v>841</v>
      </c>
      <c r="G1119" s="397" t="s">
        <v>1049</v>
      </c>
      <c r="H1119" s="423">
        <v>3910</v>
      </c>
      <c r="I1119" s="397" t="s">
        <v>520</v>
      </c>
      <c r="J1119" s="400">
        <f t="shared" ca="1" si="17"/>
        <v>24</v>
      </c>
    </row>
    <row r="1120" spans="1:10" ht="15" x14ac:dyDescent="0.25">
      <c r="A1120" s="397">
        <v>40002019</v>
      </c>
      <c r="B1120" s="397">
        <v>8488862237</v>
      </c>
      <c r="C1120" s="397" t="s">
        <v>1999</v>
      </c>
      <c r="D1120" s="398">
        <v>36835</v>
      </c>
      <c r="E1120" s="397" t="s">
        <v>762</v>
      </c>
      <c r="F1120" s="397" t="s">
        <v>763</v>
      </c>
      <c r="G1120" s="397" t="s">
        <v>1049</v>
      </c>
      <c r="H1120" s="423">
        <v>3910</v>
      </c>
      <c r="I1120" s="397" t="s">
        <v>520</v>
      </c>
      <c r="J1120" s="400">
        <f t="shared" ca="1" si="17"/>
        <v>23</v>
      </c>
    </row>
    <row r="1121" spans="1:11" ht="15" x14ac:dyDescent="0.25">
      <c r="A1121" s="397">
        <v>40002020</v>
      </c>
      <c r="B1121" s="397">
        <v>8486171679</v>
      </c>
      <c r="C1121" s="397" t="s">
        <v>2011</v>
      </c>
      <c r="D1121" s="398">
        <v>36566</v>
      </c>
      <c r="E1121" s="397" t="s">
        <v>1164</v>
      </c>
      <c r="F1121" s="397" t="s">
        <v>1165</v>
      </c>
      <c r="G1121" s="397" t="s">
        <v>1049</v>
      </c>
      <c r="H1121" s="423">
        <v>3910</v>
      </c>
      <c r="I1121" s="397" t="s">
        <v>520</v>
      </c>
      <c r="J1121" s="400">
        <f t="shared" ca="1" si="17"/>
        <v>23</v>
      </c>
    </row>
    <row r="1122" spans="1:11" ht="15" x14ac:dyDescent="0.25">
      <c r="A1122" s="397">
        <v>40002021</v>
      </c>
      <c r="B1122" s="397">
        <v>8486560063</v>
      </c>
      <c r="C1122" s="397" t="s">
        <v>2012</v>
      </c>
      <c r="D1122" s="398">
        <v>36605</v>
      </c>
      <c r="E1122" s="397" t="s">
        <v>840</v>
      </c>
      <c r="F1122" s="397" t="s">
        <v>841</v>
      </c>
      <c r="G1122" s="397" t="s">
        <v>1049</v>
      </c>
      <c r="H1122" s="423">
        <v>3910</v>
      </c>
      <c r="I1122" s="397" t="s">
        <v>520</v>
      </c>
      <c r="J1122" s="400">
        <f t="shared" ca="1" si="17"/>
        <v>23</v>
      </c>
    </row>
    <row r="1123" spans="1:11" ht="15" x14ac:dyDescent="0.25">
      <c r="A1123" s="397">
        <v>40002022</v>
      </c>
      <c r="B1123" s="397">
        <v>8479690798</v>
      </c>
      <c r="C1123" s="397" t="s">
        <v>2013</v>
      </c>
      <c r="D1123" s="398">
        <v>35918</v>
      </c>
      <c r="E1123" s="397" t="s">
        <v>762</v>
      </c>
      <c r="F1123" s="397" t="s">
        <v>763</v>
      </c>
      <c r="G1123" s="397" t="s">
        <v>1049</v>
      </c>
      <c r="H1123" s="423">
        <v>3910</v>
      </c>
      <c r="I1123" s="397" t="s">
        <v>520</v>
      </c>
      <c r="J1123" s="400">
        <f t="shared" ca="1" si="17"/>
        <v>25</v>
      </c>
    </row>
    <row r="1124" spans="1:11" ht="15" x14ac:dyDescent="0.25">
      <c r="A1124" s="397">
        <v>40002023</v>
      </c>
      <c r="B1124" s="397">
        <v>8469203630</v>
      </c>
      <c r="C1124" s="397" t="s">
        <v>1969</v>
      </c>
      <c r="D1124" s="398">
        <v>34869</v>
      </c>
      <c r="E1124" s="397" t="s">
        <v>762</v>
      </c>
      <c r="F1124" s="397" t="s">
        <v>763</v>
      </c>
      <c r="G1124" s="397" t="s">
        <v>1049</v>
      </c>
      <c r="H1124" s="423">
        <v>3910</v>
      </c>
      <c r="I1124" s="397" t="s">
        <v>520</v>
      </c>
      <c r="J1124" s="400">
        <f t="shared" ca="1" si="17"/>
        <v>28</v>
      </c>
    </row>
    <row r="1125" spans="1:11" s="828" customFormat="1" x14ac:dyDescent="0.25">
      <c r="A1125" s="828">
        <v>40002049</v>
      </c>
      <c r="B1125" s="828">
        <v>8500560541</v>
      </c>
      <c r="C1125" s="828" t="s">
        <v>4590</v>
      </c>
      <c r="D1125" s="829"/>
      <c r="H1125" s="830">
        <v>3910</v>
      </c>
      <c r="I1125" s="828" t="s">
        <v>520</v>
      </c>
      <c r="K1125" s="828" t="s">
        <v>4594</v>
      </c>
    </row>
    <row r="1126" spans="1:11" ht="15" x14ac:dyDescent="0.25">
      <c r="A1126" s="397">
        <v>90000002</v>
      </c>
      <c r="B1126" s="397">
        <v>8450510813</v>
      </c>
      <c r="C1126" s="397" t="s">
        <v>1866</v>
      </c>
      <c r="D1126" s="398">
        <v>33000</v>
      </c>
      <c r="E1126" s="397" t="s">
        <v>1107</v>
      </c>
      <c r="F1126" s="397" t="s">
        <v>1108</v>
      </c>
      <c r="G1126" s="397" t="s">
        <v>1959</v>
      </c>
      <c r="H1126" s="423">
        <v>2910</v>
      </c>
      <c r="I1126" s="397" t="s">
        <v>422</v>
      </c>
      <c r="J1126" s="400">
        <f t="shared" ca="1" si="17"/>
        <v>33</v>
      </c>
    </row>
  </sheetData>
  <autoFilter ref="A1:I1127" xr:uid="{00000000-0009-0000-0000-000000000000}"/>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Terv-tény</vt:lpstr>
      <vt:lpstr>Bérköltség</vt:lpstr>
      <vt:lpstr>Dologi_felhalm.</vt:lpstr>
      <vt:lpstr>Jegyzet</vt:lpstr>
      <vt:lpstr>Admin</vt:lpstr>
      <vt:lpstr>Admin - FEOR</vt:lpstr>
      <vt:lpstr>Törzsszám</vt:lpstr>
      <vt:lpstr>Munka1</vt:lpstr>
      <vt:lpstr>Munka2</vt:lpstr>
      <vt:lpstr>FEOR kodok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2020-02-13T08:37:49Z</cp:lastPrinted>
  <dcterms:created xsi:type="dcterms:W3CDTF">2012-04-12T14:47:49Z</dcterms:created>
  <dcterms:modified xsi:type="dcterms:W3CDTF">2023-11-06T13:51:39Z</dcterms:modified>
</cp:coreProperties>
</file>