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2020-1.1.2-PIACI-KFI-2021-00219_Smartek\"/>
    </mc:Choice>
  </mc:AlternateContent>
  <xr:revisionPtr revIDLastSave="0" documentId="13_ncr:1_{203DDBEE-0526-4A57-8DBA-B249F361311F}" xr6:coauthVersionLast="47" xr6:coauthVersionMax="47" xr10:uidLastSave="{00000000-0000-0000-0000-000000000000}"/>
  <bookViews>
    <workbookView xWindow="-120" yWindow="-120" windowWidth="29040" windowHeight="15720" tabRatio="590" activeTab="1" xr2:uid="{00000000-000D-0000-FFFF-FFFF00000000}"/>
  </bookViews>
  <sheets>
    <sheet name="Összesítő_Terv-tény" sheetId="2" r:id="rId1"/>
    <sheet name="Bérköltség" sheetId="11" r:id="rId2"/>
    <sheet name="Dologi_felhalm." sheetId="13" r:id="rId3"/>
    <sheet name="EPTK költségvetés export fájl" sheetId="18" r:id="rId4"/>
    <sheet name="Hónapok" sheetId="16" r:id="rId5"/>
    <sheet name="Admin" sheetId="17" r:id="rId6"/>
    <sheet name="Havi béradatok" sheetId="19" r:id="rId7"/>
  </sheets>
  <definedNames>
    <definedName name="_xlnm._FilterDatabase" localSheetId="1" hidden="1">Bérköltség!$A$5:$AS$429</definedName>
    <definedName name="_xlnm._FilterDatabase" localSheetId="2" hidden="1">Dologi_felhalm.!$A$2:$P$3</definedName>
    <definedName name="_xlnm._FilterDatabase" localSheetId="0" hidden="1">'Összesítő_Terv-tény'!$A$2:$Q$23</definedName>
    <definedName name="Z_B3053EE5_F487_4331_B4B6_28A1F2EF1617_.wvu.Cols" localSheetId="1" hidden="1">Bérköltség!#REF!,Bérköltség!#REF!,Bérköltség!$S:$T,Bérköltség!$X:$X,Bérköltség!$AA:$AA</definedName>
    <definedName name="Z_B3053EE5_F487_4331_B4B6_28A1F2EF1617_.wvu.FilterData" localSheetId="1" hidden="1">Bérköltség!$B$5:$AS$431</definedName>
    <definedName name="Z_B3053EE5_F487_4331_B4B6_28A1F2EF1617_.wvu.FilterData" localSheetId="2" hidden="1">Dologi_felhalm.!$A$2:$P$3</definedName>
    <definedName name="Z_B3053EE5_F487_4331_B4B6_28A1F2EF1617_.wvu.FilterData" localSheetId="0" hidden="1">'Összesítő_Terv-tény'!$C$3:$I$17</definedName>
    <definedName name="Z_B3053EE5_F487_4331_B4B6_28A1F2EF1617_.wvu.Rows" localSheetId="1" hidden="1">Bérköltség!#REF!</definedName>
    <definedName name="Z_B3053EE5_F487_4331_B4B6_28A1F2EF1617_.wvu.Rows" localSheetId="2" hidden="1">Dologi_felhalm.!#REF!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7" i="11" l="1"/>
  <c r="U157" i="11" s="1"/>
  <c r="R157" i="11"/>
  <c r="O157" i="11"/>
  <c r="S156" i="11"/>
  <c r="U156" i="11" s="1"/>
  <c r="R156" i="11"/>
  <c r="O156" i="11"/>
  <c r="K157" i="11"/>
  <c r="I157" i="11"/>
  <c r="E157" i="11"/>
  <c r="C157" i="11"/>
  <c r="K156" i="11"/>
  <c r="I156" i="11"/>
  <c r="E156" i="11"/>
  <c r="C156" i="11"/>
  <c r="S155" i="11"/>
  <c r="U155" i="11" s="1"/>
  <c r="R155" i="11"/>
  <c r="O155" i="11"/>
  <c r="K155" i="11"/>
  <c r="I155" i="11"/>
  <c r="E155" i="11"/>
  <c r="C155" i="11"/>
  <c r="S87" i="11"/>
  <c r="U87" i="11" s="1"/>
  <c r="R87" i="11"/>
  <c r="O87" i="11"/>
  <c r="S86" i="11"/>
  <c r="U86" i="11" s="1"/>
  <c r="R86" i="11"/>
  <c r="O86" i="11"/>
  <c r="S338" i="11"/>
  <c r="U338" i="11" s="1"/>
  <c r="R338" i="11"/>
  <c r="O338" i="11"/>
  <c r="S269" i="11"/>
  <c r="U269" i="11" s="1"/>
  <c r="R269" i="11"/>
  <c r="O269" i="11"/>
  <c r="S268" i="11"/>
  <c r="U268" i="11" s="1"/>
  <c r="R268" i="11"/>
  <c r="O268" i="11"/>
  <c r="K269" i="11"/>
  <c r="I269" i="11"/>
  <c r="E269" i="11"/>
  <c r="C269" i="11"/>
  <c r="K268" i="11"/>
  <c r="I268" i="11"/>
  <c r="E268" i="11"/>
  <c r="C268" i="11"/>
  <c r="S267" i="11"/>
  <c r="T267" i="11" s="1"/>
  <c r="R267" i="11"/>
  <c r="O267" i="11"/>
  <c r="K267" i="11"/>
  <c r="I267" i="11"/>
  <c r="E267" i="11"/>
  <c r="C267" i="11"/>
  <c r="S423" i="11"/>
  <c r="U423" i="11" s="1"/>
  <c r="R423" i="11"/>
  <c r="O423" i="11"/>
  <c r="S422" i="11"/>
  <c r="U422" i="11" s="1"/>
  <c r="R422" i="11"/>
  <c r="O422" i="11"/>
  <c r="K423" i="11"/>
  <c r="I423" i="11"/>
  <c r="E423" i="11"/>
  <c r="C423" i="11"/>
  <c r="K422" i="11"/>
  <c r="I422" i="11"/>
  <c r="E422" i="11"/>
  <c r="C422" i="11"/>
  <c r="S421" i="11"/>
  <c r="U421" i="11" s="1"/>
  <c r="R421" i="11"/>
  <c r="O421" i="11"/>
  <c r="K421" i="11"/>
  <c r="I421" i="11"/>
  <c r="E421" i="11"/>
  <c r="C421" i="11"/>
  <c r="S253" i="11"/>
  <c r="U253" i="11" s="1"/>
  <c r="R253" i="11"/>
  <c r="O253" i="11"/>
  <c r="S252" i="11"/>
  <c r="U252" i="11" s="1"/>
  <c r="R252" i="11"/>
  <c r="O252" i="11"/>
  <c r="S299" i="11"/>
  <c r="U299" i="11" s="1"/>
  <c r="R299" i="11"/>
  <c r="O299" i="11"/>
  <c r="S298" i="11"/>
  <c r="U298" i="11" s="1"/>
  <c r="R298" i="11"/>
  <c r="O298" i="11"/>
  <c r="S297" i="11"/>
  <c r="U297" i="11" s="1"/>
  <c r="R297" i="11"/>
  <c r="O297" i="11"/>
  <c r="S182" i="11"/>
  <c r="U182" i="11" s="1"/>
  <c r="R182" i="11"/>
  <c r="O182" i="11"/>
  <c r="S181" i="11"/>
  <c r="U181" i="11" s="1"/>
  <c r="R181" i="11"/>
  <c r="O181" i="11"/>
  <c r="S180" i="11"/>
  <c r="U180" i="11" s="1"/>
  <c r="R180" i="11"/>
  <c r="O180" i="11"/>
  <c r="K182" i="11"/>
  <c r="I182" i="11"/>
  <c r="E182" i="11"/>
  <c r="C182" i="11"/>
  <c r="K181" i="11"/>
  <c r="I181" i="11"/>
  <c r="E181" i="11"/>
  <c r="C181" i="11"/>
  <c r="K180" i="11"/>
  <c r="I180" i="11"/>
  <c r="E180" i="11"/>
  <c r="C180" i="11"/>
  <c r="S179" i="11"/>
  <c r="U179" i="11" s="1"/>
  <c r="R179" i="11"/>
  <c r="O179" i="11"/>
  <c r="K179" i="11"/>
  <c r="I179" i="11"/>
  <c r="E179" i="11"/>
  <c r="C179" i="11"/>
  <c r="S85" i="11"/>
  <c r="U85" i="11" s="1"/>
  <c r="R85" i="11"/>
  <c r="O85" i="11"/>
  <c r="S24" i="11"/>
  <c r="U24" i="11" s="1"/>
  <c r="R24" i="11"/>
  <c r="O24" i="11"/>
  <c r="S23" i="11"/>
  <c r="U23" i="11" s="1"/>
  <c r="R23" i="11"/>
  <c r="O23" i="11"/>
  <c r="S22" i="11"/>
  <c r="U22" i="11" s="1"/>
  <c r="R22" i="11"/>
  <c r="O22" i="11"/>
  <c r="K24" i="11"/>
  <c r="E24" i="11"/>
  <c r="C24" i="11"/>
  <c r="K23" i="11"/>
  <c r="E23" i="11"/>
  <c r="C23" i="11"/>
  <c r="K22" i="11"/>
  <c r="E22" i="11"/>
  <c r="C22" i="11"/>
  <c r="S21" i="11"/>
  <c r="U21" i="11" s="1"/>
  <c r="R21" i="11"/>
  <c r="O21" i="11"/>
  <c r="K21" i="11"/>
  <c r="E21" i="11"/>
  <c r="C21" i="11"/>
  <c r="S349" i="11"/>
  <c r="U349" i="11" s="1"/>
  <c r="R349" i="11"/>
  <c r="O349" i="11"/>
  <c r="S348" i="11"/>
  <c r="U348" i="11" s="1"/>
  <c r="R348" i="11"/>
  <c r="O348" i="11"/>
  <c r="S337" i="11"/>
  <c r="U337" i="11" s="1"/>
  <c r="R337" i="11"/>
  <c r="O337" i="11"/>
  <c r="S212" i="11"/>
  <c r="U212" i="11" s="1"/>
  <c r="R212" i="11"/>
  <c r="O212" i="11"/>
  <c r="S211" i="11"/>
  <c r="U211" i="11" s="1"/>
  <c r="R211" i="11"/>
  <c r="O211" i="11"/>
  <c r="S209" i="11"/>
  <c r="U209" i="11" s="1"/>
  <c r="R209" i="11"/>
  <c r="O209" i="11"/>
  <c r="K212" i="11"/>
  <c r="I212" i="11"/>
  <c r="E212" i="11"/>
  <c r="C212" i="11"/>
  <c r="K211" i="11"/>
  <c r="I211" i="11"/>
  <c r="E211" i="11"/>
  <c r="C211" i="11"/>
  <c r="S210" i="11"/>
  <c r="T210" i="11" s="1"/>
  <c r="R210" i="11"/>
  <c r="O210" i="11"/>
  <c r="K210" i="11"/>
  <c r="I210" i="11"/>
  <c r="E210" i="11"/>
  <c r="C210" i="11"/>
  <c r="S43" i="11"/>
  <c r="U43" i="11" s="1"/>
  <c r="R43" i="11"/>
  <c r="O43" i="11"/>
  <c r="S42" i="11"/>
  <c r="U42" i="11" s="1"/>
  <c r="R42" i="11"/>
  <c r="O42" i="11"/>
  <c r="K43" i="11"/>
  <c r="I43" i="11"/>
  <c r="E43" i="11"/>
  <c r="C43" i="11"/>
  <c r="K42" i="11"/>
  <c r="I42" i="11"/>
  <c r="E42" i="11"/>
  <c r="C42" i="11"/>
  <c r="S342" i="11"/>
  <c r="U342" i="11" s="1"/>
  <c r="R342" i="11"/>
  <c r="O342" i="11"/>
  <c r="S341" i="11"/>
  <c r="U341" i="11" s="1"/>
  <c r="R341" i="11"/>
  <c r="O341" i="11"/>
  <c r="S121" i="11"/>
  <c r="U121" i="11" s="1"/>
  <c r="R121" i="11"/>
  <c r="O121" i="11"/>
  <c r="S120" i="11"/>
  <c r="U120" i="11" s="1"/>
  <c r="R120" i="11"/>
  <c r="O120" i="11"/>
  <c r="S251" i="11"/>
  <c r="U251" i="11" s="1"/>
  <c r="R251" i="11"/>
  <c r="O251" i="11"/>
  <c r="S250" i="11"/>
  <c r="U250" i="11" s="1"/>
  <c r="S340" i="11"/>
  <c r="U340" i="11" s="1"/>
  <c r="R340" i="11"/>
  <c r="O340" i="11"/>
  <c r="S339" i="11"/>
  <c r="U339" i="11" s="1"/>
  <c r="R339" i="11"/>
  <c r="O339" i="11"/>
  <c r="E342" i="11"/>
  <c r="C342" i="11"/>
  <c r="E341" i="11"/>
  <c r="C341" i="11"/>
  <c r="E340" i="11"/>
  <c r="C340" i="11"/>
  <c r="K342" i="11"/>
  <c r="K341" i="11"/>
  <c r="K340" i="11"/>
  <c r="K339" i="11"/>
  <c r="E339" i="11"/>
  <c r="C339" i="11"/>
  <c r="S296" i="11"/>
  <c r="U296" i="11" s="1"/>
  <c r="R296" i="11"/>
  <c r="O296" i="11"/>
  <c r="K299" i="11"/>
  <c r="I299" i="11"/>
  <c r="E299" i="11"/>
  <c r="C299" i="11"/>
  <c r="K298" i="11"/>
  <c r="I298" i="11"/>
  <c r="E298" i="11"/>
  <c r="C298" i="11"/>
  <c r="K297" i="11"/>
  <c r="I297" i="11"/>
  <c r="E297" i="11"/>
  <c r="C297" i="11"/>
  <c r="S154" i="11"/>
  <c r="U154" i="11" s="1"/>
  <c r="R154" i="11"/>
  <c r="O154" i="11"/>
  <c r="S153" i="11"/>
  <c r="U153" i="11" s="1"/>
  <c r="R153" i="11"/>
  <c r="O153" i="11"/>
  <c r="S84" i="11"/>
  <c r="U84" i="11" s="1"/>
  <c r="R84" i="11"/>
  <c r="O84" i="11"/>
  <c r="S83" i="11"/>
  <c r="U83" i="11" s="1"/>
  <c r="R83" i="11"/>
  <c r="O83" i="11"/>
  <c r="S20" i="11"/>
  <c r="U20" i="11" s="1"/>
  <c r="R20" i="11"/>
  <c r="O20" i="11"/>
  <c r="K20" i="11"/>
  <c r="E20" i="11"/>
  <c r="C20" i="11"/>
  <c r="S19" i="11"/>
  <c r="T19" i="11" s="1"/>
  <c r="R19" i="11"/>
  <c r="O19" i="11"/>
  <c r="K19" i="11"/>
  <c r="E19" i="11"/>
  <c r="C19" i="11"/>
  <c r="S119" i="11"/>
  <c r="U119" i="11" s="1"/>
  <c r="R119" i="11"/>
  <c r="O119" i="11"/>
  <c r="S118" i="11"/>
  <c r="U118" i="11" s="1"/>
  <c r="R118" i="11"/>
  <c r="O118" i="11"/>
  <c r="K121" i="11"/>
  <c r="I121" i="11"/>
  <c r="E121" i="11"/>
  <c r="C121" i="11"/>
  <c r="K120" i="11"/>
  <c r="I120" i="11"/>
  <c r="E120" i="11"/>
  <c r="C120" i="11"/>
  <c r="S295" i="11"/>
  <c r="U295" i="11" s="1"/>
  <c r="R295" i="11"/>
  <c r="O295" i="11"/>
  <c r="S294" i="11"/>
  <c r="U294" i="11" s="1"/>
  <c r="R294" i="11"/>
  <c r="O294" i="11"/>
  <c r="S336" i="11"/>
  <c r="T336" i="11" s="1"/>
  <c r="R336" i="11"/>
  <c r="O336" i="11"/>
  <c r="S335" i="11"/>
  <c r="U335" i="11" s="1"/>
  <c r="R335" i="11"/>
  <c r="O335" i="11"/>
  <c r="S334" i="11"/>
  <c r="U334" i="11" s="1"/>
  <c r="R334" i="11"/>
  <c r="O334" i="11"/>
  <c r="K338" i="11"/>
  <c r="I338" i="11"/>
  <c r="E338" i="11"/>
  <c r="C338" i="11"/>
  <c r="K337" i="11"/>
  <c r="I337" i="11"/>
  <c r="E337" i="11"/>
  <c r="C337" i="11"/>
  <c r="K253" i="11"/>
  <c r="I253" i="11"/>
  <c r="E253" i="11"/>
  <c r="C253" i="11"/>
  <c r="K252" i="11"/>
  <c r="I252" i="11"/>
  <c r="E252" i="11"/>
  <c r="C252" i="11"/>
  <c r="K251" i="11"/>
  <c r="I251" i="11"/>
  <c r="E251" i="11"/>
  <c r="C251" i="11"/>
  <c r="R250" i="11"/>
  <c r="O250" i="11"/>
  <c r="K250" i="11"/>
  <c r="I250" i="11"/>
  <c r="E250" i="11"/>
  <c r="C250" i="11"/>
  <c r="S249" i="11"/>
  <c r="U249" i="11" s="1"/>
  <c r="R249" i="11"/>
  <c r="O249" i="11"/>
  <c r="K249" i="11"/>
  <c r="I249" i="11"/>
  <c r="E249" i="11"/>
  <c r="C249" i="11"/>
  <c r="S248" i="11"/>
  <c r="U248" i="11" s="1"/>
  <c r="R248" i="11"/>
  <c r="O248" i="11"/>
  <c r="K248" i="11"/>
  <c r="I248" i="11"/>
  <c r="E248" i="11"/>
  <c r="C248" i="11"/>
  <c r="S420" i="11"/>
  <c r="U420" i="11" s="1"/>
  <c r="R420" i="11"/>
  <c r="O420" i="11"/>
  <c r="S419" i="11"/>
  <c r="U419" i="11" s="1"/>
  <c r="R419" i="11"/>
  <c r="O419" i="11"/>
  <c r="K420" i="11"/>
  <c r="I420" i="11"/>
  <c r="E420" i="11"/>
  <c r="C420" i="11"/>
  <c r="K419" i="11"/>
  <c r="I419" i="11"/>
  <c r="E419" i="11"/>
  <c r="C419" i="11"/>
  <c r="S418" i="11"/>
  <c r="T418" i="11" s="1"/>
  <c r="R418" i="11"/>
  <c r="O418" i="11"/>
  <c r="K418" i="11"/>
  <c r="I418" i="11"/>
  <c r="E418" i="11"/>
  <c r="C418" i="11"/>
  <c r="S82" i="11"/>
  <c r="U82" i="11" s="1"/>
  <c r="R82" i="11"/>
  <c r="O82" i="11"/>
  <c r="K87" i="11"/>
  <c r="I87" i="11"/>
  <c r="E87" i="11"/>
  <c r="C87" i="11"/>
  <c r="K86" i="11"/>
  <c r="I86" i="11"/>
  <c r="E86" i="11"/>
  <c r="C86" i="11"/>
  <c r="K85" i="11"/>
  <c r="I85" i="11"/>
  <c r="E85" i="11"/>
  <c r="C85" i="11"/>
  <c r="S266" i="11"/>
  <c r="U266" i="11" s="1"/>
  <c r="R266" i="11"/>
  <c r="O266" i="11"/>
  <c r="S265" i="11"/>
  <c r="U265" i="11" s="1"/>
  <c r="R265" i="11"/>
  <c r="O265" i="11"/>
  <c r="S264" i="11"/>
  <c r="U264" i="11" s="1"/>
  <c r="R264" i="11"/>
  <c r="O264" i="11"/>
  <c r="K266" i="11"/>
  <c r="I266" i="11"/>
  <c r="E266" i="11"/>
  <c r="C266" i="11"/>
  <c r="K265" i="11"/>
  <c r="I265" i="11"/>
  <c r="E265" i="11"/>
  <c r="C265" i="11"/>
  <c r="K264" i="11"/>
  <c r="I264" i="11"/>
  <c r="E264" i="11"/>
  <c r="C264" i="11"/>
  <c r="S263" i="11"/>
  <c r="U263" i="11" s="1"/>
  <c r="R263" i="11"/>
  <c r="O263" i="11"/>
  <c r="K263" i="11"/>
  <c r="I263" i="11"/>
  <c r="E263" i="11"/>
  <c r="C263" i="11"/>
  <c r="S117" i="11"/>
  <c r="U117" i="11" s="1"/>
  <c r="R117" i="11"/>
  <c r="O117" i="11"/>
  <c r="K119" i="11"/>
  <c r="I119" i="11"/>
  <c r="E119" i="11"/>
  <c r="C119" i="11"/>
  <c r="K118" i="11"/>
  <c r="I118" i="11"/>
  <c r="E118" i="11"/>
  <c r="C118" i="11"/>
  <c r="K117" i="11"/>
  <c r="I117" i="11"/>
  <c r="E117" i="11"/>
  <c r="C117" i="11"/>
  <c r="S116" i="11"/>
  <c r="U116" i="11" s="1"/>
  <c r="R116" i="11"/>
  <c r="O116" i="11"/>
  <c r="K116" i="11"/>
  <c r="I116" i="11"/>
  <c r="E116" i="11"/>
  <c r="C116" i="11"/>
  <c r="S152" i="11"/>
  <c r="U152" i="11" s="1"/>
  <c r="R152" i="11"/>
  <c r="O152" i="11"/>
  <c r="S151" i="11"/>
  <c r="U151" i="11" s="1"/>
  <c r="R151" i="11"/>
  <c r="O151" i="11"/>
  <c r="S41" i="11"/>
  <c r="U41" i="11" s="1"/>
  <c r="R41" i="11"/>
  <c r="O41" i="11"/>
  <c r="S40" i="11"/>
  <c r="U40" i="11" s="1"/>
  <c r="R40" i="11"/>
  <c r="S39" i="11"/>
  <c r="U39" i="11" s="1"/>
  <c r="R39" i="11"/>
  <c r="S38" i="11"/>
  <c r="U38" i="11" s="1"/>
  <c r="R38" i="11"/>
  <c r="S417" i="11"/>
  <c r="U417" i="11" s="1"/>
  <c r="R417" i="11"/>
  <c r="O417" i="11"/>
  <c r="S416" i="11"/>
  <c r="U416" i="11" s="1"/>
  <c r="R416" i="11"/>
  <c r="O416" i="11"/>
  <c r="K417" i="11"/>
  <c r="I417" i="11"/>
  <c r="E417" i="11"/>
  <c r="C417" i="11"/>
  <c r="S262" i="11"/>
  <c r="T262" i="11" s="1"/>
  <c r="R262" i="11"/>
  <c r="O262" i="11"/>
  <c r="S18" i="11"/>
  <c r="U18" i="11" s="1"/>
  <c r="R18" i="11"/>
  <c r="O18" i="11"/>
  <c r="S17" i="11"/>
  <c r="U17" i="11" s="1"/>
  <c r="R17" i="11"/>
  <c r="O17" i="11"/>
  <c r="K18" i="11"/>
  <c r="E18" i="11"/>
  <c r="C18" i="11"/>
  <c r="K17" i="11"/>
  <c r="E17" i="11"/>
  <c r="C17" i="11"/>
  <c r="S16" i="11"/>
  <c r="U16" i="11" s="1"/>
  <c r="R16" i="11"/>
  <c r="O16" i="11"/>
  <c r="K16" i="11"/>
  <c r="E16" i="11"/>
  <c r="C16" i="11"/>
  <c r="S293" i="11"/>
  <c r="U293" i="11" s="1"/>
  <c r="R293" i="11"/>
  <c r="O293" i="11"/>
  <c r="S292" i="11"/>
  <c r="U292" i="11" s="1"/>
  <c r="R292" i="11"/>
  <c r="O292" i="11"/>
  <c r="K296" i="11"/>
  <c r="I296" i="11"/>
  <c r="E296" i="11"/>
  <c r="C296" i="11"/>
  <c r="K295" i="11"/>
  <c r="I295" i="11"/>
  <c r="E295" i="11"/>
  <c r="C295" i="11"/>
  <c r="K294" i="11"/>
  <c r="I294" i="11"/>
  <c r="E294" i="11"/>
  <c r="C294" i="11"/>
  <c r="K293" i="11"/>
  <c r="I293" i="11"/>
  <c r="E293" i="11"/>
  <c r="C293" i="11"/>
  <c r="K292" i="11"/>
  <c r="I292" i="11"/>
  <c r="E292" i="11"/>
  <c r="C292" i="11"/>
  <c r="S291" i="11"/>
  <c r="U291" i="11" s="1"/>
  <c r="R291" i="11"/>
  <c r="O291" i="11"/>
  <c r="K291" i="11"/>
  <c r="I291" i="11"/>
  <c r="E291" i="11"/>
  <c r="C291" i="11"/>
  <c r="S115" i="11"/>
  <c r="U115" i="11" s="1"/>
  <c r="R115" i="11"/>
  <c r="O115" i="11"/>
  <c r="K115" i="11"/>
  <c r="I115" i="11"/>
  <c r="E115" i="11"/>
  <c r="C115" i="11"/>
  <c r="S114" i="11"/>
  <c r="U114" i="11" s="1"/>
  <c r="R114" i="11"/>
  <c r="O114" i="11"/>
  <c r="K114" i="11"/>
  <c r="I114" i="11"/>
  <c r="E114" i="11"/>
  <c r="C114" i="11"/>
  <c r="S333" i="11"/>
  <c r="T333" i="11" s="1"/>
  <c r="R333" i="11"/>
  <c r="O333" i="11"/>
  <c r="S332" i="11"/>
  <c r="U332" i="11" s="1"/>
  <c r="R332" i="11"/>
  <c r="O332" i="11"/>
  <c r="K336" i="11"/>
  <c r="I336" i="11"/>
  <c r="E336" i="11"/>
  <c r="C336" i="11"/>
  <c r="K335" i="11"/>
  <c r="I335" i="11"/>
  <c r="E335" i="11"/>
  <c r="C335" i="11"/>
  <c r="K334" i="11"/>
  <c r="I334" i="11"/>
  <c r="E334" i="11"/>
  <c r="C334" i="11"/>
  <c r="K333" i="11"/>
  <c r="I333" i="11"/>
  <c r="E333" i="11"/>
  <c r="C333" i="11"/>
  <c r="K332" i="11"/>
  <c r="I332" i="11"/>
  <c r="E332" i="11"/>
  <c r="C332" i="11"/>
  <c r="S331" i="11"/>
  <c r="U331" i="11" s="1"/>
  <c r="R331" i="11"/>
  <c r="O331" i="11"/>
  <c r="K331" i="11"/>
  <c r="I331" i="11"/>
  <c r="E331" i="11"/>
  <c r="C331" i="11"/>
  <c r="S208" i="11"/>
  <c r="U208" i="11" s="1"/>
  <c r="R208" i="11"/>
  <c r="O208" i="11"/>
  <c r="S207" i="11"/>
  <c r="U207" i="11" s="1"/>
  <c r="R207" i="11"/>
  <c r="O207" i="11"/>
  <c r="S206" i="11"/>
  <c r="U206" i="11" s="1"/>
  <c r="R206" i="11"/>
  <c r="O206" i="11"/>
  <c r="S205" i="11"/>
  <c r="T205" i="11" s="1"/>
  <c r="R205" i="11"/>
  <c r="O205" i="11"/>
  <c r="K209" i="11"/>
  <c r="I209" i="11"/>
  <c r="E209" i="11"/>
  <c r="C209" i="11"/>
  <c r="K208" i="11"/>
  <c r="I208" i="11"/>
  <c r="E208" i="11"/>
  <c r="C208" i="11"/>
  <c r="K207" i="11"/>
  <c r="I207" i="11"/>
  <c r="E207" i="11"/>
  <c r="C207" i="11"/>
  <c r="K206" i="11"/>
  <c r="I206" i="11"/>
  <c r="E206" i="11"/>
  <c r="C206" i="11"/>
  <c r="K205" i="11"/>
  <c r="I205" i="11"/>
  <c r="E205" i="11"/>
  <c r="C205" i="11"/>
  <c r="S204" i="11"/>
  <c r="T204" i="11" s="1"/>
  <c r="R204" i="11"/>
  <c r="O204" i="11"/>
  <c r="K204" i="11"/>
  <c r="I204" i="11"/>
  <c r="E204" i="11"/>
  <c r="C204" i="11"/>
  <c r="S380" i="11"/>
  <c r="U380" i="11" s="1"/>
  <c r="R380" i="11"/>
  <c r="O380" i="11"/>
  <c r="S379" i="11"/>
  <c r="U379" i="11" s="1"/>
  <c r="R379" i="11"/>
  <c r="O379" i="11"/>
  <c r="S378" i="11"/>
  <c r="U378" i="11" s="1"/>
  <c r="R378" i="11"/>
  <c r="O378" i="11"/>
  <c r="S377" i="11"/>
  <c r="U377" i="11" s="1"/>
  <c r="R377" i="11"/>
  <c r="O377" i="11"/>
  <c r="K380" i="11"/>
  <c r="I380" i="11"/>
  <c r="E380" i="11"/>
  <c r="C380" i="11"/>
  <c r="K379" i="11"/>
  <c r="I379" i="11"/>
  <c r="E379" i="11"/>
  <c r="C379" i="11"/>
  <c r="K378" i="11"/>
  <c r="I378" i="11"/>
  <c r="E378" i="11"/>
  <c r="C378" i="11"/>
  <c r="K377" i="11"/>
  <c r="I377" i="11"/>
  <c r="E377" i="11"/>
  <c r="C377" i="11"/>
  <c r="S376" i="11"/>
  <c r="T376" i="11" s="1"/>
  <c r="R376" i="11"/>
  <c r="O376" i="11"/>
  <c r="K376" i="11"/>
  <c r="I376" i="11"/>
  <c r="E376" i="11"/>
  <c r="C376" i="11"/>
  <c r="K349" i="11"/>
  <c r="K348" i="11"/>
  <c r="K347" i="11"/>
  <c r="K346" i="11"/>
  <c r="K345" i="11"/>
  <c r="K344" i="11"/>
  <c r="K343" i="11"/>
  <c r="I349" i="11"/>
  <c r="E349" i="11"/>
  <c r="C349" i="11"/>
  <c r="I348" i="11"/>
  <c r="E348" i="11"/>
  <c r="C348" i="11"/>
  <c r="S347" i="11"/>
  <c r="U347" i="11" s="1"/>
  <c r="R347" i="11"/>
  <c r="O347" i="11"/>
  <c r="I347" i="11"/>
  <c r="E347" i="11"/>
  <c r="C347" i="11"/>
  <c r="S346" i="11"/>
  <c r="U346" i="11" s="1"/>
  <c r="R346" i="11"/>
  <c r="I346" i="11"/>
  <c r="E346" i="11"/>
  <c r="C346" i="11"/>
  <c r="S345" i="11"/>
  <c r="U345" i="11" s="1"/>
  <c r="R345" i="11"/>
  <c r="I345" i="11"/>
  <c r="E345" i="11"/>
  <c r="C345" i="11"/>
  <c r="S344" i="11"/>
  <c r="U344" i="11" s="1"/>
  <c r="R344" i="11"/>
  <c r="I344" i="11"/>
  <c r="E344" i="11"/>
  <c r="C344" i="11"/>
  <c r="S343" i="11"/>
  <c r="U343" i="11" s="1"/>
  <c r="R343" i="11"/>
  <c r="O343" i="11"/>
  <c r="I343" i="11"/>
  <c r="E343" i="11"/>
  <c r="C343" i="11"/>
  <c r="S150" i="11"/>
  <c r="U150" i="11" s="1"/>
  <c r="R150" i="11"/>
  <c r="O150" i="11"/>
  <c r="K154" i="11"/>
  <c r="I154" i="11"/>
  <c r="E154" i="11"/>
  <c r="C154" i="11"/>
  <c r="K153" i="11"/>
  <c r="I153" i="11"/>
  <c r="E153" i="11"/>
  <c r="C153" i="11"/>
  <c r="K152" i="11"/>
  <c r="I152" i="11"/>
  <c r="E152" i="11"/>
  <c r="C152" i="11"/>
  <c r="K151" i="11"/>
  <c r="I151" i="11"/>
  <c r="E151" i="11"/>
  <c r="C151" i="11"/>
  <c r="K150" i="11"/>
  <c r="I150" i="11"/>
  <c r="E150" i="11"/>
  <c r="C150" i="11"/>
  <c r="S149" i="11"/>
  <c r="U149" i="11" s="1"/>
  <c r="R149" i="11"/>
  <c r="O149" i="11"/>
  <c r="K149" i="11"/>
  <c r="I149" i="11"/>
  <c r="E149" i="11"/>
  <c r="C149" i="11"/>
  <c r="S81" i="11"/>
  <c r="U81" i="11" s="1"/>
  <c r="R81" i="11"/>
  <c r="O81" i="11"/>
  <c r="S80" i="11"/>
  <c r="U80" i="11" s="1"/>
  <c r="R80" i="11"/>
  <c r="O80" i="11"/>
  <c r="K84" i="11"/>
  <c r="I84" i="11"/>
  <c r="E84" i="11"/>
  <c r="C84" i="11"/>
  <c r="K83" i="11"/>
  <c r="I83" i="11"/>
  <c r="E83" i="11"/>
  <c r="C83" i="11"/>
  <c r="K82" i="11"/>
  <c r="I82" i="11"/>
  <c r="E82" i="11"/>
  <c r="C82" i="11"/>
  <c r="K81" i="11"/>
  <c r="I81" i="11"/>
  <c r="E81" i="11"/>
  <c r="C81" i="11"/>
  <c r="K80" i="11"/>
  <c r="I80" i="11"/>
  <c r="E80" i="11"/>
  <c r="C80" i="11"/>
  <c r="S79" i="11"/>
  <c r="T79" i="11" s="1"/>
  <c r="R79" i="11"/>
  <c r="O79" i="11"/>
  <c r="K79" i="11"/>
  <c r="I79" i="11"/>
  <c r="E79" i="11"/>
  <c r="C79" i="11"/>
  <c r="S37" i="11"/>
  <c r="U37" i="11" s="1"/>
  <c r="R37" i="11"/>
  <c r="K41" i="11"/>
  <c r="I41" i="11"/>
  <c r="E41" i="11"/>
  <c r="C41" i="11"/>
  <c r="K40" i="11"/>
  <c r="I40" i="11"/>
  <c r="E40" i="11"/>
  <c r="C40" i="11"/>
  <c r="K39" i="11"/>
  <c r="I39" i="11"/>
  <c r="E39" i="11"/>
  <c r="C39" i="11"/>
  <c r="K38" i="11"/>
  <c r="I38" i="11"/>
  <c r="E38" i="11"/>
  <c r="C38" i="11"/>
  <c r="K37" i="11"/>
  <c r="I37" i="11"/>
  <c r="E37" i="11"/>
  <c r="C37" i="11"/>
  <c r="S36" i="11"/>
  <c r="U36" i="11" s="1"/>
  <c r="R36" i="11"/>
  <c r="K36" i="11"/>
  <c r="I36" i="11"/>
  <c r="E36" i="11"/>
  <c r="C36" i="11"/>
  <c r="S330" i="11"/>
  <c r="U330" i="11" s="1"/>
  <c r="R330" i="11"/>
  <c r="O330" i="11"/>
  <c r="K330" i="11"/>
  <c r="I330" i="11"/>
  <c r="E330" i="11"/>
  <c r="C330" i="11"/>
  <c r="S113" i="11"/>
  <c r="U113" i="11" s="1"/>
  <c r="R113" i="11"/>
  <c r="O113" i="11"/>
  <c r="K113" i="11"/>
  <c r="I113" i="11"/>
  <c r="E113" i="11"/>
  <c r="C113" i="11"/>
  <c r="S290" i="11"/>
  <c r="U290" i="11" s="1"/>
  <c r="R290" i="11"/>
  <c r="O290" i="11"/>
  <c r="K290" i="11"/>
  <c r="I290" i="11"/>
  <c r="E290" i="11"/>
  <c r="C290" i="11"/>
  <c r="S289" i="11"/>
  <c r="U289" i="11" s="1"/>
  <c r="R289" i="11"/>
  <c r="O289" i="11"/>
  <c r="K289" i="11"/>
  <c r="I289" i="11"/>
  <c r="E289" i="11"/>
  <c r="C289" i="11"/>
  <c r="S178" i="11"/>
  <c r="U178" i="11" s="1"/>
  <c r="R178" i="11"/>
  <c r="O178" i="11"/>
  <c r="K178" i="11"/>
  <c r="I178" i="11"/>
  <c r="E178" i="11"/>
  <c r="C178" i="11"/>
  <c r="S177" i="11"/>
  <c r="U177" i="11" s="1"/>
  <c r="R177" i="11"/>
  <c r="O177" i="11"/>
  <c r="K177" i="11"/>
  <c r="I177" i="11"/>
  <c r="E177" i="11"/>
  <c r="C177" i="11"/>
  <c r="AJ235" i="11"/>
  <c r="AJ28" i="11"/>
  <c r="AI235" i="11"/>
  <c r="AI28" i="11"/>
  <c r="AI411" i="11"/>
  <c r="AJ411" i="11" s="1"/>
  <c r="AI410" i="11"/>
  <c r="AJ410" i="11" s="1"/>
  <c r="AI409" i="11"/>
  <c r="AJ409" i="11" s="1"/>
  <c r="AI408" i="11"/>
  <c r="AJ408" i="11" s="1"/>
  <c r="AI405" i="11"/>
  <c r="AJ405" i="11" s="1"/>
  <c r="AI404" i="11"/>
  <c r="AJ404" i="11" s="1"/>
  <c r="AI403" i="11"/>
  <c r="AJ403" i="11" s="1"/>
  <c r="AI402" i="11"/>
  <c r="AJ402" i="11" s="1"/>
  <c r="AI401" i="11"/>
  <c r="AJ401" i="11" s="1"/>
  <c r="AI400" i="11"/>
  <c r="AJ400" i="11" s="1"/>
  <c r="AI399" i="11"/>
  <c r="AJ399" i="11" s="1"/>
  <c r="AI398" i="11"/>
  <c r="AJ398" i="11" s="1"/>
  <c r="AI397" i="11"/>
  <c r="AJ397" i="11" s="1"/>
  <c r="AI396" i="11"/>
  <c r="AJ396" i="11" s="1"/>
  <c r="AI395" i="11"/>
  <c r="AJ395" i="11" s="1"/>
  <c r="AI394" i="11"/>
  <c r="AJ394" i="11" s="1"/>
  <c r="AI381" i="11"/>
  <c r="AJ381" i="11" s="1"/>
  <c r="AI372" i="11"/>
  <c r="AJ372" i="11" s="1"/>
  <c r="AI371" i="11"/>
  <c r="AJ371" i="11" s="1"/>
  <c r="AI370" i="11"/>
  <c r="AJ370" i="11" s="1"/>
  <c r="AI369" i="11"/>
  <c r="AJ369" i="11" s="1"/>
  <c r="AI368" i="11"/>
  <c r="AJ368" i="11" s="1"/>
  <c r="AI367" i="11"/>
  <c r="AJ367" i="11" s="1"/>
  <c r="AI366" i="11"/>
  <c r="AJ366" i="11" s="1"/>
  <c r="AI365" i="11"/>
  <c r="AJ365" i="11" s="1"/>
  <c r="AI364" i="11"/>
  <c r="AJ364" i="11" s="1"/>
  <c r="AI363" i="11"/>
  <c r="AJ363" i="11" s="1"/>
  <c r="AI362" i="11"/>
  <c r="AJ362" i="11" s="1"/>
  <c r="AI361" i="11"/>
  <c r="AJ361" i="11" s="1"/>
  <c r="AI327" i="11"/>
  <c r="AJ327" i="11" s="1"/>
  <c r="AI326" i="11"/>
  <c r="AJ326" i="11" s="1"/>
  <c r="AI325" i="11"/>
  <c r="AJ325" i="11" s="1"/>
  <c r="AI324" i="11"/>
  <c r="AJ324" i="11" s="1"/>
  <c r="AI323" i="11"/>
  <c r="AJ323" i="11" s="1"/>
  <c r="AI322" i="11"/>
  <c r="AJ322" i="11" s="1"/>
  <c r="AI321" i="11"/>
  <c r="AJ321" i="11" s="1"/>
  <c r="AI320" i="11"/>
  <c r="AJ320" i="11" s="1"/>
  <c r="AI319" i="11"/>
  <c r="AJ319" i="11" s="1"/>
  <c r="AI318" i="11"/>
  <c r="AJ318" i="11" s="1"/>
  <c r="AI317" i="11"/>
  <c r="AJ317" i="11" s="1"/>
  <c r="AI316" i="11"/>
  <c r="AJ316" i="11" s="1"/>
  <c r="AI314" i="11"/>
  <c r="AJ314" i="11" s="1"/>
  <c r="AI313" i="11"/>
  <c r="AJ313" i="11" s="1"/>
  <c r="AI312" i="11"/>
  <c r="AJ312" i="11" s="1"/>
  <c r="AI311" i="11"/>
  <c r="AJ311" i="11" s="1"/>
  <c r="AI310" i="11"/>
  <c r="AJ310" i="11" s="1"/>
  <c r="AI309" i="11"/>
  <c r="AJ309" i="11" s="1"/>
  <c r="AI308" i="11"/>
  <c r="AJ308" i="11" s="1"/>
  <c r="AI307" i="11"/>
  <c r="AJ307" i="11" s="1"/>
  <c r="AI306" i="11"/>
  <c r="AJ306" i="11" s="1"/>
  <c r="AI287" i="11"/>
  <c r="AJ287" i="11" s="1"/>
  <c r="AI286" i="11"/>
  <c r="AJ286" i="11" s="1"/>
  <c r="AI285" i="11"/>
  <c r="AJ285" i="11" s="1"/>
  <c r="AI284" i="11"/>
  <c r="AJ284" i="11" s="1"/>
  <c r="AI283" i="11"/>
  <c r="AJ283" i="11" s="1"/>
  <c r="AI282" i="11"/>
  <c r="AJ282" i="11" s="1"/>
  <c r="AI281" i="11"/>
  <c r="AJ281" i="11" s="1"/>
  <c r="AI280" i="11"/>
  <c r="AJ280" i="11" s="1"/>
  <c r="AI279" i="11"/>
  <c r="AJ279" i="11" s="1"/>
  <c r="AI278" i="11"/>
  <c r="AJ278" i="11" s="1"/>
  <c r="AI277" i="11"/>
  <c r="AJ277" i="11" s="1"/>
  <c r="AI276" i="11"/>
  <c r="AJ276" i="11" s="1"/>
  <c r="AI257" i="11"/>
  <c r="AJ257" i="11" s="1"/>
  <c r="AI256" i="11"/>
  <c r="AJ256" i="11" s="1"/>
  <c r="AI255" i="11"/>
  <c r="AJ255" i="11" s="1"/>
  <c r="AI254" i="11"/>
  <c r="AJ254" i="11" s="1"/>
  <c r="AI247" i="11"/>
  <c r="AJ247" i="11" s="1"/>
  <c r="AI246" i="11"/>
  <c r="AJ246" i="11" s="1"/>
  <c r="AI245" i="11"/>
  <c r="AJ245" i="11" s="1"/>
  <c r="AI244" i="11"/>
  <c r="AJ244" i="11" s="1"/>
  <c r="AI243" i="11"/>
  <c r="AJ243" i="11" s="1"/>
  <c r="AI242" i="11"/>
  <c r="AJ242" i="11" s="1"/>
  <c r="AI234" i="11"/>
  <c r="AJ234" i="11" s="1"/>
  <c r="AI233" i="11"/>
  <c r="AJ233" i="11" s="1"/>
  <c r="AI232" i="11"/>
  <c r="AJ232" i="11" s="1"/>
  <c r="AI231" i="11"/>
  <c r="AJ231" i="11" s="1"/>
  <c r="AI230" i="11"/>
  <c r="AJ230" i="11" s="1"/>
  <c r="AI225" i="11"/>
  <c r="AJ225" i="11" s="1"/>
  <c r="AI224" i="11"/>
  <c r="AJ224" i="11" s="1"/>
  <c r="AI223" i="11"/>
  <c r="AJ223" i="11" s="1"/>
  <c r="AI222" i="11"/>
  <c r="AJ222" i="11" s="1"/>
  <c r="AI200" i="11"/>
  <c r="AJ200" i="11" s="1"/>
  <c r="AI199" i="11"/>
  <c r="AJ199" i="11" s="1"/>
  <c r="AI198" i="11"/>
  <c r="AJ198" i="11" s="1"/>
  <c r="AI197" i="11"/>
  <c r="AJ197" i="11" s="1"/>
  <c r="AI196" i="11"/>
  <c r="AJ196" i="11" s="1"/>
  <c r="AI195" i="11"/>
  <c r="AJ195" i="11" s="1"/>
  <c r="AI194" i="11"/>
  <c r="AJ194" i="11" s="1"/>
  <c r="AI193" i="11"/>
  <c r="AJ193" i="11" s="1"/>
  <c r="AI192" i="11"/>
  <c r="AJ192" i="11" s="1"/>
  <c r="AI191" i="11"/>
  <c r="AJ191" i="11" s="1"/>
  <c r="AI190" i="11"/>
  <c r="AJ190" i="11" s="1"/>
  <c r="AI189" i="11"/>
  <c r="AJ189" i="11" s="1"/>
  <c r="AI175" i="11"/>
  <c r="AJ175" i="11" s="1"/>
  <c r="AI174" i="11"/>
  <c r="AJ174" i="11" s="1"/>
  <c r="AI173" i="11"/>
  <c r="AJ173" i="11" s="1"/>
  <c r="AI172" i="11"/>
  <c r="AJ172" i="11" s="1"/>
  <c r="AI171" i="11"/>
  <c r="AJ171" i="11" s="1"/>
  <c r="AI170" i="11"/>
  <c r="AJ170" i="11" s="1"/>
  <c r="AI169" i="11"/>
  <c r="AJ169" i="11" s="1"/>
  <c r="AI168" i="11"/>
  <c r="AJ168" i="11" s="1"/>
  <c r="AI167" i="11"/>
  <c r="AJ167" i="11" s="1"/>
  <c r="AI166" i="11"/>
  <c r="AJ166" i="11" s="1"/>
  <c r="AI165" i="11"/>
  <c r="AJ165" i="11" s="1"/>
  <c r="AI164" i="11"/>
  <c r="AJ164" i="11" s="1"/>
  <c r="AI145" i="11"/>
  <c r="AJ145" i="11" s="1"/>
  <c r="AI144" i="11"/>
  <c r="AJ144" i="11" s="1"/>
  <c r="AI143" i="11"/>
  <c r="AJ143" i="11" s="1"/>
  <c r="AI142" i="11"/>
  <c r="AJ142" i="11" s="1"/>
  <c r="AI141" i="11"/>
  <c r="AJ141" i="11" s="1"/>
  <c r="AI140" i="11"/>
  <c r="AJ140" i="11" s="1"/>
  <c r="AI139" i="11"/>
  <c r="AJ139" i="11" s="1"/>
  <c r="AI138" i="11"/>
  <c r="AJ138" i="11" s="1"/>
  <c r="AI137" i="11"/>
  <c r="AJ137" i="11" s="1"/>
  <c r="AI136" i="11"/>
  <c r="AJ136" i="11" s="1"/>
  <c r="AI135" i="11"/>
  <c r="AJ135" i="11" s="1"/>
  <c r="AI134" i="11"/>
  <c r="AJ134" i="11" s="1"/>
  <c r="AI110" i="11"/>
  <c r="AJ110" i="11" s="1"/>
  <c r="AI109" i="11"/>
  <c r="AJ109" i="11" s="1"/>
  <c r="AI108" i="11"/>
  <c r="AJ108" i="11" s="1"/>
  <c r="AI107" i="11"/>
  <c r="AJ107" i="11" s="1"/>
  <c r="AI106" i="11"/>
  <c r="AJ106" i="11" s="1"/>
  <c r="AI105" i="11"/>
  <c r="AJ105" i="11" s="1"/>
  <c r="AI104" i="11"/>
  <c r="AJ104" i="11" s="1"/>
  <c r="AI103" i="11"/>
  <c r="AJ103" i="11" s="1"/>
  <c r="AI102" i="11"/>
  <c r="AJ102" i="11" s="1"/>
  <c r="AI101" i="11"/>
  <c r="AJ101" i="11" s="1"/>
  <c r="AI100" i="11"/>
  <c r="AJ100" i="11" s="1"/>
  <c r="AI99" i="11"/>
  <c r="AJ99" i="11" s="1"/>
  <c r="AI75" i="11"/>
  <c r="AJ75" i="11" s="1"/>
  <c r="AI74" i="11"/>
  <c r="AJ74" i="11" s="1"/>
  <c r="AI73" i="11"/>
  <c r="AJ73" i="11" s="1"/>
  <c r="AI72" i="11"/>
  <c r="AJ72" i="11" s="1"/>
  <c r="AI71" i="11"/>
  <c r="AJ71" i="11" s="1"/>
  <c r="AI70" i="11"/>
  <c r="AJ70" i="11" s="1"/>
  <c r="AI69" i="11"/>
  <c r="AJ69" i="11" s="1"/>
  <c r="AI68" i="11"/>
  <c r="AJ68" i="11" s="1"/>
  <c r="AI67" i="11"/>
  <c r="AJ67" i="11" s="1"/>
  <c r="AI66" i="11"/>
  <c r="AJ66" i="11" s="1"/>
  <c r="AI65" i="11"/>
  <c r="AJ65" i="11" s="1"/>
  <c r="AI64" i="11"/>
  <c r="AJ64" i="11" s="1"/>
  <c r="AI57" i="11"/>
  <c r="AJ57" i="11" s="1"/>
  <c r="AI56" i="11"/>
  <c r="AJ56" i="11" s="1"/>
  <c r="AI55" i="11"/>
  <c r="AJ55" i="11" s="1"/>
  <c r="AI54" i="11"/>
  <c r="AJ54" i="11" s="1"/>
  <c r="AI53" i="11"/>
  <c r="AJ53" i="11" s="1"/>
  <c r="AI52" i="11"/>
  <c r="AJ52" i="11" s="1"/>
  <c r="AI51" i="11"/>
  <c r="AJ51" i="11" s="1"/>
  <c r="AI50" i="11"/>
  <c r="AJ50" i="11" s="1"/>
  <c r="AI32" i="11"/>
  <c r="AJ32" i="11" s="1"/>
  <c r="AI31" i="11"/>
  <c r="AJ31" i="11" s="1"/>
  <c r="AI30" i="11"/>
  <c r="AJ30" i="11" s="1"/>
  <c r="AI29" i="11"/>
  <c r="AJ29" i="11" s="1"/>
  <c r="AI27" i="11"/>
  <c r="AJ27" i="11" s="1"/>
  <c r="AI26" i="11"/>
  <c r="AJ26" i="11" s="1"/>
  <c r="AI25" i="11"/>
  <c r="AJ25" i="11" s="1"/>
  <c r="AI12" i="11"/>
  <c r="AJ12" i="11" s="1"/>
  <c r="AI11" i="11"/>
  <c r="AJ11" i="11" s="1"/>
  <c r="AI10" i="11"/>
  <c r="AJ10" i="11" s="1"/>
  <c r="AI9" i="11"/>
  <c r="AJ9" i="11" s="1"/>
  <c r="AI8" i="11"/>
  <c r="AJ8" i="11" s="1"/>
  <c r="AI7" i="11"/>
  <c r="AJ7" i="11" s="1"/>
  <c r="T155" i="11" l="1"/>
  <c r="T156" i="11"/>
  <c r="T157" i="11"/>
  <c r="T86" i="11"/>
  <c r="T87" i="11"/>
  <c r="T338" i="11"/>
  <c r="U267" i="11"/>
  <c r="T268" i="11"/>
  <c r="T269" i="11"/>
  <c r="T422" i="11"/>
  <c r="T423" i="11"/>
  <c r="T421" i="11"/>
  <c r="T181" i="11"/>
  <c r="T252" i="11"/>
  <c r="T297" i="11"/>
  <c r="T253" i="11"/>
  <c r="T298" i="11"/>
  <c r="T299" i="11"/>
  <c r="T180" i="11"/>
  <c r="T182" i="11"/>
  <c r="T179" i="11"/>
  <c r="T22" i="11"/>
  <c r="T85" i="11"/>
  <c r="T23" i="11"/>
  <c r="T24" i="11"/>
  <c r="T21" i="11"/>
  <c r="T209" i="11"/>
  <c r="T348" i="11"/>
  <c r="T349" i="11"/>
  <c r="T337" i="11"/>
  <c r="T211" i="11"/>
  <c r="T212" i="11"/>
  <c r="U210" i="11"/>
  <c r="T251" i="11"/>
  <c r="T341" i="11"/>
  <c r="T342" i="11"/>
  <c r="T120" i="11"/>
  <c r="T121" i="11"/>
  <c r="T340" i="11"/>
  <c r="T339" i="11"/>
  <c r="T296" i="11"/>
  <c r="T153" i="11"/>
  <c r="T154" i="11"/>
  <c r="T83" i="11"/>
  <c r="T84" i="11"/>
  <c r="U19" i="11"/>
  <c r="T20" i="11"/>
  <c r="T119" i="11"/>
  <c r="T118" i="11"/>
  <c r="T294" i="11"/>
  <c r="T295" i="11"/>
  <c r="T335" i="11"/>
  <c r="U336" i="11"/>
  <c r="T334" i="11"/>
  <c r="T249" i="11"/>
  <c r="T250" i="11"/>
  <c r="T248" i="11"/>
  <c r="U418" i="11"/>
  <c r="T419" i="11"/>
  <c r="T420" i="11"/>
  <c r="T82" i="11"/>
  <c r="T264" i="11"/>
  <c r="T265" i="11"/>
  <c r="T266" i="11"/>
  <c r="T263" i="11"/>
  <c r="T117" i="11"/>
  <c r="T116" i="11"/>
  <c r="U262" i="11"/>
  <c r="T152" i="11"/>
  <c r="T151" i="11"/>
  <c r="T416" i="11"/>
  <c r="T417" i="11"/>
  <c r="T17" i="11"/>
  <c r="T18" i="11"/>
  <c r="T16" i="11"/>
  <c r="T293" i="11"/>
  <c r="U333" i="11"/>
  <c r="T292" i="11"/>
  <c r="T291" i="11"/>
  <c r="T115" i="11"/>
  <c r="T114" i="11"/>
  <c r="T332" i="11"/>
  <c r="T331" i="11"/>
  <c r="U205" i="11"/>
  <c r="T206" i="11"/>
  <c r="T207" i="11"/>
  <c r="T208" i="11"/>
  <c r="U204" i="11"/>
  <c r="T378" i="11"/>
  <c r="T379" i="11"/>
  <c r="T377" i="11"/>
  <c r="T380" i="11"/>
  <c r="U376" i="11"/>
  <c r="T347" i="11"/>
  <c r="T343" i="11"/>
  <c r="T150" i="11"/>
  <c r="T149" i="11"/>
  <c r="T81" i="11"/>
  <c r="T80" i="11"/>
  <c r="U79" i="11"/>
  <c r="T330" i="11"/>
  <c r="T113" i="11"/>
  <c r="T290" i="11"/>
  <c r="T289" i="11"/>
  <c r="T178" i="11"/>
  <c r="T177" i="11"/>
  <c r="S261" i="11"/>
  <c r="U261" i="11" s="1"/>
  <c r="R261" i="11"/>
  <c r="O261" i="11"/>
  <c r="S260" i="11"/>
  <c r="U260" i="11" s="1"/>
  <c r="R260" i="11"/>
  <c r="O260" i="11"/>
  <c r="K262" i="11"/>
  <c r="I262" i="11"/>
  <c r="E262" i="11"/>
  <c r="C262" i="11"/>
  <c r="K261" i="11"/>
  <c r="I261" i="11"/>
  <c r="E261" i="11"/>
  <c r="C261" i="11"/>
  <c r="K260" i="11"/>
  <c r="I260" i="11"/>
  <c r="E260" i="11"/>
  <c r="C260" i="11"/>
  <c r="S259" i="11"/>
  <c r="T259" i="11" s="1"/>
  <c r="R259" i="11"/>
  <c r="O259" i="11"/>
  <c r="K259" i="11"/>
  <c r="I259" i="11"/>
  <c r="E259" i="11"/>
  <c r="C259" i="11"/>
  <c r="T260" i="11" l="1"/>
  <c r="T261" i="11"/>
  <c r="U259" i="11"/>
  <c r="K416" i="11"/>
  <c r="I416" i="11"/>
  <c r="E416" i="11"/>
  <c r="C416" i="11"/>
  <c r="S415" i="11"/>
  <c r="U415" i="11" s="1"/>
  <c r="R415" i="11"/>
  <c r="O415" i="11"/>
  <c r="K415" i="11"/>
  <c r="I415" i="11"/>
  <c r="E415" i="11"/>
  <c r="C415" i="11"/>
  <c r="S414" i="11"/>
  <c r="U414" i="11" s="1"/>
  <c r="R414" i="11"/>
  <c r="O414" i="11"/>
  <c r="K414" i="11"/>
  <c r="I414" i="11"/>
  <c r="E414" i="11"/>
  <c r="C414" i="11"/>
  <c r="S413" i="11"/>
  <c r="T413" i="11" s="1"/>
  <c r="R413" i="11"/>
  <c r="O413" i="11"/>
  <c r="K413" i="11"/>
  <c r="I413" i="11"/>
  <c r="E413" i="11"/>
  <c r="C413" i="11"/>
  <c r="S15" i="11"/>
  <c r="U15" i="11" s="1"/>
  <c r="R15" i="11"/>
  <c r="O15" i="11"/>
  <c r="S14" i="11"/>
  <c r="U14" i="11" s="1"/>
  <c r="R14" i="11"/>
  <c r="O14" i="11"/>
  <c r="K15" i="11"/>
  <c r="E15" i="11"/>
  <c r="C15" i="11"/>
  <c r="K14" i="11"/>
  <c r="E14" i="11"/>
  <c r="C14" i="11"/>
  <c r="S13" i="11"/>
  <c r="U13" i="11" s="1"/>
  <c r="R13" i="11"/>
  <c r="O13" i="11"/>
  <c r="K13" i="11"/>
  <c r="E13" i="11"/>
  <c r="C13" i="11"/>
  <c r="S203" i="11"/>
  <c r="U203" i="11" s="1"/>
  <c r="R203" i="11"/>
  <c r="O203" i="11"/>
  <c r="S202" i="11"/>
  <c r="U202" i="11" s="1"/>
  <c r="R202" i="11"/>
  <c r="O202" i="11"/>
  <c r="K203" i="11"/>
  <c r="I203" i="11"/>
  <c r="E203" i="11"/>
  <c r="C203" i="11"/>
  <c r="K202" i="11"/>
  <c r="I202" i="11"/>
  <c r="E202" i="11"/>
  <c r="C202" i="11"/>
  <c r="S201" i="11"/>
  <c r="U201" i="11" s="1"/>
  <c r="R201" i="11"/>
  <c r="O201" i="11"/>
  <c r="K201" i="11"/>
  <c r="I201" i="11"/>
  <c r="E201" i="11"/>
  <c r="C201" i="11"/>
  <c r="S148" i="11"/>
  <c r="U148" i="11" s="1"/>
  <c r="R148" i="11"/>
  <c r="O148" i="11"/>
  <c r="S147" i="11"/>
  <c r="U147" i="11" s="1"/>
  <c r="R147" i="11"/>
  <c r="O147" i="11"/>
  <c r="K148" i="11"/>
  <c r="I148" i="11"/>
  <c r="E148" i="11"/>
  <c r="C148" i="11"/>
  <c r="K147" i="11"/>
  <c r="I147" i="11"/>
  <c r="E147" i="11"/>
  <c r="C147" i="11"/>
  <c r="S146" i="11"/>
  <c r="U146" i="11" s="1"/>
  <c r="R146" i="11"/>
  <c r="O146" i="11"/>
  <c r="K146" i="11"/>
  <c r="I146" i="11"/>
  <c r="E146" i="11"/>
  <c r="C146" i="11"/>
  <c r="S35" i="11"/>
  <c r="U35" i="11" s="1"/>
  <c r="R35" i="11"/>
  <c r="S34" i="11"/>
  <c r="U34" i="11" s="1"/>
  <c r="R34" i="11"/>
  <c r="S288" i="11"/>
  <c r="U288" i="11" s="1"/>
  <c r="R288" i="11"/>
  <c r="O288" i="11"/>
  <c r="K288" i="11"/>
  <c r="I288" i="11"/>
  <c r="E288" i="11"/>
  <c r="C288" i="11"/>
  <c r="S176" i="11"/>
  <c r="U176" i="11" s="1"/>
  <c r="R176" i="11"/>
  <c r="O176" i="11"/>
  <c r="K176" i="11"/>
  <c r="I176" i="11"/>
  <c r="E176" i="11"/>
  <c r="C176" i="11"/>
  <c r="S329" i="11"/>
  <c r="U329" i="11" s="1"/>
  <c r="R329" i="11"/>
  <c r="O329" i="11"/>
  <c r="K329" i="11"/>
  <c r="I329" i="11"/>
  <c r="E329" i="11"/>
  <c r="C329" i="11"/>
  <c r="S328" i="11"/>
  <c r="U328" i="11" s="1"/>
  <c r="R328" i="11"/>
  <c r="O328" i="11"/>
  <c r="K328" i="11"/>
  <c r="I328" i="11"/>
  <c r="E328" i="11"/>
  <c r="C328" i="11"/>
  <c r="S78" i="11"/>
  <c r="U78" i="11" s="1"/>
  <c r="R78" i="11"/>
  <c r="O78" i="11"/>
  <c r="S77" i="11"/>
  <c r="U77" i="11" s="1"/>
  <c r="R77" i="11"/>
  <c r="O77" i="11"/>
  <c r="K78" i="11"/>
  <c r="I78" i="11"/>
  <c r="E78" i="11"/>
  <c r="C78" i="11"/>
  <c r="K77" i="11"/>
  <c r="I77" i="11"/>
  <c r="E77" i="11"/>
  <c r="C77" i="11"/>
  <c r="S76" i="11"/>
  <c r="U76" i="11" s="1"/>
  <c r="R76" i="11"/>
  <c r="O76" i="11"/>
  <c r="K76" i="11"/>
  <c r="I76" i="11"/>
  <c r="E76" i="11"/>
  <c r="C76" i="11"/>
  <c r="S375" i="11"/>
  <c r="U375" i="11" s="1"/>
  <c r="R375" i="11"/>
  <c r="O375" i="11"/>
  <c r="S374" i="11"/>
  <c r="T374" i="11" s="1"/>
  <c r="R374" i="11"/>
  <c r="O374" i="11"/>
  <c r="S373" i="11"/>
  <c r="T373" i="11" s="1"/>
  <c r="R373" i="11"/>
  <c r="O373" i="11"/>
  <c r="S145" i="11"/>
  <c r="U145" i="11" s="1"/>
  <c r="R145" i="11"/>
  <c r="AG145" i="11" s="1"/>
  <c r="O145" i="11"/>
  <c r="K145" i="11"/>
  <c r="I145" i="11"/>
  <c r="E145" i="11"/>
  <c r="C145" i="11"/>
  <c r="K375" i="11"/>
  <c r="I375" i="11"/>
  <c r="E375" i="11"/>
  <c r="C375" i="11"/>
  <c r="S287" i="11"/>
  <c r="U287" i="11" s="1"/>
  <c r="R287" i="11"/>
  <c r="AG287" i="11" s="1"/>
  <c r="O287" i="11"/>
  <c r="K287" i="11"/>
  <c r="I287" i="11"/>
  <c r="E287" i="11"/>
  <c r="C287" i="11"/>
  <c r="S175" i="11"/>
  <c r="U175" i="11" s="1"/>
  <c r="R175" i="11"/>
  <c r="AG175" i="11" s="1"/>
  <c r="O175" i="11"/>
  <c r="K175" i="11"/>
  <c r="I175" i="11"/>
  <c r="E175" i="11"/>
  <c r="C175" i="11"/>
  <c r="S407" i="11"/>
  <c r="U407" i="11" s="1"/>
  <c r="R407" i="11"/>
  <c r="O407" i="11"/>
  <c r="S406" i="11"/>
  <c r="U406" i="11" s="1"/>
  <c r="R406" i="11"/>
  <c r="O406" i="11"/>
  <c r="S405" i="11"/>
  <c r="R405" i="11"/>
  <c r="AG405" i="11" s="1"/>
  <c r="O405" i="11"/>
  <c r="K407" i="11"/>
  <c r="I407" i="11"/>
  <c r="E407" i="11"/>
  <c r="C407" i="11"/>
  <c r="K406" i="11"/>
  <c r="I406" i="11"/>
  <c r="E406" i="11"/>
  <c r="C406" i="11"/>
  <c r="K405" i="11"/>
  <c r="I405" i="11"/>
  <c r="E405" i="11"/>
  <c r="C405" i="11"/>
  <c r="S404" i="11"/>
  <c r="R404" i="11"/>
  <c r="AG404" i="11" s="1"/>
  <c r="O404" i="11"/>
  <c r="K404" i="11"/>
  <c r="I404" i="11"/>
  <c r="E404" i="11"/>
  <c r="C404" i="11"/>
  <c r="S12" i="11"/>
  <c r="U12" i="11" s="1"/>
  <c r="R12" i="11"/>
  <c r="AG12" i="11" s="1"/>
  <c r="O12" i="11"/>
  <c r="S11" i="11"/>
  <c r="U11" i="11" s="1"/>
  <c r="R11" i="11"/>
  <c r="AG11" i="11" s="1"/>
  <c r="O11" i="11"/>
  <c r="K12" i="11"/>
  <c r="E12" i="11"/>
  <c r="C12" i="11"/>
  <c r="K11" i="11"/>
  <c r="E11" i="11"/>
  <c r="C11" i="11"/>
  <c r="S10" i="11"/>
  <c r="U10" i="11" s="1"/>
  <c r="R10" i="11"/>
  <c r="AG10" i="11" s="1"/>
  <c r="O10" i="11"/>
  <c r="K10" i="11"/>
  <c r="E10" i="11"/>
  <c r="C10" i="11"/>
  <c r="S327" i="11"/>
  <c r="U327" i="11" s="1"/>
  <c r="R327" i="11"/>
  <c r="AG327" i="11" s="1"/>
  <c r="O327" i="11"/>
  <c r="S326" i="11"/>
  <c r="U326" i="11" s="1"/>
  <c r="R326" i="11"/>
  <c r="AG326" i="11" s="1"/>
  <c r="O326" i="11"/>
  <c r="K327" i="11"/>
  <c r="I327" i="11"/>
  <c r="E327" i="11"/>
  <c r="C327" i="11"/>
  <c r="K326" i="11"/>
  <c r="I326" i="11"/>
  <c r="E326" i="11"/>
  <c r="C326" i="11"/>
  <c r="S325" i="11"/>
  <c r="U325" i="11" s="1"/>
  <c r="R325" i="11"/>
  <c r="AG325" i="11" s="1"/>
  <c r="O325" i="11"/>
  <c r="K325" i="11"/>
  <c r="I325" i="11"/>
  <c r="E325" i="11"/>
  <c r="C325" i="11"/>
  <c r="S200" i="11"/>
  <c r="U200" i="11" s="1"/>
  <c r="R200" i="11"/>
  <c r="AG200" i="11" s="1"/>
  <c r="O200" i="11"/>
  <c r="S199" i="11"/>
  <c r="U199" i="11" s="1"/>
  <c r="R199" i="11"/>
  <c r="AG199" i="11" s="1"/>
  <c r="O199" i="11"/>
  <c r="K200" i="11"/>
  <c r="I200" i="11"/>
  <c r="E200" i="11"/>
  <c r="C200" i="11"/>
  <c r="K199" i="11"/>
  <c r="I199" i="11"/>
  <c r="E199" i="11"/>
  <c r="C199" i="11"/>
  <c r="S198" i="11"/>
  <c r="U198" i="11" s="1"/>
  <c r="R198" i="11"/>
  <c r="AG198" i="11" s="1"/>
  <c r="O198" i="11"/>
  <c r="K198" i="11"/>
  <c r="I198" i="11"/>
  <c r="E198" i="11"/>
  <c r="C198" i="11"/>
  <c r="S286" i="11"/>
  <c r="U286" i="11" s="1"/>
  <c r="R286" i="11"/>
  <c r="AG286" i="11" s="1"/>
  <c r="O286" i="11"/>
  <c r="S174" i="11"/>
  <c r="U174" i="11" s="1"/>
  <c r="R174" i="11"/>
  <c r="AG174" i="11" s="1"/>
  <c r="O174" i="11"/>
  <c r="K174" i="11"/>
  <c r="I174" i="11"/>
  <c r="E174" i="11"/>
  <c r="C174" i="11"/>
  <c r="S173" i="11"/>
  <c r="T173" i="11" s="1"/>
  <c r="R173" i="11"/>
  <c r="AG173" i="11" s="1"/>
  <c r="O173" i="11"/>
  <c r="K173" i="11"/>
  <c r="I173" i="11"/>
  <c r="E173" i="11"/>
  <c r="C173" i="11"/>
  <c r="K35" i="11"/>
  <c r="K34" i="11"/>
  <c r="K33" i="11"/>
  <c r="K32" i="11"/>
  <c r="K31" i="11"/>
  <c r="K30" i="11"/>
  <c r="K29" i="11"/>
  <c r="AE2" i="11"/>
  <c r="AD2" i="11"/>
  <c r="AC2" i="11"/>
  <c r="U404" i="11" l="1"/>
  <c r="U405" i="11"/>
  <c r="U413" i="11"/>
  <c r="T414" i="11"/>
  <c r="T415" i="11"/>
  <c r="T14" i="11"/>
  <c r="T15" i="11"/>
  <c r="T13" i="11"/>
  <c r="T202" i="11"/>
  <c r="T203" i="11"/>
  <c r="T201" i="11"/>
  <c r="T147" i="11"/>
  <c r="T148" i="11"/>
  <c r="T146" i="11"/>
  <c r="T288" i="11"/>
  <c r="T176" i="11"/>
  <c r="T329" i="11"/>
  <c r="T328" i="11"/>
  <c r="T76" i="11"/>
  <c r="T78" i="11"/>
  <c r="T77" i="11"/>
  <c r="T145" i="11"/>
  <c r="U374" i="11"/>
  <c r="U373" i="11"/>
  <c r="T375" i="11"/>
  <c r="T287" i="11"/>
  <c r="T405" i="11"/>
  <c r="AK405" i="11" s="1"/>
  <c r="T175" i="11"/>
  <c r="T404" i="11"/>
  <c r="AK404" i="11" s="1"/>
  <c r="T406" i="11"/>
  <c r="T407" i="11"/>
  <c r="T12" i="11"/>
  <c r="T11" i="11"/>
  <c r="T10" i="11"/>
  <c r="T326" i="11"/>
  <c r="T327" i="11"/>
  <c r="T325" i="11"/>
  <c r="T198" i="11"/>
  <c r="T199" i="11"/>
  <c r="T200" i="11"/>
  <c r="T286" i="11"/>
  <c r="T174" i="11"/>
  <c r="U173" i="11"/>
  <c r="S372" i="11"/>
  <c r="U372" i="11" s="1"/>
  <c r="R372" i="11"/>
  <c r="AG372" i="11" s="1"/>
  <c r="O372" i="11"/>
  <c r="S371" i="11"/>
  <c r="U371" i="11" s="1"/>
  <c r="R371" i="11"/>
  <c r="AG371" i="11" s="1"/>
  <c r="O371" i="11"/>
  <c r="K374" i="11"/>
  <c r="I374" i="11"/>
  <c r="E374" i="11"/>
  <c r="C374" i="11"/>
  <c r="K373" i="11"/>
  <c r="I373" i="11"/>
  <c r="E373" i="11"/>
  <c r="C373" i="11"/>
  <c r="K372" i="11"/>
  <c r="I372" i="11"/>
  <c r="E372" i="11"/>
  <c r="C372" i="11"/>
  <c r="K371" i="11"/>
  <c r="I371" i="11"/>
  <c r="E371" i="11"/>
  <c r="C371" i="11"/>
  <c r="S370" i="11"/>
  <c r="T370" i="11" s="1"/>
  <c r="R370" i="11"/>
  <c r="AG370" i="11" s="1"/>
  <c r="O370" i="11"/>
  <c r="K370" i="11"/>
  <c r="I370" i="11"/>
  <c r="E370" i="11"/>
  <c r="C370" i="11"/>
  <c r="S112" i="11"/>
  <c r="U112" i="11" s="1"/>
  <c r="R112" i="11"/>
  <c r="O112" i="11"/>
  <c r="S111" i="11"/>
  <c r="U111" i="11" s="1"/>
  <c r="R111" i="11"/>
  <c r="O111" i="11"/>
  <c r="S110" i="11"/>
  <c r="R110" i="11"/>
  <c r="AG110" i="11" s="1"/>
  <c r="O110" i="11"/>
  <c r="S109" i="11"/>
  <c r="R109" i="11"/>
  <c r="AG109" i="11" s="1"/>
  <c r="O109" i="11"/>
  <c r="K112" i="11"/>
  <c r="I112" i="11"/>
  <c r="E112" i="11"/>
  <c r="C112" i="11"/>
  <c r="K111" i="11"/>
  <c r="I111" i="11"/>
  <c r="E111" i="11"/>
  <c r="C111" i="11"/>
  <c r="K110" i="11"/>
  <c r="I110" i="11"/>
  <c r="E110" i="11"/>
  <c r="C110" i="11"/>
  <c r="K109" i="11"/>
  <c r="I109" i="11"/>
  <c r="E109" i="11"/>
  <c r="C109" i="11"/>
  <c r="S108" i="11"/>
  <c r="R108" i="11"/>
  <c r="AG108" i="11" s="1"/>
  <c r="O108" i="11"/>
  <c r="K108" i="11"/>
  <c r="I108" i="11"/>
  <c r="E108" i="11"/>
  <c r="C108" i="11"/>
  <c r="S33" i="11"/>
  <c r="U33" i="11" s="1"/>
  <c r="R33" i="11"/>
  <c r="S32" i="11"/>
  <c r="U32" i="11" s="1"/>
  <c r="R32" i="11"/>
  <c r="AG32" i="11" s="1"/>
  <c r="S31" i="11"/>
  <c r="R31" i="11"/>
  <c r="AG31" i="11" s="1"/>
  <c r="S30" i="11"/>
  <c r="U30" i="11" s="1"/>
  <c r="R30" i="11"/>
  <c r="AG30" i="11" s="1"/>
  <c r="O29" i="11"/>
  <c r="I35" i="11"/>
  <c r="E35" i="11"/>
  <c r="C35" i="11"/>
  <c r="I34" i="11"/>
  <c r="E34" i="11"/>
  <c r="C34" i="11"/>
  <c r="I33" i="11"/>
  <c r="E33" i="11"/>
  <c r="C33" i="11"/>
  <c r="I32" i="11"/>
  <c r="E32" i="11"/>
  <c r="C32" i="11"/>
  <c r="I31" i="11"/>
  <c r="E31" i="11"/>
  <c r="C31" i="11"/>
  <c r="I30" i="11"/>
  <c r="E30" i="11"/>
  <c r="C30" i="11"/>
  <c r="S29" i="11"/>
  <c r="U29" i="11" s="1"/>
  <c r="R29" i="11"/>
  <c r="AG29" i="11" s="1"/>
  <c r="I29" i="11"/>
  <c r="E29" i="11"/>
  <c r="C29" i="11"/>
  <c r="K412" i="11"/>
  <c r="K411" i="11"/>
  <c r="K410" i="11"/>
  <c r="K409" i="11"/>
  <c r="K408" i="11"/>
  <c r="S412" i="11"/>
  <c r="U412" i="11" s="1"/>
  <c r="R412" i="11"/>
  <c r="O412" i="11"/>
  <c r="I412" i="11"/>
  <c r="E412" i="11"/>
  <c r="C412" i="11"/>
  <c r="S411" i="11"/>
  <c r="U411" i="11" s="1"/>
  <c r="R411" i="11"/>
  <c r="AG411" i="11" s="1"/>
  <c r="O411" i="11"/>
  <c r="I411" i="11"/>
  <c r="E411" i="11"/>
  <c r="C411" i="11"/>
  <c r="S410" i="11"/>
  <c r="U410" i="11" s="1"/>
  <c r="R410" i="11"/>
  <c r="AG410" i="11" s="1"/>
  <c r="O410" i="11"/>
  <c r="I410" i="11"/>
  <c r="E410" i="11"/>
  <c r="C410" i="11"/>
  <c r="S409" i="11"/>
  <c r="U409" i="11" s="1"/>
  <c r="R409" i="11"/>
  <c r="AG409" i="11" s="1"/>
  <c r="O409" i="11"/>
  <c r="I409" i="11"/>
  <c r="E409" i="11"/>
  <c r="C409" i="11"/>
  <c r="S408" i="11"/>
  <c r="U408" i="11" s="1"/>
  <c r="R408" i="11"/>
  <c r="AG408" i="11" s="1"/>
  <c r="O408" i="11"/>
  <c r="I408" i="11"/>
  <c r="E408" i="11"/>
  <c r="C408" i="11"/>
  <c r="S258" i="11"/>
  <c r="U258" i="11" s="1"/>
  <c r="R258" i="11"/>
  <c r="O258" i="11"/>
  <c r="K258" i="11"/>
  <c r="I258" i="11"/>
  <c r="E258" i="11"/>
  <c r="C258" i="11"/>
  <c r="S257" i="11"/>
  <c r="U257" i="11" s="1"/>
  <c r="R257" i="11"/>
  <c r="AG257" i="11" s="1"/>
  <c r="O257" i="11"/>
  <c r="K257" i="11"/>
  <c r="I257" i="11"/>
  <c r="E257" i="11"/>
  <c r="C257" i="11"/>
  <c r="S256" i="11"/>
  <c r="U256" i="11" s="1"/>
  <c r="R256" i="11"/>
  <c r="AG256" i="11" s="1"/>
  <c r="O256" i="11"/>
  <c r="K256" i="11"/>
  <c r="I256" i="11"/>
  <c r="E256" i="11"/>
  <c r="C256" i="11"/>
  <c r="S255" i="11"/>
  <c r="U255" i="11" s="1"/>
  <c r="R255" i="11"/>
  <c r="AG255" i="11" s="1"/>
  <c r="O255" i="11"/>
  <c r="K255" i="11"/>
  <c r="I255" i="11"/>
  <c r="E255" i="11"/>
  <c r="C255" i="11"/>
  <c r="K254" i="11"/>
  <c r="S254" i="11"/>
  <c r="U254" i="11" s="1"/>
  <c r="R254" i="11"/>
  <c r="AG254" i="11" s="1"/>
  <c r="O254" i="11"/>
  <c r="I254" i="11"/>
  <c r="E254" i="11"/>
  <c r="C254" i="11"/>
  <c r="S314" i="11"/>
  <c r="U314" i="11" s="1"/>
  <c r="R314" i="11"/>
  <c r="AG314" i="11" s="1"/>
  <c r="O314" i="11"/>
  <c r="S285" i="11"/>
  <c r="U285" i="11" s="1"/>
  <c r="R285" i="11"/>
  <c r="AG285" i="11" s="1"/>
  <c r="O285" i="11"/>
  <c r="S284" i="11"/>
  <c r="U284" i="11" s="1"/>
  <c r="R284" i="11"/>
  <c r="AG284" i="11" s="1"/>
  <c r="O284" i="11"/>
  <c r="S283" i="11"/>
  <c r="U283" i="11" s="1"/>
  <c r="R283" i="11"/>
  <c r="AG283" i="11" s="1"/>
  <c r="O283" i="11"/>
  <c r="K286" i="11"/>
  <c r="I286" i="11"/>
  <c r="E286" i="11"/>
  <c r="C286" i="11"/>
  <c r="K285" i="11"/>
  <c r="I285" i="11"/>
  <c r="E285" i="11"/>
  <c r="C285" i="11"/>
  <c r="K284" i="11"/>
  <c r="I284" i="11"/>
  <c r="E284" i="11"/>
  <c r="C284" i="11"/>
  <c r="K283" i="11"/>
  <c r="I283" i="11"/>
  <c r="E283" i="11"/>
  <c r="C283" i="11"/>
  <c r="S282" i="11"/>
  <c r="U282" i="11" s="1"/>
  <c r="R282" i="11"/>
  <c r="AG282" i="11" s="1"/>
  <c r="O282" i="11"/>
  <c r="K282" i="11"/>
  <c r="I282" i="11"/>
  <c r="E282" i="11"/>
  <c r="C282" i="11"/>
  <c r="S172" i="11"/>
  <c r="U172" i="11" s="1"/>
  <c r="R172" i="11"/>
  <c r="AG172" i="11" s="1"/>
  <c r="O172" i="11"/>
  <c r="S171" i="11"/>
  <c r="U171" i="11" s="1"/>
  <c r="R171" i="11"/>
  <c r="AG171" i="11" s="1"/>
  <c r="O171" i="11"/>
  <c r="K172" i="11"/>
  <c r="I172" i="11"/>
  <c r="E172" i="11"/>
  <c r="C172" i="11"/>
  <c r="K171" i="11"/>
  <c r="I171" i="11"/>
  <c r="E171" i="11"/>
  <c r="C171" i="11"/>
  <c r="S170" i="11"/>
  <c r="U170" i="11" s="1"/>
  <c r="R170" i="11"/>
  <c r="AG170" i="11" s="1"/>
  <c r="O170" i="11"/>
  <c r="K170" i="11"/>
  <c r="I170" i="11"/>
  <c r="E170" i="11"/>
  <c r="C170" i="11"/>
  <c r="S107" i="11"/>
  <c r="R107" i="11"/>
  <c r="AG107" i="11" s="1"/>
  <c r="O107" i="11"/>
  <c r="S106" i="11"/>
  <c r="R106" i="11"/>
  <c r="AG106" i="11" s="1"/>
  <c r="O106" i="11"/>
  <c r="K107" i="11"/>
  <c r="I107" i="11"/>
  <c r="E107" i="11"/>
  <c r="C107" i="11"/>
  <c r="K106" i="11"/>
  <c r="I106" i="11"/>
  <c r="E106" i="11"/>
  <c r="C106" i="11"/>
  <c r="S105" i="11"/>
  <c r="R105" i="11"/>
  <c r="AG105" i="11" s="1"/>
  <c r="O105" i="11"/>
  <c r="K105" i="11"/>
  <c r="I105" i="11"/>
  <c r="E105" i="11"/>
  <c r="C105" i="11"/>
  <c r="S9" i="11"/>
  <c r="U9" i="11" s="1"/>
  <c r="R9" i="11"/>
  <c r="AG9" i="11" s="1"/>
  <c r="O9" i="11"/>
  <c r="K9" i="11"/>
  <c r="E9" i="11"/>
  <c r="C9" i="11"/>
  <c r="S8" i="11"/>
  <c r="U8" i="11" s="1"/>
  <c r="R8" i="11"/>
  <c r="AG8" i="11" s="1"/>
  <c r="O8" i="11"/>
  <c r="K8" i="11"/>
  <c r="E8" i="11"/>
  <c r="C8" i="11"/>
  <c r="S7" i="11"/>
  <c r="T7" i="11" s="1"/>
  <c r="R7" i="11"/>
  <c r="AG7" i="11" s="1"/>
  <c r="O7" i="11"/>
  <c r="K7" i="11"/>
  <c r="E7" i="11"/>
  <c r="C7" i="11"/>
  <c r="S324" i="11"/>
  <c r="U324" i="11" s="1"/>
  <c r="R324" i="11"/>
  <c r="AG324" i="11" s="1"/>
  <c r="O324" i="11"/>
  <c r="S323" i="11"/>
  <c r="U323" i="11" s="1"/>
  <c r="R323" i="11"/>
  <c r="AG323" i="11" s="1"/>
  <c r="O323" i="11"/>
  <c r="K324" i="11"/>
  <c r="I324" i="11"/>
  <c r="E324" i="11"/>
  <c r="C324" i="11"/>
  <c r="K323" i="11"/>
  <c r="I323" i="11"/>
  <c r="E323" i="11"/>
  <c r="C323" i="11"/>
  <c r="S322" i="11"/>
  <c r="U322" i="11" s="1"/>
  <c r="R322" i="11"/>
  <c r="AG322" i="11" s="1"/>
  <c r="O322" i="11"/>
  <c r="K322" i="11"/>
  <c r="I322" i="11"/>
  <c r="E322" i="11"/>
  <c r="C322" i="11"/>
  <c r="S197" i="11"/>
  <c r="T197" i="11" s="1"/>
  <c r="R197" i="11"/>
  <c r="AG197" i="11" s="1"/>
  <c r="O197" i="11"/>
  <c r="S196" i="11"/>
  <c r="U196" i="11" s="1"/>
  <c r="R196" i="11"/>
  <c r="AG196" i="11" s="1"/>
  <c r="O196" i="11"/>
  <c r="U109" i="11" l="1"/>
  <c r="U110" i="11"/>
  <c r="U106" i="11"/>
  <c r="U108" i="11"/>
  <c r="T105" i="11"/>
  <c r="AK105" i="11" s="1"/>
  <c r="U107" i="11"/>
  <c r="T371" i="11"/>
  <c r="T372" i="11"/>
  <c r="U370" i="11"/>
  <c r="T109" i="11"/>
  <c r="AK109" i="11" s="1"/>
  <c r="T110" i="11"/>
  <c r="AK110" i="11" s="1"/>
  <c r="T111" i="11"/>
  <c r="T112" i="11"/>
  <c r="T108" i="11"/>
  <c r="AK108" i="11" s="1"/>
  <c r="U31" i="11"/>
  <c r="T29" i="11"/>
  <c r="T411" i="11"/>
  <c r="T410" i="11"/>
  <c r="T412" i="11"/>
  <c r="T409" i="11"/>
  <c r="T408" i="11"/>
  <c r="T256" i="11"/>
  <c r="T257" i="11"/>
  <c r="T255" i="11"/>
  <c r="T258" i="11"/>
  <c r="T254" i="11"/>
  <c r="T314" i="11"/>
  <c r="T283" i="11"/>
  <c r="T284" i="11"/>
  <c r="T285" i="11"/>
  <c r="T282" i="11"/>
  <c r="T171" i="11"/>
  <c r="T172" i="11"/>
  <c r="T170" i="11"/>
  <c r="T107" i="11"/>
  <c r="AK107" i="11" s="1"/>
  <c r="T106" i="11"/>
  <c r="AK106" i="11" s="1"/>
  <c r="U105" i="11"/>
  <c r="T8" i="11"/>
  <c r="U7" i="11"/>
  <c r="T9" i="11"/>
  <c r="T323" i="11"/>
  <c r="T324" i="11"/>
  <c r="T322" i="11"/>
  <c r="U197" i="11"/>
  <c r="T196" i="11"/>
  <c r="K197" i="11"/>
  <c r="I197" i="11"/>
  <c r="E197" i="11"/>
  <c r="C197" i="11"/>
  <c r="K196" i="11"/>
  <c r="I196" i="11"/>
  <c r="E196" i="11"/>
  <c r="C196" i="11"/>
  <c r="S195" i="11"/>
  <c r="T195" i="11" s="1"/>
  <c r="R195" i="11"/>
  <c r="AG195" i="11" s="1"/>
  <c r="O195" i="11"/>
  <c r="K195" i="11"/>
  <c r="I195" i="11"/>
  <c r="E195" i="11"/>
  <c r="C195" i="11"/>
  <c r="U195" i="11" l="1"/>
  <c r="S169" i="11"/>
  <c r="U169" i="11" s="1"/>
  <c r="R169" i="11"/>
  <c r="AG169" i="11" s="1"/>
  <c r="O169" i="11"/>
  <c r="K169" i="11"/>
  <c r="I169" i="11"/>
  <c r="E169" i="11"/>
  <c r="C169" i="11"/>
  <c r="S57" i="11"/>
  <c r="U57" i="11" s="1"/>
  <c r="R57" i="11"/>
  <c r="AG57" i="11" s="1"/>
  <c r="O57" i="11"/>
  <c r="S56" i="11"/>
  <c r="U56" i="11" s="1"/>
  <c r="R56" i="11"/>
  <c r="AG56" i="11" s="1"/>
  <c r="O56" i="11"/>
  <c r="K57" i="11"/>
  <c r="I57" i="11"/>
  <c r="E57" i="11"/>
  <c r="C57" i="11"/>
  <c r="K56" i="11"/>
  <c r="I56" i="11"/>
  <c r="E56" i="11"/>
  <c r="C56" i="11"/>
  <c r="S313" i="11"/>
  <c r="U313" i="11" s="1"/>
  <c r="R313" i="11"/>
  <c r="AG313" i="11" s="1"/>
  <c r="O313" i="11"/>
  <c r="S312" i="11"/>
  <c r="U312" i="11" s="1"/>
  <c r="R312" i="11"/>
  <c r="AG312" i="11" s="1"/>
  <c r="O312" i="11"/>
  <c r="K314" i="11"/>
  <c r="I314" i="11"/>
  <c r="E314" i="11"/>
  <c r="C314" i="11"/>
  <c r="K313" i="11"/>
  <c r="I313" i="11"/>
  <c r="E313" i="11"/>
  <c r="C313" i="11"/>
  <c r="K312" i="11"/>
  <c r="I312" i="11"/>
  <c r="E312" i="11"/>
  <c r="C312" i="11"/>
  <c r="S144" i="11"/>
  <c r="U144" i="11" s="1"/>
  <c r="R144" i="11"/>
  <c r="AG144" i="11" s="1"/>
  <c r="O144" i="11"/>
  <c r="S143" i="11"/>
  <c r="U143" i="11" s="1"/>
  <c r="R143" i="11"/>
  <c r="AG143" i="11" s="1"/>
  <c r="O143" i="11"/>
  <c r="S142" i="11"/>
  <c r="U142" i="11" s="1"/>
  <c r="R142" i="11"/>
  <c r="AG142" i="11" s="1"/>
  <c r="O142" i="11"/>
  <c r="S141" i="11"/>
  <c r="U141" i="11" s="1"/>
  <c r="R141" i="11"/>
  <c r="AG141" i="11" s="1"/>
  <c r="O141" i="11"/>
  <c r="S140" i="11"/>
  <c r="U140" i="11" s="1"/>
  <c r="R140" i="11"/>
  <c r="AG140" i="11" s="1"/>
  <c r="O140" i="11"/>
  <c r="K144" i="11"/>
  <c r="I144" i="11"/>
  <c r="E144" i="11"/>
  <c r="C144" i="11"/>
  <c r="K143" i="11"/>
  <c r="I143" i="11"/>
  <c r="E143" i="11"/>
  <c r="C143" i="11"/>
  <c r="K142" i="11"/>
  <c r="I142" i="11"/>
  <c r="E142" i="11"/>
  <c r="C142" i="11"/>
  <c r="K141" i="11"/>
  <c r="I141" i="11"/>
  <c r="E141" i="11"/>
  <c r="C141" i="11"/>
  <c r="K140" i="11"/>
  <c r="I140" i="11"/>
  <c r="E140" i="11"/>
  <c r="C140" i="11"/>
  <c r="S75" i="11"/>
  <c r="U75" i="11" s="1"/>
  <c r="R75" i="11"/>
  <c r="AG75" i="11" s="1"/>
  <c r="O75" i="11"/>
  <c r="S74" i="11"/>
  <c r="U74" i="11" s="1"/>
  <c r="R74" i="11"/>
  <c r="AG74" i="11" s="1"/>
  <c r="O74" i="11"/>
  <c r="S73" i="11"/>
  <c r="U73" i="11" s="1"/>
  <c r="R73" i="11"/>
  <c r="AG73" i="11" s="1"/>
  <c r="O73" i="11"/>
  <c r="S72" i="11"/>
  <c r="U72" i="11" s="1"/>
  <c r="R72" i="11"/>
  <c r="AG72" i="11" s="1"/>
  <c r="O72" i="11"/>
  <c r="S71" i="11"/>
  <c r="U71" i="11" s="1"/>
  <c r="R71" i="11"/>
  <c r="AG71" i="11" s="1"/>
  <c r="O71" i="11"/>
  <c r="S70" i="11"/>
  <c r="U70" i="11" s="1"/>
  <c r="R70" i="11"/>
  <c r="AG70" i="11" s="1"/>
  <c r="O70" i="11"/>
  <c r="K75" i="11"/>
  <c r="I75" i="11"/>
  <c r="E75" i="11"/>
  <c r="C75" i="11"/>
  <c r="K74" i="11"/>
  <c r="I74" i="11"/>
  <c r="E74" i="11"/>
  <c r="C74" i="11"/>
  <c r="K73" i="11"/>
  <c r="I73" i="11"/>
  <c r="E73" i="11"/>
  <c r="C73" i="11"/>
  <c r="K72" i="11"/>
  <c r="I72" i="11"/>
  <c r="E72" i="11"/>
  <c r="C72" i="11"/>
  <c r="K71" i="11"/>
  <c r="I71" i="11"/>
  <c r="E71" i="11"/>
  <c r="C71" i="11"/>
  <c r="K70" i="11"/>
  <c r="I70" i="11"/>
  <c r="E70" i="11"/>
  <c r="C70" i="11"/>
  <c r="S235" i="11"/>
  <c r="U235" i="11" s="1"/>
  <c r="R235" i="11"/>
  <c r="AG235" i="11" s="1"/>
  <c r="E235" i="11"/>
  <c r="C235" i="11"/>
  <c r="S403" i="11"/>
  <c r="R403" i="11"/>
  <c r="AG403" i="11" s="1"/>
  <c r="O403" i="11"/>
  <c r="S402" i="11"/>
  <c r="R402" i="11"/>
  <c r="AG402" i="11" s="1"/>
  <c r="O402" i="11"/>
  <c r="S401" i="11"/>
  <c r="R401" i="11"/>
  <c r="AG401" i="11" s="1"/>
  <c r="O401" i="11"/>
  <c r="S400" i="11"/>
  <c r="R400" i="11"/>
  <c r="AG400" i="11" s="1"/>
  <c r="O400" i="11"/>
  <c r="S399" i="11"/>
  <c r="R399" i="11"/>
  <c r="AG399" i="11" s="1"/>
  <c r="O399" i="11"/>
  <c r="S398" i="11"/>
  <c r="R398" i="11"/>
  <c r="AG398" i="11" s="1"/>
  <c r="O398" i="11"/>
  <c r="S247" i="11"/>
  <c r="U247" i="11" s="1"/>
  <c r="R247" i="11"/>
  <c r="AG247" i="11" s="1"/>
  <c r="O247" i="11"/>
  <c r="S246" i="11"/>
  <c r="T246" i="11" s="1"/>
  <c r="R246" i="11"/>
  <c r="AG246" i="11" s="1"/>
  <c r="O246" i="11"/>
  <c r="S168" i="11"/>
  <c r="U168" i="11" s="1"/>
  <c r="R168" i="11"/>
  <c r="AG168" i="11" s="1"/>
  <c r="O168" i="11"/>
  <c r="K168" i="11"/>
  <c r="I168" i="11"/>
  <c r="E168" i="11"/>
  <c r="C168" i="11"/>
  <c r="S167" i="11"/>
  <c r="U167" i="11" s="1"/>
  <c r="R167" i="11"/>
  <c r="AG167" i="11" s="1"/>
  <c r="O167" i="11"/>
  <c r="K167" i="11"/>
  <c r="I167" i="11"/>
  <c r="E167" i="11"/>
  <c r="C167" i="11"/>
  <c r="S311" i="11"/>
  <c r="U311" i="11" s="1"/>
  <c r="R311" i="11"/>
  <c r="AG311" i="11" s="1"/>
  <c r="O311" i="11"/>
  <c r="S310" i="11"/>
  <c r="U310" i="11" s="1"/>
  <c r="R310" i="11"/>
  <c r="AG310" i="11" s="1"/>
  <c r="O310" i="11"/>
  <c r="K311" i="11"/>
  <c r="I311" i="11"/>
  <c r="E311" i="11"/>
  <c r="C311" i="11"/>
  <c r="K310" i="11"/>
  <c r="I310" i="11"/>
  <c r="E310" i="11"/>
  <c r="C310" i="11"/>
  <c r="S309" i="11"/>
  <c r="U309" i="11" s="1"/>
  <c r="R309" i="11"/>
  <c r="AG309" i="11" s="1"/>
  <c r="O309" i="11"/>
  <c r="K309" i="11"/>
  <c r="I309" i="11"/>
  <c r="E309" i="11"/>
  <c r="C309" i="11"/>
  <c r="S139" i="11"/>
  <c r="U139" i="11" s="1"/>
  <c r="R139" i="11"/>
  <c r="AG139" i="11" s="1"/>
  <c r="O139" i="11"/>
  <c r="S138" i="11"/>
  <c r="U138" i="11" s="1"/>
  <c r="R138" i="11"/>
  <c r="AG138" i="11" s="1"/>
  <c r="O138" i="11"/>
  <c r="K139" i="11"/>
  <c r="I139" i="11"/>
  <c r="E139" i="11"/>
  <c r="C139" i="11"/>
  <c r="K138" i="11"/>
  <c r="I138" i="11"/>
  <c r="E138" i="11"/>
  <c r="C138" i="11"/>
  <c r="S137" i="11"/>
  <c r="U137" i="11" s="1"/>
  <c r="R137" i="11"/>
  <c r="AG137" i="11" s="1"/>
  <c r="O137" i="11"/>
  <c r="K137" i="11"/>
  <c r="I137" i="11"/>
  <c r="E137" i="11"/>
  <c r="C137" i="11"/>
  <c r="S55" i="11"/>
  <c r="U55" i="11" s="1"/>
  <c r="R55" i="11"/>
  <c r="AG55" i="11" s="1"/>
  <c r="O55" i="11"/>
  <c r="S54" i="11"/>
  <c r="U54" i="11" s="1"/>
  <c r="R54" i="11"/>
  <c r="AG54" i="11" s="1"/>
  <c r="O54" i="11"/>
  <c r="K55" i="11"/>
  <c r="I55" i="11"/>
  <c r="E55" i="11"/>
  <c r="C55" i="11"/>
  <c r="K54" i="11"/>
  <c r="I54" i="11"/>
  <c r="E54" i="11"/>
  <c r="C54" i="11"/>
  <c r="S53" i="11"/>
  <c r="T53" i="11" s="1"/>
  <c r="R53" i="11"/>
  <c r="AG53" i="11" s="1"/>
  <c r="O53" i="11"/>
  <c r="K53" i="11"/>
  <c r="I53" i="11"/>
  <c r="E53" i="11"/>
  <c r="C53" i="11"/>
  <c r="S28" i="11"/>
  <c r="U28" i="11" s="1"/>
  <c r="R28" i="11"/>
  <c r="AG28" i="11" s="1"/>
  <c r="I28" i="11"/>
  <c r="E28" i="11"/>
  <c r="C28" i="11"/>
  <c r="S27" i="11"/>
  <c r="U27" i="11" s="1"/>
  <c r="R27" i="11"/>
  <c r="AG27" i="11" s="1"/>
  <c r="K27" i="11"/>
  <c r="I27" i="11"/>
  <c r="E27" i="11"/>
  <c r="C27" i="11"/>
  <c r="S26" i="11"/>
  <c r="U26" i="11" s="1"/>
  <c r="R26" i="11"/>
  <c r="AG26" i="11" s="1"/>
  <c r="K26" i="11"/>
  <c r="I26" i="11"/>
  <c r="E26" i="11"/>
  <c r="C26" i="11"/>
  <c r="S25" i="11"/>
  <c r="R25" i="11"/>
  <c r="AG25" i="11" s="1"/>
  <c r="K25" i="11"/>
  <c r="I25" i="11"/>
  <c r="E25" i="11"/>
  <c r="C25" i="11"/>
  <c r="C63" i="11"/>
  <c r="S194" i="11"/>
  <c r="U194" i="11" s="1"/>
  <c r="R194" i="11"/>
  <c r="AG194" i="11" s="1"/>
  <c r="O194" i="11"/>
  <c r="S193" i="11"/>
  <c r="U193" i="11" s="1"/>
  <c r="R193" i="11"/>
  <c r="AG193" i="11" s="1"/>
  <c r="O193" i="11"/>
  <c r="K194" i="11"/>
  <c r="I194" i="11"/>
  <c r="E194" i="11"/>
  <c r="C194" i="11"/>
  <c r="K193" i="11"/>
  <c r="I193" i="11"/>
  <c r="E193" i="11"/>
  <c r="C193" i="11"/>
  <c r="S192" i="11"/>
  <c r="U192" i="11" s="1"/>
  <c r="R192" i="11"/>
  <c r="AG192" i="11" s="1"/>
  <c r="O192" i="11"/>
  <c r="K192" i="11"/>
  <c r="I192" i="11"/>
  <c r="E192" i="11"/>
  <c r="C192" i="11"/>
  <c r="T232" i="11"/>
  <c r="U401" i="11" l="1"/>
  <c r="U398" i="11"/>
  <c r="T402" i="11"/>
  <c r="AK402" i="11" s="1"/>
  <c r="U399" i="11"/>
  <c r="U403" i="11"/>
  <c r="U400" i="11"/>
  <c r="T169" i="11"/>
  <c r="T56" i="11"/>
  <c r="T57" i="11"/>
  <c r="T312" i="11"/>
  <c r="T313" i="11"/>
  <c r="T143" i="11"/>
  <c r="T140" i="11"/>
  <c r="T142" i="11"/>
  <c r="T141" i="11"/>
  <c r="T144" i="11"/>
  <c r="T72" i="11"/>
  <c r="T71" i="11"/>
  <c r="T70" i="11"/>
  <c r="T73" i="11"/>
  <c r="T74" i="11"/>
  <c r="T75" i="11"/>
  <c r="U402" i="11"/>
  <c r="T168" i="11"/>
  <c r="T401" i="11"/>
  <c r="AK401" i="11" s="1"/>
  <c r="T403" i="11"/>
  <c r="AK403" i="11" s="1"/>
  <c r="T399" i="11"/>
  <c r="AK399" i="11" s="1"/>
  <c r="T400" i="11"/>
  <c r="AK400" i="11" s="1"/>
  <c r="T398" i="11"/>
  <c r="AK398" i="11" s="1"/>
  <c r="T247" i="11"/>
  <c r="U246" i="11"/>
  <c r="T167" i="11"/>
  <c r="T310" i="11"/>
  <c r="T311" i="11"/>
  <c r="T309" i="11"/>
  <c r="T139" i="11"/>
  <c r="T138" i="11"/>
  <c r="T137" i="11"/>
  <c r="T54" i="11"/>
  <c r="T55" i="11"/>
  <c r="U53" i="11"/>
  <c r="U25" i="11"/>
  <c r="T193" i="11"/>
  <c r="T194" i="11"/>
  <c r="T192" i="11"/>
  <c r="S281" i="11" l="1"/>
  <c r="U281" i="11" s="1"/>
  <c r="R281" i="11"/>
  <c r="AG281" i="11" s="1"/>
  <c r="O281" i="11"/>
  <c r="S280" i="11"/>
  <c r="U280" i="11" s="1"/>
  <c r="R280" i="11"/>
  <c r="AG280" i="11" s="1"/>
  <c r="O280" i="11"/>
  <c r="K281" i="11"/>
  <c r="I281" i="11"/>
  <c r="E281" i="11"/>
  <c r="C281" i="11"/>
  <c r="K280" i="11"/>
  <c r="I280" i="11"/>
  <c r="E280" i="11"/>
  <c r="C280" i="11"/>
  <c r="S279" i="11"/>
  <c r="U279" i="11" s="1"/>
  <c r="R279" i="11"/>
  <c r="AG279" i="11" s="1"/>
  <c r="O279" i="11"/>
  <c r="K279" i="11"/>
  <c r="I279" i="11"/>
  <c r="E279" i="11"/>
  <c r="C279" i="11"/>
  <c r="S321" i="11"/>
  <c r="U321" i="11" s="1"/>
  <c r="R321" i="11"/>
  <c r="AG321" i="11" s="1"/>
  <c r="O321" i="11"/>
  <c r="S320" i="11"/>
  <c r="U320" i="11" s="1"/>
  <c r="R320" i="11"/>
  <c r="AG320" i="11" s="1"/>
  <c r="O320" i="11"/>
  <c r="K321" i="11"/>
  <c r="I321" i="11"/>
  <c r="E321" i="11"/>
  <c r="C321" i="11"/>
  <c r="K320" i="11"/>
  <c r="I320" i="11"/>
  <c r="E320" i="11"/>
  <c r="C320" i="11"/>
  <c r="S319" i="11"/>
  <c r="U319" i="11" s="1"/>
  <c r="R319" i="11"/>
  <c r="AG319" i="11" s="1"/>
  <c r="O319" i="11"/>
  <c r="K319" i="11"/>
  <c r="I319" i="11"/>
  <c r="E319" i="11"/>
  <c r="C319" i="11"/>
  <c r="S234" i="11"/>
  <c r="U234" i="11" s="1"/>
  <c r="R234" i="11"/>
  <c r="AG234" i="11" s="1"/>
  <c r="K234" i="11"/>
  <c r="I234" i="11"/>
  <c r="E234" i="11"/>
  <c r="C234" i="11"/>
  <c r="S233" i="11"/>
  <c r="R233" i="11"/>
  <c r="AG233" i="11" s="1"/>
  <c r="K233" i="11"/>
  <c r="I233" i="11"/>
  <c r="E233" i="11"/>
  <c r="C233" i="11"/>
  <c r="S104" i="11"/>
  <c r="R104" i="11"/>
  <c r="AG104" i="11" s="1"/>
  <c r="O104" i="11"/>
  <c r="S103" i="11"/>
  <c r="R103" i="11"/>
  <c r="AG103" i="11" s="1"/>
  <c r="O103" i="11"/>
  <c r="S369" i="11"/>
  <c r="U369" i="11" s="1"/>
  <c r="R369" i="11"/>
  <c r="AG369" i="11" s="1"/>
  <c r="O369" i="11"/>
  <c r="S368" i="11"/>
  <c r="U368" i="11" s="1"/>
  <c r="R368" i="11"/>
  <c r="AG368" i="11" s="1"/>
  <c r="O368" i="11"/>
  <c r="S367" i="11"/>
  <c r="T367" i="11" s="1"/>
  <c r="R367" i="11"/>
  <c r="AG367" i="11" s="1"/>
  <c r="O367" i="11"/>
  <c r="S366" i="11"/>
  <c r="U366" i="11" s="1"/>
  <c r="R366" i="11"/>
  <c r="AG366" i="11" s="1"/>
  <c r="O366" i="11"/>
  <c r="S365" i="11"/>
  <c r="U365" i="11" s="1"/>
  <c r="R365" i="11"/>
  <c r="AG365" i="11" s="1"/>
  <c r="O365" i="11"/>
  <c r="S69" i="11"/>
  <c r="U69" i="11" s="1"/>
  <c r="R69" i="11"/>
  <c r="AG69" i="11" s="1"/>
  <c r="O69" i="11"/>
  <c r="S68" i="11"/>
  <c r="U68" i="11" s="1"/>
  <c r="R68" i="11"/>
  <c r="AG68" i="11" s="1"/>
  <c r="O68" i="11"/>
  <c r="K69" i="11"/>
  <c r="I69" i="11"/>
  <c r="E69" i="11"/>
  <c r="C69" i="11"/>
  <c r="K68" i="11"/>
  <c r="I68" i="11"/>
  <c r="E68" i="11"/>
  <c r="C68" i="11"/>
  <c r="S67" i="11"/>
  <c r="U67" i="11" s="1"/>
  <c r="R67" i="11"/>
  <c r="AG67" i="11" s="1"/>
  <c r="O67" i="11"/>
  <c r="K67" i="11"/>
  <c r="I67" i="11"/>
  <c r="E67" i="11"/>
  <c r="C67" i="11"/>
  <c r="U103" i="11" l="1"/>
  <c r="U104" i="11"/>
  <c r="T281" i="11"/>
  <c r="T280" i="11"/>
  <c r="T279" i="11"/>
  <c r="T320" i="11"/>
  <c r="T321" i="11"/>
  <c r="T319" i="11"/>
  <c r="U367" i="11"/>
  <c r="T234" i="11"/>
  <c r="U233" i="11"/>
  <c r="T366" i="11"/>
  <c r="T103" i="11"/>
  <c r="AK103" i="11" s="1"/>
  <c r="T104" i="11"/>
  <c r="AK104" i="11" s="1"/>
  <c r="T365" i="11"/>
  <c r="T368" i="11"/>
  <c r="T369" i="11"/>
  <c r="T69" i="11"/>
  <c r="T68" i="11"/>
  <c r="T67" i="11"/>
  <c r="K369" i="11"/>
  <c r="I369" i="11"/>
  <c r="E369" i="11"/>
  <c r="C369" i="11"/>
  <c r="K368" i="11"/>
  <c r="I368" i="11"/>
  <c r="E368" i="11"/>
  <c r="C368" i="11"/>
  <c r="K367" i="11"/>
  <c r="I367" i="11"/>
  <c r="E367" i="11"/>
  <c r="C367" i="11"/>
  <c r="K366" i="11"/>
  <c r="I366" i="11"/>
  <c r="E366" i="11"/>
  <c r="C366" i="11"/>
  <c r="K365" i="11"/>
  <c r="I365" i="11"/>
  <c r="E365" i="11"/>
  <c r="C365" i="11"/>
  <c r="S364" i="11"/>
  <c r="T364" i="11" s="1"/>
  <c r="R364" i="11"/>
  <c r="AG364" i="11" s="1"/>
  <c r="O364" i="11"/>
  <c r="K364" i="11"/>
  <c r="I364" i="11"/>
  <c r="E364" i="11"/>
  <c r="C364" i="11"/>
  <c r="K104" i="11"/>
  <c r="I104" i="11"/>
  <c r="E104" i="11"/>
  <c r="C104" i="11"/>
  <c r="K103" i="11"/>
  <c r="I103" i="11"/>
  <c r="E103" i="11"/>
  <c r="C103" i="11"/>
  <c r="S102" i="11"/>
  <c r="R102" i="11"/>
  <c r="AG102" i="11" s="1"/>
  <c r="O102" i="11"/>
  <c r="K102" i="11"/>
  <c r="I102" i="11"/>
  <c r="E102" i="11"/>
  <c r="C102" i="11"/>
  <c r="S225" i="11"/>
  <c r="U225" i="11" s="1"/>
  <c r="R225" i="11"/>
  <c r="AG225" i="11" s="1"/>
  <c r="O225" i="11"/>
  <c r="K225" i="11"/>
  <c r="I225" i="11"/>
  <c r="E225" i="11"/>
  <c r="C225" i="11"/>
  <c r="K247" i="11"/>
  <c r="I247" i="11"/>
  <c r="E247" i="11"/>
  <c r="C247" i="11"/>
  <c r="K246" i="11"/>
  <c r="I246" i="11"/>
  <c r="E246" i="11"/>
  <c r="C246" i="11"/>
  <c r="S245" i="11"/>
  <c r="U245" i="11" s="1"/>
  <c r="R245" i="11"/>
  <c r="AG245" i="11" s="1"/>
  <c r="O245" i="11"/>
  <c r="K245" i="11"/>
  <c r="I245" i="11"/>
  <c r="E245" i="11"/>
  <c r="C245" i="11"/>
  <c r="S397" i="11"/>
  <c r="R397" i="11"/>
  <c r="AG397" i="11" s="1"/>
  <c r="O397" i="11"/>
  <c r="K403" i="11"/>
  <c r="I403" i="11"/>
  <c r="E403" i="11"/>
  <c r="C403" i="11"/>
  <c r="K402" i="11"/>
  <c r="I402" i="11"/>
  <c r="E402" i="11"/>
  <c r="C402" i="11"/>
  <c r="K401" i="11"/>
  <c r="I401" i="11"/>
  <c r="E401" i="11"/>
  <c r="C401" i="11"/>
  <c r="K400" i="11"/>
  <c r="I400" i="11"/>
  <c r="E400" i="11"/>
  <c r="C400" i="11"/>
  <c r="K399" i="11"/>
  <c r="I399" i="11"/>
  <c r="E399" i="11"/>
  <c r="C399" i="11"/>
  <c r="K398" i="11"/>
  <c r="I398" i="11"/>
  <c r="E398" i="11"/>
  <c r="C398" i="11"/>
  <c r="K397" i="11"/>
  <c r="I397" i="11"/>
  <c r="E397" i="11"/>
  <c r="C397" i="11"/>
  <c r="S396" i="11"/>
  <c r="R396" i="11"/>
  <c r="AG396" i="11" s="1"/>
  <c r="O396" i="11"/>
  <c r="K396" i="11"/>
  <c r="I396" i="11"/>
  <c r="E396" i="11"/>
  <c r="C396" i="11"/>
  <c r="S232" i="11"/>
  <c r="U232" i="11" s="1"/>
  <c r="R232" i="11"/>
  <c r="AG232" i="11" s="1"/>
  <c r="S166" i="11"/>
  <c r="U166" i="11" s="1"/>
  <c r="R166" i="11"/>
  <c r="AG166" i="11" s="1"/>
  <c r="O166" i="11"/>
  <c r="S381" i="11"/>
  <c r="U381" i="11" s="1"/>
  <c r="R381" i="11"/>
  <c r="AG381" i="11" s="1"/>
  <c r="O381" i="11"/>
  <c r="K381" i="11"/>
  <c r="I381" i="11"/>
  <c r="E381" i="11"/>
  <c r="C381" i="11"/>
  <c r="S101" i="11"/>
  <c r="R101" i="11"/>
  <c r="AG101" i="11" s="1"/>
  <c r="O101" i="11"/>
  <c r="S100" i="11"/>
  <c r="R100" i="11"/>
  <c r="AG100" i="11" s="1"/>
  <c r="O100" i="11"/>
  <c r="S231" i="11"/>
  <c r="U231" i="11" s="1"/>
  <c r="R231" i="11"/>
  <c r="AG231" i="11" s="1"/>
  <c r="K232" i="11"/>
  <c r="I232" i="11"/>
  <c r="E232" i="11"/>
  <c r="C232" i="11"/>
  <c r="K231" i="11"/>
  <c r="I231" i="11"/>
  <c r="E231" i="11"/>
  <c r="C231" i="11"/>
  <c r="S230" i="11"/>
  <c r="U230" i="11" s="1"/>
  <c r="R230" i="11"/>
  <c r="AG230" i="11" s="1"/>
  <c r="O230" i="11"/>
  <c r="K230" i="11"/>
  <c r="I230" i="11"/>
  <c r="E230" i="11"/>
  <c r="C230" i="11"/>
  <c r="S165" i="11"/>
  <c r="U165" i="11" s="1"/>
  <c r="R165" i="11"/>
  <c r="AG165" i="11" s="1"/>
  <c r="O165" i="11"/>
  <c r="K166" i="11"/>
  <c r="I166" i="11"/>
  <c r="E166" i="11"/>
  <c r="C166" i="11"/>
  <c r="K165" i="11"/>
  <c r="I165" i="11"/>
  <c r="E165" i="11"/>
  <c r="C165" i="11"/>
  <c r="S164" i="11"/>
  <c r="U164" i="11" s="1"/>
  <c r="R164" i="11"/>
  <c r="AG164" i="11" s="1"/>
  <c r="O164" i="11"/>
  <c r="K164" i="11"/>
  <c r="I164" i="11"/>
  <c r="E164" i="11"/>
  <c r="C164" i="11"/>
  <c r="S278" i="11"/>
  <c r="U278" i="11" s="1"/>
  <c r="R278" i="11"/>
  <c r="AG278" i="11" s="1"/>
  <c r="O278" i="11"/>
  <c r="S277" i="11"/>
  <c r="U277" i="11" s="1"/>
  <c r="R277" i="11"/>
  <c r="AG277" i="11" s="1"/>
  <c r="O277" i="11"/>
  <c r="K278" i="11"/>
  <c r="I278" i="11"/>
  <c r="E278" i="11"/>
  <c r="C278" i="11"/>
  <c r="K277" i="11"/>
  <c r="I277" i="11"/>
  <c r="E277" i="11"/>
  <c r="C277" i="11"/>
  <c r="S276" i="11"/>
  <c r="U276" i="11" s="1"/>
  <c r="R276" i="11"/>
  <c r="AG276" i="11" s="1"/>
  <c r="O276" i="11"/>
  <c r="K276" i="11"/>
  <c r="I276" i="11"/>
  <c r="E276" i="11"/>
  <c r="C276" i="11"/>
  <c r="S191" i="11"/>
  <c r="U191" i="11" s="1"/>
  <c r="R191" i="11"/>
  <c r="AG191" i="11" s="1"/>
  <c r="O191" i="11"/>
  <c r="S190" i="11"/>
  <c r="U190" i="11" s="1"/>
  <c r="R190" i="11"/>
  <c r="AG190" i="11" s="1"/>
  <c r="O190" i="11"/>
  <c r="K191" i="11"/>
  <c r="I191" i="11"/>
  <c r="E191" i="11"/>
  <c r="C191" i="11"/>
  <c r="K190" i="11"/>
  <c r="I190" i="11"/>
  <c r="E190" i="11"/>
  <c r="C190" i="11"/>
  <c r="S189" i="11"/>
  <c r="T189" i="11" s="1"/>
  <c r="R189" i="11"/>
  <c r="AG189" i="11" s="1"/>
  <c r="O189" i="11"/>
  <c r="K189" i="11"/>
  <c r="I189" i="11"/>
  <c r="E189" i="11"/>
  <c r="C189" i="11"/>
  <c r="S308" i="11"/>
  <c r="U308" i="11" s="1"/>
  <c r="R308" i="11"/>
  <c r="AG308" i="11" s="1"/>
  <c r="O308" i="11"/>
  <c r="S307" i="11"/>
  <c r="U307" i="11" s="1"/>
  <c r="R307" i="11"/>
  <c r="AG307" i="11" s="1"/>
  <c r="O307" i="11"/>
  <c r="K308" i="11"/>
  <c r="I308" i="11"/>
  <c r="E308" i="11"/>
  <c r="C308" i="11"/>
  <c r="K307" i="11"/>
  <c r="I307" i="11"/>
  <c r="E307" i="11"/>
  <c r="C307" i="11"/>
  <c r="S306" i="11"/>
  <c r="U306" i="11" s="1"/>
  <c r="R306" i="11"/>
  <c r="AG306" i="11" s="1"/>
  <c r="O306" i="11"/>
  <c r="K306" i="11"/>
  <c r="I306" i="11"/>
  <c r="E306" i="11"/>
  <c r="C306" i="11"/>
  <c r="S52" i="11"/>
  <c r="U52" i="11" s="1"/>
  <c r="R52" i="11"/>
  <c r="AG52" i="11" s="1"/>
  <c r="O52" i="11"/>
  <c r="S51" i="11"/>
  <c r="U51" i="11" s="1"/>
  <c r="R51" i="11"/>
  <c r="AG51" i="11" s="1"/>
  <c r="O51" i="11"/>
  <c r="K52" i="11"/>
  <c r="I52" i="11"/>
  <c r="E52" i="11"/>
  <c r="C52" i="11"/>
  <c r="K51" i="11"/>
  <c r="I51" i="11"/>
  <c r="E51" i="11"/>
  <c r="C51" i="11"/>
  <c r="S50" i="11"/>
  <c r="U50" i="11" s="1"/>
  <c r="R50" i="11"/>
  <c r="AG50" i="11" s="1"/>
  <c r="O50" i="11"/>
  <c r="K50" i="11"/>
  <c r="I50" i="11"/>
  <c r="E50" i="11"/>
  <c r="C50" i="11"/>
  <c r="S66" i="11"/>
  <c r="U66" i="11" s="1"/>
  <c r="R66" i="11"/>
  <c r="AG66" i="11" s="1"/>
  <c r="O66" i="11"/>
  <c r="S65" i="11"/>
  <c r="U65" i="11" s="1"/>
  <c r="R65" i="11"/>
  <c r="AG65" i="11" s="1"/>
  <c r="O65" i="11"/>
  <c r="K66" i="11"/>
  <c r="I66" i="11"/>
  <c r="E66" i="11"/>
  <c r="C66" i="11"/>
  <c r="K65" i="11"/>
  <c r="I65" i="11"/>
  <c r="E65" i="11"/>
  <c r="C65" i="11"/>
  <c r="S64" i="11"/>
  <c r="T64" i="11" s="1"/>
  <c r="R64" i="11"/>
  <c r="AG64" i="11" s="1"/>
  <c r="O64" i="11"/>
  <c r="K64" i="11"/>
  <c r="I64" i="11"/>
  <c r="E64" i="11"/>
  <c r="C64" i="11"/>
  <c r="S224" i="11"/>
  <c r="U224" i="11" s="1"/>
  <c r="R224" i="11"/>
  <c r="AG224" i="11" s="1"/>
  <c r="O224" i="11"/>
  <c r="S223" i="11"/>
  <c r="U223" i="11" s="1"/>
  <c r="R223" i="11"/>
  <c r="AG223" i="11" s="1"/>
  <c r="O223" i="11"/>
  <c r="K224" i="11"/>
  <c r="I224" i="11"/>
  <c r="E224" i="11"/>
  <c r="C224" i="11"/>
  <c r="K223" i="11"/>
  <c r="I223" i="11"/>
  <c r="E223" i="11"/>
  <c r="C223" i="11"/>
  <c r="S222" i="11"/>
  <c r="U222" i="11" s="1"/>
  <c r="R222" i="11"/>
  <c r="AG222" i="11" s="1"/>
  <c r="O222" i="11"/>
  <c r="K222" i="11"/>
  <c r="I222" i="11"/>
  <c r="E222" i="11"/>
  <c r="C222" i="11"/>
  <c r="S136" i="11"/>
  <c r="U136" i="11" s="1"/>
  <c r="R136" i="11"/>
  <c r="AG136" i="11" s="1"/>
  <c r="O136" i="11"/>
  <c r="S135" i="11"/>
  <c r="U135" i="11" s="1"/>
  <c r="R135" i="11"/>
  <c r="AG135" i="11" s="1"/>
  <c r="O135" i="11"/>
  <c r="K136" i="11"/>
  <c r="I136" i="11"/>
  <c r="E136" i="11"/>
  <c r="C136" i="11"/>
  <c r="K135" i="11"/>
  <c r="I135" i="11"/>
  <c r="E135" i="11"/>
  <c r="C135" i="11"/>
  <c r="S134" i="11"/>
  <c r="U134" i="11" s="1"/>
  <c r="R134" i="11"/>
  <c r="AG134" i="11" s="1"/>
  <c r="O134" i="11"/>
  <c r="K134" i="11"/>
  <c r="I134" i="11"/>
  <c r="E134" i="11"/>
  <c r="C134" i="11"/>
  <c r="S318" i="11"/>
  <c r="U318" i="11" s="1"/>
  <c r="R318" i="11"/>
  <c r="AG318" i="11" s="1"/>
  <c r="O318" i="11"/>
  <c r="S317" i="11"/>
  <c r="U317" i="11" s="1"/>
  <c r="R317" i="11"/>
  <c r="AG317" i="11" s="1"/>
  <c r="O317" i="11"/>
  <c r="K318" i="11"/>
  <c r="I318" i="11"/>
  <c r="E318" i="11"/>
  <c r="C318" i="11"/>
  <c r="K317" i="11"/>
  <c r="I317" i="11"/>
  <c r="E317" i="11"/>
  <c r="C317" i="11"/>
  <c r="S316" i="11"/>
  <c r="T316" i="11" s="1"/>
  <c r="R316" i="11"/>
  <c r="AG316" i="11" s="1"/>
  <c r="O316" i="11"/>
  <c r="K316" i="11"/>
  <c r="I316" i="11"/>
  <c r="E316" i="11"/>
  <c r="C316" i="11"/>
  <c r="O133" i="11"/>
  <c r="O132" i="11"/>
  <c r="S99" i="11"/>
  <c r="R99" i="11"/>
  <c r="AG99" i="11" s="1"/>
  <c r="O99" i="11"/>
  <c r="K101" i="11"/>
  <c r="I101" i="11"/>
  <c r="E101" i="11"/>
  <c r="C101" i="11"/>
  <c r="K100" i="11"/>
  <c r="I100" i="11"/>
  <c r="E100" i="11"/>
  <c r="C100" i="11"/>
  <c r="K99" i="11"/>
  <c r="I99" i="11"/>
  <c r="E99" i="11"/>
  <c r="C99" i="11"/>
  <c r="S98" i="11"/>
  <c r="T98" i="11" s="1"/>
  <c r="R98" i="11"/>
  <c r="O98" i="11"/>
  <c r="K98" i="11"/>
  <c r="I98" i="11"/>
  <c r="E98" i="11"/>
  <c r="C98" i="11"/>
  <c r="S244" i="11"/>
  <c r="U244" i="11" s="1"/>
  <c r="R244" i="11"/>
  <c r="AG244" i="11" s="1"/>
  <c r="O244" i="11"/>
  <c r="S243" i="11"/>
  <c r="U243" i="11" s="1"/>
  <c r="R243" i="11"/>
  <c r="AG243" i="11" s="1"/>
  <c r="O243" i="11"/>
  <c r="S242" i="11"/>
  <c r="U242" i="11" s="1"/>
  <c r="R242" i="11"/>
  <c r="AG242" i="11" s="1"/>
  <c r="O242" i="11"/>
  <c r="K244" i="11"/>
  <c r="I244" i="11"/>
  <c r="E244" i="11"/>
  <c r="C244" i="11"/>
  <c r="K243" i="11"/>
  <c r="I243" i="11"/>
  <c r="E243" i="11"/>
  <c r="C243" i="11"/>
  <c r="K242" i="11"/>
  <c r="I242" i="11"/>
  <c r="E242" i="11"/>
  <c r="C242" i="11"/>
  <c r="S241" i="11"/>
  <c r="U241" i="11" s="1"/>
  <c r="R241" i="11"/>
  <c r="O241" i="11"/>
  <c r="K241" i="11"/>
  <c r="I241" i="11"/>
  <c r="E241" i="11"/>
  <c r="C241" i="11"/>
  <c r="R315" i="11"/>
  <c r="S315" i="11"/>
  <c r="T315" i="11" s="1"/>
  <c r="O315" i="11"/>
  <c r="K315" i="11"/>
  <c r="I315" i="11"/>
  <c r="E315" i="11"/>
  <c r="C315" i="11"/>
  <c r="S229" i="11"/>
  <c r="U229" i="11" s="1"/>
  <c r="R229" i="11"/>
  <c r="O229" i="11"/>
  <c r="K229" i="11"/>
  <c r="I229" i="11"/>
  <c r="E229" i="11"/>
  <c r="C229" i="11"/>
  <c r="S305" i="11"/>
  <c r="U305" i="11" s="1"/>
  <c r="R305" i="11"/>
  <c r="O305" i="11"/>
  <c r="S304" i="11"/>
  <c r="U304" i="11" s="1"/>
  <c r="R304" i="11"/>
  <c r="O304" i="11"/>
  <c r="K305" i="11"/>
  <c r="I305" i="11"/>
  <c r="E305" i="11"/>
  <c r="C305" i="11"/>
  <c r="K304" i="11"/>
  <c r="I304" i="11"/>
  <c r="E304" i="11"/>
  <c r="C304" i="11"/>
  <c r="S303" i="11"/>
  <c r="U303" i="11" s="1"/>
  <c r="R303" i="11"/>
  <c r="O303" i="11"/>
  <c r="K303" i="11"/>
  <c r="I303" i="11"/>
  <c r="E303" i="11"/>
  <c r="C303" i="11"/>
  <c r="S49" i="11"/>
  <c r="T49" i="11" s="1"/>
  <c r="R49" i="11"/>
  <c r="O49" i="11"/>
  <c r="S48" i="11"/>
  <c r="U48" i="11" s="1"/>
  <c r="R48" i="11"/>
  <c r="O48" i="11"/>
  <c r="K49" i="11"/>
  <c r="I49" i="11"/>
  <c r="E49" i="11"/>
  <c r="C49" i="11"/>
  <c r="K48" i="11"/>
  <c r="I48" i="11"/>
  <c r="E48" i="11"/>
  <c r="C48" i="11"/>
  <c r="S47" i="11"/>
  <c r="U47" i="11" s="1"/>
  <c r="R47" i="11"/>
  <c r="O47" i="11"/>
  <c r="K47" i="11"/>
  <c r="I47" i="11"/>
  <c r="E47" i="11"/>
  <c r="C47" i="11"/>
  <c r="S63" i="11"/>
  <c r="U63" i="11" s="1"/>
  <c r="R63" i="11"/>
  <c r="O63" i="11"/>
  <c r="S62" i="11"/>
  <c r="U62" i="11" s="1"/>
  <c r="R62" i="11"/>
  <c r="O62" i="11"/>
  <c r="K63" i="11"/>
  <c r="I63" i="11"/>
  <c r="E63" i="11"/>
  <c r="K62" i="11"/>
  <c r="I62" i="11"/>
  <c r="E62" i="11"/>
  <c r="C62" i="11"/>
  <c r="S61" i="11"/>
  <c r="U61" i="11" s="1"/>
  <c r="R61" i="11"/>
  <c r="O61" i="11"/>
  <c r="K61" i="11"/>
  <c r="I61" i="11"/>
  <c r="E61" i="11"/>
  <c r="C61" i="11"/>
  <c r="S97" i="11"/>
  <c r="U97" i="11" s="1"/>
  <c r="R97" i="11"/>
  <c r="O97" i="11"/>
  <c r="K97" i="11"/>
  <c r="I97" i="11"/>
  <c r="E97" i="11"/>
  <c r="C97" i="11"/>
  <c r="S96" i="11"/>
  <c r="U96" i="11" s="1"/>
  <c r="R96" i="11"/>
  <c r="O96" i="11"/>
  <c r="K96" i="11"/>
  <c r="I96" i="11"/>
  <c r="E96" i="11"/>
  <c r="C96" i="11"/>
  <c r="S275" i="11"/>
  <c r="U275" i="11" s="1"/>
  <c r="R275" i="11"/>
  <c r="O275" i="11"/>
  <c r="S274" i="11"/>
  <c r="U274" i="11" s="1"/>
  <c r="R274" i="11"/>
  <c r="O274" i="11"/>
  <c r="K275" i="11"/>
  <c r="I275" i="11"/>
  <c r="E275" i="11"/>
  <c r="C275" i="11"/>
  <c r="K274" i="11"/>
  <c r="I274" i="11"/>
  <c r="E274" i="11"/>
  <c r="C274" i="11"/>
  <c r="S273" i="11"/>
  <c r="U273" i="11" s="1"/>
  <c r="R273" i="11"/>
  <c r="O273" i="11"/>
  <c r="K273" i="11"/>
  <c r="I273" i="11"/>
  <c r="E273" i="11"/>
  <c r="C273" i="11"/>
  <c r="S163" i="11"/>
  <c r="T163" i="11" s="1"/>
  <c r="R163" i="11"/>
  <c r="O163" i="11"/>
  <c r="S162" i="11"/>
  <c r="U162" i="11" s="1"/>
  <c r="R162" i="11"/>
  <c r="O162" i="11"/>
  <c r="K163" i="11"/>
  <c r="I163" i="11"/>
  <c r="E163" i="11"/>
  <c r="C163" i="11"/>
  <c r="K162" i="11"/>
  <c r="I162" i="11"/>
  <c r="E162" i="11"/>
  <c r="C162" i="11"/>
  <c r="S161" i="11"/>
  <c r="U161" i="11" s="1"/>
  <c r="R161" i="11"/>
  <c r="O161" i="11"/>
  <c r="K161" i="11"/>
  <c r="I161" i="11"/>
  <c r="E161" i="11"/>
  <c r="C161" i="11"/>
  <c r="S363" i="11"/>
  <c r="U363" i="11" s="1"/>
  <c r="R363" i="11"/>
  <c r="AG363" i="11" s="1"/>
  <c r="O363" i="11"/>
  <c r="S362" i="11"/>
  <c r="U362" i="11" s="1"/>
  <c r="R362" i="11"/>
  <c r="AG362" i="11" s="1"/>
  <c r="O362" i="11"/>
  <c r="S361" i="11"/>
  <c r="T361" i="11" s="1"/>
  <c r="R361" i="11"/>
  <c r="AG361" i="11" s="1"/>
  <c r="O361" i="11"/>
  <c r="S360" i="11"/>
  <c r="T360" i="11" s="1"/>
  <c r="R360" i="11"/>
  <c r="O360" i="11"/>
  <c r="S359" i="11"/>
  <c r="U359" i="11" s="1"/>
  <c r="R359" i="11"/>
  <c r="O359" i="11"/>
  <c r="K363" i="11"/>
  <c r="I363" i="11"/>
  <c r="E363" i="11"/>
  <c r="C363" i="11"/>
  <c r="K362" i="11"/>
  <c r="I362" i="11"/>
  <c r="E362" i="11"/>
  <c r="C362" i="11"/>
  <c r="K361" i="11"/>
  <c r="I361" i="11"/>
  <c r="E361" i="11"/>
  <c r="C361" i="11"/>
  <c r="K360" i="11"/>
  <c r="I360" i="11"/>
  <c r="E360" i="11"/>
  <c r="C360" i="11"/>
  <c r="K359" i="11"/>
  <c r="I359" i="11"/>
  <c r="E359" i="11"/>
  <c r="C359" i="11"/>
  <c r="S358" i="11"/>
  <c r="U358" i="11" s="1"/>
  <c r="R358" i="11"/>
  <c r="O358" i="11"/>
  <c r="K358" i="11"/>
  <c r="I358" i="11"/>
  <c r="E358" i="11"/>
  <c r="C358" i="11"/>
  <c r="S133" i="11"/>
  <c r="U133" i="11" s="1"/>
  <c r="R133" i="11"/>
  <c r="K133" i="11"/>
  <c r="I133" i="11"/>
  <c r="E133" i="11"/>
  <c r="C133" i="11"/>
  <c r="S132" i="11"/>
  <c r="T132" i="11" s="1"/>
  <c r="R132" i="11"/>
  <c r="K132" i="11"/>
  <c r="I132" i="11"/>
  <c r="E132" i="11"/>
  <c r="C132" i="11"/>
  <c r="S131" i="11"/>
  <c r="T131" i="11" s="1"/>
  <c r="R131" i="11"/>
  <c r="O131" i="11"/>
  <c r="K131" i="11"/>
  <c r="I131" i="11"/>
  <c r="E131" i="11"/>
  <c r="C131" i="11"/>
  <c r="S188" i="11"/>
  <c r="U188" i="11" s="1"/>
  <c r="R188" i="11"/>
  <c r="O188" i="11"/>
  <c r="S187" i="11"/>
  <c r="U187" i="11" s="1"/>
  <c r="R187" i="11"/>
  <c r="O187" i="11"/>
  <c r="K188" i="11"/>
  <c r="I188" i="11"/>
  <c r="E188" i="11"/>
  <c r="C188" i="11"/>
  <c r="K187" i="11"/>
  <c r="I187" i="11"/>
  <c r="E187" i="11"/>
  <c r="C187" i="11"/>
  <c r="S186" i="11"/>
  <c r="U186" i="11" s="1"/>
  <c r="R186" i="11"/>
  <c r="O186" i="11"/>
  <c r="K186" i="11"/>
  <c r="I186" i="11"/>
  <c r="E186" i="11"/>
  <c r="C186" i="11"/>
  <c r="S221" i="11"/>
  <c r="U221" i="11" s="1"/>
  <c r="R221" i="11"/>
  <c r="O221" i="11"/>
  <c r="S220" i="11"/>
  <c r="U220" i="11" s="1"/>
  <c r="R220" i="11"/>
  <c r="O220" i="11"/>
  <c r="K221" i="11"/>
  <c r="I221" i="11"/>
  <c r="E221" i="11"/>
  <c r="C221" i="11"/>
  <c r="K220" i="11"/>
  <c r="I220" i="11"/>
  <c r="E220" i="11"/>
  <c r="C220" i="11"/>
  <c r="S219" i="11"/>
  <c r="U219" i="11" s="1"/>
  <c r="R219" i="11"/>
  <c r="O219" i="11"/>
  <c r="K219" i="11"/>
  <c r="I219" i="11"/>
  <c r="E219" i="11"/>
  <c r="C219" i="11"/>
  <c r="S395" i="11"/>
  <c r="R395" i="11"/>
  <c r="AG395" i="11" s="1"/>
  <c r="O395" i="11"/>
  <c r="S394" i="11"/>
  <c r="R394" i="11"/>
  <c r="AG394" i="11" s="1"/>
  <c r="O394" i="11"/>
  <c r="S393" i="11"/>
  <c r="U393" i="11" s="1"/>
  <c r="R393" i="11"/>
  <c r="O393" i="11"/>
  <c r="S392" i="11"/>
  <c r="T392" i="11" s="1"/>
  <c r="R392" i="11"/>
  <c r="O392" i="11"/>
  <c r="S391" i="11"/>
  <c r="T391" i="11" s="1"/>
  <c r="R391" i="11"/>
  <c r="O391" i="11"/>
  <c r="S228" i="11"/>
  <c r="U228" i="11" s="1"/>
  <c r="R228" i="11"/>
  <c r="S227" i="11"/>
  <c r="U227" i="11" s="1"/>
  <c r="R227" i="11"/>
  <c r="O227" i="11"/>
  <c r="I228" i="11"/>
  <c r="E228" i="11"/>
  <c r="C228" i="11"/>
  <c r="I227" i="11"/>
  <c r="E227" i="11"/>
  <c r="C227" i="11"/>
  <c r="K228" i="11"/>
  <c r="K227" i="11"/>
  <c r="S226" i="11"/>
  <c r="U226" i="11" s="1"/>
  <c r="R226" i="11"/>
  <c r="O226" i="11"/>
  <c r="K226" i="11"/>
  <c r="I226" i="11"/>
  <c r="E226" i="11"/>
  <c r="C226" i="11"/>
  <c r="S160" i="11"/>
  <c r="T160" i="11" s="1"/>
  <c r="S130" i="11"/>
  <c r="T130" i="11" s="1"/>
  <c r="R130" i="11"/>
  <c r="O130" i="11"/>
  <c r="S129" i="11"/>
  <c r="U129" i="11" s="1"/>
  <c r="R129" i="11"/>
  <c r="O129" i="11"/>
  <c r="K130" i="11"/>
  <c r="I130" i="11"/>
  <c r="E130" i="11"/>
  <c r="C130" i="11"/>
  <c r="K129" i="11"/>
  <c r="I129" i="11"/>
  <c r="E129" i="11"/>
  <c r="C129" i="11"/>
  <c r="S128" i="11"/>
  <c r="U128" i="11" s="1"/>
  <c r="R128" i="11"/>
  <c r="O128" i="11"/>
  <c r="K128" i="11"/>
  <c r="I128" i="11"/>
  <c r="E128" i="11"/>
  <c r="C128" i="11"/>
  <c r="R160" i="11"/>
  <c r="O160" i="11"/>
  <c r="K160" i="11"/>
  <c r="I160" i="11"/>
  <c r="E160" i="11"/>
  <c r="C160" i="11"/>
  <c r="U159" i="11"/>
  <c r="T159" i="11"/>
  <c r="R159" i="11"/>
  <c r="O159" i="11"/>
  <c r="K159" i="11"/>
  <c r="I159" i="11"/>
  <c r="E159" i="11"/>
  <c r="C159" i="11"/>
  <c r="U158" i="11"/>
  <c r="R158" i="11"/>
  <c r="O158" i="11"/>
  <c r="K158" i="11"/>
  <c r="I158" i="11"/>
  <c r="E158" i="11"/>
  <c r="C158" i="11"/>
  <c r="S272" i="11"/>
  <c r="U272" i="11" s="1"/>
  <c r="R272" i="11"/>
  <c r="O272" i="11"/>
  <c r="K272" i="11"/>
  <c r="I272" i="11"/>
  <c r="E272" i="11"/>
  <c r="C272" i="11"/>
  <c r="S271" i="11"/>
  <c r="U271" i="11" s="1"/>
  <c r="R271" i="11"/>
  <c r="O271" i="11"/>
  <c r="K271" i="11"/>
  <c r="I271" i="11"/>
  <c r="E271" i="11"/>
  <c r="C271" i="11"/>
  <c r="S270" i="11"/>
  <c r="U270" i="11" s="1"/>
  <c r="R270" i="11"/>
  <c r="O270" i="11"/>
  <c r="K270" i="11"/>
  <c r="I270" i="11"/>
  <c r="E270" i="11"/>
  <c r="C270" i="11"/>
  <c r="S302" i="11"/>
  <c r="U302" i="11" s="1"/>
  <c r="R302" i="11"/>
  <c r="O302" i="11"/>
  <c r="K302" i="11"/>
  <c r="I302" i="11"/>
  <c r="E302" i="11"/>
  <c r="C302" i="11"/>
  <c r="S301" i="11"/>
  <c r="U301" i="11" s="1"/>
  <c r="R301" i="11"/>
  <c r="O301" i="11"/>
  <c r="K301" i="11"/>
  <c r="I301" i="11"/>
  <c r="E301" i="11"/>
  <c r="C301" i="11"/>
  <c r="S300" i="11"/>
  <c r="T300" i="11" s="1"/>
  <c r="R300" i="11"/>
  <c r="O300" i="11"/>
  <c r="K300" i="11"/>
  <c r="I300" i="11"/>
  <c r="E300" i="11"/>
  <c r="C300" i="11"/>
  <c r="S185" i="11"/>
  <c r="U185" i="11" s="1"/>
  <c r="R185" i="11"/>
  <c r="O185" i="11"/>
  <c r="S184" i="11"/>
  <c r="T184" i="11" s="1"/>
  <c r="R184" i="11"/>
  <c r="O184" i="11"/>
  <c r="K185" i="11"/>
  <c r="I185" i="11"/>
  <c r="E185" i="11"/>
  <c r="C185" i="11"/>
  <c r="K184" i="11"/>
  <c r="I184" i="11"/>
  <c r="E184" i="11"/>
  <c r="C184" i="11"/>
  <c r="S183" i="11"/>
  <c r="T183" i="11" s="1"/>
  <c r="R183" i="11"/>
  <c r="O183" i="11"/>
  <c r="K183" i="11"/>
  <c r="I183" i="11"/>
  <c r="E183" i="11"/>
  <c r="C183" i="11"/>
  <c r="S46" i="11"/>
  <c r="U46" i="11" s="1"/>
  <c r="R46" i="11"/>
  <c r="O46" i="11"/>
  <c r="K46" i="11"/>
  <c r="I46" i="11"/>
  <c r="E46" i="11"/>
  <c r="C46" i="11"/>
  <c r="S45" i="11"/>
  <c r="U45" i="11" s="1"/>
  <c r="R45" i="11"/>
  <c r="O45" i="11"/>
  <c r="K45" i="11"/>
  <c r="I45" i="11"/>
  <c r="E45" i="11"/>
  <c r="C45" i="11"/>
  <c r="U396" i="11" l="1"/>
  <c r="U102" i="11"/>
  <c r="U395" i="11"/>
  <c r="U100" i="11"/>
  <c r="U394" i="11"/>
  <c r="U99" i="11"/>
  <c r="U101" i="11"/>
  <c r="U397" i="11"/>
  <c r="U364" i="11"/>
  <c r="T102" i="11"/>
  <c r="AK102" i="11" s="1"/>
  <c r="T225" i="11"/>
  <c r="T245" i="11"/>
  <c r="T397" i="11"/>
  <c r="AK397" i="11" s="1"/>
  <c r="T396" i="11"/>
  <c r="AK396" i="11" s="1"/>
  <c r="T166" i="11"/>
  <c r="T381" i="11"/>
  <c r="T100" i="11"/>
  <c r="AK100" i="11" s="1"/>
  <c r="T101" i="11"/>
  <c r="AK101" i="11" s="1"/>
  <c r="T230" i="11"/>
  <c r="T165" i="11"/>
  <c r="T164" i="11"/>
  <c r="T277" i="11"/>
  <c r="T278" i="11"/>
  <c r="T276" i="11"/>
  <c r="U189" i="11"/>
  <c r="T190" i="11"/>
  <c r="T191" i="11"/>
  <c r="T307" i="11"/>
  <c r="T308" i="11"/>
  <c r="T306" i="11"/>
  <c r="T51" i="11"/>
  <c r="T52" i="11"/>
  <c r="T50" i="11"/>
  <c r="T65" i="11"/>
  <c r="T66" i="11"/>
  <c r="U64" i="11"/>
  <c r="T223" i="11"/>
  <c r="T224" i="11"/>
  <c r="T222" i="11"/>
  <c r="T135" i="11"/>
  <c r="T136" i="11"/>
  <c r="T134" i="11"/>
  <c r="T318" i="11"/>
  <c r="T317" i="11"/>
  <c r="U316" i="11"/>
  <c r="T99" i="11"/>
  <c r="AK99" i="11" s="1"/>
  <c r="U98" i="11"/>
  <c r="T242" i="11"/>
  <c r="T244" i="11"/>
  <c r="T243" i="11"/>
  <c r="T241" i="11"/>
  <c r="U315" i="11"/>
  <c r="T229" i="11"/>
  <c r="T305" i="11"/>
  <c r="T304" i="11"/>
  <c r="T303" i="11"/>
  <c r="T48" i="11"/>
  <c r="U49" i="11"/>
  <c r="T47" i="11"/>
  <c r="T61" i="11"/>
  <c r="T62" i="11"/>
  <c r="T63" i="11"/>
  <c r="T97" i="11"/>
  <c r="T96" i="11"/>
  <c r="T274" i="11"/>
  <c r="T275" i="11"/>
  <c r="T273" i="11"/>
  <c r="U163" i="11"/>
  <c r="T162" i="11"/>
  <c r="T161" i="11"/>
  <c r="U360" i="11"/>
  <c r="T358" i="11"/>
  <c r="U361" i="11"/>
  <c r="T363" i="11"/>
  <c r="T359" i="11"/>
  <c r="T362" i="11"/>
  <c r="U132" i="11"/>
  <c r="U131" i="11"/>
  <c r="T133" i="11"/>
  <c r="T188" i="11"/>
  <c r="T187" i="11"/>
  <c r="T186" i="11"/>
  <c r="T221" i="11"/>
  <c r="T220" i="11"/>
  <c r="T219" i="11"/>
  <c r="U392" i="11"/>
  <c r="T393" i="11"/>
  <c r="U391" i="11"/>
  <c r="T394" i="11"/>
  <c r="AK394" i="11" s="1"/>
  <c r="T395" i="11"/>
  <c r="AK395" i="11" s="1"/>
  <c r="T227" i="11"/>
  <c r="T226" i="11"/>
  <c r="U160" i="11"/>
  <c r="U130" i="11"/>
  <c r="T129" i="11"/>
  <c r="T128" i="11"/>
  <c r="T158" i="11"/>
  <c r="T271" i="11"/>
  <c r="T272" i="11"/>
  <c r="T270" i="11"/>
  <c r="T301" i="11"/>
  <c r="T302" i="11"/>
  <c r="U300" i="11"/>
  <c r="T185" i="11"/>
  <c r="U184" i="11"/>
  <c r="U183" i="11"/>
  <c r="T45" i="11"/>
  <c r="T46" i="11"/>
  <c r="S44" i="11"/>
  <c r="T44" i="11" s="1"/>
  <c r="R44" i="11"/>
  <c r="O44" i="11"/>
  <c r="K44" i="11"/>
  <c r="I44" i="11"/>
  <c r="E44" i="11"/>
  <c r="C44" i="11"/>
  <c r="S60" i="11"/>
  <c r="U60" i="11" s="1"/>
  <c r="R60" i="11"/>
  <c r="O60" i="11"/>
  <c r="S59" i="11"/>
  <c r="U59" i="11" s="1"/>
  <c r="R59" i="11"/>
  <c r="O59" i="11"/>
  <c r="S58" i="11"/>
  <c r="U58" i="11" s="1"/>
  <c r="R58" i="11"/>
  <c r="O58" i="11"/>
  <c r="I60" i="11"/>
  <c r="E60" i="11"/>
  <c r="C60" i="11"/>
  <c r="I59" i="11"/>
  <c r="E59" i="11"/>
  <c r="C59" i="11"/>
  <c r="K60" i="11"/>
  <c r="K59" i="11"/>
  <c r="K58" i="11"/>
  <c r="I58" i="11"/>
  <c r="E58" i="11"/>
  <c r="C58" i="11"/>
  <c r="S88" i="11"/>
  <c r="U88" i="11" s="1"/>
  <c r="R88" i="11"/>
  <c r="O88" i="11"/>
  <c r="K88" i="11"/>
  <c r="I88" i="11"/>
  <c r="E88" i="11"/>
  <c r="C88" i="11"/>
  <c r="I384" i="11"/>
  <c r="K95" i="11"/>
  <c r="K94" i="11"/>
  <c r="K93" i="11"/>
  <c r="S95" i="11"/>
  <c r="T95" i="11" s="1"/>
  <c r="R95" i="11"/>
  <c r="O95" i="11"/>
  <c r="I95" i="11"/>
  <c r="E95" i="11"/>
  <c r="C95" i="11"/>
  <c r="S94" i="11"/>
  <c r="U94" i="11" s="1"/>
  <c r="R94" i="11"/>
  <c r="O94" i="11"/>
  <c r="I94" i="11"/>
  <c r="E94" i="11"/>
  <c r="C94" i="11"/>
  <c r="S93" i="11"/>
  <c r="U93" i="11" s="1"/>
  <c r="R93" i="11"/>
  <c r="O93" i="11"/>
  <c r="I93" i="11"/>
  <c r="E93" i="11"/>
  <c r="C93" i="11"/>
  <c r="K240" i="11"/>
  <c r="K239" i="11"/>
  <c r="K238" i="11"/>
  <c r="K237" i="11"/>
  <c r="K236" i="11"/>
  <c r="S240" i="11"/>
  <c r="U240" i="11" s="1"/>
  <c r="R240" i="11"/>
  <c r="O240" i="11"/>
  <c r="I240" i="11"/>
  <c r="E240" i="11"/>
  <c r="C240" i="11"/>
  <c r="S239" i="11"/>
  <c r="T239" i="11" s="1"/>
  <c r="R239" i="11"/>
  <c r="O239" i="11"/>
  <c r="I239" i="11"/>
  <c r="E239" i="11"/>
  <c r="C239" i="11"/>
  <c r="S238" i="11"/>
  <c r="U238" i="11" s="1"/>
  <c r="R238" i="11"/>
  <c r="O238" i="11"/>
  <c r="I238" i="11"/>
  <c r="E238" i="11"/>
  <c r="C238" i="11"/>
  <c r="S237" i="11"/>
  <c r="U237" i="11" s="1"/>
  <c r="R237" i="11"/>
  <c r="O237" i="11"/>
  <c r="I237" i="11"/>
  <c r="E237" i="11"/>
  <c r="C237" i="11"/>
  <c r="S236" i="11"/>
  <c r="U236" i="11" s="1"/>
  <c r="R236" i="11"/>
  <c r="O236" i="11"/>
  <c r="I236" i="11"/>
  <c r="E236" i="11"/>
  <c r="C236" i="11"/>
  <c r="L14" i="2"/>
  <c r="U44" i="11" l="1"/>
  <c r="T59" i="11"/>
  <c r="T60" i="11"/>
  <c r="T58" i="11"/>
  <c r="T88" i="11"/>
  <c r="U95" i="11"/>
  <c r="T94" i="11"/>
  <c r="T93" i="11"/>
  <c r="U239" i="11"/>
  <c r="T238" i="11"/>
  <c r="T237" i="11"/>
  <c r="T240" i="11"/>
  <c r="T236" i="11"/>
  <c r="S390" i="11"/>
  <c r="U390" i="11" s="1"/>
  <c r="S389" i="11"/>
  <c r="T389" i="11" s="1"/>
  <c r="S388" i="11"/>
  <c r="T388" i="11" s="1"/>
  <c r="S387" i="11"/>
  <c r="T387" i="11" s="1"/>
  <c r="S386" i="11"/>
  <c r="T386" i="11" s="1"/>
  <c r="S385" i="11"/>
  <c r="U385" i="11" s="1"/>
  <c r="S384" i="11"/>
  <c r="T384" i="11" s="1"/>
  <c r="S383" i="11"/>
  <c r="T383" i="11" s="1"/>
  <c r="S382" i="11"/>
  <c r="U382" i="11" s="1"/>
  <c r="S357" i="11"/>
  <c r="T357" i="11" s="1"/>
  <c r="S356" i="11"/>
  <c r="U356" i="11" s="1"/>
  <c r="S355" i="11"/>
  <c r="U355" i="11" s="1"/>
  <c r="S354" i="11"/>
  <c r="U354" i="11" s="1"/>
  <c r="S353" i="11"/>
  <c r="T353" i="11" s="1"/>
  <c r="S352" i="11"/>
  <c r="U352" i="11" s="1"/>
  <c r="S351" i="11"/>
  <c r="T351" i="11" s="1"/>
  <c r="S350" i="11"/>
  <c r="T350" i="11" s="1"/>
  <c r="S218" i="11"/>
  <c r="T218" i="11" s="1"/>
  <c r="S217" i="11"/>
  <c r="T217" i="11" s="1"/>
  <c r="S216" i="11"/>
  <c r="T216" i="11" s="1"/>
  <c r="S215" i="11"/>
  <c r="U215" i="11" s="1"/>
  <c r="S214" i="11"/>
  <c r="T214" i="11" s="1"/>
  <c r="S213" i="11"/>
  <c r="U213" i="11" s="1"/>
  <c r="S127" i="11"/>
  <c r="U127" i="11" s="1"/>
  <c r="S126" i="11"/>
  <c r="T126" i="11" s="1"/>
  <c r="S125" i="11"/>
  <c r="T125" i="11" s="1"/>
  <c r="U124" i="11"/>
  <c r="T123" i="11"/>
  <c r="S122" i="11"/>
  <c r="T122" i="11" s="1"/>
  <c r="S92" i="11"/>
  <c r="U92" i="11" s="1"/>
  <c r="S91" i="11"/>
  <c r="U91" i="11" s="1"/>
  <c r="S90" i="11"/>
  <c r="T90" i="11" s="1"/>
  <c r="S89" i="11"/>
  <c r="R390" i="11"/>
  <c r="R389" i="11"/>
  <c r="R388" i="11"/>
  <c r="R387" i="11"/>
  <c r="R386" i="11"/>
  <c r="R385" i="11"/>
  <c r="R384" i="11"/>
  <c r="R383" i="11"/>
  <c r="R382" i="11"/>
  <c r="R357" i="11"/>
  <c r="R356" i="11"/>
  <c r="R355" i="11"/>
  <c r="R354" i="11"/>
  <c r="R353" i="11"/>
  <c r="R352" i="11"/>
  <c r="R351" i="11"/>
  <c r="R350" i="11"/>
  <c r="R218" i="11"/>
  <c r="R217" i="11"/>
  <c r="R216" i="11"/>
  <c r="R215" i="11"/>
  <c r="R214" i="11"/>
  <c r="R213" i="11"/>
  <c r="R127" i="11"/>
  <c r="R126" i="11"/>
  <c r="R125" i="11"/>
  <c r="R124" i="11"/>
  <c r="R123" i="11"/>
  <c r="R122" i="11"/>
  <c r="R92" i="11"/>
  <c r="R91" i="11"/>
  <c r="R90" i="11"/>
  <c r="R89" i="11"/>
  <c r="O390" i="11"/>
  <c r="O389" i="11"/>
  <c r="O388" i="11"/>
  <c r="O387" i="11"/>
  <c r="O386" i="11"/>
  <c r="O385" i="11"/>
  <c r="O384" i="11"/>
  <c r="O383" i="11"/>
  <c r="O382" i="11"/>
  <c r="O357" i="11"/>
  <c r="O356" i="11"/>
  <c r="O355" i="11"/>
  <c r="O354" i="11"/>
  <c r="O353" i="11"/>
  <c r="O352" i="11"/>
  <c r="O351" i="11"/>
  <c r="O350" i="11"/>
  <c r="O218" i="11"/>
  <c r="O217" i="11"/>
  <c r="O216" i="11"/>
  <c r="O215" i="11"/>
  <c r="O214" i="11"/>
  <c r="O213" i="11"/>
  <c r="O127" i="11"/>
  <c r="O126" i="11"/>
  <c r="O125" i="11"/>
  <c r="O124" i="11"/>
  <c r="O123" i="11"/>
  <c r="O122" i="11"/>
  <c r="O92" i="11"/>
  <c r="O91" i="11"/>
  <c r="O90" i="11"/>
  <c r="O89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57" i="11"/>
  <c r="K356" i="11"/>
  <c r="K355" i="11"/>
  <c r="K354" i="11"/>
  <c r="K353" i="11"/>
  <c r="K352" i="11"/>
  <c r="K351" i="11"/>
  <c r="K350" i="11"/>
  <c r="K218" i="11"/>
  <c r="K217" i="11"/>
  <c r="K216" i="11"/>
  <c r="K215" i="11"/>
  <c r="K214" i="11"/>
  <c r="K127" i="11"/>
  <c r="K126" i="11"/>
  <c r="K125" i="11"/>
  <c r="K124" i="11"/>
  <c r="K123" i="11"/>
  <c r="K122" i="11"/>
  <c r="K92" i="11"/>
  <c r="K91" i="11"/>
  <c r="K90" i="11"/>
  <c r="K89" i="11"/>
  <c r="I395" i="11"/>
  <c r="I394" i="11"/>
  <c r="I393" i="11"/>
  <c r="I392" i="11"/>
  <c r="I391" i="11"/>
  <c r="I390" i="11"/>
  <c r="I389" i="11"/>
  <c r="I388" i="11"/>
  <c r="I387" i="11"/>
  <c r="I386" i="11"/>
  <c r="I385" i="11"/>
  <c r="I383" i="11"/>
  <c r="I382" i="11"/>
  <c r="I357" i="11"/>
  <c r="I356" i="11"/>
  <c r="I355" i="11"/>
  <c r="I354" i="11"/>
  <c r="I353" i="11"/>
  <c r="I352" i="11"/>
  <c r="I351" i="11"/>
  <c r="I350" i="11"/>
  <c r="I218" i="11"/>
  <c r="I217" i="11"/>
  <c r="I216" i="11"/>
  <c r="I215" i="11"/>
  <c r="I214" i="11"/>
  <c r="I213" i="11"/>
  <c r="I127" i="11"/>
  <c r="I126" i="11"/>
  <c r="I125" i="11"/>
  <c r="I124" i="11"/>
  <c r="I123" i="11"/>
  <c r="I122" i="11"/>
  <c r="I92" i="11"/>
  <c r="I91" i="11"/>
  <c r="I90" i="11"/>
  <c r="I89" i="11"/>
  <c r="E395" i="11"/>
  <c r="C395" i="11"/>
  <c r="E394" i="11"/>
  <c r="C394" i="11"/>
  <c r="E393" i="11"/>
  <c r="C393" i="11"/>
  <c r="E392" i="11"/>
  <c r="C392" i="11"/>
  <c r="E391" i="11"/>
  <c r="C391" i="11"/>
  <c r="E390" i="11"/>
  <c r="C390" i="11"/>
  <c r="E389" i="11"/>
  <c r="C389" i="11"/>
  <c r="E388" i="11"/>
  <c r="C388" i="11"/>
  <c r="E387" i="11"/>
  <c r="C387" i="11"/>
  <c r="E386" i="11"/>
  <c r="C386" i="11"/>
  <c r="E385" i="11"/>
  <c r="C385" i="11"/>
  <c r="E384" i="11"/>
  <c r="C384" i="11"/>
  <c r="E383" i="11"/>
  <c r="C383" i="11"/>
  <c r="E382" i="11"/>
  <c r="C382" i="11"/>
  <c r="E357" i="11"/>
  <c r="C357" i="11"/>
  <c r="E356" i="11"/>
  <c r="C356" i="11"/>
  <c r="E355" i="11"/>
  <c r="C355" i="11"/>
  <c r="E354" i="11"/>
  <c r="C354" i="11"/>
  <c r="E353" i="11"/>
  <c r="C353" i="11"/>
  <c r="E352" i="11"/>
  <c r="C352" i="11"/>
  <c r="E351" i="11"/>
  <c r="C351" i="11"/>
  <c r="E350" i="11"/>
  <c r="C350" i="11"/>
  <c r="E218" i="11"/>
  <c r="C218" i="11"/>
  <c r="E217" i="11"/>
  <c r="C217" i="11"/>
  <c r="E216" i="11"/>
  <c r="C216" i="11"/>
  <c r="E215" i="11"/>
  <c r="C215" i="11"/>
  <c r="E214" i="11"/>
  <c r="C214" i="11"/>
  <c r="E213" i="11"/>
  <c r="C213" i="11"/>
  <c r="E127" i="11"/>
  <c r="C127" i="11"/>
  <c r="E126" i="11"/>
  <c r="C126" i="11"/>
  <c r="E125" i="11"/>
  <c r="C125" i="11"/>
  <c r="E124" i="11"/>
  <c r="C124" i="11"/>
  <c r="E123" i="11"/>
  <c r="C123" i="11"/>
  <c r="E122" i="11"/>
  <c r="C122" i="11"/>
  <c r="E92" i="11"/>
  <c r="C92" i="11"/>
  <c r="E91" i="11"/>
  <c r="C91" i="11"/>
  <c r="E90" i="11"/>
  <c r="C90" i="11"/>
  <c r="E89" i="11"/>
  <c r="C89" i="11"/>
  <c r="P4" i="2" l="1"/>
  <c r="U89" i="11"/>
  <c r="T92" i="11"/>
  <c r="T127" i="11"/>
  <c r="T354" i="11"/>
  <c r="T213" i="11"/>
  <c r="N4" i="2" s="1"/>
  <c r="T124" i="11"/>
  <c r="U126" i="11"/>
  <c r="T385" i="11"/>
  <c r="U216" i="11"/>
  <c r="U218" i="11"/>
  <c r="U350" i="11"/>
  <c r="T356" i="11"/>
  <c r="T390" i="11"/>
  <c r="U351" i="11"/>
  <c r="U357" i="11"/>
  <c r="U386" i="11"/>
  <c r="U387" i="11"/>
  <c r="T91" i="11"/>
  <c r="U123" i="11"/>
  <c r="T382" i="11"/>
  <c r="U217" i="11"/>
  <c r="U384" i="11"/>
  <c r="T352" i="11"/>
  <c r="U122" i="11"/>
  <c r="T215" i="11"/>
  <c r="U388" i="11"/>
  <c r="U125" i="11"/>
  <c r="U353" i="11"/>
  <c r="U389" i="11"/>
  <c r="T355" i="11"/>
  <c r="T89" i="11"/>
  <c r="U214" i="11"/>
  <c r="U90" i="11"/>
  <c r="U383" i="11"/>
  <c r="O4" i="2" l="1"/>
  <c r="Q4" i="2" s="1"/>
  <c r="N5" i="2"/>
  <c r="P5" i="2"/>
  <c r="H5" i="2"/>
  <c r="F5" i="2"/>
  <c r="G5" i="2" s="1"/>
  <c r="H4" i="2"/>
  <c r="F4" i="2"/>
  <c r="G4" i="2" s="1"/>
  <c r="D4" i="13"/>
  <c r="C4" i="13"/>
  <c r="B4" i="13"/>
  <c r="D3" i="13"/>
  <c r="C3" i="13"/>
  <c r="B3" i="13"/>
  <c r="Q5" i="2" l="1"/>
  <c r="O5" i="2"/>
  <c r="I5" i="2"/>
  <c r="I4" i="2"/>
  <c r="E11" i="2"/>
  <c r="E16" i="2"/>
  <c r="H15" i="2" l="1"/>
  <c r="F15" i="2"/>
  <c r="G15" i="2" s="1"/>
  <c r="H12" i="2"/>
  <c r="F12" i="2"/>
  <c r="H10" i="2"/>
  <c r="F10" i="2"/>
  <c r="G10" i="2" s="1"/>
  <c r="H7" i="2"/>
  <c r="F7" i="2"/>
  <c r="I15" i="2" l="1"/>
  <c r="G7" i="2"/>
  <c r="I7" i="2" s="1"/>
  <c r="G12" i="2"/>
  <c r="I12" i="2" s="1"/>
  <c r="I10" i="2"/>
  <c r="I6" i="2" l="1"/>
  <c r="H6" i="2"/>
  <c r="G6" i="2"/>
  <c r="E6" i="2"/>
  <c r="E17" i="2" s="1"/>
  <c r="F6" i="2"/>
  <c r="F8" i="2" l="1"/>
  <c r="H8" i="2"/>
  <c r="M5" i="2"/>
  <c r="G8" i="2" l="1"/>
  <c r="F9" i="2"/>
  <c r="G9" i="2" s="1"/>
  <c r="H9" i="2"/>
  <c r="S432" i="11"/>
  <c r="F13" i="2"/>
  <c r="I9" i="2" l="1"/>
  <c r="H13" i="2"/>
  <c r="H11" i="2"/>
  <c r="G11" i="2"/>
  <c r="I8" i="2"/>
  <c r="F11" i="2"/>
  <c r="G13" i="2"/>
  <c r="H14" i="2"/>
  <c r="F14" i="2"/>
  <c r="G14" i="2" s="1"/>
  <c r="T432" i="11"/>
  <c r="I13" i="2" l="1"/>
  <c r="I11" i="2"/>
  <c r="H16" i="2"/>
  <c r="H17" i="2" s="1"/>
  <c r="F16" i="2"/>
  <c r="F17" i="2" s="1"/>
  <c r="G16" i="2"/>
  <c r="G17" i="2" s="1"/>
  <c r="I14" i="2"/>
  <c r="M24" i="13"/>
  <c r="I16" i="2" l="1"/>
  <c r="I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AD2" authorId="0" shapeId="0" xr:uid="{4D8E54B5-AD78-443A-9505-510072C82878}">
      <text>
        <r>
          <rPr>
            <b/>
            <sz val="9"/>
            <color indexed="81"/>
            <rFont val="Tahoma"/>
            <family val="2"/>
            <charset val="238"/>
          </rPr>
          <t>ha mínusz pár forint az eltérés, akkor le kell vonni a bérből, mert az kerekítési különbözet. Ha plusz pár Forint, azt hagyjuk úgy</t>
        </r>
      </text>
    </comment>
    <comment ref="O25" authorId="0" shapeId="0" xr:uid="{40F6C4F5-7A5E-4B80-A0FB-2EB3A7E67AD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26" authorId="0" shapeId="0" xr:uid="{CACB5014-D558-4AE2-A988-C6892E215888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27" authorId="0" shapeId="0" xr:uid="{6FA820CD-4702-4D22-A771-E4C214E0FBB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8" authorId="0" shapeId="0" xr:uid="{C7483D70-C5C0-4A28-9588-2EF30E32A680}">
      <text>
        <r>
          <rPr>
            <b/>
            <sz val="9"/>
            <color indexed="81"/>
            <rFont val="Tahoma"/>
            <family val="2"/>
            <charset val="238"/>
          </rPr>
          <t>hónap közben távozott</t>
        </r>
      </text>
    </comment>
    <comment ref="O28" authorId="0" shapeId="0" xr:uid="{2B3CD7DB-DB25-4162-AA9D-AE78D39C0F17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0" authorId="0" shapeId="0" xr:uid="{E98CE4CB-71F8-4208-8B22-AF4521CCE726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1" authorId="0" shapeId="0" xr:uid="{52AAF0CD-9D6D-42B7-A58E-B2A0C74196C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2" authorId="0" shapeId="0" xr:uid="{BF9611D2-6EC8-443D-8624-6CF88EC085A8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3" authorId="0" shapeId="0" xr:uid="{CB8AB1F8-857B-46D0-B173-F501A3FEC82A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4" authorId="0" shapeId="0" xr:uid="{CA3941D7-3DD7-448A-BC68-09ADB37BF9D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5" authorId="0" shapeId="0" xr:uid="{C1FFDFEC-0815-45D5-927A-266D4B2FE003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6" authorId="0" shapeId="0" xr:uid="{541502F1-7BD6-4F85-991F-CE5DAC6FC370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6" authorId="0" shapeId="0" xr:uid="{94F8CB47-32D0-41B8-A596-9BF824BF1D87}">
      <text>
        <r>
          <rPr>
            <b/>
            <sz val="9"/>
            <color indexed="81"/>
            <rFont val="Tahoma"/>
            <family val="2"/>
            <charset val="238"/>
          </rPr>
          <t>járulék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7" authorId="0" shapeId="0" xr:uid="{53B068AC-9195-434C-AB11-F2D054D887C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8" authorId="0" shapeId="0" xr:uid="{B8CAF920-12FD-4C3C-AD0F-BAD105E47771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</text>
    </comment>
    <comment ref="O39" authorId="0" shapeId="0" xr:uid="{B96046BF-E849-4F80-BD28-B1F2CFC62051}">
      <text>
        <r>
          <rPr>
            <b/>
            <sz val="9"/>
            <color indexed="81"/>
            <rFont val="Tahoma"/>
            <family val="2"/>
            <charset val="238"/>
          </rPr>
          <t>jár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40" authorId="0" shapeId="0" xr:uid="{F03BAE81-1903-4851-9CB9-696A68456D11}">
      <text>
        <r>
          <rPr>
            <b/>
            <sz val="9"/>
            <color indexed="81"/>
            <rFont val="Tahoma"/>
            <charset val="1"/>
          </rPr>
          <t>jár. Kedv.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05" authorId="0" shapeId="0" xr:uid="{2F1CFE39-414D-4324-BDAA-439E06289124}">
      <text>
        <r>
          <rPr>
            <b/>
            <sz val="9"/>
            <color indexed="81"/>
            <rFont val="Tahoma"/>
            <family val="2"/>
            <charset val="238"/>
          </rPr>
          <t>már nem volt vezető, ezért levontam a 40e pótlékot</t>
        </r>
      </text>
    </comment>
    <comment ref="N106" authorId="0" shapeId="0" xr:uid="{102F7F92-1AE5-44BB-B5C4-D7231CAC9735}">
      <text>
        <r>
          <rPr>
            <b/>
            <sz val="9"/>
            <color indexed="81"/>
            <rFont val="Tahoma"/>
            <family val="2"/>
            <charset val="238"/>
          </rPr>
          <t>már nem volt vezető, ezért levontam a 40e pótlékot</t>
        </r>
      </text>
    </comment>
    <comment ref="N107" authorId="0" shapeId="0" xr:uid="{FD2C241F-486F-4D5D-8583-84EA16D48205}">
      <text>
        <r>
          <rPr>
            <b/>
            <sz val="9"/>
            <color indexed="81"/>
            <rFont val="Tahoma"/>
            <family val="2"/>
            <charset val="238"/>
          </rPr>
          <t>már nem volt vezető, ezért levontam a 40e pótlékot</t>
        </r>
      </text>
    </comment>
    <comment ref="N208" authorId="0" shapeId="0" xr:uid="{2B9911F4-1607-4DA5-B837-6E7D79EDCB7F}">
      <text>
        <r>
          <rPr>
            <b/>
            <sz val="9"/>
            <color indexed="81"/>
            <rFont val="Tahoma"/>
            <charset val="1"/>
          </rPr>
          <t>betegszabi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213" authorId="0" shapeId="0" xr:uid="{9673476E-945C-4657-8B1E-6F221E2C9EEB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228" authorId="0" shapeId="0" xr:uid="{D1437F96-4824-48F7-8F8E-9A4320802746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arányosan számoltam a teljes bérhez</t>
        </r>
      </text>
    </comment>
    <comment ref="O231" authorId="0" shapeId="0" xr:uid="{6EF126E7-4087-45E1-90CC-178B48F6E0A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</text>
    </comment>
    <comment ref="T231" authorId="0" shapeId="0" xr:uid="{CDE5C39A-85B8-4687-98FE-419F63A49B86}">
      <text>
        <r>
          <rPr>
            <b/>
            <sz val="9"/>
            <color indexed="81"/>
            <rFont val="Tahoma"/>
            <family val="2"/>
            <charset val="238"/>
          </rPr>
          <t>óra/összes óra * járulék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232" authorId="0" shapeId="0" xr:uid="{70342777-C81D-4154-A561-65C9EDB3908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233" authorId="0" shapeId="0" xr:uid="{4C05C05A-F061-4DD8-B9E9-D9C82B8CEA38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234" authorId="0" shapeId="0" xr:uid="{97A31C1B-5021-4231-8DA3-C240DD67FF9C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35" authorId="0" shapeId="0" xr:uid="{72433C93-A0F1-40CD-96DC-7311E6404379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235" authorId="0" shapeId="0" xr:uid="{B84E7FB5-242C-4DEE-B95E-91FB1E59CBF1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44" authorId="0" shapeId="0" xr:uid="{9CE04E7A-DC35-4991-A3A4-D80882FF7A51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</text>
    </comment>
    <comment ref="O345" authorId="0" shapeId="0" xr:uid="{71BBF98E-4404-4599-B875-51BAAC55313B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346" authorId="0" shapeId="0" xr:uid="{7A2A4951-16E6-4259-88A8-A5A430B5707D}">
      <text>
        <r>
          <rPr>
            <b/>
            <sz val="9"/>
            <color indexed="81"/>
            <rFont val="Tahoma"/>
            <charset val="1"/>
          </rPr>
          <t>jár. Kedv.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357" authorId="0" shapeId="0" xr:uid="{CEDA70D2-46FB-4F0D-BE6B-EE12166102F3}">
      <text>
        <r>
          <rPr>
            <b/>
            <sz val="9"/>
            <color indexed="81"/>
            <rFont val="Tahoma"/>
            <family val="2"/>
            <charset val="238"/>
          </rPr>
          <t>táppénz, 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58" authorId="0" shapeId="0" xr:uid="{43995E91-CD8B-4B1C-8F54-FF0761A7F4C3}">
      <text>
        <r>
          <rPr>
            <b/>
            <sz val="9"/>
            <color indexed="81"/>
            <rFont val="Tahoma"/>
            <family val="2"/>
            <charset val="238"/>
          </rPr>
          <t>csecsemőgond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59" authorId="0" shapeId="0" xr:uid="{62D1458D-4447-475C-AB15-B73F88910690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</text>
    </comment>
    <comment ref="N360" authorId="0" shapeId="0" xr:uid="{A78F073C-BF48-4877-9C75-E57F8053787F}">
      <text>
        <r>
          <rPr>
            <b/>
            <sz val="9"/>
            <color indexed="81"/>
            <rFont val="Tahoma"/>
            <family val="2"/>
            <charset val="238"/>
          </rPr>
          <t>csecsemőgondozási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61" authorId="0" shapeId="0" xr:uid="{6292535C-F091-4326-A1C9-B92E5962CD28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62" authorId="0" shapeId="0" xr:uid="{DF719E8D-6991-4CB6-BDBA-30F90DFECAF0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63" authorId="0" shapeId="0" xr:uid="{23674A8F-541C-45F0-9A64-756953AF3052}">
      <text>
        <r>
          <rPr>
            <b/>
            <sz val="9"/>
            <color indexed="81"/>
            <rFont val="Tahoma"/>
            <family val="2"/>
            <charset val="238"/>
          </rPr>
          <t>gyed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79" authorId="0" shapeId="0" xr:uid="{77891C3A-F042-4E7C-AD77-812614E820CA}">
      <text>
        <r>
          <rPr>
            <b/>
            <sz val="9"/>
            <color indexed="81"/>
            <rFont val="Tahoma"/>
            <family val="2"/>
            <charset val="238"/>
          </rPr>
          <t>gyes gyed levonva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380" authorId="0" shapeId="0" xr:uid="{A4C513D7-6E0D-4014-A38F-1194594A6FBD}">
      <text>
        <r>
          <rPr>
            <b/>
            <sz val="9"/>
            <color indexed="81"/>
            <rFont val="Tahoma"/>
            <charset val="1"/>
          </rPr>
          <t>gyed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<sst xmlns="http://schemas.openxmlformats.org/spreadsheetml/2006/main" count="4750" uniqueCount="278">
  <si>
    <t>Fennmaradó 
egyenleg</t>
  </si>
  <si>
    <t>bér arány</t>
  </si>
  <si>
    <t>ÖSSZESEN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</si>
  <si>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</si>
  <si>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</si>
  <si>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</si>
  <si>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</si>
  <si>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</si>
  <si>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</si>
  <si>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</si>
  <si>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</si>
  <si>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</si>
  <si>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</si>
  <si>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</si>
  <si>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</si>
  <si>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</si>
  <si>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</si>
  <si>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Megbízási</t>
  </si>
  <si>
    <t>Munkaköri</t>
  </si>
  <si>
    <t>Mindösszesen</t>
  </si>
  <si>
    <t>többlet</t>
  </si>
  <si>
    <t>bruttó bér</t>
  </si>
  <si>
    <t>óra</t>
  </si>
  <si>
    <t>elszámolt</t>
  </si>
  <si>
    <t>járulék</t>
  </si>
  <si>
    <t>dátuma</t>
  </si>
  <si>
    <t>közreműködő munkatársak (Név)</t>
  </si>
  <si>
    <t>központ (terhelés)</t>
  </si>
  <si>
    <t>központ (számfejtés)</t>
  </si>
  <si>
    <t>MEGBÍZÁSOK</t>
  </si>
  <si>
    <t>Megrendelés/ szerződés száma</t>
  </si>
  <si>
    <t>SZERVEZETI EGYSÉGEK SZERINT</t>
  </si>
  <si>
    <t>leírás</t>
  </si>
  <si>
    <t>nyilvántartás</t>
  </si>
  <si>
    <t>mértéke</t>
  </si>
  <si>
    <t>Munkaidő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</si>
  <si>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</si>
  <si>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</si>
  <si>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</si>
  <si>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</si>
  <si>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</si>
  <si>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</si>
  <si>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</si>
  <si>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</si>
  <si>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</si>
  <si>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</si>
  <si>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</si>
  <si>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</si>
  <si>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</si>
  <si>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</si>
  <si>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</si>
  <si>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</si>
  <si>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</si>
  <si>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</si>
  <si>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</si>
  <si>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</si>
  <si>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</si>
  <si>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</si>
  <si>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</si>
  <si>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</si>
  <si>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</si>
  <si>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Szervezeti egység</t>
  </si>
  <si>
    <t>Szoc. Ho.</t>
  </si>
  <si>
    <t>adó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</si>
  <si>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</si>
  <si>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</si>
  <si>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</si>
  <si>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</si>
  <si>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</si>
  <si>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</si>
  <si>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</si>
  <si>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</si>
  <si>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</si>
  <si>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</si>
  <si>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</si>
  <si>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(kinev/többlet)</t>
  </si>
  <si>
    <t>Technikus</t>
  </si>
  <si>
    <t>Segédszemélyzet</t>
  </si>
  <si>
    <t>Munkabér</t>
  </si>
  <si>
    <t>3 tizedesre kerekített munkaidő%</t>
  </si>
  <si>
    <t>Számla sorszáma</t>
  </si>
  <si>
    <t>Beszerzett tétel megnevezése</t>
  </si>
  <si>
    <t>Úti költéség és konferenica esetében kérjük a konferencia nevét, időpontját feltüntetni illetve az útiköltség esetében is hogy melyik konferenciához ívánjuk elszámolni a felmerülő költséget, résztvevők nevei.</t>
  </si>
  <si>
    <t>Konferecia és útiköltség esetében esetében is kérjük tölteni.</t>
  </si>
  <si>
    <t>Költség kategória</t>
  </si>
  <si>
    <t>Költség elem</t>
  </si>
  <si>
    <t>Számla kelte</t>
  </si>
  <si>
    <t>Teljesítés dátuma</t>
  </si>
  <si>
    <t>Időszak</t>
  </si>
  <si>
    <t>Hallgatói foglalkoztatás</t>
  </si>
  <si>
    <t>K+F munkatárs</t>
  </si>
  <si>
    <t>Projektmenedzsment</t>
  </si>
  <si>
    <t>Egyéb</t>
  </si>
  <si>
    <t>Adott kolléga milyen munkakört tölt be a projektben (legördülő menüből választani)
TÖLTENDŐ!</t>
  </si>
  <si>
    <t>JBI azonosító szerepeltetése
OTRS szám</t>
  </si>
  <si>
    <t>SAP/Köt. váll. azonosító</t>
  </si>
  <si>
    <t>Összeg 
(Ft)</t>
  </si>
  <si>
    <t>Egyéb paraméter</t>
  </si>
  <si>
    <t>Támogatást igénylő</t>
  </si>
  <si>
    <t>Finanszírozási mód</t>
  </si>
  <si>
    <t>Állami támogatás kategória</t>
  </si>
  <si>
    <t>Beszerzés jellege</t>
  </si>
  <si>
    <t>Elszámolási mód</t>
  </si>
  <si>
    <t>Mérföldkő hozzárendelése</t>
  </si>
  <si>
    <t>Nettó egységár</t>
  </si>
  <si>
    <t>Nettó egységárra jutó ÁFA</t>
  </si>
  <si>
    <t>Bruttó egységár</t>
  </si>
  <si>
    <t>Mennyiség</t>
  </si>
  <si>
    <t>Nettó érték</t>
  </si>
  <si>
    <t>ÁFA érték</t>
  </si>
  <si>
    <t>Teljes költség</t>
  </si>
  <si>
    <t>Elszámolható költség</t>
  </si>
  <si>
    <t>Nem elszámolható költség</t>
  </si>
  <si>
    <t>Támogatási százalék</t>
  </si>
  <si>
    <t>Támogatási összeg</t>
  </si>
  <si>
    <t>Összes kifizethető költség (Ft) - Utófinanszírozott</t>
  </si>
  <si>
    <t>Összes kifizethető költség (Ft) - Szállítói finanszírozású</t>
  </si>
  <si>
    <t>Részletezés</t>
  </si>
  <si>
    <t>Megvalósítási helyszín</t>
  </si>
  <si>
    <t>Átjárhatóság</t>
  </si>
  <si>
    <t>Szakágazat</t>
  </si>
  <si>
    <t>Eszközbeszerzés</t>
  </si>
  <si>
    <t>Utófinanszírozás</t>
  </si>
  <si>
    <t>Nem állami támogatás</t>
  </si>
  <si>
    <t>Beszerzés</t>
  </si>
  <si>
    <t>Valós költség</t>
  </si>
  <si>
    <t>Kísérleti fejlesztés – Működési költség</t>
  </si>
  <si>
    <t>51. Anyagköltség</t>
  </si>
  <si>
    <t>Alkalmazott (ipari) kutatás – Működési költség</t>
  </si>
  <si>
    <t>54. Bérköltség</t>
  </si>
  <si>
    <t>54. Bérköltség - Kutató-fejlesztő munkatárs</t>
  </si>
  <si>
    <t>Saját teljesítés</t>
  </si>
  <si>
    <t>54. Bérköltség - technikus segédszemélyzet</t>
  </si>
  <si>
    <t>56. Bérjárulék</t>
  </si>
  <si>
    <t>56. Bérjárulék - Kutató-fejlesztő munkatárs</t>
  </si>
  <si>
    <t>56. Bérjárulék - technikus segédszemélyzet</t>
  </si>
  <si>
    <t>Összesen</t>
  </si>
  <si>
    <t>Pannon Egyetem</t>
  </si>
  <si>
    <t>Munkakör</t>
  </si>
  <si>
    <t>2023.12</t>
  </si>
  <si>
    <t>2024.01</t>
  </si>
  <si>
    <t>2024.02</t>
  </si>
  <si>
    <t>2024.03</t>
  </si>
  <si>
    <t>2024.04</t>
  </si>
  <si>
    <t>2024.05</t>
  </si>
  <si>
    <t>Résztvevő</t>
  </si>
  <si>
    <t>Foglalkoztatás</t>
  </si>
  <si>
    <t>Teljes</t>
  </si>
  <si>
    <t>Projekten</t>
  </si>
  <si>
    <t>Elszámolás</t>
  </si>
  <si>
    <t>Tevékenység</t>
  </si>
  <si>
    <t>Költség</t>
  </si>
  <si>
    <t>típusa</t>
  </si>
  <si>
    <t>bruttó munkabér</t>
  </si>
  <si>
    <t>bérjárulék</t>
  </si>
  <si>
    <t>havi</t>
  </si>
  <si>
    <t>sorszáma</t>
  </si>
  <si>
    <t>neve</t>
  </si>
  <si>
    <t>kategória</t>
  </si>
  <si>
    <t>típus</t>
  </si>
  <si>
    <t>elem</t>
  </si>
  <si>
    <t>Kezdete</t>
  </si>
  <si>
    <t>Vége</t>
  </si>
  <si>
    <t>munkaidő</t>
  </si>
  <si>
    <t>DOLOGI / ESZKÖZÖK ÖSSZESEN</t>
  </si>
  <si>
    <t>BÉRKÖLTSÉG ÖSSZESEN</t>
  </si>
  <si>
    <t>BÉRJÁRULÉK ÖSSZESEN</t>
  </si>
  <si>
    <t>IT eszközbeszerzés</t>
  </si>
  <si>
    <t>Kísérleti fejlesztés anyagköltsége</t>
  </si>
  <si>
    <t>14. Egyéb berendezések, felszerelések, járművek</t>
  </si>
  <si>
    <t>Kutató-fejlesztő bér - KF</t>
  </si>
  <si>
    <t>Kutató-fejlesztő bér - IK</t>
  </si>
  <si>
    <t>Technikus bér - KF</t>
  </si>
  <si>
    <t>Technikus bér - IK</t>
  </si>
  <si>
    <t>E017200178</t>
  </si>
  <si>
    <t>Közbeszerzés</t>
  </si>
  <si>
    <t>Magas szintű számítási kapacitásokkal rendelkező IT eszközök. Pl. 3 db HP ProBook650, 3 db HP EliteBook 830, 2 db HP Prodesk 400, 3 db HP G5 dokkoló, 2 db Calatyst router. Ajánlatadó: Euro One Számítástechnikai Zrt.
1 db EMC Data Domain DD2500 10GB NETWORK IO module
2 db Lenovo Flex System FC5022 16Gb SAN Scalable Switch
2 db Flex System FC5022 16Gb SAN Scalable Switch (Upgrade 2)
36 db Brocade 16Gb SFP+ transceiver module</t>
  </si>
  <si>
    <t>Kis értékű szerelési anyagok, melyeket a tesztelések és a rendszer kialakítása során fogunk felhasználni. Az eszközök az alábbiakat fogják magukba foglalni: kábelek, csatlakozók, teszteléshez tápegységek, optikai kábelek)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</si>
  <si>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fejlesztésen lesznek alkalmazva, és 1 évig az ipari kutatáson. FTE tekintetében a kísérleti fejlesztési szakaszhoz 3,35-ös értékük párosul, míg az ipari kutatási szakaszhoz 1,65.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</si>
  <si>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</si>
  <si>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A projekt kísérleti fejlesztési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</si>
  <si>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A projekt ipari kutatási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</si>
  <si>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Kutató-fejlesztő bérjárulék - IK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</si>
  <si>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</si>
  <si>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Kutató-fejlesztő bérjárulék - KF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</si>
  <si>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</si>
  <si>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Technikus bérjárulék - IK</t>
  </si>
  <si>
    <t>Technikus bérjárulék - KF</t>
  </si>
  <si>
    <t>MIK</t>
  </si>
  <si>
    <t>Domokos Endre Gábor</t>
  </si>
  <si>
    <t>Fodor Attila</t>
  </si>
  <si>
    <t>Hardy András György</t>
  </si>
  <si>
    <t>Tudós Gábor</t>
  </si>
  <si>
    <t>C211100000</t>
  </si>
  <si>
    <t>E021100000</t>
  </si>
  <si>
    <t>E021110000</t>
  </si>
  <si>
    <t>M211120000</t>
  </si>
  <si>
    <t>i</t>
  </si>
  <si>
    <t>Előlegek</t>
  </si>
  <si>
    <t>Juhász Judit</t>
  </si>
  <si>
    <t>Csizmadia Ferenc</t>
  </si>
  <si>
    <t>Bálint Roland</t>
  </si>
  <si>
    <t>Fodor Sándor</t>
  </si>
  <si>
    <t>E011110000</t>
  </si>
  <si>
    <t>Pózna Anna</t>
  </si>
  <si>
    <t>Pekárdy Milán Péter</t>
  </si>
  <si>
    <t>E031110000</t>
  </si>
  <si>
    <t>Fodor Fruzsina</t>
  </si>
  <si>
    <t>Ipkovich Bálint</t>
  </si>
  <si>
    <t>Tóth-Nagy Georgina</t>
  </si>
  <si>
    <t>Schmidtné Lényi Szilvia</t>
  </si>
  <si>
    <t>2024.06</t>
  </si>
  <si>
    <t>2024.07</t>
  </si>
  <si>
    <t>2024.08</t>
  </si>
  <si>
    <t>2024.09</t>
  </si>
  <si>
    <t>Futamidő: 2021.10.01-2024.09.30</t>
  </si>
  <si>
    <t>Záró beszámoló: 2024.10.31</t>
  </si>
  <si>
    <t>Trájer Attila János</t>
  </si>
  <si>
    <t>Dolgozó</t>
  </si>
  <si>
    <t>adóazonosító</t>
  </si>
  <si>
    <t>8457261002</t>
  </si>
  <si>
    <t>8448900545</t>
  </si>
  <si>
    <t>8375073423</t>
  </si>
  <si>
    <t>8393082064</t>
  </si>
  <si>
    <t>8409541254</t>
  </si>
  <si>
    <t>8479830956</t>
  </si>
  <si>
    <t>8470832808</t>
  </si>
  <si>
    <t>8341122936</t>
  </si>
  <si>
    <t>8473223225</t>
  </si>
  <si>
    <t>8470592335</t>
  </si>
  <si>
    <t>8443330120</t>
  </si>
  <si>
    <t>8412333799</t>
  </si>
  <si>
    <t>8440712316</t>
  </si>
  <si>
    <t>8426440355</t>
  </si>
  <si>
    <t>8420632767</t>
  </si>
  <si>
    <t>eltérés</t>
  </si>
  <si>
    <t>Bér</t>
  </si>
  <si>
    <t>Járulék</t>
  </si>
  <si>
    <t>Név</t>
  </si>
  <si>
    <t>Adóazonosító</t>
  </si>
  <si>
    <t>Számfejtés</t>
  </si>
  <si>
    <t>Dr. Domokos Endre Gábor</t>
  </si>
  <si>
    <t>Dr. Fodor Attila</t>
  </si>
  <si>
    <t>Dr. Tóth-Nagy Georgina</t>
  </si>
  <si>
    <t>Bali Zsolt László</t>
  </si>
  <si>
    <t>8490960364</t>
  </si>
  <si>
    <t>EGYEZIK</t>
  </si>
  <si>
    <t>HIBÁS</t>
  </si>
  <si>
    <t>M211130000</t>
  </si>
  <si>
    <t>Ábrahám Gyula</t>
  </si>
  <si>
    <t>8451322220</t>
  </si>
  <si>
    <t>Terhelés</t>
  </si>
  <si>
    <t>Hónap</t>
  </si>
  <si>
    <t>Kihagyás</t>
  </si>
  <si>
    <t>Lakó János</t>
  </si>
  <si>
    <t>C211110000</t>
  </si>
  <si>
    <t>8409820269</t>
  </si>
  <si>
    <t>Varga Béla</t>
  </si>
  <si>
    <t>8450390338</t>
  </si>
  <si>
    <t>Dr. Varga Béla</t>
  </si>
  <si>
    <t>havi összes munkaidő</t>
  </si>
  <si>
    <t>havi projekt munkaidő</t>
  </si>
  <si>
    <t>bér utalás dátuma</t>
  </si>
  <si>
    <t>hónap kezdete</t>
  </si>
  <si>
    <t>hónap vége</t>
  </si>
  <si>
    <t>Strobl Emma</t>
  </si>
  <si>
    <t>8490850542</t>
  </si>
  <si>
    <t>Kulcsár Gvendolin</t>
  </si>
  <si>
    <t>8479172010</t>
  </si>
  <si>
    <t>Sebestyén Viktor</t>
  </si>
  <si>
    <t>8442983112</t>
  </si>
  <si>
    <t>belső igény</t>
  </si>
  <si>
    <t>Informatikai beszerzés (HP-U2-Konf4, HP-15-Konf5)</t>
  </si>
  <si>
    <t>4500016828</t>
  </si>
  <si>
    <t>Delta Systems Kft.</t>
  </si>
  <si>
    <t>Dr. Sebestyén Viktor</t>
  </si>
  <si>
    <t>E011100000</t>
  </si>
  <si>
    <t>gyed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</si>
</sst>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\ &quot;Ft&quot;_-;\-* #,##0\ &quot;Ft&quot;_-;_-* &quot;-&quot;??\ &quot;Ft&quot;_-;_-@_-"/>
    <numFmt numFmtId="169" formatCode="0.0%"/>
    <numFmt numFmtId="170" formatCode="_-* #,##0_-;\-* #,##0_-;_-* &quot;-&quot;??_-;_-@_-"/>
  </numFmts>
  <fonts count="61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indexed="8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1C8F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7">
    <xf numFmtId="0" fontId="0" fillId="0" borderId="0"/>
    <xf numFmtId="0" fontId="12" fillId="2" borderId="8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" fillId="21" borderId="15" applyNumberFormat="0" applyFont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5" fillId="8" borderId="0" applyNumberFormat="0" applyBorder="0" applyAlignment="0" applyProtection="0"/>
    <xf numFmtId="0" fontId="26" fillId="26" borderId="16" applyNumberFormat="0" applyAlignment="0" applyProtection="0"/>
    <xf numFmtId="0" fontId="27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28" fillId="7" borderId="0" applyNumberFormat="0" applyBorder="0" applyAlignment="0" applyProtection="0"/>
    <xf numFmtId="0" fontId="29" fillId="27" borderId="0" applyNumberFormat="0" applyBorder="0" applyAlignment="0" applyProtection="0"/>
    <xf numFmtId="0" fontId="30" fillId="26" borderId="9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31" fillId="0" borderId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11" fillId="5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17" fillId="11" borderId="9" applyNumberFormat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7" fillId="0" borderId="0"/>
    <xf numFmtId="164" fontId="3" fillId="0" borderId="0" applyFont="0" applyFill="0" applyBorder="0" applyAlignment="0" applyProtection="0"/>
    <xf numFmtId="0" fontId="39" fillId="0" borderId="0"/>
    <xf numFmtId="44" fontId="11" fillId="0" borderId="0" applyFont="0" applyFill="0" applyBorder="0" applyAlignment="0" applyProtection="0"/>
  </cellStyleXfs>
  <cellXfs count="256">
    <xf numFmtId="0" fontId="0" fillId="0" borderId="0" xfId="0"/>
    <xf numFmtId="0" fontId="3" fillId="3" borderId="1" xfId="0" applyFont="1" applyFill="1" applyBorder="1" applyAlignment="1">
      <alignment horizontal="left"/>
    </xf>
    <xf numFmtId="49" fontId="0" fillId="0" borderId="0" xfId="0" applyNumberFormat="1"/>
    <xf numFmtId="165" fontId="0" fillId="0" borderId="0" xfId="2" applyNumberFormat="1" applyFont="1" applyFill="1"/>
    <xf numFmtId="165" fontId="36" fillId="0" borderId="0" xfId="2" applyNumberFormat="1" applyFont="1" applyFill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Border="1" applyAlignment="1">
      <alignment horizontal="center" vertical="center" wrapText="1"/>
    </xf>
    <xf numFmtId="165" fontId="0" fillId="0" borderId="20" xfId="2" applyNumberFormat="1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167" fontId="13" fillId="0" borderId="0" xfId="0" applyNumberFormat="1" applyFont="1"/>
    <xf numFmtId="167" fontId="13" fillId="3" borderId="1" xfId="0" applyNumberFormat="1" applyFont="1" applyFill="1" applyBorder="1"/>
    <xf numFmtId="3" fontId="0" fillId="0" borderId="0" xfId="0" applyNumberFormat="1"/>
    <xf numFmtId="0" fontId="13" fillId="0" borderId="1" xfId="0" applyFont="1" applyBorder="1" applyAlignment="1">
      <alignment horizontal="center"/>
    </xf>
    <xf numFmtId="3" fontId="41" fillId="0" borderId="0" xfId="0" applyNumberFormat="1" applyFont="1"/>
    <xf numFmtId="49" fontId="0" fillId="0" borderId="0" xfId="0" applyNumberForma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3" fontId="4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33" borderId="7" xfId="0" applyFont="1" applyFill="1" applyBorder="1" applyAlignment="1">
      <alignment horizontal="center"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5" fillId="33" borderId="3" xfId="0" applyFont="1" applyFill="1" applyBorder="1" applyAlignment="1">
      <alignment horizontal="center" vertical="center" wrapText="1"/>
    </xf>
    <xf numFmtId="0" fontId="3" fillId="33" borderId="7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horizontal="center" vertical="center" wrapText="1"/>
    </xf>
    <xf numFmtId="0" fontId="3" fillId="33" borderId="3" xfId="0" applyFont="1" applyFill="1" applyBorder="1" applyAlignment="1">
      <alignment horizontal="center" vertical="center" wrapText="1"/>
    </xf>
    <xf numFmtId="0" fontId="5" fillId="35" borderId="5" xfId="0" applyFont="1" applyFill="1" applyBorder="1" applyAlignment="1">
      <alignment horizontal="center" vertical="center" wrapText="1"/>
    </xf>
    <xf numFmtId="0" fontId="5" fillId="35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5" fillId="0" borderId="0" xfId="0" applyNumberFormat="1" applyFont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0" fontId="36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6" fillId="0" borderId="24" xfId="0" applyFont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5" fontId="0" fillId="0" borderId="1" xfId="2" applyNumberFormat="1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36" fillId="32" borderId="25" xfId="0" applyFont="1" applyFill="1" applyBorder="1" applyAlignment="1">
      <alignment horizontal="left"/>
    </xf>
    <xf numFmtId="0" fontId="0" fillId="32" borderId="26" xfId="0" applyFill="1" applyBorder="1" applyAlignment="1">
      <alignment horizontal="center"/>
    </xf>
    <xf numFmtId="167" fontId="13" fillId="32" borderId="26" xfId="0" applyNumberFormat="1" applyFont="1" applyFill="1" applyBorder="1"/>
    <xf numFmtId="167" fontId="13" fillId="32" borderId="27" xfId="0" applyNumberFormat="1" applyFont="1" applyFill="1" applyBorder="1"/>
    <xf numFmtId="167" fontId="2" fillId="0" borderId="28" xfId="0" applyNumberFormat="1" applyFont="1" applyBorder="1" applyAlignment="1">
      <alignment horizontal="center" vertical="center" wrapText="1"/>
    </xf>
    <xf numFmtId="167" fontId="2" fillId="0" borderId="29" xfId="0" applyNumberFormat="1" applyFont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left"/>
    </xf>
    <xf numFmtId="9" fontId="13" fillId="0" borderId="6" xfId="0" applyNumberFormat="1" applyFon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36" fillId="36" borderId="22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36" borderId="39" xfId="0" applyFill="1" applyBorder="1"/>
    <xf numFmtId="0" fontId="0" fillId="36" borderId="37" xfId="0" applyFill="1" applyBorder="1"/>
    <xf numFmtId="0" fontId="0" fillId="36" borderId="38" xfId="0" applyFill="1" applyBorder="1"/>
    <xf numFmtId="10" fontId="8" fillId="0" borderId="35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36" fillId="0" borderId="2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7" borderId="1" xfId="0" applyFill="1" applyBorder="1" applyAlignment="1">
      <alignment vertical="center" wrapText="1"/>
    </xf>
    <xf numFmtId="0" fontId="0" fillId="37" borderId="4" xfId="0" applyFill="1" applyBorder="1" applyAlignment="1">
      <alignment vertical="center" wrapText="1"/>
    </xf>
    <xf numFmtId="3" fontId="13" fillId="31" borderId="1" xfId="0" applyNumberFormat="1" applyFont="1" applyFill="1" applyBorder="1" applyAlignment="1">
      <alignment vertical="center" wrapText="1"/>
    </xf>
    <xf numFmtId="3" fontId="13" fillId="31" borderId="4" xfId="0" applyNumberFormat="1" applyFont="1" applyFill="1" applyBorder="1" applyAlignment="1">
      <alignment vertical="center" wrapText="1"/>
    </xf>
    <xf numFmtId="169" fontId="0" fillId="0" borderId="0" xfId="0" applyNumberFormat="1" applyAlignment="1">
      <alignment horizontal="center"/>
    </xf>
    <xf numFmtId="169" fontId="13" fillId="0" borderId="6" xfId="0" applyNumberFormat="1" applyFont="1" applyBorder="1" applyAlignment="1">
      <alignment horizontal="center"/>
    </xf>
    <xf numFmtId="169" fontId="8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3" fontId="38" fillId="0" borderId="1" xfId="1" applyNumberFormat="1" applyFont="1" applyFill="1" applyBorder="1" applyAlignment="1" applyProtection="1">
      <alignment horizontal="left"/>
      <protection locked="0"/>
    </xf>
    <xf numFmtId="3" fontId="38" fillId="0" borderId="1" xfId="0" applyNumberFormat="1" applyFont="1" applyBorder="1" applyAlignment="1">
      <alignment horizontal="left"/>
    </xf>
    <xf numFmtId="0" fontId="38" fillId="0" borderId="1" xfId="0" applyFont="1" applyBorder="1"/>
    <xf numFmtId="3" fontId="3" fillId="0" borderId="1" xfId="0" applyNumberFormat="1" applyFont="1" applyBorder="1" applyAlignment="1">
      <alignment horizontal="left"/>
    </xf>
    <xf numFmtId="0" fontId="38" fillId="0" borderId="18" xfId="0" applyFont="1" applyBorder="1"/>
    <xf numFmtId="3" fontId="38" fillId="0" borderId="18" xfId="1" applyNumberFormat="1" applyFont="1" applyFill="1" applyBorder="1" applyAlignment="1" applyProtection="1">
      <alignment horizontal="left"/>
      <protection locked="0"/>
    </xf>
    <xf numFmtId="0" fontId="0" fillId="0" borderId="30" xfId="0" applyBorder="1"/>
    <xf numFmtId="0" fontId="10" fillId="0" borderId="31" xfId="0" applyFont="1" applyBorder="1"/>
    <xf numFmtId="3" fontId="13" fillId="0" borderId="31" xfId="1" applyNumberFormat="1" applyFont="1" applyFill="1" applyBorder="1" applyAlignment="1" applyProtection="1">
      <alignment horizontal="left"/>
      <protection locked="0"/>
    </xf>
    <xf numFmtId="3" fontId="13" fillId="0" borderId="31" xfId="1" applyNumberFormat="1" applyFont="1" applyFill="1" applyBorder="1" applyAlignment="1" applyProtection="1">
      <alignment wrapText="1"/>
      <protection locked="0"/>
    </xf>
    <xf numFmtId="3" fontId="13" fillId="0" borderId="31" xfId="1" applyNumberFormat="1" applyFont="1" applyFill="1" applyBorder="1" applyAlignment="1" applyProtection="1">
      <alignment horizontal="center" wrapText="1"/>
      <protection locked="0"/>
    </xf>
    <xf numFmtId="0" fontId="13" fillId="0" borderId="31" xfId="0" applyFont="1" applyBorder="1"/>
    <xf numFmtId="3" fontId="8" fillId="0" borderId="31" xfId="0" applyNumberFormat="1" applyFont="1" applyBorder="1" applyAlignment="1">
      <alignment wrapText="1"/>
    </xf>
    <xf numFmtId="9" fontId="8" fillId="0" borderId="31" xfId="0" applyNumberFormat="1" applyFont="1" applyBorder="1" applyAlignment="1">
      <alignment horizontal="center" wrapText="1"/>
    </xf>
    <xf numFmtId="166" fontId="35" fillId="0" borderId="31" xfId="0" applyNumberFormat="1" applyFont="1" applyBorder="1" applyAlignment="1">
      <alignment wrapText="1"/>
    </xf>
    <xf numFmtId="0" fontId="47" fillId="38" borderId="46" xfId="0" applyFont="1" applyFill="1" applyBorder="1" applyAlignment="1">
      <alignment horizontal="center"/>
    </xf>
    <xf numFmtId="0" fontId="0" fillId="0" borderId="46" xfId="0" applyBorder="1"/>
    <xf numFmtId="3" fontId="0" fillId="0" borderId="46" xfId="0" applyNumberFormat="1" applyBorder="1"/>
    <xf numFmtId="0" fontId="0" fillId="39" borderId="46" xfId="0" applyFill="1" applyBorder="1"/>
    <xf numFmtId="3" fontId="0" fillId="39" borderId="46" xfId="0" applyNumberFormat="1" applyFill="1" applyBorder="1"/>
    <xf numFmtId="0" fontId="47" fillId="38" borderId="47" xfId="0" applyFont="1" applyFill="1" applyBorder="1" applyAlignment="1">
      <alignment horizontal="center"/>
    </xf>
    <xf numFmtId="0" fontId="38" fillId="40" borderId="1" xfId="0" applyFont="1" applyFill="1" applyBorder="1"/>
    <xf numFmtId="3" fontId="38" fillId="40" borderId="1" xfId="1" applyNumberFormat="1" applyFont="1" applyFill="1" applyBorder="1" applyAlignment="1" applyProtection="1">
      <alignment horizontal="left"/>
      <protection locked="0"/>
    </xf>
    <xf numFmtId="3" fontId="3" fillId="40" borderId="1" xfId="0" applyNumberFormat="1" applyFont="1" applyFill="1" applyBorder="1" applyAlignment="1">
      <alignment horizontal="left"/>
    </xf>
    <xf numFmtId="3" fontId="38" fillId="40" borderId="1" xfId="0" applyNumberFormat="1" applyFont="1" applyFill="1" applyBorder="1" applyAlignment="1">
      <alignment horizontal="left"/>
    </xf>
    <xf numFmtId="0" fontId="13" fillId="40" borderId="1" xfId="0" applyFont="1" applyFill="1" applyBorder="1" applyAlignment="1">
      <alignment horizontal="center"/>
    </xf>
    <xf numFmtId="3" fontId="2" fillId="36" borderId="40" xfId="0" applyNumberFormat="1" applyFont="1" applyFill="1" applyBorder="1" applyAlignment="1">
      <alignment horizontal="center" vertical="center"/>
    </xf>
    <xf numFmtId="3" fontId="2" fillId="36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 wrapText="1"/>
    </xf>
    <xf numFmtId="3" fontId="2" fillId="41" borderId="41" xfId="0" applyNumberFormat="1" applyFont="1" applyFill="1" applyBorder="1" applyAlignment="1">
      <alignment vertical="center" wrapText="1"/>
    </xf>
    <xf numFmtId="0" fontId="46" fillId="33" borderId="41" xfId="0" applyFont="1" applyFill="1" applyBorder="1" applyAlignment="1">
      <alignment horizontal="center" vertical="center" wrapText="1"/>
    </xf>
    <xf numFmtId="3" fontId="46" fillId="33" borderId="41" xfId="0" applyNumberFormat="1" applyFont="1" applyFill="1" applyBorder="1" applyAlignment="1">
      <alignment horizontal="center" vertical="center"/>
    </xf>
    <xf numFmtId="3" fontId="2" fillId="33" borderId="41" xfId="0" applyNumberFormat="1" applyFont="1" applyFill="1" applyBorder="1" applyAlignment="1">
      <alignment horizontal="center" vertical="center"/>
    </xf>
    <xf numFmtId="3" fontId="3" fillId="28" borderId="7" xfId="0" applyNumberFormat="1" applyFont="1" applyFill="1" applyBorder="1" applyAlignment="1">
      <alignment horizontal="center" vertical="center"/>
    </xf>
    <xf numFmtId="9" fontId="5" fillId="34" borderId="4" xfId="0" applyNumberFormat="1" applyFont="1" applyFill="1" applyBorder="1" applyAlignment="1">
      <alignment horizontal="center" vertical="center"/>
    </xf>
    <xf numFmtId="3" fontId="2" fillId="36" borderId="28" xfId="0" applyNumberFormat="1" applyFont="1" applyFill="1" applyBorder="1" applyAlignment="1">
      <alignment horizontal="center" vertical="center"/>
    </xf>
    <xf numFmtId="3" fontId="2" fillId="36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 wrapText="1"/>
    </xf>
    <xf numFmtId="0" fontId="46" fillId="33" borderId="1" xfId="0" applyFont="1" applyFill="1" applyBorder="1" applyAlignment="1">
      <alignment horizontal="center" vertical="center" wrapText="1"/>
    </xf>
    <xf numFmtId="3" fontId="46" fillId="33" borderId="1" xfId="0" applyNumberFormat="1" applyFont="1" applyFill="1" applyBorder="1" applyAlignment="1">
      <alignment horizontal="center" vertical="center" wrapText="1"/>
    </xf>
    <xf numFmtId="3" fontId="2" fillId="33" borderId="1" xfId="0" applyNumberFormat="1" applyFont="1" applyFill="1" applyBorder="1" applyAlignment="1">
      <alignment horizontal="center" vertical="center" wrapText="1"/>
    </xf>
    <xf numFmtId="49" fontId="2" fillId="33" borderId="1" xfId="0" applyNumberFormat="1" applyFont="1" applyFill="1" applyBorder="1" applyAlignment="1">
      <alignment horizontal="center" vertical="center"/>
    </xf>
    <xf numFmtId="3" fontId="2" fillId="33" borderId="1" xfId="0" applyNumberFormat="1" applyFont="1" applyFill="1" applyBorder="1" applyAlignment="1">
      <alignment horizontal="center" vertical="center"/>
    </xf>
    <xf numFmtId="3" fontId="2" fillId="33" borderId="29" xfId="0" applyNumberFormat="1" applyFont="1" applyFill="1" applyBorder="1" applyAlignment="1">
      <alignment horizontal="center" vertical="center"/>
    </xf>
    <xf numFmtId="3" fontId="3" fillId="28" borderId="2" xfId="0" applyNumberFormat="1" applyFont="1" applyFill="1" applyBorder="1" applyAlignment="1">
      <alignment horizontal="center" vertical="center"/>
    </xf>
    <xf numFmtId="9" fontId="5" fillId="34" borderId="5" xfId="0" applyNumberFormat="1" applyFont="1" applyFill="1" applyBorder="1" applyAlignment="1">
      <alignment horizontal="center" vertical="center" wrapText="1"/>
    </xf>
    <xf numFmtId="3" fontId="2" fillId="36" borderId="30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vertical="center" wrapText="1"/>
    </xf>
    <xf numFmtId="0" fontId="46" fillId="33" borderId="31" xfId="0" applyFont="1" applyFill="1" applyBorder="1" applyAlignment="1">
      <alignment horizontal="center" vertical="center" wrapText="1"/>
    </xf>
    <xf numFmtId="3" fontId="46" fillId="33" borderId="31" xfId="0" applyNumberFormat="1" applyFont="1" applyFill="1" applyBorder="1" applyAlignment="1">
      <alignment horizontal="center" vertical="center" wrapText="1"/>
    </xf>
    <xf numFmtId="3" fontId="2" fillId="33" borderId="31" xfId="0" applyNumberFormat="1" applyFont="1" applyFill="1" applyBorder="1" applyAlignment="1">
      <alignment horizontal="center" vertical="center" wrapText="1"/>
    </xf>
    <xf numFmtId="49" fontId="2" fillId="33" borderId="31" xfId="0" applyNumberFormat="1" applyFont="1" applyFill="1" applyBorder="1" applyAlignment="1">
      <alignment horizontal="center" vertical="center"/>
    </xf>
    <xf numFmtId="3" fontId="2" fillId="33" borderId="32" xfId="0" applyNumberFormat="1" applyFont="1" applyFill="1" applyBorder="1" applyAlignment="1">
      <alignment horizontal="center" vertical="center" wrapText="1"/>
    </xf>
    <xf numFmtId="3" fontId="3" fillId="28" borderId="3" xfId="0" applyNumberFormat="1" applyFont="1" applyFill="1" applyBorder="1" applyAlignment="1">
      <alignment horizontal="center" vertical="center"/>
    </xf>
    <xf numFmtId="9" fontId="5" fillId="34" borderId="6" xfId="0" applyNumberFormat="1" applyFont="1" applyFill="1" applyBorder="1" applyAlignment="1">
      <alignment horizontal="center" vertical="center" wrapText="1"/>
    </xf>
    <xf numFmtId="3" fontId="2" fillId="33" borderId="42" xfId="0" applyNumberFormat="1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3" fontId="42" fillId="31" borderId="1" xfId="0" applyNumberFormat="1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167" fontId="42" fillId="0" borderId="0" xfId="0" applyNumberFormat="1" applyFont="1" applyAlignment="1">
      <alignment vertical="center"/>
    </xf>
    <xf numFmtId="0" fontId="0" fillId="29" borderId="1" xfId="0" applyFill="1" applyBorder="1" applyAlignment="1">
      <alignment vertical="center" wrapText="1"/>
    </xf>
    <xf numFmtId="0" fontId="36" fillId="29" borderId="1" xfId="0" applyFont="1" applyFill="1" applyBorder="1" applyAlignment="1">
      <alignment vertical="center" wrapText="1"/>
    </xf>
    <xf numFmtId="168" fontId="49" fillId="29" borderId="1" xfId="146" applyNumberFormat="1" applyFont="1" applyFill="1" applyBorder="1" applyAlignment="1">
      <alignment vertical="center"/>
    </xf>
    <xf numFmtId="168" fontId="50" fillId="30" borderId="45" xfId="146" applyNumberFormat="1" applyFont="1" applyFill="1" applyBorder="1" applyAlignment="1">
      <alignment vertical="center"/>
    </xf>
    <xf numFmtId="3" fontId="38" fillId="0" borderId="1" xfId="1" applyNumberFormat="1" applyFont="1" applyFill="1" applyBorder="1" applyAlignment="1" applyProtection="1">
      <alignment horizontal="center"/>
      <protection locked="0"/>
    </xf>
    <xf numFmtId="3" fontId="13" fillId="0" borderId="1" xfId="1" applyNumberFormat="1" applyFont="1" applyFill="1" applyBorder="1" applyAlignment="1" applyProtection="1">
      <protection locked="0"/>
    </xf>
    <xf numFmtId="3" fontId="13" fillId="0" borderId="1" xfId="0" applyNumberFormat="1" applyFont="1" applyBorder="1"/>
    <xf numFmtId="166" fontId="42" fillId="0" borderId="1" xfId="0" applyNumberFormat="1" applyFont="1" applyBorder="1"/>
    <xf numFmtId="166" fontId="42" fillId="0" borderId="29" xfId="0" applyNumberFormat="1" applyFont="1" applyBorder="1"/>
    <xf numFmtId="10" fontId="13" fillId="0" borderId="35" xfId="138" applyNumberFormat="1" applyFont="1" applyFill="1" applyBorder="1" applyAlignment="1">
      <alignment horizontal="center"/>
    </xf>
    <xf numFmtId="0" fontId="13" fillId="0" borderId="28" xfId="0" applyFont="1" applyBorder="1"/>
    <xf numFmtId="0" fontId="13" fillId="0" borderId="0" xfId="0" applyFont="1"/>
    <xf numFmtId="0" fontId="0" fillId="0" borderId="28" xfId="0" applyBorder="1"/>
    <xf numFmtId="9" fontId="13" fillId="0" borderId="1" xfId="0" applyNumberFormat="1" applyFont="1" applyBorder="1" applyAlignment="1">
      <alignment horizontal="center"/>
    </xf>
    <xf numFmtId="0" fontId="0" fillId="40" borderId="28" xfId="0" applyFill="1" applyBorder="1"/>
    <xf numFmtId="3" fontId="38" fillId="40" borderId="1" xfId="1" applyNumberFormat="1" applyFont="1" applyFill="1" applyBorder="1" applyAlignment="1" applyProtection="1">
      <alignment horizontal="center"/>
      <protection locked="0"/>
    </xf>
    <xf numFmtId="3" fontId="13" fillId="40" borderId="1" xfId="0" applyNumberFormat="1" applyFont="1" applyFill="1" applyBorder="1"/>
    <xf numFmtId="166" fontId="42" fillId="40" borderId="1" xfId="0" applyNumberFormat="1" applyFont="1" applyFill="1" applyBorder="1"/>
    <xf numFmtId="166" fontId="42" fillId="40" borderId="29" xfId="0" applyNumberFormat="1" applyFont="1" applyFill="1" applyBorder="1"/>
    <xf numFmtId="2" fontId="13" fillId="40" borderId="35" xfId="0" applyNumberFormat="1" applyFont="1" applyFill="1" applyBorder="1" applyAlignment="1">
      <alignment horizontal="center"/>
    </xf>
    <xf numFmtId="9" fontId="13" fillId="40" borderId="1" xfId="0" applyNumberFormat="1" applyFont="1" applyFill="1" applyBorder="1" applyAlignment="1">
      <alignment horizontal="center"/>
    </xf>
    <xf numFmtId="2" fontId="13" fillId="0" borderId="35" xfId="0" applyNumberFormat="1" applyFont="1" applyBorder="1" applyAlignment="1">
      <alignment horizontal="center"/>
    </xf>
    <xf numFmtId="3" fontId="38" fillId="0" borderId="18" xfId="1" applyNumberFormat="1" applyFont="1" applyFill="1" applyBorder="1" applyAlignment="1" applyProtection="1">
      <alignment horizontal="center"/>
      <protection locked="0"/>
    </xf>
    <xf numFmtId="3" fontId="38" fillId="0" borderId="18" xfId="1" applyNumberFormat="1" applyFont="1" applyFill="1" applyBorder="1" applyAlignment="1" applyProtection="1">
      <protection locked="0"/>
    </xf>
    <xf numFmtId="3" fontId="13" fillId="0" borderId="18" xfId="2" applyNumberFormat="1" applyFont="1" applyFill="1" applyBorder="1" applyAlignment="1"/>
    <xf numFmtId="0" fontId="13" fillId="0" borderId="18" xfId="0" applyFont="1" applyBorder="1" applyAlignment="1">
      <alignment horizontal="center"/>
    </xf>
    <xf numFmtId="166" fontId="42" fillId="0" borderId="18" xfId="0" applyNumberFormat="1" applyFont="1" applyBorder="1"/>
    <xf numFmtId="166" fontId="42" fillId="0" borderId="43" xfId="0" applyNumberFormat="1" applyFont="1" applyBorder="1"/>
    <xf numFmtId="2" fontId="13" fillId="0" borderId="36" xfId="138" applyNumberFormat="1" applyFont="1" applyFill="1" applyBorder="1" applyAlignment="1">
      <alignment horizontal="center"/>
    </xf>
    <xf numFmtId="9" fontId="13" fillId="0" borderId="18" xfId="0" applyNumberFormat="1" applyFont="1" applyBorder="1" applyAlignment="1">
      <alignment horizontal="center"/>
    </xf>
    <xf numFmtId="10" fontId="13" fillId="0" borderId="18" xfId="0" applyNumberFormat="1" applyFont="1" applyBorder="1" applyAlignment="1">
      <alignment horizontal="center"/>
    </xf>
    <xf numFmtId="0" fontId="36" fillId="29" borderId="1" xfId="0" applyFont="1" applyFill="1" applyBorder="1" applyAlignment="1">
      <alignment vertical="center"/>
    </xf>
    <xf numFmtId="3" fontId="38" fillId="0" borderId="35" xfId="1" applyNumberFormat="1" applyFont="1" applyFill="1" applyBorder="1" applyAlignment="1" applyProtection="1">
      <alignment horizontal="left"/>
      <protection locked="0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3" fillId="31" borderId="1" xfId="0" applyNumberFormat="1" applyFont="1" applyFill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38" fillId="0" borderId="1" xfId="1" applyNumberFormat="1" applyFont="1" applyFill="1" applyBorder="1" applyAlignment="1" applyProtection="1">
      <alignment horizontal="center"/>
      <protection locked="0"/>
    </xf>
    <xf numFmtId="166" fontId="42" fillId="0" borderId="1" xfId="0" applyNumberFormat="1" applyFont="1" applyBorder="1" applyAlignment="1">
      <alignment wrapText="1"/>
    </xf>
    <xf numFmtId="165" fontId="51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/>
    </xf>
    <xf numFmtId="168" fontId="13" fillId="0" borderId="1" xfId="146" applyNumberFormat="1" applyFont="1" applyBorder="1" applyAlignment="1">
      <alignment vertical="center"/>
    </xf>
    <xf numFmtId="3" fontId="38" fillId="0" borderId="18" xfId="0" applyNumberFormat="1" applyFont="1" applyBorder="1" applyAlignment="1">
      <alignment horizontal="left"/>
    </xf>
    <xf numFmtId="3" fontId="13" fillId="0" borderId="18" xfId="1" applyNumberFormat="1" applyFont="1" applyFill="1" applyBorder="1" applyAlignment="1" applyProtection="1">
      <protection locked="0"/>
    </xf>
    <xf numFmtId="3" fontId="13" fillId="0" borderId="18" xfId="0" applyNumberFormat="1" applyFont="1" applyBorder="1"/>
    <xf numFmtId="10" fontId="13" fillId="0" borderId="36" xfId="138" applyNumberFormat="1" applyFont="1" applyFill="1" applyBorder="1" applyAlignment="1">
      <alignment horizontal="center"/>
    </xf>
    <xf numFmtId="169" fontId="13" fillId="0" borderId="48" xfId="0" applyNumberFormat="1" applyFont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3" fontId="38" fillId="0" borderId="35" xfId="1" applyNumberFormat="1" applyFont="1" applyFill="1" applyBorder="1" applyAlignment="1" applyProtection="1">
      <alignment horizontal="center"/>
      <protection locked="0"/>
    </xf>
    <xf numFmtId="0" fontId="55" fillId="42" borderId="0" xfId="0" applyFont="1" applyFill="1" applyAlignment="1">
      <alignment horizontal="center" vertical="center" wrapText="1"/>
    </xf>
    <xf numFmtId="0" fontId="0" fillId="4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8" fillId="43" borderId="0" xfId="0" applyFont="1" applyFill="1" applyAlignment="1">
      <alignment vertical="center"/>
    </xf>
    <xf numFmtId="0" fontId="36" fillId="42" borderId="0" xfId="0" applyFont="1" applyFill="1" applyAlignment="1">
      <alignment horizontal="center" vertical="center"/>
    </xf>
    <xf numFmtId="0" fontId="36" fillId="44" borderId="0" xfId="0" applyFont="1" applyFill="1" applyAlignment="1">
      <alignment horizontal="center"/>
    </xf>
    <xf numFmtId="0" fontId="56" fillId="0" borderId="0" xfId="0" applyFont="1" applyAlignment="1">
      <alignment horizontal="left"/>
    </xf>
    <xf numFmtId="170" fontId="0" fillId="0" borderId="0" xfId="0" applyNumberFormat="1"/>
    <xf numFmtId="0" fontId="56" fillId="0" borderId="49" xfId="0" applyFont="1" applyBorder="1"/>
    <xf numFmtId="0" fontId="56" fillId="0" borderId="0" xfId="0" applyFont="1"/>
    <xf numFmtId="0" fontId="57" fillId="0" borderId="0" xfId="0" applyFont="1" applyAlignment="1">
      <alignment vertical="center"/>
    </xf>
    <xf numFmtId="49" fontId="5" fillId="34" borderId="5" xfId="0" applyNumberFormat="1" applyFont="1" applyFill="1" applyBorder="1" applyAlignment="1">
      <alignment horizontal="center" vertical="center"/>
    </xf>
    <xf numFmtId="49" fontId="5" fillId="34" borderId="5" xfId="0" applyNumberFormat="1" applyFont="1" applyFill="1" applyBorder="1" applyAlignment="1">
      <alignment horizontal="center" vertical="center" wrapText="1"/>
    </xf>
    <xf numFmtId="49" fontId="5" fillId="34" borderId="6" xfId="0" applyNumberFormat="1" applyFont="1" applyFill="1" applyBorder="1" applyAlignment="1">
      <alignment horizontal="center" vertical="center" wrapText="1"/>
    </xf>
    <xf numFmtId="49" fontId="13" fillId="0" borderId="48" xfId="0" applyNumberFormat="1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40" borderId="1" xfId="0" applyNumberFormat="1" applyFont="1" applyFill="1" applyBorder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10" fontId="2" fillId="33" borderId="31" xfId="0" applyNumberFormat="1" applyFont="1" applyFill="1" applyBorder="1" applyAlignment="1">
      <alignment vertical="center" wrapText="1"/>
    </xf>
    <xf numFmtId="10" fontId="13" fillId="0" borderId="1" xfId="0" applyNumberFormat="1" applyFont="1" applyBorder="1" applyAlignment="1">
      <alignment horizontal="center"/>
    </xf>
    <xf numFmtId="10" fontId="13" fillId="40" borderId="1" xfId="0" applyNumberFormat="1" applyFont="1" applyFill="1" applyBorder="1" applyAlignment="1">
      <alignment horizontal="center"/>
    </xf>
    <xf numFmtId="10" fontId="8" fillId="0" borderId="3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vertical="center"/>
    </xf>
    <xf numFmtId="0" fontId="58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4" fontId="38" fillId="0" borderId="1" xfId="1" applyNumberFormat="1" applyFont="1" applyFill="1" applyBorder="1" applyAlignment="1" applyProtection="1">
      <alignment horizontal="center"/>
      <protection locked="0"/>
    </xf>
    <xf numFmtId="4" fontId="38" fillId="0" borderId="18" xfId="1" applyNumberFormat="1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4" fontId="13" fillId="40" borderId="1" xfId="0" applyNumberFormat="1" applyFont="1" applyFill="1" applyBorder="1" applyAlignment="1">
      <alignment horizontal="center"/>
    </xf>
    <xf numFmtId="4" fontId="13" fillId="0" borderId="18" xfId="0" applyNumberFormat="1" applyFont="1" applyBorder="1" applyAlignment="1">
      <alignment horizontal="center"/>
    </xf>
    <xf numFmtId="4" fontId="8" fillId="0" borderId="31" xfId="0" applyNumberFormat="1" applyFont="1" applyBorder="1" applyAlignment="1">
      <alignment horizontal="center" wrapText="1"/>
    </xf>
    <xf numFmtId="0" fontId="56" fillId="0" borderId="49" xfId="0" applyFont="1" applyBorder="1" applyAlignment="1">
      <alignment horizontal="left"/>
    </xf>
    <xf numFmtId="0" fontId="13" fillId="0" borderId="0" xfId="0" applyFont="1" applyAlignment="1">
      <alignment vertical="center"/>
    </xf>
    <xf numFmtId="0" fontId="36" fillId="32" borderId="25" xfId="0" applyFont="1" applyFill="1" applyBorder="1" applyAlignment="1">
      <alignment horizontal="center"/>
    </xf>
    <xf numFmtId="0" fontId="36" fillId="32" borderId="26" xfId="0" applyFont="1" applyFill="1" applyBorder="1" applyAlignment="1">
      <alignment horizontal="center"/>
    </xf>
    <xf numFmtId="0" fontId="36" fillId="32" borderId="27" xfId="0" applyFont="1" applyFill="1" applyBorder="1" applyAlignment="1">
      <alignment horizontal="center"/>
    </xf>
    <xf numFmtId="0" fontId="50" fillId="30" borderId="33" xfId="0" applyFont="1" applyFill="1" applyBorder="1" applyAlignment="1">
      <alignment horizontal="center" vertical="center"/>
    </xf>
    <xf numFmtId="0" fontId="50" fillId="30" borderId="34" xfId="0" applyFont="1" applyFill="1" applyBorder="1" applyAlignment="1">
      <alignment horizontal="center" vertical="center"/>
    </xf>
    <xf numFmtId="0" fontId="50" fillId="30" borderId="4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2" fillId="41" borderId="22" xfId="0" applyNumberFormat="1" applyFont="1" applyFill="1" applyBorder="1" applyAlignment="1">
      <alignment horizontal="center" vertical="center" wrapText="1"/>
    </xf>
    <xf numFmtId="3" fontId="2" fillId="41" borderId="6" xfId="0" applyNumberFormat="1" applyFont="1" applyFill="1" applyBorder="1" applyAlignment="1">
      <alignment horizontal="center" vertical="center" wrapText="1"/>
    </xf>
    <xf numFmtId="10" fontId="2" fillId="33" borderId="22" xfId="0" applyNumberFormat="1" applyFont="1" applyFill="1" applyBorder="1" applyAlignment="1">
      <alignment horizontal="center" vertical="center" wrapText="1"/>
    </xf>
    <xf numFmtId="10" fontId="2" fillId="33" borderId="6" xfId="0" applyNumberFormat="1" applyFont="1" applyFill="1" applyBorder="1" applyAlignment="1">
      <alignment horizontal="center" vertical="center" wrapText="1"/>
    </xf>
  </cellXfs>
  <cellStyles count="147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" xfId="146" builtinId="4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Q22"/>
  <sheetViews>
    <sheetView topLeftCell="B1" zoomScale="85" zoomScaleNormal="85" workbookViewId="0">
      <selection activeCell="H4" sqref="H4"/>
    </sheetView>
  </sheetViews>
  <sheetFormatPr defaultRowHeight="15" x14ac:dyDescent="0.25"/>
  <cols>
    <col min="1" max="1" width="22.28515625" bestFit="1" customWidth="1"/>
    <col min="2" max="2" width="22.140625" bestFit="1" customWidth="1"/>
    <col min="3" max="3" width="25" bestFit="1" customWidth="1"/>
    <col min="4" max="4" width="31.28515625" bestFit="1" customWidth="1"/>
    <col min="5" max="5" width="20.140625" style="19" bestFit="1" customWidth="1"/>
    <col min="6" max="6" width="18.42578125" style="17" bestFit="1" customWidth="1"/>
    <col min="7" max="7" width="20.5703125" style="17" customWidth="1"/>
    <col min="8" max="8" width="21.28515625" style="17" customWidth="1"/>
    <col min="9" max="9" width="19.5703125" style="17" bestFit="1" customWidth="1"/>
    <col min="10" max="10" width="4.85546875" customWidth="1"/>
    <col min="11" max="11" width="29.5703125" style="6" bestFit="1" customWidth="1"/>
    <col min="12" max="12" width="16.5703125" style="6" bestFit="1" customWidth="1"/>
    <col min="13" max="13" width="11.42578125" style="6" bestFit="1" customWidth="1"/>
    <col min="14" max="14" width="18" bestFit="1" customWidth="1"/>
    <col min="15" max="15" width="17.42578125" bestFit="1" customWidth="1"/>
    <col min="16" max="16" width="14.28515625" bestFit="1" customWidth="1"/>
    <col min="17" max="17" width="15.42578125" bestFit="1" customWidth="1"/>
  </cols>
  <sheetData>
    <row r="1" spans="1:17" x14ac:dyDescent="0.25">
      <c r="A1" s="244" t="s">
        <v>60</v>
      </c>
      <c r="B1" s="245"/>
      <c r="C1" s="245"/>
      <c r="D1" s="245"/>
      <c r="E1" s="245"/>
      <c r="F1" s="245"/>
      <c r="G1" s="245"/>
      <c r="H1" s="245"/>
      <c r="I1" s="246"/>
      <c r="K1" s="61" t="s">
        <v>31</v>
      </c>
      <c r="L1" s="62"/>
      <c r="M1" s="62"/>
      <c r="N1" s="62"/>
      <c r="O1" s="63"/>
      <c r="P1" s="63"/>
      <c r="Q1" s="64"/>
    </row>
    <row r="2" spans="1:17" ht="25.5" x14ac:dyDescent="0.25">
      <c r="A2" s="79" t="s">
        <v>53</v>
      </c>
      <c r="B2" s="79" t="s">
        <v>84</v>
      </c>
      <c r="C2" s="79" t="s">
        <v>6</v>
      </c>
      <c r="D2" s="79" t="s">
        <v>85</v>
      </c>
      <c r="E2" s="79" t="s">
        <v>54</v>
      </c>
      <c r="F2" s="26" t="s">
        <v>15</v>
      </c>
      <c r="G2" s="26" t="s">
        <v>0</v>
      </c>
      <c r="H2" s="26" t="s">
        <v>10</v>
      </c>
      <c r="I2" s="26" t="s">
        <v>11</v>
      </c>
      <c r="K2" s="65" t="s">
        <v>61</v>
      </c>
      <c r="L2" s="26" t="s">
        <v>5</v>
      </c>
      <c r="M2" s="26" t="s">
        <v>54</v>
      </c>
      <c r="N2" s="26" t="s">
        <v>15</v>
      </c>
      <c r="O2" s="26" t="s">
        <v>0</v>
      </c>
      <c r="P2" s="26" t="s">
        <v>10</v>
      </c>
      <c r="Q2" s="66" t="s">
        <v>11</v>
      </c>
    </row>
    <row r="3" spans="1:17" x14ac:dyDescent="0.25">
      <c r="A3" s="1"/>
      <c r="B3" s="1"/>
      <c r="C3" s="1"/>
      <c r="D3" s="1"/>
      <c r="E3" s="25"/>
      <c r="F3" s="18"/>
      <c r="G3" s="18"/>
      <c r="H3" s="18"/>
      <c r="I3" s="18"/>
      <c r="K3" s="67"/>
      <c r="L3" s="39"/>
      <c r="M3" s="39"/>
      <c r="N3" s="1"/>
      <c r="O3" s="1"/>
      <c r="P3" s="1"/>
      <c r="Q3" s="68"/>
    </row>
    <row r="4" spans="1:17" ht="60" x14ac:dyDescent="0.25">
      <c r="A4" s="83" t="s">
        <v>121</v>
      </c>
      <c r="B4" s="83" t="s">
        <v>169</v>
      </c>
      <c r="C4" s="83" t="s">
        <v>169</v>
      </c>
      <c r="D4" s="83" t="s">
        <v>167</v>
      </c>
      <c r="E4" s="85">
        <v>31365708</v>
      </c>
      <c r="F4" s="200">
        <f>SUMIFS(Dologi_felhalm.!$M$3:$M$23,Dologi_felhalm.!$E$3:$E$23,$D4,Dologi_felhalm.!$N$3:$N$23,"Tény")</f>
        <v>0</v>
      </c>
      <c r="G4" s="200">
        <f t="shared" ref="G4:G5" si="0">E4-F4</f>
        <v>31365708</v>
      </c>
      <c r="H4" s="200">
        <f>SUMIFS(Dologi_felhalm.!$M$3:$M$23,Dologi_felhalm.!$E$3:$E$23,$D4,Dologi_felhalm.!$N$3:$N$23,"Köt. váll.")</f>
        <v>3622606</v>
      </c>
      <c r="I4" s="200">
        <f t="shared" ref="I4:I5" si="1">G4-H4</f>
        <v>27743102</v>
      </c>
      <c r="K4" s="189" t="s">
        <v>188</v>
      </c>
      <c r="L4" s="190" t="s">
        <v>174</v>
      </c>
      <c r="M4" s="191">
        <v>182680458</v>
      </c>
      <c r="N4" s="192">
        <f>SUMIFS(Bérköltség!$S$6:$S$431,Bérköltség!$L$6:$L$431,"Tény")+SUMIFS(Bérköltség!$T$6:$T$431,Bérköltség!$L$6:$L$431,"Tény")+SUMIFS(Dologi_felhalm.!$M$3:$M$23,Dologi_felhalm.!$N$3:$N$23,"Tény")</f>
        <v>105227781</v>
      </c>
      <c r="O4" s="192">
        <f t="shared" ref="O4" si="2">M4-N4</f>
        <v>77452677</v>
      </c>
      <c r="P4" s="192">
        <f>SUMIFS(Bérköltség!$S$6:$S$431,Bérköltség!$L$6:$L$431,"Köt. váll.")+SUMIFS(Bérköltség!$T$6:$T$431,Bérköltség!$L$6:$L$431,"Köt. váll.")+SUMIFS(Dologi_felhalm.!$M$3:$M$23,Dologi_felhalm.!$N$3:$N$23,"Köt. váll.")</f>
        <v>16703670</v>
      </c>
      <c r="Q4" s="192">
        <f t="shared" ref="Q4" si="3">O4-P4</f>
        <v>60749007</v>
      </c>
    </row>
    <row r="5" spans="1:17" ht="30" x14ac:dyDescent="0.25">
      <c r="A5" s="82" t="s">
        <v>126</v>
      </c>
      <c r="B5" s="82" t="s">
        <v>127</v>
      </c>
      <c r="C5" s="82" t="s">
        <v>127</v>
      </c>
      <c r="D5" s="82" t="s">
        <v>168</v>
      </c>
      <c r="E5" s="84">
        <v>6000750</v>
      </c>
      <c r="F5" s="200">
        <f>SUMIFS(Dologi_felhalm.!$M$3:$M$23,Dologi_felhalm.!$E$3:$E$23,$D5,Dologi_felhalm.!$N$3:$N$23,"Tény")</f>
        <v>0</v>
      </c>
      <c r="G5" s="200">
        <f t="shared" si="0"/>
        <v>6000750</v>
      </c>
      <c r="H5" s="200">
        <f>SUMIFS(Dologi_felhalm.!$M$3:$M$23,Dologi_felhalm.!$E$3:$E$23,$D5,Dologi_felhalm.!$N$3:$N$23,"Köt. váll.")</f>
        <v>0</v>
      </c>
      <c r="I5" s="200">
        <f t="shared" si="1"/>
        <v>6000750</v>
      </c>
      <c r="K5" s="151" t="s">
        <v>136</v>
      </c>
      <c r="L5" s="153"/>
      <c r="M5" s="152">
        <f>SUM(M4:M4)</f>
        <v>182680458</v>
      </c>
      <c r="N5" s="152">
        <f>SUM(N4:N4)</f>
        <v>105227781</v>
      </c>
      <c r="O5" s="152">
        <f>SUM(O4:O4)</f>
        <v>77452677</v>
      </c>
      <c r="P5" s="152">
        <f>SUM(P4:P4)</f>
        <v>16703670</v>
      </c>
      <c r="Q5" s="152">
        <f>SUM(Q4:Q4)</f>
        <v>60749007</v>
      </c>
    </row>
    <row r="6" spans="1:17" ht="15.75" x14ac:dyDescent="0.25">
      <c r="A6" s="187" t="s">
        <v>164</v>
      </c>
      <c r="B6" s="156"/>
      <c r="C6" s="156"/>
      <c r="D6" s="156"/>
      <c r="E6" s="158">
        <f>SUM(E4:E5)</f>
        <v>37366458</v>
      </c>
      <c r="F6" s="158">
        <f>SUM(F4:F5)</f>
        <v>0</v>
      </c>
      <c r="G6" s="158">
        <f>SUM(G4:G5)</f>
        <v>37366458</v>
      </c>
      <c r="H6" s="158">
        <f>SUM(H4:H5)</f>
        <v>3622606</v>
      </c>
      <c r="I6" s="158">
        <f>SUM(I4:I5)</f>
        <v>33743852</v>
      </c>
      <c r="K6" s="5"/>
      <c r="L6" s="154"/>
      <c r="N6" s="155"/>
      <c r="O6" s="155"/>
      <c r="P6" s="155"/>
      <c r="Q6" s="155"/>
    </row>
    <row r="7" spans="1:17" ht="30" x14ac:dyDescent="0.25">
      <c r="A7" s="82" t="s">
        <v>126</v>
      </c>
      <c r="B7" s="82" t="s">
        <v>129</v>
      </c>
      <c r="C7" s="82" t="s">
        <v>130</v>
      </c>
      <c r="D7" s="82" t="s">
        <v>170</v>
      </c>
      <c r="E7" s="84">
        <v>72360000</v>
      </c>
      <c r="F7" s="200">
        <f>SUMIFS(Bérköltség!$S$6:$S$431,Bérköltség!$F$6:$F$431,$D7,Bérköltség!$L$6:$L$431,"Tény")</f>
        <v>8639080</v>
      </c>
      <c r="G7" s="200">
        <f>E7-F7</f>
        <v>63720920</v>
      </c>
      <c r="H7" s="200">
        <f>SUMIFS(Bérköltség!$S$6:$S$431,Bérköltség!$F$6:$F$431,$D7,Bérköltség!$L$6:$L$431,"Köt. váll.")</f>
        <v>3216880</v>
      </c>
      <c r="I7" s="200">
        <f>G7-H7</f>
        <v>60504040</v>
      </c>
      <c r="N7" s="17"/>
      <c r="O7" s="17"/>
      <c r="P7" s="17"/>
      <c r="Q7" s="17"/>
    </row>
    <row r="8" spans="1:17" ht="45" x14ac:dyDescent="0.25">
      <c r="A8" s="82" t="s">
        <v>128</v>
      </c>
      <c r="B8" s="82" t="s">
        <v>129</v>
      </c>
      <c r="C8" s="82" t="s">
        <v>130</v>
      </c>
      <c r="D8" s="82" t="s">
        <v>171</v>
      </c>
      <c r="E8" s="84">
        <v>35640000</v>
      </c>
      <c r="F8" s="200">
        <f>SUMIFS(Bérköltség!$S$6:$S$431,Bérköltség!$F$6:$F$431,$D8,Bérköltség!$L$6:$L$431,"Tény")</f>
        <v>58705297</v>
      </c>
      <c r="G8" s="200">
        <f t="shared" ref="G8:G12" si="4">E8-F8</f>
        <v>-23065297</v>
      </c>
      <c r="H8" s="200">
        <f>SUMIFS(Bérköltség!$S$6:$S$431,Bérköltség!$F$6:$F$431,$D8,Bérköltség!$L$6:$L$431,"Köt. váll.")</f>
        <v>5185380</v>
      </c>
      <c r="I8" s="200">
        <f t="shared" ref="I8:I12" si="5">G8-H8</f>
        <v>-28250677</v>
      </c>
      <c r="K8" s="43"/>
      <c r="L8" s="42"/>
    </row>
    <row r="9" spans="1:17" ht="30" x14ac:dyDescent="0.25">
      <c r="A9" s="82" t="s">
        <v>126</v>
      </c>
      <c r="B9" s="82" t="s">
        <v>129</v>
      </c>
      <c r="C9" s="82" t="s">
        <v>132</v>
      </c>
      <c r="D9" s="82" t="s">
        <v>172</v>
      </c>
      <c r="E9" s="84">
        <v>11934701</v>
      </c>
      <c r="F9" s="200">
        <f>SUMIFS(Bérköltség!$S$6:$S$431,Bérköltség!$F$6:$F$431,$D9,Bérköltség!$L$6:$L$431,"Tény")</f>
        <v>4102762</v>
      </c>
      <c r="G9" s="200">
        <f t="shared" si="4"/>
        <v>7831939</v>
      </c>
      <c r="H9" s="200">
        <f>SUMIFS(Bérköltség!$S$6:$S$431,Bérköltség!$F$6:$F$431,$D9,Bérköltség!$L$6:$L$431,"Köt. váll.")</f>
        <v>1175419</v>
      </c>
      <c r="I9" s="200">
        <f t="shared" si="5"/>
        <v>6656520</v>
      </c>
      <c r="K9" s="195" t="s">
        <v>198</v>
      </c>
      <c r="L9" s="196"/>
    </row>
    <row r="10" spans="1:17" ht="45" x14ac:dyDescent="0.25">
      <c r="A10" s="82" t="s">
        <v>128</v>
      </c>
      <c r="B10" s="82" t="s">
        <v>129</v>
      </c>
      <c r="C10" s="82" t="s">
        <v>132</v>
      </c>
      <c r="D10" s="82" t="s">
        <v>173</v>
      </c>
      <c r="E10" s="84">
        <v>5878286</v>
      </c>
      <c r="F10" s="200">
        <f>SUMIFS(Bérköltség!$S$6:$S$431,Bérköltség!$F$6:$F$431,$D10,Bérköltség!$L$6:$L$431,"Tény")</f>
        <v>22138432</v>
      </c>
      <c r="G10" s="200">
        <f t="shared" si="4"/>
        <v>-16260146</v>
      </c>
      <c r="H10" s="200">
        <f>SUMIFS(Bérköltség!$S$6:$S$431,Bérköltség!$F$6:$F$431,$D10,Bérköltség!$L$6:$L$431,"Köt. váll.")</f>
        <v>2065950</v>
      </c>
      <c r="I10" s="200">
        <f t="shared" si="5"/>
        <v>-18326096</v>
      </c>
      <c r="K10" s="197">
        <v>44530</v>
      </c>
      <c r="L10" s="198">
        <v>79319328</v>
      </c>
    </row>
    <row r="11" spans="1:17" ht="15.75" x14ac:dyDescent="0.25">
      <c r="A11" s="157" t="s">
        <v>165</v>
      </c>
      <c r="B11" s="156"/>
      <c r="C11" s="156"/>
      <c r="D11" s="156"/>
      <c r="E11" s="158">
        <f>SUM(E7:E10)</f>
        <v>125812987</v>
      </c>
      <c r="F11" s="158">
        <f>SUM(F7:F10)</f>
        <v>93585571</v>
      </c>
      <c r="G11" s="158">
        <f>SUM(G7:G10)</f>
        <v>32227416</v>
      </c>
      <c r="H11" s="158">
        <f>SUM(H7:H10)</f>
        <v>11643629</v>
      </c>
      <c r="I11" s="158">
        <f>SUM(I7:I10)</f>
        <v>20583787</v>
      </c>
      <c r="K11" s="197">
        <v>44530</v>
      </c>
      <c r="L11" s="198">
        <v>54680940</v>
      </c>
    </row>
    <row r="12" spans="1:17" ht="30" x14ac:dyDescent="0.25">
      <c r="A12" s="82" t="s">
        <v>126</v>
      </c>
      <c r="B12" s="82" t="s">
        <v>133</v>
      </c>
      <c r="C12" s="82" t="s">
        <v>134</v>
      </c>
      <c r="D12" s="82" t="s">
        <v>170</v>
      </c>
      <c r="E12" s="84">
        <v>5524200</v>
      </c>
      <c r="F12" s="200">
        <f>SUMIFS(Bérköltség!$T$6:$T$431,Bérköltség!$F$6:$F$431,$D12,Bérköltség!$L$6:$L$431,"Tény")</f>
        <v>1058567</v>
      </c>
      <c r="G12" s="200">
        <f t="shared" si="4"/>
        <v>4465633</v>
      </c>
      <c r="H12" s="200">
        <f>SUMIFS(Bérköltség!$T$6:$T$431,Bérköltség!$F$6:$F$431,$D12,Bérköltség!$L$6:$L$431,"Köt. váll.")</f>
        <v>418195</v>
      </c>
      <c r="I12" s="200">
        <f t="shared" si="5"/>
        <v>4047438</v>
      </c>
      <c r="K12" s="196"/>
      <c r="L12" s="199"/>
    </row>
    <row r="13" spans="1:17" ht="45" x14ac:dyDescent="0.25">
      <c r="A13" s="82" t="s">
        <v>128</v>
      </c>
      <c r="B13" s="82" t="s">
        <v>133</v>
      </c>
      <c r="C13" s="82" t="s">
        <v>134</v>
      </c>
      <c r="D13" s="82" t="s">
        <v>171</v>
      </c>
      <c r="E13" s="84">
        <v>11215800</v>
      </c>
      <c r="F13" s="200">
        <f>SUMIFS(Bérköltség!$T$6:$T$431,Bérköltség!$F$6:$F$431,$D13,Bérköltség!$L$6:$L$431,"Tény")</f>
        <v>7666943</v>
      </c>
      <c r="G13" s="200">
        <f t="shared" ref="G13:G15" si="6">E13-F13</f>
        <v>3548857</v>
      </c>
      <c r="H13" s="200">
        <f>SUMIFS(Bérköltség!$T$6:$T$431,Bérköltség!$F$6:$F$431,$D13,Bérköltség!$L$6:$L$431,"Köt. váll.")</f>
        <v>674101</v>
      </c>
      <c r="I13" s="200">
        <f t="shared" ref="I13:I15" si="7">G13-H13</f>
        <v>2874756</v>
      </c>
      <c r="K13" s="196"/>
      <c r="L13" s="199"/>
    </row>
    <row r="14" spans="1:17" ht="30" x14ac:dyDescent="0.25">
      <c r="A14" s="82" t="s">
        <v>126</v>
      </c>
      <c r="B14" s="82" t="s">
        <v>133</v>
      </c>
      <c r="C14" s="82" t="s">
        <v>135</v>
      </c>
      <c r="D14" s="82" t="s">
        <v>172</v>
      </c>
      <c r="E14" s="84">
        <v>911134</v>
      </c>
      <c r="F14" s="200">
        <f>SUMIFS(Bérköltség!$T$6:$T$431,Bérköltség!$F$6:$F$431,$D14,Bérköltség!$L$6:$L$431,"Tény")</f>
        <v>533362</v>
      </c>
      <c r="G14" s="200">
        <f t="shared" si="6"/>
        <v>377772</v>
      </c>
      <c r="H14" s="200">
        <f>SUMIFS(Bérköltség!$T$6:$T$431,Bérköltség!$F$6:$F$431,$D14,Bérköltség!$L$6:$L$431,"Köt. váll.")</f>
        <v>152803</v>
      </c>
      <c r="I14" s="200">
        <f t="shared" si="7"/>
        <v>224969</v>
      </c>
      <c r="K14" s="196" t="s">
        <v>136</v>
      </c>
      <c r="L14" s="195">
        <f>SUM(L10:L13)</f>
        <v>134000268</v>
      </c>
    </row>
    <row r="15" spans="1:17" ht="45" x14ac:dyDescent="0.25">
      <c r="A15" s="82" t="s">
        <v>128</v>
      </c>
      <c r="B15" s="82" t="s">
        <v>133</v>
      </c>
      <c r="C15" s="82" t="s">
        <v>135</v>
      </c>
      <c r="D15" s="82" t="s">
        <v>173</v>
      </c>
      <c r="E15" s="84">
        <v>1849879</v>
      </c>
      <c r="F15" s="200">
        <f>SUMIFS(Bérköltség!$T$6:$T$431,Bérköltség!$F$6:$F$431,$D15,Bérköltség!$L$6:$L$431,"Tény")</f>
        <v>2383338</v>
      </c>
      <c r="G15" s="200">
        <f t="shared" si="6"/>
        <v>-533459</v>
      </c>
      <c r="H15" s="200">
        <f>SUMIFS(Bérköltség!$T$6:$T$431,Bérköltség!$F$6:$F$431,$D15,Bérköltség!$L$6:$L$431,"Köt. váll.")</f>
        <v>192336</v>
      </c>
      <c r="I15" s="200">
        <f t="shared" si="7"/>
        <v>-725795</v>
      </c>
      <c r="K15" s="196"/>
      <c r="L15" s="199"/>
    </row>
    <row r="16" spans="1:17" ht="16.5" thickBot="1" x14ac:dyDescent="0.3">
      <c r="A16" s="157" t="s">
        <v>166</v>
      </c>
      <c r="B16" s="156"/>
      <c r="C16" s="156"/>
      <c r="D16" s="156"/>
      <c r="E16" s="158">
        <f>SUM(E12:E15)</f>
        <v>19501013</v>
      </c>
      <c r="F16" s="158">
        <f>SUM(F12:F15)</f>
        <v>11642210</v>
      </c>
      <c r="G16" s="158">
        <f>SUM(G12:G15)</f>
        <v>7858803</v>
      </c>
      <c r="H16" s="158">
        <f>SUM(H12:H15)</f>
        <v>1437435</v>
      </c>
      <c r="I16" s="158">
        <f>SUM(I12:I15)</f>
        <v>6421368</v>
      </c>
      <c r="K16" s="196"/>
      <c r="L16" s="195"/>
    </row>
    <row r="17" spans="1:17" ht="19.5" thickBot="1" x14ac:dyDescent="0.3">
      <c r="A17" s="247" t="s">
        <v>19</v>
      </c>
      <c r="B17" s="248"/>
      <c r="C17" s="248"/>
      <c r="D17" s="249"/>
      <c r="E17" s="159">
        <f>E16+E6+E11</f>
        <v>182680458</v>
      </c>
      <c r="F17" s="159">
        <f>F16+F6+F11</f>
        <v>105227781</v>
      </c>
      <c r="G17" s="159">
        <f>G16+G6+G11</f>
        <v>77452677</v>
      </c>
      <c r="H17" s="159">
        <f>H16+H6+H11</f>
        <v>16703670</v>
      </c>
      <c r="I17" s="159">
        <f>I16+I6+I11</f>
        <v>60749007</v>
      </c>
      <c r="K17" s="43" t="s">
        <v>215</v>
      </c>
      <c r="L17" s="40"/>
      <c r="M17" s="40"/>
      <c r="N17" s="41"/>
      <c r="O17" s="41"/>
      <c r="P17" s="41"/>
      <c r="Q17" s="41"/>
    </row>
    <row r="18" spans="1:17" x14ac:dyDescent="0.25">
      <c r="K18" s="43" t="s">
        <v>216</v>
      </c>
      <c r="L18" s="40"/>
      <c r="M18" s="40"/>
      <c r="N18" s="41"/>
      <c r="O18" s="41"/>
      <c r="P18" s="41"/>
      <c r="Q18" s="41"/>
    </row>
    <row r="19" spans="1:17" x14ac:dyDescent="0.25">
      <c r="K19" s="40"/>
      <c r="L19" s="40"/>
      <c r="M19" s="40"/>
      <c r="N19" s="41"/>
      <c r="O19" s="41"/>
      <c r="P19" s="41"/>
      <c r="Q19" s="41"/>
    </row>
    <row r="20" spans="1:17" s="8" customFormat="1" x14ac:dyDescent="0.25">
      <c r="A20"/>
      <c r="B20"/>
      <c r="C20"/>
      <c r="D20"/>
      <c r="E20" s="19"/>
      <c r="F20" s="17"/>
      <c r="G20" s="17"/>
      <c r="H20" s="17"/>
      <c r="I20" s="17"/>
      <c r="K20" s="40"/>
      <c r="L20" s="40"/>
      <c r="M20" s="40"/>
      <c r="N20" s="41"/>
      <c r="O20" s="41"/>
      <c r="P20" s="41"/>
      <c r="Q20" s="41"/>
    </row>
    <row r="21" spans="1:17" x14ac:dyDescent="0.25">
      <c r="K21" s="40"/>
      <c r="L21" s="40"/>
      <c r="M21" s="40"/>
      <c r="N21" s="41"/>
      <c r="O21" s="41"/>
      <c r="P21" s="41"/>
      <c r="Q21" s="41"/>
    </row>
    <row r="22" spans="1:17" x14ac:dyDescent="0.25">
      <c r="E22" s="17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2579A48E-B702-4F84-BD9F-19B4061D1687}"/>
    </customSheetView>
  </customSheetViews>
  <mergeCells count="2">
    <mergeCell ref="A1:I1"/>
    <mergeCell ref="A17:D17"/>
  </mergeCells>
  <phoneticPr fontId="6" type="noConversion"/>
  <conditionalFormatting sqref="I4:I17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"/>
  <dimension ref="A1:AK461"/>
  <sheetViews>
    <sheetView tabSelected="1" topLeftCell="B1" zoomScaleNormal="100" workbookViewId="0">
      <pane ySplit="5" topLeftCell="A140" activePane="bottomLeft" state="frozen"/>
      <selection pane="bottomLeft" activeCell="B155" sqref="B155"/>
    </sheetView>
  </sheetViews>
  <sheetFormatPr defaultRowHeight="15" outlineLevelCol="1" x14ac:dyDescent="0.25"/>
  <cols>
    <col min="1" max="1" width="13" hidden="1" customWidth="1"/>
    <col min="2" max="2" width="33.7109375" customWidth="1"/>
    <col min="3" max="3" width="15.28515625" style="89" hidden="1" customWidth="1" outlineLevel="1"/>
    <col min="4" max="4" width="14.85546875" hidden="1" customWidth="1" outlineLevel="1"/>
    <col min="5" max="5" width="19.140625" style="89" hidden="1" customWidth="1" outlineLevel="1"/>
    <col min="6" max="6" width="22.140625" style="89" hidden="1" customWidth="1" outlineLevel="1"/>
    <col min="7" max="7" width="16.28515625" customWidth="1" collapsed="1"/>
    <col min="8" max="8" width="16.85546875" customWidth="1"/>
    <col min="9" max="9" width="24" customWidth="1"/>
    <col min="10" max="10" width="16" style="6" bestFit="1" customWidth="1"/>
    <col min="11" max="11" width="15.140625" style="6" customWidth="1"/>
    <col min="12" max="12" width="11.140625" customWidth="1"/>
    <col min="13" max="13" width="12.85546875" customWidth="1"/>
    <col min="14" max="14" width="11.85546875" style="19" customWidth="1"/>
    <col min="15" max="15" width="10.7109375" style="19" customWidth="1"/>
    <col min="16" max="16" width="11.140625" style="6" customWidth="1"/>
    <col min="17" max="17" width="11" style="22" customWidth="1"/>
    <col min="18" max="18" width="12.42578125" style="30" customWidth="1"/>
    <col min="19" max="20" width="16.140625" style="2" customWidth="1"/>
    <col min="21" max="21" width="16.42578125" style="30" customWidth="1"/>
    <col min="22" max="22" width="11.28515625" style="86" customWidth="1"/>
    <col min="23" max="23" width="13.85546875" style="22" customWidth="1"/>
    <col min="24" max="24" width="16.42578125" style="6" customWidth="1"/>
    <col min="25" max="25" width="10.5703125" style="6" customWidth="1"/>
    <col min="26" max="26" width="10.5703125" style="24" customWidth="1"/>
    <col min="27" max="27" width="11.140625" style="6" customWidth="1"/>
    <col min="28" max="28" width="9.140625" customWidth="1"/>
    <col min="29" max="31" width="10.28515625" customWidth="1"/>
    <col min="32" max="32" width="15.28515625" customWidth="1"/>
    <col min="33" max="33" width="16.7109375" customWidth="1"/>
    <col min="34" max="34" width="14.7109375" customWidth="1"/>
    <col min="35" max="36" width="10.140625" bestFit="1" customWidth="1"/>
    <col min="37" max="45" width="8.85546875"/>
  </cols>
  <sheetData>
    <row r="1" spans="1:36" x14ac:dyDescent="0.25">
      <c r="B1" t="s">
        <v>238</v>
      </c>
      <c r="G1" t="s">
        <v>251</v>
      </c>
      <c r="H1" t="s">
        <v>240</v>
      </c>
      <c r="J1" s="6" t="s">
        <v>252</v>
      </c>
      <c r="S1" s="2" t="s">
        <v>236</v>
      </c>
      <c r="T1" s="2" t="s">
        <v>237</v>
      </c>
      <c r="W1" s="22" t="s">
        <v>239</v>
      </c>
      <c r="AB1" t="s">
        <v>253</v>
      </c>
    </row>
    <row r="2" spans="1:36" ht="19.5" thickBot="1" x14ac:dyDescent="0.35">
      <c r="B2" s="250"/>
      <c r="C2" s="250"/>
      <c r="D2" s="250"/>
      <c r="E2" s="250"/>
      <c r="F2" s="250"/>
      <c r="G2" s="250"/>
      <c r="H2" s="250"/>
      <c r="I2" s="251"/>
      <c r="J2" s="250"/>
      <c r="K2" s="70"/>
      <c r="L2" s="27"/>
      <c r="M2" s="9"/>
      <c r="N2" s="44"/>
      <c r="O2" s="21"/>
      <c r="U2" s="29"/>
      <c r="AC2" s="210" t="e">
        <f>IF(VLOOKUP(LEFT($W2,10),'Havi béradatok'!$B:$E,2,FALSE)=H2,"EGYEZIK","HIBÁS")</f>
        <v>#N/A</v>
      </c>
      <c r="AD2" s="232" t="e">
        <f>VLOOKUP(LEFT($W2,10),'Havi béradatok'!$B:$E,3,FALSE)-N2</f>
        <v>#N/A</v>
      </c>
      <c r="AE2" s="232" t="e">
        <f>VLOOKUP(LEFT($W2,10),'Havi béradatok'!$B:$E,4,FALSE)-O2</f>
        <v>#N/A</v>
      </c>
    </row>
    <row r="3" spans="1:36" s="8" customFormat="1" ht="30" customHeight="1" x14ac:dyDescent="0.25">
      <c r="A3" s="116"/>
      <c r="B3" s="117" t="s">
        <v>145</v>
      </c>
      <c r="C3" s="117"/>
      <c r="D3" s="117"/>
      <c r="E3" s="117"/>
      <c r="F3" s="118"/>
      <c r="G3" s="118"/>
      <c r="H3" s="118"/>
      <c r="I3" s="252" t="s">
        <v>93</v>
      </c>
      <c r="J3" s="119"/>
      <c r="K3" s="119"/>
      <c r="L3" s="120"/>
      <c r="M3" s="119" t="s">
        <v>146</v>
      </c>
      <c r="N3" s="121" t="s">
        <v>147</v>
      </c>
      <c r="O3" s="122" t="s">
        <v>147</v>
      </c>
      <c r="P3" s="123" t="s">
        <v>147</v>
      </c>
      <c r="Q3" s="123" t="s">
        <v>148</v>
      </c>
      <c r="R3" s="254" t="s">
        <v>79</v>
      </c>
      <c r="S3" s="123" t="s">
        <v>148</v>
      </c>
      <c r="T3" s="150" t="s">
        <v>148</v>
      </c>
      <c r="U3" s="124" t="s">
        <v>55</v>
      </c>
      <c r="V3" s="125" t="s">
        <v>62</v>
      </c>
      <c r="W3" s="219"/>
      <c r="X3" s="37" t="s">
        <v>57</v>
      </c>
      <c r="Y3" s="31" t="s">
        <v>58</v>
      </c>
      <c r="Z3" s="34" t="s">
        <v>18</v>
      </c>
      <c r="AA3" s="31"/>
      <c r="AC3" s="209"/>
      <c r="AD3" s="209"/>
      <c r="AE3" s="209"/>
    </row>
    <row r="4" spans="1:36" s="8" customFormat="1" ht="30" customHeight="1" x14ac:dyDescent="0.25">
      <c r="A4" s="126" t="s">
        <v>149</v>
      </c>
      <c r="B4" s="127" t="s">
        <v>7</v>
      </c>
      <c r="C4" s="127" t="s">
        <v>150</v>
      </c>
      <c r="D4" s="127" t="s">
        <v>151</v>
      </c>
      <c r="E4" s="127" t="s">
        <v>151</v>
      </c>
      <c r="F4" s="128" t="s">
        <v>151</v>
      </c>
      <c r="G4" s="129" t="s">
        <v>16</v>
      </c>
      <c r="H4" s="129" t="s">
        <v>16</v>
      </c>
      <c r="I4" s="253"/>
      <c r="J4" s="129" t="s">
        <v>88</v>
      </c>
      <c r="K4" s="129" t="s">
        <v>88</v>
      </c>
      <c r="L4" s="129" t="s">
        <v>8</v>
      </c>
      <c r="M4" s="129" t="s">
        <v>152</v>
      </c>
      <c r="N4" s="130" t="s">
        <v>153</v>
      </c>
      <c r="O4" s="131" t="s">
        <v>154</v>
      </c>
      <c r="P4" s="132" t="s">
        <v>155</v>
      </c>
      <c r="Q4" s="133" t="s">
        <v>23</v>
      </c>
      <c r="R4" s="255"/>
      <c r="S4" s="134" t="s">
        <v>23</v>
      </c>
      <c r="T4" s="135" t="s">
        <v>23</v>
      </c>
      <c r="U4" s="136" t="s">
        <v>1</v>
      </c>
      <c r="V4" s="137" t="s">
        <v>63</v>
      </c>
      <c r="W4" s="220" t="s">
        <v>218</v>
      </c>
      <c r="X4" s="37" t="s">
        <v>75</v>
      </c>
      <c r="Y4" s="32" t="s">
        <v>59</v>
      </c>
      <c r="Z4" s="35" t="s">
        <v>32</v>
      </c>
      <c r="AA4" s="32" t="s">
        <v>35</v>
      </c>
      <c r="AC4" s="212" t="s">
        <v>5</v>
      </c>
      <c r="AD4" s="212" t="s">
        <v>236</v>
      </c>
      <c r="AE4" s="212" t="s">
        <v>237</v>
      </c>
      <c r="AF4" s="234" t="s">
        <v>260</v>
      </c>
      <c r="AG4" s="234" t="s">
        <v>261</v>
      </c>
      <c r="AH4" s="234" t="s">
        <v>262</v>
      </c>
      <c r="AI4" s="8" t="s">
        <v>263</v>
      </c>
      <c r="AJ4" s="8" t="s">
        <v>264</v>
      </c>
    </row>
    <row r="5" spans="1:36" s="8" customFormat="1" ht="30" customHeight="1" thickBot="1" x14ac:dyDescent="0.3">
      <c r="A5" s="138" t="s">
        <v>156</v>
      </c>
      <c r="B5" s="139" t="s">
        <v>26</v>
      </c>
      <c r="C5" s="140" t="s">
        <v>157</v>
      </c>
      <c r="D5" s="140" t="s">
        <v>158</v>
      </c>
      <c r="E5" s="140" t="s">
        <v>159</v>
      </c>
      <c r="F5" s="141" t="s">
        <v>160</v>
      </c>
      <c r="G5" s="141" t="s">
        <v>27</v>
      </c>
      <c r="H5" s="141" t="s">
        <v>28</v>
      </c>
      <c r="I5" s="142"/>
      <c r="J5" s="141" t="s">
        <v>161</v>
      </c>
      <c r="K5" s="141" t="s">
        <v>162</v>
      </c>
      <c r="L5" s="141" t="s">
        <v>9</v>
      </c>
      <c r="M5" s="141"/>
      <c r="N5" s="143"/>
      <c r="O5" s="144"/>
      <c r="P5" s="145" t="s">
        <v>163</v>
      </c>
      <c r="Q5" s="146" t="s">
        <v>22</v>
      </c>
      <c r="R5" s="228"/>
      <c r="S5" s="145" t="s">
        <v>21</v>
      </c>
      <c r="T5" s="147" t="s">
        <v>24</v>
      </c>
      <c r="U5" s="148" t="s">
        <v>56</v>
      </c>
      <c r="V5" s="149" t="s">
        <v>34</v>
      </c>
      <c r="W5" s="221" t="s">
        <v>219</v>
      </c>
      <c r="X5" s="38" t="s">
        <v>25</v>
      </c>
      <c r="Y5" s="33" t="s">
        <v>20</v>
      </c>
      <c r="Z5" s="36"/>
      <c r="AA5" s="33" t="s">
        <v>33</v>
      </c>
      <c r="AC5" s="208" t="s">
        <v>235</v>
      </c>
      <c r="AD5" s="208" t="s">
        <v>235</v>
      </c>
      <c r="AE5" s="208" t="s">
        <v>235</v>
      </c>
    </row>
    <row r="6" spans="1:36" s="8" customFormat="1" x14ac:dyDescent="0.25">
      <c r="A6" s="188"/>
      <c r="B6" s="92"/>
      <c r="C6" s="95"/>
      <c r="D6" s="178"/>
      <c r="E6" s="95"/>
      <c r="F6" s="95"/>
      <c r="G6" s="178"/>
      <c r="H6" s="178"/>
      <c r="I6" s="95"/>
      <c r="J6" s="178"/>
      <c r="K6" s="178"/>
      <c r="L6" s="201"/>
      <c r="M6" s="94"/>
      <c r="N6" s="202"/>
      <c r="O6" s="203"/>
      <c r="P6" s="178"/>
      <c r="Q6" s="237"/>
      <c r="R6" s="186"/>
      <c r="S6" s="182"/>
      <c r="T6" s="183"/>
      <c r="U6" s="204"/>
      <c r="V6" s="205"/>
      <c r="W6" s="222"/>
      <c r="X6" s="206"/>
      <c r="Y6" s="181"/>
      <c r="Z6" s="181"/>
      <c r="AA6" s="181"/>
      <c r="AB6" s="167"/>
    </row>
    <row r="7" spans="1:36" s="8" customFormat="1" x14ac:dyDescent="0.25">
      <c r="A7" s="207">
        <v>2</v>
      </c>
      <c r="B7" s="92" t="s">
        <v>249</v>
      </c>
      <c r="C7" s="90" t="str">
        <f>VLOOKUP($F7,Admin!$A$16:$E$19,2,FALSE)</f>
        <v>Alkalmazott (ipari) kutatás – Működési költség</v>
      </c>
      <c r="D7" s="160" t="s">
        <v>129</v>
      </c>
      <c r="E7" s="90" t="str">
        <f>VLOOKUP($F7,Admin!$A$16:$E$19,4,FALSE)</f>
        <v>54. Bérköltség - Kutató-fejlesztő munkatárs</v>
      </c>
      <c r="F7" s="90" t="s">
        <v>171</v>
      </c>
      <c r="G7" s="160" t="s">
        <v>174</v>
      </c>
      <c r="H7" s="160" t="s">
        <v>194</v>
      </c>
      <c r="I7" s="90" t="s">
        <v>90</v>
      </c>
      <c r="J7" s="160" t="s">
        <v>67</v>
      </c>
      <c r="K7" s="160" t="str">
        <f t="shared" ref="K7" si="0">J7</f>
        <v>2023.04</v>
      </c>
      <c r="L7" s="91" t="s">
        <v>8</v>
      </c>
      <c r="M7" s="92" t="s">
        <v>78</v>
      </c>
      <c r="N7" s="161">
        <v>700000</v>
      </c>
      <c r="O7" s="162">
        <f t="shared" ref="O7" si="1">ROUND(N7*V7,0)</f>
        <v>91000</v>
      </c>
      <c r="P7" s="160">
        <v>174</v>
      </c>
      <c r="Q7" s="236">
        <v>75</v>
      </c>
      <c r="R7" s="229">
        <f t="shared" ref="R7" si="2">Q7/P7</f>
        <v>0.43103448275862066</v>
      </c>
      <c r="S7" s="163">
        <f t="shared" ref="S7" si="3">ROUND(N7*Q7/P7,0)</f>
        <v>301724</v>
      </c>
      <c r="T7" s="164">
        <f t="shared" ref="T7" si="4">ROUND(S7*V7,0)</f>
        <v>39224</v>
      </c>
      <c r="U7" s="165">
        <f t="shared" ref="U7" si="5">Q7/P7-S7/N7</f>
        <v>1.9704433495970619E-7</v>
      </c>
      <c r="V7" s="87">
        <v>0.13</v>
      </c>
      <c r="W7" s="223" t="s">
        <v>250</v>
      </c>
      <c r="X7" s="23">
        <v>45001</v>
      </c>
      <c r="Y7" s="20" t="s">
        <v>197</v>
      </c>
      <c r="Z7" s="20"/>
      <c r="AA7" s="20"/>
      <c r="AB7" s="167"/>
      <c r="AC7" s="8" t="s">
        <v>246</v>
      </c>
      <c r="AD7" s="8">
        <v>0</v>
      </c>
      <c r="AE7" s="8">
        <v>0</v>
      </c>
      <c r="AF7" s="8">
        <v>144</v>
      </c>
      <c r="AG7" s="8">
        <f t="shared" ref="AG7:AG12" si="6">ROUNDUP(AF7*R7,2)</f>
        <v>62.07</v>
      </c>
      <c r="AH7" s="235">
        <v>45051</v>
      </c>
      <c r="AI7" s="8" t="str">
        <f>CONCATENATE(J7,".01")</f>
        <v>2023.04.01</v>
      </c>
      <c r="AJ7" s="235">
        <f>EOMONTH(AI7,0)</f>
        <v>45046</v>
      </c>
    </row>
    <row r="8" spans="1:36" s="8" customFormat="1" x14ac:dyDescent="0.25">
      <c r="A8" s="207">
        <v>2</v>
      </c>
      <c r="B8" s="92" t="s">
        <v>249</v>
      </c>
      <c r="C8" s="90" t="str">
        <f>VLOOKUP($F8,Admin!$A$16:$E$19,2,FALSE)</f>
        <v>Alkalmazott (ipari) kutatás – Működési költség</v>
      </c>
      <c r="D8" s="160" t="s">
        <v>129</v>
      </c>
      <c r="E8" s="90" t="str">
        <f>VLOOKUP($F8,Admin!$A$16:$E$19,4,FALSE)</f>
        <v>54. Bérköltség - Kutató-fejlesztő munkatárs</v>
      </c>
      <c r="F8" s="90" t="s">
        <v>171</v>
      </c>
      <c r="G8" s="160" t="s">
        <v>174</v>
      </c>
      <c r="H8" s="160" t="s">
        <v>194</v>
      </c>
      <c r="I8" s="90" t="s">
        <v>90</v>
      </c>
      <c r="J8" s="160" t="s">
        <v>68</v>
      </c>
      <c r="K8" s="160" t="str">
        <f t="shared" ref="K8:K9" si="7">J8</f>
        <v>2023.05</v>
      </c>
      <c r="L8" s="91" t="s">
        <v>8</v>
      </c>
      <c r="M8" s="92" t="s">
        <v>78</v>
      </c>
      <c r="N8" s="161">
        <v>700000</v>
      </c>
      <c r="O8" s="162">
        <f t="shared" ref="O8:O9" si="8">ROUND(N8*V8,0)</f>
        <v>91000</v>
      </c>
      <c r="P8" s="160">
        <v>174</v>
      </c>
      <c r="Q8" s="236">
        <v>75</v>
      </c>
      <c r="R8" s="229">
        <f t="shared" ref="R8:R9" si="9">Q8/P8</f>
        <v>0.43103448275862066</v>
      </c>
      <c r="S8" s="163">
        <f t="shared" ref="S8:S9" si="10">ROUND(N8*Q8/P8,0)</f>
        <v>301724</v>
      </c>
      <c r="T8" s="164">
        <f t="shared" ref="T8:T9" si="11">ROUND(S8*V8,0)</f>
        <v>39224</v>
      </c>
      <c r="U8" s="165">
        <f t="shared" ref="U8:U9" si="12">Q8/P8-S8/N8</f>
        <v>1.9704433495970619E-7</v>
      </c>
      <c r="V8" s="87">
        <v>0.13</v>
      </c>
      <c r="W8" s="223" t="s">
        <v>250</v>
      </c>
      <c r="X8" s="23">
        <v>45001</v>
      </c>
      <c r="Y8" s="20" t="s">
        <v>197</v>
      </c>
      <c r="Z8" s="20"/>
      <c r="AA8" s="20"/>
      <c r="AB8" s="167"/>
      <c r="AC8" s="8" t="s">
        <v>246</v>
      </c>
      <c r="AD8" s="8">
        <v>0</v>
      </c>
      <c r="AE8" s="8">
        <v>0</v>
      </c>
      <c r="AF8" s="8">
        <v>168</v>
      </c>
      <c r="AG8" s="8">
        <f t="shared" si="6"/>
        <v>72.42</v>
      </c>
      <c r="AH8" s="235">
        <v>45082</v>
      </c>
      <c r="AI8" s="8" t="str">
        <f t="shared" ref="AI8:AI12" si="13">CONCATENATE(J8,".01")</f>
        <v>2023.05.01</v>
      </c>
      <c r="AJ8" s="235">
        <f t="shared" ref="AJ8:AJ12" si="14">EOMONTH(AI8,0)</f>
        <v>45077</v>
      </c>
    </row>
    <row r="9" spans="1:36" s="8" customFormat="1" x14ac:dyDescent="0.25">
      <c r="A9" s="207">
        <v>2</v>
      </c>
      <c r="B9" s="92" t="s">
        <v>249</v>
      </c>
      <c r="C9" s="90" t="str">
        <f>VLOOKUP($F9,Admin!$A$16:$E$19,2,FALSE)</f>
        <v>Alkalmazott (ipari) kutatás – Működési költség</v>
      </c>
      <c r="D9" s="160" t="s">
        <v>129</v>
      </c>
      <c r="E9" s="90" t="str">
        <f>VLOOKUP($F9,Admin!$A$16:$E$19,4,FALSE)</f>
        <v>54. Bérköltség - Kutató-fejlesztő munkatárs</v>
      </c>
      <c r="F9" s="90" t="s">
        <v>171</v>
      </c>
      <c r="G9" s="160" t="s">
        <v>174</v>
      </c>
      <c r="H9" s="160" t="s">
        <v>194</v>
      </c>
      <c r="I9" s="90" t="s">
        <v>90</v>
      </c>
      <c r="J9" s="160" t="s">
        <v>69</v>
      </c>
      <c r="K9" s="160" t="str">
        <f t="shared" si="7"/>
        <v>2023.06</v>
      </c>
      <c r="L9" s="91" t="s">
        <v>8</v>
      </c>
      <c r="M9" s="92" t="s">
        <v>78</v>
      </c>
      <c r="N9" s="161">
        <v>700000</v>
      </c>
      <c r="O9" s="162">
        <f t="shared" si="8"/>
        <v>91000</v>
      </c>
      <c r="P9" s="160">
        <v>174</v>
      </c>
      <c r="Q9" s="236">
        <v>75</v>
      </c>
      <c r="R9" s="229">
        <f t="shared" si="9"/>
        <v>0.43103448275862066</v>
      </c>
      <c r="S9" s="163">
        <f t="shared" si="10"/>
        <v>301724</v>
      </c>
      <c r="T9" s="164">
        <f t="shared" si="11"/>
        <v>39224</v>
      </c>
      <c r="U9" s="165">
        <f t="shared" si="12"/>
        <v>1.9704433495970619E-7</v>
      </c>
      <c r="V9" s="87">
        <v>0.13</v>
      </c>
      <c r="W9" s="223" t="s">
        <v>250</v>
      </c>
      <c r="X9" s="23">
        <v>45001</v>
      </c>
      <c r="Y9" s="20" t="s">
        <v>197</v>
      </c>
      <c r="Z9" s="20"/>
      <c r="AA9" s="20"/>
      <c r="AB9" s="167"/>
      <c r="AC9" s="8" t="s">
        <v>246</v>
      </c>
      <c r="AD9" s="8">
        <v>0</v>
      </c>
      <c r="AE9" s="8">
        <v>0</v>
      </c>
      <c r="AF9" s="8">
        <v>176</v>
      </c>
      <c r="AG9" s="8">
        <f>ROUNDUP(AF9*R9,2)</f>
        <v>75.87</v>
      </c>
      <c r="AH9" s="235">
        <v>45112</v>
      </c>
      <c r="AI9" s="8" t="str">
        <f t="shared" si="13"/>
        <v>2023.06.01</v>
      </c>
      <c r="AJ9" s="235">
        <f t="shared" si="14"/>
        <v>45107</v>
      </c>
    </row>
    <row r="10" spans="1:36" s="8" customFormat="1" x14ac:dyDescent="0.25">
      <c r="A10" s="207">
        <v>2</v>
      </c>
      <c r="B10" s="92" t="s">
        <v>249</v>
      </c>
      <c r="C10" s="90" t="str">
        <f>VLOOKUP($F10,Admin!$A$16:$E$19,2,FALSE)</f>
        <v>Alkalmazott (ipari) kutatás – Működési költség</v>
      </c>
      <c r="D10" s="160" t="s">
        <v>129</v>
      </c>
      <c r="E10" s="90" t="str">
        <f>VLOOKUP($F10,Admin!$A$16:$E$19,4,FALSE)</f>
        <v>54. Bérköltség - Kutató-fejlesztő munkatárs</v>
      </c>
      <c r="F10" s="90" t="s">
        <v>171</v>
      </c>
      <c r="G10" s="160" t="s">
        <v>174</v>
      </c>
      <c r="H10" s="160" t="s">
        <v>194</v>
      </c>
      <c r="I10" s="90" t="s">
        <v>90</v>
      </c>
      <c r="J10" s="160" t="s">
        <v>70</v>
      </c>
      <c r="K10" s="160" t="str">
        <f t="shared" ref="K10:K12" si="15">J10</f>
        <v>2023.07</v>
      </c>
      <c r="L10" s="91" t="s">
        <v>8</v>
      </c>
      <c r="M10" s="92" t="s">
        <v>78</v>
      </c>
      <c r="N10" s="161">
        <v>760150</v>
      </c>
      <c r="O10" s="162">
        <f t="shared" ref="O10" si="16">ROUND(N10*V10,0)</f>
        <v>98820</v>
      </c>
      <c r="P10" s="160">
        <v>174</v>
      </c>
      <c r="Q10" s="236">
        <v>75</v>
      </c>
      <c r="R10" s="229">
        <f t="shared" ref="R10" si="17">Q10/P10</f>
        <v>0.43103448275862066</v>
      </c>
      <c r="S10" s="163">
        <f t="shared" ref="S10" si="18">ROUND(N10*Q10/P10,0)</f>
        <v>327651</v>
      </c>
      <c r="T10" s="164">
        <f t="shared" ref="T10" si="19">ROUND(S10*V10,0)</f>
        <v>42595</v>
      </c>
      <c r="U10" s="165">
        <f t="shared" ref="U10" si="20">Q10/P10-S10/N10</f>
        <v>-1.814523903354015E-7</v>
      </c>
      <c r="V10" s="87">
        <v>0.13</v>
      </c>
      <c r="W10" s="223" t="s">
        <v>250</v>
      </c>
      <c r="X10" s="23">
        <v>45098</v>
      </c>
      <c r="Y10" s="20" t="s">
        <v>197</v>
      </c>
      <c r="Z10" s="20"/>
      <c r="AA10" s="20"/>
      <c r="AB10" s="167"/>
      <c r="AC10" s="8" t="s">
        <v>246</v>
      </c>
      <c r="AD10" s="8">
        <v>0</v>
      </c>
      <c r="AE10" s="8">
        <v>0</v>
      </c>
      <c r="AF10" s="8">
        <v>168</v>
      </c>
      <c r="AG10" s="8">
        <f t="shared" si="6"/>
        <v>72.42</v>
      </c>
      <c r="AH10" s="235">
        <v>45142</v>
      </c>
      <c r="AI10" s="8" t="str">
        <f t="shared" si="13"/>
        <v>2023.07.01</v>
      </c>
      <c r="AJ10" s="235">
        <f t="shared" si="14"/>
        <v>45138</v>
      </c>
    </row>
    <row r="11" spans="1:36" s="8" customFormat="1" x14ac:dyDescent="0.25">
      <c r="A11" s="207">
        <v>2</v>
      </c>
      <c r="B11" s="92" t="s">
        <v>249</v>
      </c>
      <c r="C11" s="90" t="str">
        <f>VLOOKUP($F11,Admin!$A$16:$E$19,2,FALSE)</f>
        <v>Alkalmazott (ipari) kutatás – Működési költség</v>
      </c>
      <c r="D11" s="160" t="s">
        <v>129</v>
      </c>
      <c r="E11" s="90" t="str">
        <f>VLOOKUP($F11,Admin!$A$16:$E$19,4,FALSE)</f>
        <v>54. Bérköltség - Kutató-fejlesztő munkatárs</v>
      </c>
      <c r="F11" s="90" t="s">
        <v>171</v>
      </c>
      <c r="G11" s="160" t="s">
        <v>174</v>
      </c>
      <c r="H11" s="160" t="s">
        <v>194</v>
      </c>
      <c r="I11" s="90" t="s">
        <v>90</v>
      </c>
      <c r="J11" s="160" t="s">
        <v>71</v>
      </c>
      <c r="K11" s="160" t="str">
        <f t="shared" si="15"/>
        <v>2023.08</v>
      </c>
      <c r="L11" s="91" t="s">
        <v>8</v>
      </c>
      <c r="M11" s="92" t="s">
        <v>78</v>
      </c>
      <c r="N11" s="161">
        <v>760150</v>
      </c>
      <c r="O11" s="162">
        <f t="shared" ref="O11:O12" si="21">ROUND(N11*V11,0)</f>
        <v>98820</v>
      </c>
      <c r="P11" s="160">
        <v>174</v>
      </c>
      <c r="Q11" s="236">
        <v>75</v>
      </c>
      <c r="R11" s="229">
        <f t="shared" ref="R11:R12" si="22">Q11/P11</f>
        <v>0.43103448275862066</v>
      </c>
      <c r="S11" s="163">
        <f t="shared" ref="S11:S12" si="23">ROUND(N11*Q11/P11,0)</f>
        <v>327651</v>
      </c>
      <c r="T11" s="164">
        <f t="shared" ref="T11:T12" si="24">ROUND(S11*V11,0)</f>
        <v>42595</v>
      </c>
      <c r="U11" s="165">
        <f t="shared" ref="U11:U12" si="25">Q11/P11-S11/N11</f>
        <v>-1.814523903354015E-7</v>
      </c>
      <c r="V11" s="87">
        <v>0.13</v>
      </c>
      <c r="W11" s="223" t="s">
        <v>250</v>
      </c>
      <c r="X11" s="23">
        <v>45098</v>
      </c>
      <c r="Y11" s="20" t="s">
        <v>197</v>
      </c>
      <c r="Z11" s="20"/>
      <c r="AA11" s="20"/>
      <c r="AB11" s="167"/>
      <c r="AC11" s="8" t="s">
        <v>246</v>
      </c>
      <c r="AD11" s="8">
        <v>0</v>
      </c>
      <c r="AE11" s="8">
        <v>0</v>
      </c>
      <c r="AF11" s="8">
        <v>184</v>
      </c>
      <c r="AG11" s="8">
        <f t="shared" si="6"/>
        <v>79.320000000000007</v>
      </c>
      <c r="AH11" s="235">
        <v>45174</v>
      </c>
      <c r="AI11" s="8" t="str">
        <f t="shared" si="13"/>
        <v>2023.08.01</v>
      </c>
      <c r="AJ11" s="235">
        <f t="shared" si="14"/>
        <v>45169</v>
      </c>
    </row>
    <row r="12" spans="1:36" s="8" customFormat="1" x14ac:dyDescent="0.25">
      <c r="A12" s="207">
        <v>2</v>
      </c>
      <c r="B12" s="92" t="s">
        <v>249</v>
      </c>
      <c r="C12" s="90" t="str">
        <f>VLOOKUP($F12,Admin!$A$16:$E$19,2,FALSE)</f>
        <v>Alkalmazott (ipari) kutatás – Működési költség</v>
      </c>
      <c r="D12" s="160" t="s">
        <v>129</v>
      </c>
      <c r="E12" s="90" t="str">
        <f>VLOOKUP($F12,Admin!$A$16:$E$19,4,FALSE)</f>
        <v>54. Bérköltség - Kutató-fejlesztő munkatárs</v>
      </c>
      <c r="F12" s="90" t="s">
        <v>171</v>
      </c>
      <c r="G12" s="160" t="s">
        <v>174</v>
      </c>
      <c r="H12" s="160" t="s">
        <v>194</v>
      </c>
      <c r="I12" s="90" t="s">
        <v>90</v>
      </c>
      <c r="J12" s="160" t="s">
        <v>72</v>
      </c>
      <c r="K12" s="160" t="str">
        <f t="shared" si="15"/>
        <v>2023.09</v>
      </c>
      <c r="L12" s="91" t="s">
        <v>8</v>
      </c>
      <c r="M12" s="92" t="s">
        <v>78</v>
      </c>
      <c r="N12" s="161">
        <v>760150</v>
      </c>
      <c r="O12" s="162">
        <f t="shared" si="21"/>
        <v>98820</v>
      </c>
      <c r="P12" s="160">
        <v>174</v>
      </c>
      <c r="Q12" s="236">
        <v>75</v>
      </c>
      <c r="R12" s="229">
        <f t="shared" si="22"/>
        <v>0.43103448275862066</v>
      </c>
      <c r="S12" s="163">
        <f t="shared" si="23"/>
        <v>327651</v>
      </c>
      <c r="T12" s="164">
        <f t="shared" si="24"/>
        <v>42595</v>
      </c>
      <c r="U12" s="165">
        <f t="shared" si="25"/>
        <v>-1.814523903354015E-7</v>
      </c>
      <c r="V12" s="87">
        <v>0.13</v>
      </c>
      <c r="W12" s="223" t="s">
        <v>250</v>
      </c>
      <c r="X12" s="23">
        <v>45098</v>
      </c>
      <c r="Y12" s="20" t="s">
        <v>197</v>
      </c>
      <c r="Z12" s="20"/>
      <c r="AA12" s="20"/>
      <c r="AB12" s="167"/>
      <c r="AC12" s="8" t="s">
        <v>246</v>
      </c>
      <c r="AD12" s="8">
        <v>0</v>
      </c>
      <c r="AE12" s="8">
        <v>0</v>
      </c>
      <c r="AF12" s="8">
        <v>168</v>
      </c>
      <c r="AG12" s="8">
        <f t="shared" si="6"/>
        <v>72.42</v>
      </c>
      <c r="AH12" s="235">
        <v>45204</v>
      </c>
      <c r="AI12" s="8" t="str">
        <f t="shared" si="13"/>
        <v>2023.09.01</v>
      </c>
      <c r="AJ12" s="235">
        <f t="shared" si="14"/>
        <v>45199</v>
      </c>
    </row>
    <row r="13" spans="1:36" s="8" customFormat="1" x14ac:dyDescent="0.25">
      <c r="A13" s="188"/>
      <c r="B13" s="92" t="s">
        <v>249</v>
      </c>
      <c r="C13" s="90" t="str">
        <f>VLOOKUP($F13,Admin!$A$16:$E$19,2,FALSE)</f>
        <v>Alkalmazott (ipari) kutatás – Működési költség</v>
      </c>
      <c r="D13" s="160" t="s">
        <v>129</v>
      </c>
      <c r="E13" s="90" t="str">
        <f>VLOOKUP($F13,Admin!$A$16:$E$19,4,FALSE)</f>
        <v>54. Bérköltség - Kutató-fejlesztő munkatárs</v>
      </c>
      <c r="F13" s="90" t="s">
        <v>171</v>
      </c>
      <c r="G13" s="160" t="s">
        <v>174</v>
      </c>
      <c r="H13" s="160" t="s">
        <v>194</v>
      </c>
      <c r="I13" s="90" t="s">
        <v>90</v>
      </c>
      <c r="J13" s="160" t="s">
        <v>73</v>
      </c>
      <c r="K13" s="160" t="str">
        <f t="shared" ref="K13:K15" si="26">J13</f>
        <v>2023.10</v>
      </c>
      <c r="L13" s="91" t="s">
        <v>8</v>
      </c>
      <c r="M13" s="92" t="s">
        <v>78</v>
      </c>
      <c r="N13" s="161">
        <v>760100</v>
      </c>
      <c r="O13" s="162">
        <f t="shared" ref="O13" si="27">ROUND(N13*V13,0)</f>
        <v>98813</v>
      </c>
      <c r="P13" s="160">
        <v>174</v>
      </c>
      <c r="Q13" s="236">
        <v>75</v>
      </c>
      <c r="R13" s="229">
        <f t="shared" ref="R13" si="28">Q13/P13</f>
        <v>0.43103448275862066</v>
      </c>
      <c r="S13" s="163">
        <f t="shared" ref="S13" si="29">ROUND(N13*Q13/P13,0)</f>
        <v>327629</v>
      </c>
      <c r="T13" s="164">
        <f t="shared" ref="T13" si="30">ROUND(S13*V13,0)</f>
        <v>42592</v>
      </c>
      <c r="U13" s="165">
        <f t="shared" ref="U13" si="31">Q13/P13-S13/N13</f>
        <v>4.0829473435533004E-7</v>
      </c>
      <c r="V13" s="87">
        <v>0.13</v>
      </c>
      <c r="W13" s="223" t="s">
        <v>250</v>
      </c>
      <c r="X13" s="23">
        <v>45195</v>
      </c>
      <c r="Y13" s="20" t="s">
        <v>197</v>
      </c>
      <c r="Z13" s="20"/>
      <c r="AA13" s="20"/>
      <c r="AB13" s="167"/>
      <c r="AC13" s="8" t="s">
        <v>246</v>
      </c>
      <c r="AD13" s="8">
        <v>0</v>
      </c>
      <c r="AE13" s="8">
        <v>0</v>
      </c>
    </row>
    <row r="14" spans="1:36" s="8" customFormat="1" x14ac:dyDescent="0.25">
      <c r="A14" s="188"/>
      <c r="B14" s="92" t="s">
        <v>249</v>
      </c>
      <c r="C14" s="90" t="str">
        <f>VLOOKUP($F14,Admin!$A$16:$E$19,2,FALSE)</f>
        <v>Alkalmazott (ipari) kutatás – Működési költség</v>
      </c>
      <c r="D14" s="160" t="s">
        <v>129</v>
      </c>
      <c r="E14" s="90" t="str">
        <f>VLOOKUP($F14,Admin!$A$16:$E$19,4,FALSE)</f>
        <v>54. Bérköltség - Kutató-fejlesztő munkatárs</v>
      </c>
      <c r="F14" s="90" t="s">
        <v>171</v>
      </c>
      <c r="G14" s="160" t="s">
        <v>174</v>
      </c>
      <c r="H14" s="160" t="s">
        <v>194</v>
      </c>
      <c r="I14" s="90" t="s">
        <v>90</v>
      </c>
      <c r="J14" s="160" t="s">
        <v>74</v>
      </c>
      <c r="K14" s="160" t="str">
        <f t="shared" si="26"/>
        <v>2023.11</v>
      </c>
      <c r="L14" s="91" t="s">
        <v>8</v>
      </c>
      <c r="M14" s="92" t="s">
        <v>78</v>
      </c>
      <c r="N14" s="161">
        <v>760100</v>
      </c>
      <c r="O14" s="162">
        <f t="shared" ref="O14:O15" si="32">ROUND(N14*V14,0)</f>
        <v>98813</v>
      </c>
      <c r="P14" s="160">
        <v>174</v>
      </c>
      <c r="Q14" s="236">
        <v>75</v>
      </c>
      <c r="R14" s="229">
        <f t="shared" ref="R14:R15" si="33">Q14/P14</f>
        <v>0.43103448275862066</v>
      </c>
      <c r="S14" s="163">
        <f t="shared" ref="S14:S15" si="34">ROUND(N14*Q14/P14,0)</f>
        <v>327629</v>
      </c>
      <c r="T14" s="164">
        <f t="shared" ref="T14:T15" si="35">ROUND(S14*V14,0)</f>
        <v>42592</v>
      </c>
      <c r="U14" s="165">
        <f t="shared" ref="U14:U15" si="36">Q14/P14-S14/N14</f>
        <v>4.0829473435533004E-7</v>
      </c>
      <c r="V14" s="87">
        <v>0.13</v>
      </c>
      <c r="W14" s="223" t="s">
        <v>250</v>
      </c>
      <c r="X14" s="23">
        <v>45195</v>
      </c>
      <c r="Y14" s="20" t="s">
        <v>197</v>
      </c>
      <c r="Z14" s="20"/>
      <c r="AA14" s="20"/>
      <c r="AB14" s="167"/>
      <c r="AC14" s="8" t="s">
        <v>246</v>
      </c>
      <c r="AD14" s="8">
        <v>0</v>
      </c>
      <c r="AE14" s="8">
        <v>0</v>
      </c>
    </row>
    <row r="15" spans="1:36" s="8" customFormat="1" x14ac:dyDescent="0.25">
      <c r="A15" s="188"/>
      <c r="B15" s="92" t="s">
        <v>249</v>
      </c>
      <c r="C15" s="90" t="str">
        <f>VLOOKUP($F15,Admin!$A$16:$E$19,2,FALSE)</f>
        <v>Alkalmazott (ipari) kutatás – Működési költség</v>
      </c>
      <c r="D15" s="160" t="s">
        <v>129</v>
      </c>
      <c r="E15" s="90" t="str">
        <f>VLOOKUP($F15,Admin!$A$16:$E$19,4,FALSE)</f>
        <v>54. Bérköltség - Kutató-fejlesztő munkatárs</v>
      </c>
      <c r="F15" s="90" t="s">
        <v>171</v>
      </c>
      <c r="G15" s="160" t="s">
        <v>174</v>
      </c>
      <c r="H15" s="160" t="s">
        <v>194</v>
      </c>
      <c r="I15" s="90" t="s">
        <v>90</v>
      </c>
      <c r="J15" s="160" t="s">
        <v>139</v>
      </c>
      <c r="K15" s="160" t="str">
        <f t="shared" si="26"/>
        <v>2023.12</v>
      </c>
      <c r="L15" s="91" t="s">
        <v>8</v>
      </c>
      <c r="M15" s="92" t="s">
        <v>78</v>
      </c>
      <c r="N15" s="161">
        <v>760100</v>
      </c>
      <c r="O15" s="162">
        <f t="shared" si="32"/>
        <v>98813</v>
      </c>
      <c r="P15" s="160">
        <v>174</v>
      </c>
      <c r="Q15" s="236">
        <v>75</v>
      </c>
      <c r="R15" s="229">
        <f t="shared" si="33"/>
        <v>0.43103448275862066</v>
      </c>
      <c r="S15" s="163">
        <f t="shared" si="34"/>
        <v>327629</v>
      </c>
      <c r="T15" s="164">
        <f t="shared" si="35"/>
        <v>42592</v>
      </c>
      <c r="U15" s="165">
        <f t="shared" si="36"/>
        <v>4.0829473435533004E-7</v>
      </c>
      <c r="V15" s="87">
        <v>0.13</v>
      </c>
      <c r="W15" s="223" t="s">
        <v>250</v>
      </c>
      <c r="X15" s="23">
        <v>45195</v>
      </c>
      <c r="Y15" s="20" t="s">
        <v>197</v>
      </c>
      <c r="Z15" s="20"/>
      <c r="AA15" s="20"/>
      <c r="AB15" s="167"/>
      <c r="AC15" s="8" t="s">
        <v>246</v>
      </c>
      <c r="AD15" s="233">
        <v>1</v>
      </c>
      <c r="AE15" s="233">
        <v>13000</v>
      </c>
    </row>
    <row r="16" spans="1:36" s="8" customFormat="1" x14ac:dyDescent="0.25">
      <c r="A16" s="188"/>
      <c r="B16" s="92" t="s">
        <v>249</v>
      </c>
      <c r="C16" s="90" t="str">
        <f>VLOOKUP($F16,Admin!$A$16:$E$19,2,FALSE)</f>
        <v>Alkalmazott (ipari) kutatás – Működési költség</v>
      </c>
      <c r="D16" s="160" t="s">
        <v>129</v>
      </c>
      <c r="E16" s="90" t="str">
        <f>VLOOKUP($F16,Admin!$A$16:$E$19,4,FALSE)</f>
        <v>54. Bérköltség - Kutató-fejlesztő munkatárs</v>
      </c>
      <c r="F16" s="90" t="s">
        <v>171</v>
      </c>
      <c r="G16" s="160" t="s">
        <v>174</v>
      </c>
      <c r="H16" s="160" t="s">
        <v>194</v>
      </c>
      <c r="I16" s="90" t="s">
        <v>90</v>
      </c>
      <c r="J16" s="160" t="s">
        <v>140</v>
      </c>
      <c r="K16" s="160" t="str">
        <f t="shared" ref="K16:K18" si="37">J16</f>
        <v>2024.01</v>
      </c>
      <c r="L16" s="91" t="s">
        <v>8</v>
      </c>
      <c r="M16" s="92" t="s">
        <v>78</v>
      </c>
      <c r="N16" s="161">
        <v>798000</v>
      </c>
      <c r="O16" s="162">
        <f t="shared" ref="O16" si="38">ROUND(N16*V16,0)</f>
        <v>103740</v>
      </c>
      <c r="P16" s="160">
        <v>174</v>
      </c>
      <c r="Q16" s="236">
        <v>29.58</v>
      </c>
      <c r="R16" s="229">
        <f t="shared" ref="R16" si="39">Q16/P16</f>
        <v>0.16999999999999998</v>
      </c>
      <c r="S16" s="163">
        <f t="shared" ref="S16" si="40">ROUND(N16*Q16/P16,0)</f>
        <v>135660</v>
      </c>
      <c r="T16" s="164">
        <f t="shared" ref="T16" si="41">ROUND(S16*V16,0)</f>
        <v>17636</v>
      </c>
      <c r="U16" s="165">
        <f t="shared" ref="U16" si="42">Q16/P16-S16/N16</f>
        <v>0</v>
      </c>
      <c r="V16" s="87">
        <v>0.13</v>
      </c>
      <c r="W16" s="223" t="s">
        <v>250</v>
      </c>
      <c r="X16" s="23">
        <v>45308</v>
      </c>
      <c r="Y16" s="20" t="s">
        <v>197</v>
      </c>
      <c r="Z16" s="20"/>
      <c r="AA16" s="20"/>
      <c r="AB16" s="167"/>
      <c r="AC16" s="8" t="s">
        <v>246</v>
      </c>
      <c r="AD16" s="243">
        <v>0</v>
      </c>
      <c r="AE16" s="243">
        <v>0</v>
      </c>
    </row>
    <row r="17" spans="1:36" s="8" customFormat="1" x14ac:dyDescent="0.25">
      <c r="A17" s="188"/>
      <c r="B17" s="92" t="s">
        <v>249</v>
      </c>
      <c r="C17" s="90" t="str">
        <f>VLOOKUP($F17,Admin!$A$16:$E$19,2,FALSE)</f>
        <v>Alkalmazott (ipari) kutatás – Működési költség</v>
      </c>
      <c r="D17" s="160" t="s">
        <v>129</v>
      </c>
      <c r="E17" s="90" t="str">
        <f>VLOOKUP($F17,Admin!$A$16:$E$19,4,FALSE)</f>
        <v>54. Bérköltség - Kutató-fejlesztő munkatárs</v>
      </c>
      <c r="F17" s="90" t="s">
        <v>171</v>
      </c>
      <c r="G17" s="160" t="s">
        <v>174</v>
      </c>
      <c r="H17" s="160" t="s">
        <v>194</v>
      </c>
      <c r="I17" s="90" t="s">
        <v>90</v>
      </c>
      <c r="J17" s="160" t="s">
        <v>141</v>
      </c>
      <c r="K17" s="160" t="str">
        <f t="shared" si="37"/>
        <v>2024.02</v>
      </c>
      <c r="L17" s="91" t="s">
        <v>8</v>
      </c>
      <c r="M17" s="92" t="s">
        <v>78</v>
      </c>
      <c r="N17" s="161">
        <v>798000</v>
      </c>
      <c r="O17" s="162">
        <f t="shared" ref="O17:O18" si="43">ROUND(N17*V17,0)</f>
        <v>103740</v>
      </c>
      <c r="P17" s="160">
        <v>174</v>
      </c>
      <c r="Q17" s="236">
        <v>29.58</v>
      </c>
      <c r="R17" s="229">
        <f t="shared" ref="R17:R18" si="44">Q17/P17</f>
        <v>0.16999999999999998</v>
      </c>
      <c r="S17" s="163">
        <f t="shared" ref="S17:S18" si="45">ROUND(N17*Q17/P17,0)</f>
        <v>135660</v>
      </c>
      <c r="T17" s="164">
        <f t="shared" ref="T17:T18" si="46">ROUND(S17*V17,0)</f>
        <v>17636</v>
      </c>
      <c r="U17" s="165">
        <f t="shared" ref="U17:U18" si="47">Q17/P17-S17/N17</f>
        <v>0</v>
      </c>
      <c r="V17" s="87">
        <v>0.13</v>
      </c>
      <c r="W17" s="223" t="s">
        <v>250</v>
      </c>
      <c r="X17" s="23">
        <v>45308</v>
      </c>
      <c r="Y17" s="20" t="s">
        <v>197</v>
      </c>
      <c r="Z17" s="20"/>
      <c r="AA17" s="20"/>
      <c r="AB17" s="167"/>
      <c r="AC17" s="8" t="s">
        <v>246</v>
      </c>
      <c r="AD17" s="243">
        <v>0</v>
      </c>
      <c r="AE17" s="243">
        <v>0</v>
      </c>
    </row>
    <row r="18" spans="1:36" s="8" customFormat="1" x14ac:dyDescent="0.25">
      <c r="A18" s="188"/>
      <c r="B18" s="92" t="s">
        <v>249</v>
      </c>
      <c r="C18" s="90" t="str">
        <f>VLOOKUP($F18,Admin!$A$16:$E$19,2,FALSE)</f>
        <v>Alkalmazott (ipari) kutatás – Működési költség</v>
      </c>
      <c r="D18" s="160" t="s">
        <v>129</v>
      </c>
      <c r="E18" s="90" t="str">
        <f>VLOOKUP($F18,Admin!$A$16:$E$19,4,FALSE)</f>
        <v>54. Bérköltség - Kutató-fejlesztő munkatárs</v>
      </c>
      <c r="F18" s="90" t="s">
        <v>171</v>
      </c>
      <c r="G18" s="160" t="s">
        <v>174</v>
      </c>
      <c r="H18" s="160" t="s">
        <v>203</v>
      </c>
      <c r="I18" s="90" t="s">
        <v>90</v>
      </c>
      <c r="J18" s="160" t="s">
        <v>142</v>
      </c>
      <c r="K18" s="160" t="str">
        <f t="shared" si="37"/>
        <v>2024.03</v>
      </c>
      <c r="L18" s="91" t="s">
        <v>8</v>
      </c>
      <c r="M18" s="92" t="s">
        <v>78</v>
      </c>
      <c r="N18" s="161">
        <v>798000</v>
      </c>
      <c r="O18" s="162">
        <f t="shared" si="43"/>
        <v>103740</v>
      </c>
      <c r="P18" s="160">
        <v>174</v>
      </c>
      <c r="Q18" s="236">
        <v>29.58</v>
      </c>
      <c r="R18" s="229">
        <f t="shared" si="44"/>
        <v>0.16999999999999998</v>
      </c>
      <c r="S18" s="163">
        <f t="shared" si="45"/>
        <v>135660</v>
      </c>
      <c r="T18" s="164">
        <f t="shared" si="46"/>
        <v>17636</v>
      </c>
      <c r="U18" s="165">
        <f t="shared" si="47"/>
        <v>0</v>
      </c>
      <c r="V18" s="87">
        <v>0.13</v>
      </c>
      <c r="W18" s="223" t="s">
        <v>250</v>
      </c>
      <c r="X18" s="23">
        <v>45362</v>
      </c>
      <c r="Y18" s="20" t="s">
        <v>197</v>
      </c>
      <c r="Z18" s="20"/>
      <c r="AA18" s="20"/>
      <c r="AB18" s="167"/>
      <c r="AC18" s="243" t="s">
        <v>246</v>
      </c>
      <c r="AD18" s="243">
        <v>0</v>
      </c>
      <c r="AE18" s="233">
        <v>103740</v>
      </c>
    </row>
    <row r="19" spans="1:36" s="8" customFormat="1" x14ac:dyDescent="0.25">
      <c r="A19" s="188"/>
      <c r="B19" s="92" t="s">
        <v>249</v>
      </c>
      <c r="C19" s="90" t="str">
        <f>VLOOKUP($F19,Admin!$A$16:$E$19,2,FALSE)</f>
        <v>Alkalmazott (ipari) kutatás – Működési költség</v>
      </c>
      <c r="D19" s="160" t="s">
        <v>129</v>
      </c>
      <c r="E19" s="90" t="str">
        <f>VLOOKUP($F19,Admin!$A$16:$E$19,4,FALSE)</f>
        <v>54. Bérköltség - Kutató-fejlesztő munkatárs</v>
      </c>
      <c r="F19" s="90" t="s">
        <v>171</v>
      </c>
      <c r="G19" s="160" t="s">
        <v>174</v>
      </c>
      <c r="H19" s="160" t="s">
        <v>203</v>
      </c>
      <c r="I19" s="90" t="s">
        <v>90</v>
      </c>
      <c r="J19" s="160" t="s">
        <v>143</v>
      </c>
      <c r="K19" s="160" t="str">
        <f t="shared" ref="K19:K20" si="48">J19</f>
        <v>2024.04</v>
      </c>
      <c r="L19" s="91" t="s">
        <v>8</v>
      </c>
      <c r="M19" s="92" t="s">
        <v>78</v>
      </c>
      <c r="N19" s="161">
        <v>798000</v>
      </c>
      <c r="O19" s="162">
        <f t="shared" ref="O19" si="49">ROUND(N19*V19,0)</f>
        <v>103740</v>
      </c>
      <c r="P19" s="160">
        <v>174</v>
      </c>
      <c r="Q19" s="236">
        <v>29.58</v>
      </c>
      <c r="R19" s="229">
        <f t="shared" ref="R19" si="50">Q19/P19</f>
        <v>0.16999999999999998</v>
      </c>
      <c r="S19" s="163">
        <f t="shared" ref="S19" si="51">ROUND(N19*Q19/P19,0)</f>
        <v>135660</v>
      </c>
      <c r="T19" s="164">
        <f t="shared" ref="T19" si="52">ROUND(S19*V19,0)</f>
        <v>17636</v>
      </c>
      <c r="U19" s="165">
        <f t="shared" ref="U19" si="53">Q19/P19-S19/N19</f>
        <v>0</v>
      </c>
      <c r="V19" s="87">
        <v>0.13</v>
      </c>
      <c r="W19" s="223" t="s">
        <v>250</v>
      </c>
      <c r="X19" s="23">
        <v>45370</v>
      </c>
      <c r="Y19" s="20" t="s">
        <v>197</v>
      </c>
      <c r="Z19" s="20"/>
      <c r="AA19" s="20"/>
      <c r="AB19" s="167"/>
      <c r="AC19" s="8" t="s">
        <v>246</v>
      </c>
      <c r="AD19" s="243">
        <v>0</v>
      </c>
      <c r="AE19" s="233">
        <v>40187</v>
      </c>
    </row>
    <row r="20" spans="1:36" s="8" customFormat="1" x14ac:dyDescent="0.25">
      <c r="A20" s="188"/>
      <c r="B20" s="92" t="s">
        <v>249</v>
      </c>
      <c r="C20" s="90" t="str">
        <f>VLOOKUP($F20,Admin!$A$16:$E$19,2,FALSE)</f>
        <v>Alkalmazott (ipari) kutatás – Működési költség</v>
      </c>
      <c r="D20" s="160" t="s">
        <v>129</v>
      </c>
      <c r="E20" s="90" t="str">
        <f>VLOOKUP($F20,Admin!$A$16:$E$19,4,FALSE)</f>
        <v>54. Bérköltség - Kutató-fejlesztő munkatárs</v>
      </c>
      <c r="F20" s="90" t="s">
        <v>171</v>
      </c>
      <c r="G20" s="160" t="s">
        <v>174</v>
      </c>
      <c r="H20" s="160" t="s">
        <v>276</v>
      </c>
      <c r="I20" s="90" t="s">
        <v>90</v>
      </c>
      <c r="J20" s="160" t="s">
        <v>144</v>
      </c>
      <c r="K20" s="160" t="str">
        <f t="shared" si="48"/>
        <v>2024.05</v>
      </c>
      <c r="L20" s="91" t="s">
        <v>8</v>
      </c>
      <c r="M20" s="92" t="s">
        <v>78</v>
      </c>
      <c r="N20" s="161">
        <v>798000</v>
      </c>
      <c r="O20" s="162">
        <f t="shared" ref="O20" si="54">ROUND(N20*V20,0)</f>
        <v>103740</v>
      </c>
      <c r="P20" s="160">
        <v>174</v>
      </c>
      <c r="Q20" s="236">
        <v>29.58</v>
      </c>
      <c r="R20" s="229">
        <f t="shared" ref="R20" si="55">Q20/P20</f>
        <v>0.16999999999999998</v>
      </c>
      <c r="S20" s="163">
        <f t="shared" ref="S20" si="56">ROUND(N20*Q20/P20,0)</f>
        <v>135660</v>
      </c>
      <c r="T20" s="164">
        <f t="shared" ref="T20" si="57">ROUND(S20*V20,0)</f>
        <v>17636</v>
      </c>
      <c r="U20" s="165">
        <f t="shared" ref="U20" si="58">Q20/P20-S20/N20</f>
        <v>0</v>
      </c>
      <c r="V20" s="87">
        <v>0.13</v>
      </c>
      <c r="W20" s="223" t="s">
        <v>250</v>
      </c>
      <c r="X20" s="23">
        <v>45370</v>
      </c>
      <c r="Y20" s="20" t="s">
        <v>197</v>
      </c>
      <c r="Z20" s="20"/>
      <c r="AA20" s="20"/>
      <c r="AB20" s="167"/>
      <c r="AC20" s="8" t="s">
        <v>246</v>
      </c>
      <c r="AD20" s="243">
        <v>0</v>
      </c>
      <c r="AE20" s="243">
        <v>0</v>
      </c>
    </row>
    <row r="21" spans="1:36" s="8" customFormat="1" x14ac:dyDescent="0.25">
      <c r="A21" s="188"/>
      <c r="B21" s="92" t="s">
        <v>249</v>
      </c>
      <c r="C21" s="90" t="str">
        <f>VLOOKUP($F21,Admin!$A$16:$E$19,2,FALSE)</f>
        <v>Alkalmazott (ipari) kutatás – Működési költség</v>
      </c>
      <c r="D21" s="160" t="s">
        <v>129</v>
      </c>
      <c r="E21" s="90" t="str">
        <f>VLOOKUP($F21,Admin!$A$16:$E$19,4,FALSE)</f>
        <v>54. Bérköltség - Kutató-fejlesztő munkatárs</v>
      </c>
      <c r="F21" s="90" t="s">
        <v>171</v>
      </c>
      <c r="G21" s="160" t="s">
        <v>174</v>
      </c>
      <c r="H21" s="160" t="s">
        <v>194</v>
      </c>
      <c r="I21" s="90" t="s">
        <v>90</v>
      </c>
      <c r="J21" s="160" t="s">
        <v>211</v>
      </c>
      <c r="K21" s="160" t="str">
        <f t="shared" ref="K21:K24" si="59">J21</f>
        <v>2024.06</v>
      </c>
      <c r="L21" s="91" t="s">
        <v>9</v>
      </c>
      <c r="M21" s="92" t="s">
        <v>78</v>
      </c>
      <c r="N21" s="161">
        <v>850000</v>
      </c>
      <c r="O21" s="162">
        <f t="shared" ref="O21" si="60">ROUND(N21*V21,0)</f>
        <v>110500</v>
      </c>
      <c r="P21" s="160">
        <v>174</v>
      </c>
      <c r="Q21" s="236">
        <v>26.099989999999998</v>
      </c>
      <c r="R21" s="229">
        <f t="shared" ref="R21" si="61">Q21/P21</f>
        <v>0.14999994252873564</v>
      </c>
      <c r="S21" s="163">
        <f t="shared" ref="S21" si="62">ROUND(N21*Q21/P21,0)</f>
        <v>127500</v>
      </c>
      <c r="T21" s="164">
        <f t="shared" ref="T21" si="63">ROUND(S21*V21,0)</f>
        <v>16575</v>
      </c>
      <c r="U21" s="165">
        <f t="shared" ref="U21" si="64">Q21/P21-S21/N21</f>
        <v>-5.747126435862171E-8</v>
      </c>
      <c r="V21" s="87">
        <v>0.13</v>
      </c>
      <c r="W21" s="223" t="s">
        <v>250</v>
      </c>
      <c r="X21" s="23">
        <v>45440</v>
      </c>
      <c r="Y21" s="20" t="s">
        <v>197</v>
      </c>
      <c r="Z21" s="20"/>
      <c r="AA21" s="20"/>
      <c r="AB21" s="167"/>
      <c r="AD21" s="233"/>
      <c r="AE21" s="233"/>
    </row>
    <row r="22" spans="1:36" s="8" customFormat="1" x14ac:dyDescent="0.25">
      <c r="A22" s="188"/>
      <c r="B22" s="92" t="s">
        <v>249</v>
      </c>
      <c r="C22" s="90" t="str">
        <f>VLOOKUP($F22,Admin!$A$16:$E$19,2,FALSE)</f>
        <v>Alkalmazott (ipari) kutatás – Működési költség</v>
      </c>
      <c r="D22" s="160" t="s">
        <v>129</v>
      </c>
      <c r="E22" s="90" t="str">
        <f>VLOOKUP($F22,Admin!$A$16:$E$19,4,FALSE)</f>
        <v>54. Bérköltség - Kutató-fejlesztő munkatárs</v>
      </c>
      <c r="F22" s="90" t="s">
        <v>171</v>
      </c>
      <c r="G22" s="160" t="s">
        <v>174</v>
      </c>
      <c r="H22" s="160" t="s">
        <v>194</v>
      </c>
      <c r="I22" s="90" t="s">
        <v>90</v>
      </c>
      <c r="J22" s="160" t="s">
        <v>212</v>
      </c>
      <c r="K22" s="160" t="str">
        <f t="shared" si="59"/>
        <v>2024.07</v>
      </c>
      <c r="L22" s="91" t="s">
        <v>9</v>
      </c>
      <c r="M22" s="92" t="s">
        <v>78</v>
      </c>
      <c r="N22" s="161">
        <v>850000</v>
      </c>
      <c r="O22" s="162">
        <f t="shared" ref="O22:O24" si="65">ROUND(N22*V22,0)</f>
        <v>110500</v>
      </c>
      <c r="P22" s="160">
        <v>174</v>
      </c>
      <c r="Q22" s="236">
        <v>26.099989999999998</v>
      </c>
      <c r="R22" s="229">
        <f t="shared" ref="R22:R24" si="66">Q22/P22</f>
        <v>0.14999994252873564</v>
      </c>
      <c r="S22" s="163">
        <f t="shared" ref="S22:S24" si="67">ROUND(N22*Q22/P22,0)</f>
        <v>127500</v>
      </c>
      <c r="T22" s="164">
        <f t="shared" ref="T22:T24" si="68">ROUND(S22*V22,0)</f>
        <v>16575</v>
      </c>
      <c r="U22" s="165">
        <f t="shared" ref="U22:U24" si="69">Q22/P22-S22/N22</f>
        <v>-5.747126435862171E-8</v>
      </c>
      <c r="V22" s="87">
        <v>0.13</v>
      </c>
      <c r="W22" s="223" t="s">
        <v>250</v>
      </c>
      <c r="X22" s="23">
        <v>45440</v>
      </c>
      <c r="Y22" s="20" t="s">
        <v>197</v>
      </c>
      <c r="Z22" s="20"/>
      <c r="AA22" s="20"/>
      <c r="AB22" s="167"/>
      <c r="AD22" s="233"/>
      <c r="AE22" s="233"/>
    </row>
    <row r="23" spans="1:36" s="8" customFormat="1" x14ac:dyDescent="0.25">
      <c r="A23" s="188"/>
      <c r="B23" s="92" t="s">
        <v>249</v>
      </c>
      <c r="C23" s="90" t="str">
        <f>VLOOKUP($F23,Admin!$A$16:$E$19,2,FALSE)</f>
        <v>Alkalmazott (ipari) kutatás – Működési költség</v>
      </c>
      <c r="D23" s="160" t="s">
        <v>129</v>
      </c>
      <c r="E23" s="90" t="str">
        <f>VLOOKUP($F23,Admin!$A$16:$E$19,4,FALSE)</f>
        <v>54. Bérköltség - Kutató-fejlesztő munkatárs</v>
      </c>
      <c r="F23" s="90" t="s">
        <v>171</v>
      </c>
      <c r="G23" s="160" t="s">
        <v>174</v>
      </c>
      <c r="H23" s="160" t="s">
        <v>194</v>
      </c>
      <c r="I23" s="90" t="s">
        <v>90</v>
      </c>
      <c r="J23" s="160" t="s">
        <v>213</v>
      </c>
      <c r="K23" s="160" t="str">
        <f t="shared" si="59"/>
        <v>2024.08</v>
      </c>
      <c r="L23" s="91" t="s">
        <v>9</v>
      </c>
      <c r="M23" s="92" t="s">
        <v>78</v>
      </c>
      <c r="N23" s="161">
        <v>850000</v>
      </c>
      <c r="O23" s="162">
        <f t="shared" si="65"/>
        <v>110500</v>
      </c>
      <c r="P23" s="160">
        <v>174</v>
      </c>
      <c r="Q23" s="236">
        <v>26.099989999999998</v>
      </c>
      <c r="R23" s="229">
        <f t="shared" si="66"/>
        <v>0.14999994252873564</v>
      </c>
      <c r="S23" s="163">
        <f t="shared" si="67"/>
        <v>127500</v>
      </c>
      <c r="T23" s="164">
        <f t="shared" si="68"/>
        <v>16575</v>
      </c>
      <c r="U23" s="165">
        <f t="shared" si="69"/>
        <v>-5.747126435862171E-8</v>
      </c>
      <c r="V23" s="87">
        <v>0.13</v>
      </c>
      <c r="W23" s="223" t="s">
        <v>250</v>
      </c>
      <c r="X23" s="23">
        <v>45440</v>
      </c>
      <c r="Y23" s="20" t="s">
        <v>197</v>
      </c>
      <c r="Z23" s="20"/>
      <c r="AA23" s="20"/>
      <c r="AB23" s="167"/>
      <c r="AD23" s="233"/>
      <c r="AE23" s="233"/>
    </row>
    <row r="24" spans="1:36" s="8" customFormat="1" x14ac:dyDescent="0.25">
      <c r="A24" s="188"/>
      <c r="B24" s="92" t="s">
        <v>249</v>
      </c>
      <c r="C24" s="90" t="str">
        <f>VLOOKUP($F24,Admin!$A$16:$E$19,2,FALSE)</f>
        <v>Alkalmazott (ipari) kutatás – Működési költség</v>
      </c>
      <c r="D24" s="160" t="s">
        <v>129</v>
      </c>
      <c r="E24" s="90" t="str">
        <f>VLOOKUP($F24,Admin!$A$16:$E$19,4,FALSE)</f>
        <v>54. Bérköltség - Kutató-fejlesztő munkatárs</v>
      </c>
      <c r="F24" s="90" t="s">
        <v>171</v>
      </c>
      <c r="G24" s="160" t="s">
        <v>174</v>
      </c>
      <c r="H24" s="160" t="s">
        <v>194</v>
      </c>
      <c r="I24" s="90" t="s">
        <v>90</v>
      </c>
      <c r="J24" s="160" t="s">
        <v>214</v>
      </c>
      <c r="K24" s="160" t="str">
        <f t="shared" si="59"/>
        <v>2024.09</v>
      </c>
      <c r="L24" s="91" t="s">
        <v>9</v>
      </c>
      <c r="M24" s="92" t="s">
        <v>78</v>
      </c>
      <c r="N24" s="161">
        <v>850000</v>
      </c>
      <c r="O24" s="162">
        <f t="shared" si="65"/>
        <v>110500</v>
      </c>
      <c r="P24" s="160">
        <v>174</v>
      </c>
      <c r="Q24" s="236">
        <v>26.099989999999998</v>
      </c>
      <c r="R24" s="229">
        <f t="shared" si="66"/>
        <v>0.14999994252873564</v>
      </c>
      <c r="S24" s="163">
        <f t="shared" si="67"/>
        <v>127500</v>
      </c>
      <c r="T24" s="164">
        <f t="shared" si="68"/>
        <v>16575</v>
      </c>
      <c r="U24" s="165">
        <f t="shared" si="69"/>
        <v>-5.747126435862171E-8</v>
      </c>
      <c r="V24" s="87">
        <v>0.13</v>
      </c>
      <c r="W24" s="223" t="s">
        <v>250</v>
      </c>
      <c r="X24" s="23">
        <v>45440</v>
      </c>
      <c r="Y24" s="20" t="s">
        <v>197</v>
      </c>
      <c r="Z24" s="20"/>
      <c r="AA24" s="20"/>
      <c r="AB24" s="167"/>
      <c r="AD24" s="233"/>
      <c r="AE24" s="233"/>
    </row>
    <row r="25" spans="1:36" s="8" customFormat="1" x14ac:dyDescent="0.25">
      <c r="A25" s="207">
        <v>2</v>
      </c>
      <c r="B25" s="92" t="s">
        <v>244</v>
      </c>
      <c r="C25" s="90" t="str">
        <f>VLOOKUP($F25,Admin!$A$16:$E$19,2,FALSE)</f>
        <v>Alkalmazott (ipari) kutatás – Működési költség</v>
      </c>
      <c r="D25" s="160" t="s">
        <v>129</v>
      </c>
      <c r="E25" s="90" t="str">
        <f>VLOOKUP($F25,Admin!$A$16:$E$19,4,FALSE)</f>
        <v>54. Bérköltség - technikus segédszemélyzet</v>
      </c>
      <c r="F25" s="90" t="s">
        <v>173</v>
      </c>
      <c r="G25" s="160" t="s">
        <v>174</v>
      </c>
      <c r="H25" s="160" t="s">
        <v>206</v>
      </c>
      <c r="I25" s="90" t="str">
        <f>VLOOKUP($F25,Admin!$A$16:$E$19,5,FALSE)</f>
        <v>Technikus</v>
      </c>
      <c r="J25" s="160" t="s">
        <v>65</v>
      </c>
      <c r="K25" s="160" t="str">
        <f t="shared" ref="K25" si="70">J25</f>
        <v>2023.02</v>
      </c>
      <c r="L25" s="91" t="s">
        <v>8</v>
      </c>
      <c r="M25" s="92" t="s">
        <v>89</v>
      </c>
      <c r="N25" s="161">
        <v>150800</v>
      </c>
      <c r="O25" s="162">
        <v>0</v>
      </c>
      <c r="P25" s="160">
        <v>174</v>
      </c>
      <c r="Q25" s="236">
        <v>174</v>
      </c>
      <c r="R25" s="229">
        <f t="shared" ref="R25" si="71">Q25/P25</f>
        <v>1</v>
      </c>
      <c r="S25" s="163">
        <f t="shared" ref="S25" si="72">ROUND(N25*Q25/P25,0)</f>
        <v>150800</v>
      </c>
      <c r="T25" s="164">
        <v>0</v>
      </c>
      <c r="U25" s="165">
        <f t="shared" ref="U25" si="73">Q25/P25-S25/N25</f>
        <v>0</v>
      </c>
      <c r="V25" s="87">
        <v>0.13</v>
      </c>
      <c r="W25" s="223" t="s">
        <v>245</v>
      </c>
      <c r="X25" s="23">
        <v>44943</v>
      </c>
      <c r="Y25" s="20" t="s">
        <v>197</v>
      </c>
      <c r="Z25" s="20"/>
      <c r="AA25" s="20"/>
      <c r="AB25" s="167"/>
      <c r="AC25" s="8" t="s">
        <v>246</v>
      </c>
      <c r="AD25" s="8">
        <v>0</v>
      </c>
      <c r="AE25" s="8">
        <v>0</v>
      </c>
      <c r="AF25" s="8">
        <v>160</v>
      </c>
      <c r="AG25" s="8">
        <f>ROUNDUP(AF25*R25,2)</f>
        <v>160</v>
      </c>
      <c r="AH25" s="235">
        <v>44988</v>
      </c>
      <c r="AI25" s="8" t="str">
        <f t="shared" ref="AI25:AI32" si="74">CONCATENATE(J25,".01")</f>
        <v>2023.02.01</v>
      </c>
      <c r="AJ25" s="235">
        <f t="shared" ref="AJ25:AJ27" si="75">EOMONTH(AI25,0)</f>
        <v>44985</v>
      </c>
    </row>
    <row r="26" spans="1:36" s="8" customFormat="1" x14ac:dyDescent="0.25">
      <c r="A26" s="207">
        <v>2</v>
      </c>
      <c r="B26" s="92" t="s">
        <v>244</v>
      </c>
      <c r="C26" s="90" t="str">
        <f>VLOOKUP($F26,Admin!$A$16:$E$19,2,FALSE)</f>
        <v>Alkalmazott (ipari) kutatás – Működési költség</v>
      </c>
      <c r="D26" s="160" t="s">
        <v>129</v>
      </c>
      <c r="E26" s="90" t="str">
        <f>VLOOKUP($F26,Admin!$A$16:$E$19,4,FALSE)</f>
        <v>54. Bérköltség - technikus segédszemélyzet</v>
      </c>
      <c r="F26" s="90" t="s">
        <v>173</v>
      </c>
      <c r="G26" s="160" t="s">
        <v>174</v>
      </c>
      <c r="H26" s="160" t="s">
        <v>206</v>
      </c>
      <c r="I26" s="90" t="str">
        <f>VLOOKUP($F26,Admin!$A$16:$E$19,5,FALSE)</f>
        <v>Technikus</v>
      </c>
      <c r="J26" s="160" t="s">
        <v>66</v>
      </c>
      <c r="K26" s="160" t="str">
        <f t="shared" ref="K26:K27" si="76">J26</f>
        <v>2023.03</v>
      </c>
      <c r="L26" s="91" t="s">
        <v>8</v>
      </c>
      <c r="M26" s="92" t="s">
        <v>89</v>
      </c>
      <c r="N26" s="161">
        <v>150800</v>
      </c>
      <c r="O26" s="162">
        <v>0</v>
      </c>
      <c r="P26" s="160">
        <v>174</v>
      </c>
      <c r="Q26" s="236">
        <v>174</v>
      </c>
      <c r="R26" s="229">
        <f t="shared" ref="R26:R28" si="77">Q26/P26</f>
        <v>1</v>
      </c>
      <c r="S26" s="163">
        <f t="shared" ref="S26:S28" si="78">ROUND(N26*Q26/P26,0)</f>
        <v>150800</v>
      </c>
      <c r="T26" s="164">
        <v>0</v>
      </c>
      <c r="U26" s="165">
        <f t="shared" ref="U26:U28" si="79">Q26/P26-S26/N26</f>
        <v>0</v>
      </c>
      <c r="V26" s="87">
        <v>0.13</v>
      </c>
      <c r="W26" s="223" t="s">
        <v>245</v>
      </c>
      <c r="X26" s="23">
        <v>44943</v>
      </c>
      <c r="Y26" s="20" t="s">
        <v>197</v>
      </c>
      <c r="Z26" s="20"/>
      <c r="AA26" s="20"/>
      <c r="AB26" s="167"/>
      <c r="AC26" s="8" t="s">
        <v>246</v>
      </c>
      <c r="AD26" s="8">
        <v>0</v>
      </c>
      <c r="AE26" s="8">
        <v>0</v>
      </c>
      <c r="AF26" s="8">
        <v>176</v>
      </c>
      <c r="AG26" s="8">
        <f t="shared" ref="AG26:AG32" si="80">ROUNDUP(AF26*R26,2)</f>
        <v>176</v>
      </c>
      <c r="AH26" s="235">
        <v>45021</v>
      </c>
      <c r="AI26" s="8" t="str">
        <f t="shared" si="74"/>
        <v>2023.03.01</v>
      </c>
      <c r="AJ26" s="235">
        <f t="shared" si="75"/>
        <v>45016</v>
      </c>
    </row>
    <row r="27" spans="1:36" s="8" customFormat="1" x14ac:dyDescent="0.25">
      <c r="A27" s="207">
        <v>2</v>
      </c>
      <c r="B27" s="92" t="s">
        <v>244</v>
      </c>
      <c r="C27" s="90" t="str">
        <f>VLOOKUP($F27,Admin!$A$16:$E$19,2,FALSE)</f>
        <v>Alkalmazott (ipari) kutatás – Működési költség</v>
      </c>
      <c r="D27" s="160" t="s">
        <v>129</v>
      </c>
      <c r="E27" s="90" t="str">
        <f>VLOOKUP($F27,Admin!$A$16:$E$19,4,FALSE)</f>
        <v>54. Bérköltség - technikus segédszemélyzet</v>
      </c>
      <c r="F27" s="90" t="s">
        <v>173</v>
      </c>
      <c r="G27" s="160" t="s">
        <v>174</v>
      </c>
      <c r="H27" s="160" t="s">
        <v>206</v>
      </c>
      <c r="I27" s="90" t="str">
        <f>VLOOKUP($F27,Admin!$A$16:$E$19,5,FALSE)</f>
        <v>Technikus</v>
      </c>
      <c r="J27" s="160" t="s">
        <v>67</v>
      </c>
      <c r="K27" s="160" t="str">
        <f t="shared" si="76"/>
        <v>2023.04</v>
      </c>
      <c r="L27" s="91" t="s">
        <v>8</v>
      </c>
      <c r="M27" s="92" t="s">
        <v>89</v>
      </c>
      <c r="N27" s="161">
        <v>150800</v>
      </c>
      <c r="O27" s="162">
        <v>0</v>
      </c>
      <c r="P27" s="160">
        <v>174</v>
      </c>
      <c r="Q27" s="236">
        <v>174</v>
      </c>
      <c r="R27" s="229">
        <f t="shared" si="77"/>
        <v>1</v>
      </c>
      <c r="S27" s="163">
        <f t="shared" si="78"/>
        <v>150800</v>
      </c>
      <c r="T27" s="164">
        <v>0</v>
      </c>
      <c r="U27" s="165">
        <f t="shared" si="79"/>
        <v>0</v>
      </c>
      <c r="V27" s="87">
        <v>0.13</v>
      </c>
      <c r="W27" s="223" t="s">
        <v>245</v>
      </c>
      <c r="X27" s="23">
        <v>44943</v>
      </c>
      <c r="Y27" s="20" t="s">
        <v>197</v>
      </c>
      <c r="Z27" s="20"/>
      <c r="AA27" s="20"/>
      <c r="AB27" s="167"/>
      <c r="AC27" s="8" t="s">
        <v>246</v>
      </c>
      <c r="AD27" s="8">
        <v>0</v>
      </c>
      <c r="AE27" s="8">
        <v>0</v>
      </c>
      <c r="AF27" s="8">
        <v>144</v>
      </c>
      <c r="AG27" s="8">
        <f t="shared" si="80"/>
        <v>144</v>
      </c>
      <c r="AH27" s="235">
        <v>45051</v>
      </c>
      <c r="AI27" s="8" t="str">
        <f t="shared" si="74"/>
        <v>2023.04.01</v>
      </c>
      <c r="AJ27" s="235">
        <f t="shared" si="75"/>
        <v>45046</v>
      </c>
    </row>
    <row r="28" spans="1:36" s="8" customFormat="1" x14ac:dyDescent="0.25">
      <c r="A28" s="207">
        <v>2</v>
      </c>
      <c r="B28" s="92" t="s">
        <v>244</v>
      </c>
      <c r="C28" s="90" t="str">
        <f>VLOOKUP($F28,Admin!$A$16:$E$19,2,FALSE)</f>
        <v>Alkalmazott (ipari) kutatás – Működési költség</v>
      </c>
      <c r="D28" s="160" t="s">
        <v>129</v>
      </c>
      <c r="E28" s="90" t="str">
        <f>VLOOKUP($F28,Admin!$A$16:$E$19,4,FALSE)</f>
        <v>54. Bérköltség - technikus segédszemélyzet</v>
      </c>
      <c r="F28" s="90" t="s">
        <v>173</v>
      </c>
      <c r="G28" s="160" t="s">
        <v>174</v>
      </c>
      <c r="H28" s="160" t="s">
        <v>206</v>
      </c>
      <c r="I28" s="90" t="str">
        <f>VLOOKUP($F28,Admin!$A$16:$E$19,5,FALSE)</f>
        <v>Technikus</v>
      </c>
      <c r="J28" s="193">
        <v>45047</v>
      </c>
      <c r="K28" s="193">
        <v>45070</v>
      </c>
      <c r="L28" s="91" t="s">
        <v>8</v>
      </c>
      <c r="M28" s="92" t="s">
        <v>89</v>
      </c>
      <c r="N28" s="161">
        <v>122076</v>
      </c>
      <c r="O28" s="162">
        <v>0</v>
      </c>
      <c r="P28" s="160">
        <v>174</v>
      </c>
      <c r="Q28" s="236">
        <v>174</v>
      </c>
      <c r="R28" s="229">
        <f t="shared" si="77"/>
        <v>1</v>
      </c>
      <c r="S28" s="163">
        <f t="shared" si="78"/>
        <v>122076</v>
      </c>
      <c r="T28" s="164">
        <v>0</v>
      </c>
      <c r="U28" s="165">
        <f t="shared" si="79"/>
        <v>0</v>
      </c>
      <c r="V28" s="87">
        <v>0.13</v>
      </c>
      <c r="W28" s="223" t="s">
        <v>245</v>
      </c>
      <c r="X28" s="23">
        <v>44943</v>
      </c>
      <c r="Y28" s="20" t="s">
        <v>197</v>
      </c>
      <c r="Z28" s="20"/>
      <c r="AA28" s="20"/>
      <c r="AB28" s="167"/>
      <c r="AC28" s="8" t="s">
        <v>246</v>
      </c>
      <c r="AD28" s="8">
        <v>0</v>
      </c>
      <c r="AE28" s="8">
        <v>0</v>
      </c>
      <c r="AF28" s="8">
        <v>136</v>
      </c>
      <c r="AG28" s="8">
        <f t="shared" si="80"/>
        <v>136</v>
      </c>
      <c r="AH28" s="235">
        <v>45082</v>
      </c>
      <c r="AI28" s="235">
        <f>J28</f>
        <v>45047</v>
      </c>
      <c r="AJ28" s="235">
        <f>K28</f>
        <v>45070</v>
      </c>
    </row>
    <row r="29" spans="1:36" s="8" customFormat="1" x14ac:dyDescent="0.25">
      <c r="A29" s="207">
        <v>2</v>
      </c>
      <c r="B29" s="92" t="s">
        <v>244</v>
      </c>
      <c r="C29" s="90" t="str">
        <f>VLOOKUP($F29,Admin!$A$16:$E$19,2,FALSE)</f>
        <v>Alkalmazott (ipari) kutatás – Működési költség</v>
      </c>
      <c r="D29" s="160" t="s">
        <v>129</v>
      </c>
      <c r="E29" s="90" t="str">
        <f>VLOOKUP($F29,Admin!$A$16:$E$19,4,FALSE)</f>
        <v>54. Bérköltség - technikus segédszemélyzet</v>
      </c>
      <c r="F29" s="90" t="s">
        <v>173</v>
      </c>
      <c r="G29" s="160" t="s">
        <v>174</v>
      </c>
      <c r="H29" s="160" t="s">
        <v>203</v>
      </c>
      <c r="I29" s="90" t="str">
        <f>VLOOKUP($F29,Admin!$A$16:$E$19,5,FALSE)</f>
        <v>Technikus</v>
      </c>
      <c r="J29" s="160" t="s">
        <v>69</v>
      </c>
      <c r="K29" s="160" t="str">
        <f t="shared" ref="K29:K35" si="81">J29</f>
        <v>2023.06</v>
      </c>
      <c r="L29" s="91" t="s">
        <v>8</v>
      </c>
      <c r="M29" s="92" t="s">
        <v>89</v>
      </c>
      <c r="N29" s="161">
        <v>375000</v>
      </c>
      <c r="O29" s="162">
        <f t="shared" ref="O29" si="82">ROUND(N29*V29,0)</f>
        <v>48750</v>
      </c>
      <c r="P29" s="160">
        <v>130</v>
      </c>
      <c r="Q29" s="236">
        <v>130</v>
      </c>
      <c r="R29" s="229">
        <f t="shared" ref="R29" si="83">Q29/P29</f>
        <v>1</v>
      </c>
      <c r="S29" s="163">
        <f t="shared" ref="S29" si="84">ROUND(N29*Q29/P29,0)</f>
        <v>375000</v>
      </c>
      <c r="T29" s="164">
        <f t="shared" ref="T29" si="85">ROUND(S29*V29,0)</f>
        <v>48750</v>
      </c>
      <c r="U29" s="165">
        <f t="shared" ref="U29" si="86">Q29/P29-S29/N29</f>
        <v>0</v>
      </c>
      <c r="V29" s="87">
        <v>0.13</v>
      </c>
      <c r="W29" s="223" t="s">
        <v>245</v>
      </c>
      <c r="X29" s="23">
        <v>45063</v>
      </c>
      <c r="Y29" s="20" t="s">
        <v>197</v>
      </c>
      <c r="Z29" s="20"/>
      <c r="AA29" s="20"/>
      <c r="AB29" s="167"/>
      <c r="AC29" s="8" t="s">
        <v>246</v>
      </c>
      <c r="AD29" s="8">
        <v>0</v>
      </c>
      <c r="AE29" s="8">
        <v>0</v>
      </c>
      <c r="AF29" s="8">
        <v>176</v>
      </c>
      <c r="AG29" s="8">
        <f t="shared" si="80"/>
        <v>176</v>
      </c>
      <c r="AH29" s="235">
        <v>45112</v>
      </c>
      <c r="AI29" s="8" t="str">
        <f t="shared" si="74"/>
        <v>2023.06.01</v>
      </c>
      <c r="AJ29" s="235">
        <f t="shared" ref="AJ29:AJ32" si="87">EOMONTH(AI29,0)</f>
        <v>45107</v>
      </c>
    </row>
    <row r="30" spans="1:36" s="8" customFormat="1" x14ac:dyDescent="0.25">
      <c r="A30" s="207">
        <v>2</v>
      </c>
      <c r="B30" s="92" t="s">
        <v>244</v>
      </c>
      <c r="C30" s="90" t="str">
        <f>VLOOKUP($F30,Admin!$A$16:$E$19,2,FALSE)</f>
        <v>Alkalmazott (ipari) kutatás – Működési költség</v>
      </c>
      <c r="D30" s="160" t="s">
        <v>129</v>
      </c>
      <c r="E30" s="90" t="str">
        <f>VLOOKUP($F30,Admin!$A$16:$E$19,4,FALSE)</f>
        <v>54. Bérköltség - technikus segédszemélyzet</v>
      </c>
      <c r="F30" s="90" t="s">
        <v>173</v>
      </c>
      <c r="G30" s="160" t="s">
        <v>174</v>
      </c>
      <c r="H30" s="160" t="s">
        <v>203</v>
      </c>
      <c r="I30" s="90" t="str">
        <f>VLOOKUP($F30,Admin!$A$16:$E$19,5,FALSE)</f>
        <v>Technikus</v>
      </c>
      <c r="J30" s="160" t="s">
        <v>70</v>
      </c>
      <c r="K30" s="160" t="str">
        <f t="shared" si="81"/>
        <v>2023.07</v>
      </c>
      <c r="L30" s="91" t="s">
        <v>8</v>
      </c>
      <c r="M30" s="92" t="s">
        <v>89</v>
      </c>
      <c r="N30" s="161">
        <v>375000</v>
      </c>
      <c r="O30" s="162">
        <v>18590</v>
      </c>
      <c r="P30" s="160">
        <v>130</v>
      </c>
      <c r="Q30" s="236">
        <v>130</v>
      </c>
      <c r="R30" s="229">
        <f t="shared" ref="R30:R33" si="88">Q30/P30</f>
        <v>1</v>
      </c>
      <c r="S30" s="163">
        <f t="shared" ref="S30:S33" si="89">ROUND(N30*Q30/P30,0)</f>
        <v>375000</v>
      </c>
      <c r="T30" s="164">
        <v>18590</v>
      </c>
      <c r="U30" s="165">
        <f t="shared" ref="U30:U33" si="90">Q30/P30-S30/N30</f>
        <v>0</v>
      </c>
      <c r="V30" s="87">
        <v>0.13</v>
      </c>
      <c r="W30" s="223" t="s">
        <v>245</v>
      </c>
      <c r="X30" s="23">
        <v>45063</v>
      </c>
      <c r="Y30" s="20" t="s">
        <v>197</v>
      </c>
      <c r="Z30" s="20"/>
      <c r="AA30" s="20"/>
      <c r="AB30" s="167"/>
      <c r="AC30" s="8" t="s">
        <v>246</v>
      </c>
      <c r="AD30" s="8">
        <v>0</v>
      </c>
      <c r="AE30" s="8">
        <v>0</v>
      </c>
      <c r="AF30" s="8">
        <v>168</v>
      </c>
      <c r="AG30" s="8">
        <f t="shared" si="80"/>
        <v>168</v>
      </c>
      <c r="AH30" s="235">
        <v>45142</v>
      </c>
      <c r="AI30" s="8" t="str">
        <f t="shared" si="74"/>
        <v>2023.07.01</v>
      </c>
      <c r="AJ30" s="235">
        <f t="shared" si="87"/>
        <v>45138</v>
      </c>
    </row>
    <row r="31" spans="1:36" s="8" customFormat="1" x14ac:dyDescent="0.25">
      <c r="A31" s="207">
        <v>2</v>
      </c>
      <c r="B31" s="92" t="s">
        <v>244</v>
      </c>
      <c r="C31" s="90" t="str">
        <f>VLOOKUP($F31,Admin!$A$16:$E$19,2,FALSE)</f>
        <v>Alkalmazott (ipari) kutatás – Működési költség</v>
      </c>
      <c r="D31" s="160" t="s">
        <v>129</v>
      </c>
      <c r="E31" s="90" t="str">
        <f>VLOOKUP($F31,Admin!$A$16:$E$19,4,FALSE)</f>
        <v>54. Bérköltség - technikus segédszemélyzet</v>
      </c>
      <c r="F31" s="90" t="s">
        <v>173</v>
      </c>
      <c r="G31" s="160" t="s">
        <v>174</v>
      </c>
      <c r="H31" s="160" t="s">
        <v>203</v>
      </c>
      <c r="I31" s="90" t="str">
        <f>VLOOKUP($F31,Admin!$A$16:$E$19,5,FALSE)</f>
        <v>Technikus</v>
      </c>
      <c r="J31" s="160" t="s">
        <v>71</v>
      </c>
      <c r="K31" s="160" t="str">
        <f t="shared" si="81"/>
        <v>2023.08</v>
      </c>
      <c r="L31" s="91" t="s">
        <v>8</v>
      </c>
      <c r="M31" s="92" t="s">
        <v>89</v>
      </c>
      <c r="N31" s="161">
        <v>375000</v>
      </c>
      <c r="O31" s="162">
        <v>18590</v>
      </c>
      <c r="P31" s="160">
        <v>130</v>
      </c>
      <c r="Q31" s="236">
        <v>130</v>
      </c>
      <c r="R31" s="229">
        <f t="shared" si="88"/>
        <v>1</v>
      </c>
      <c r="S31" s="163">
        <f t="shared" si="89"/>
        <v>375000</v>
      </c>
      <c r="T31" s="164">
        <v>18590</v>
      </c>
      <c r="U31" s="165">
        <f t="shared" si="90"/>
        <v>0</v>
      </c>
      <c r="V31" s="87">
        <v>0.13</v>
      </c>
      <c r="W31" s="223" t="s">
        <v>245</v>
      </c>
      <c r="X31" s="23">
        <v>45063</v>
      </c>
      <c r="Y31" s="20" t="s">
        <v>197</v>
      </c>
      <c r="Z31" s="20"/>
      <c r="AA31" s="20"/>
      <c r="AB31" s="167"/>
      <c r="AC31" s="8" t="s">
        <v>246</v>
      </c>
      <c r="AD31" s="8">
        <v>0</v>
      </c>
      <c r="AE31" s="8">
        <v>0</v>
      </c>
      <c r="AF31" s="8">
        <v>184</v>
      </c>
      <c r="AG31" s="8">
        <f t="shared" si="80"/>
        <v>184</v>
      </c>
      <c r="AH31" s="235">
        <v>45174</v>
      </c>
      <c r="AI31" s="8" t="str">
        <f t="shared" si="74"/>
        <v>2023.08.01</v>
      </c>
      <c r="AJ31" s="235">
        <f t="shared" si="87"/>
        <v>45169</v>
      </c>
    </row>
    <row r="32" spans="1:36" s="8" customFormat="1" x14ac:dyDescent="0.25">
      <c r="A32" s="207">
        <v>2</v>
      </c>
      <c r="B32" s="92" t="s">
        <v>244</v>
      </c>
      <c r="C32" s="90" t="str">
        <f>VLOOKUP($F32,Admin!$A$16:$E$19,2,FALSE)</f>
        <v>Alkalmazott (ipari) kutatás – Működési költség</v>
      </c>
      <c r="D32" s="160" t="s">
        <v>129</v>
      </c>
      <c r="E32" s="90" t="str">
        <f>VLOOKUP($F32,Admin!$A$16:$E$19,4,FALSE)</f>
        <v>54. Bérköltség - technikus segédszemélyzet</v>
      </c>
      <c r="F32" s="90" t="s">
        <v>173</v>
      </c>
      <c r="G32" s="160" t="s">
        <v>174</v>
      </c>
      <c r="H32" s="160" t="s">
        <v>203</v>
      </c>
      <c r="I32" s="90" t="str">
        <f>VLOOKUP($F32,Admin!$A$16:$E$19,5,FALSE)</f>
        <v>Technikus</v>
      </c>
      <c r="J32" s="160" t="s">
        <v>72</v>
      </c>
      <c r="K32" s="160" t="str">
        <f t="shared" si="81"/>
        <v>2023.09</v>
      </c>
      <c r="L32" s="91" t="s">
        <v>8</v>
      </c>
      <c r="M32" s="92" t="s">
        <v>89</v>
      </c>
      <c r="N32" s="161">
        <v>375000</v>
      </c>
      <c r="O32" s="162">
        <v>18590</v>
      </c>
      <c r="P32" s="160">
        <v>130</v>
      </c>
      <c r="Q32" s="236">
        <v>130</v>
      </c>
      <c r="R32" s="229">
        <f t="shared" si="88"/>
        <v>1</v>
      </c>
      <c r="S32" s="163">
        <f t="shared" si="89"/>
        <v>375000</v>
      </c>
      <c r="T32" s="164">
        <v>18590</v>
      </c>
      <c r="U32" s="165">
        <f t="shared" si="90"/>
        <v>0</v>
      </c>
      <c r="V32" s="87">
        <v>0.13</v>
      </c>
      <c r="W32" s="223" t="s">
        <v>245</v>
      </c>
      <c r="X32" s="23">
        <v>45063</v>
      </c>
      <c r="Y32" s="20" t="s">
        <v>197</v>
      </c>
      <c r="Z32" s="20"/>
      <c r="AA32" s="20"/>
      <c r="AB32" s="167"/>
      <c r="AC32" s="8" t="s">
        <v>246</v>
      </c>
      <c r="AD32" s="8">
        <v>0</v>
      </c>
      <c r="AE32" s="8">
        <v>0</v>
      </c>
      <c r="AF32" s="8">
        <v>168</v>
      </c>
      <c r="AG32" s="8">
        <f t="shared" si="80"/>
        <v>168</v>
      </c>
      <c r="AH32" s="235">
        <v>45204</v>
      </c>
      <c r="AI32" s="8" t="str">
        <f t="shared" si="74"/>
        <v>2023.09.01</v>
      </c>
      <c r="AJ32" s="235">
        <f t="shared" si="87"/>
        <v>45199</v>
      </c>
    </row>
    <row r="33" spans="1:31" s="8" customFormat="1" x14ac:dyDescent="0.25">
      <c r="A33" s="188"/>
      <c r="B33" s="92" t="s">
        <v>244</v>
      </c>
      <c r="C33" s="90" t="str">
        <f>VLOOKUP($F33,Admin!$A$16:$E$19,2,FALSE)</f>
        <v>Alkalmazott (ipari) kutatás – Működési költség</v>
      </c>
      <c r="D33" s="160" t="s">
        <v>129</v>
      </c>
      <c r="E33" s="90" t="str">
        <f>VLOOKUP($F33,Admin!$A$16:$E$19,4,FALSE)</f>
        <v>54. Bérköltség - technikus segédszemélyzet</v>
      </c>
      <c r="F33" s="90" t="s">
        <v>173</v>
      </c>
      <c r="G33" s="160" t="s">
        <v>174</v>
      </c>
      <c r="H33" s="160" t="s">
        <v>203</v>
      </c>
      <c r="I33" s="90" t="str">
        <f>VLOOKUP($F33,Admin!$A$16:$E$19,5,FALSE)</f>
        <v>Technikus</v>
      </c>
      <c r="J33" s="160" t="s">
        <v>73</v>
      </c>
      <c r="K33" s="160" t="str">
        <f t="shared" si="81"/>
        <v>2023.10</v>
      </c>
      <c r="L33" s="91" t="s">
        <v>8</v>
      </c>
      <c r="M33" s="92" t="s">
        <v>89</v>
      </c>
      <c r="N33" s="161">
        <v>425000</v>
      </c>
      <c r="O33" s="162">
        <v>25090</v>
      </c>
      <c r="P33" s="160">
        <v>130</v>
      </c>
      <c r="Q33" s="236">
        <v>130</v>
      </c>
      <c r="R33" s="229">
        <f t="shared" si="88"/>
        <v>1</v>
      </c>
      <c r="S33" s="163">
        <f t="shared" si="89"/>
        <v>425000</v>
      </c>
      <c r="T33" s="164">
        <v>25090</v>
      </c>
      <c r="U33" s="165">
        <f t="shared" si="90"/>
        <v>0</v>
      </c>
      <c r="V33" s="87">
        <v>0.13</v>
      </c>
      <c r="W33" s="223" t="s">
        <v>245</v>
      </c>
      <c r="X33" s="23">
        <v>45194</v>
      </c>
      <c r="Y33" s="20" t="s">
        <v>197</v>
      </c>
      <c r="Z33" s="20"/>
      <c r="AA33" s="20"/>
      <c r="AB33" s="167"/>
      <c r="AC33" s="8" t="s">
        <v>246</v>
      </c>
      <c r="AD33" s="8">
        <v>0</v>
      </c>
      <c r="AE33" s="8">
        <v>0</v>
      </c>
    </row>
    <row r="34" spans="1:31" s="8" customFormat="1" x14ac:dyDescent="0.25">
      <c r="A34" s="188"/>
      <c r="B34" s="92" t="s">
        <v>244</v>
      </c>
      <c r="C34" s="90" t="str">
        <f>VLOOKUP($F34,Admin!$A$16:$E$19,2,FALSE)</f>
        <v>Alkalmazott (ipari) kutatás – Működési költség</v>
      </c>
      <c r="D34" s="160" t="s">
        <v>129</v>
      </c>
      <c r="E34" s="90" t="str">
        <f>VLOOKUP($F34,Admin!$A$16:$E$19,4,FALSE)</f>
        <v>54. Bérköltség - technikus segédszemélyzet</v>
      </c>
      <c r="F34" s="90" t="s">
        <v>173</v>
      </c>
      <c r="G34" s="160" t="s">
        <v>174</v>
      </c>
      <c r="H34" s="160" t="s">
        <v>203</v>
      </c>
      <c r="I34" s="90" t="str">
        <f>VLOOKUP($F34,Admin!$A$16:$E$19,5,FALSE)</f>
        <v>Technikus</v>
      </c>
      <c r="J34" s="160" t="s">
        <v>74</v>
      </c>
      <c r="K34" s="160" t="str">
        <f t="shared" si="81"/>
        <v>2023.11</v>
      </c>
      <c r="L34" s="91" t="s">
        <v>8</v>
      </c>
      <c r="M34" s="92" t="s">
        <v>89</v>
      </c>
      <c r="N34" s="161">
        <v>425000</v>
      </c>
      <c r="O34" s="162">
        <v>25090</v>
      </c>
      <c r="P34" s="160">
        <v>130</v>
      </c>
      <c r="Q34" s="236">
        <v>130</v>
      </c>
      <c r="R34" s="229">
        <f t="shared" ref="R34:R35" si="91">Q34/P34</f>
        <v>1</v>
      </c>
      <c r="S34" s="163">
        <f t="shared" ref="S34:S35" si="92">ROUND(N34*Q34/P34,0)</f>
        <v>425000</v>
      </c>
      <c r="T34" s="164">
        <v>25090</v>
      </c>
      <c r="U34" s="165">
        <f t="shared" ref="U34:U35" si="93">Q34/P34-S34/N34</f>
        <v>0</v>
      </c>
      <c r="V34" s="87">
        <v>0.13</v>
      </c>
      <c r="W34" s="223" t="s">
        <v>245</v>
      </c>
      <c r="X34" s="23">
        <v>45194</v>
      </c>
      <c r="Y34" s="20" t="s">
        <v>197</v>
      </c>
      <c r="Z34" s="20"/>
      <c r="AA34" s="20"/>
      <c r="AB34" s="167"/>
      <c r="AC34" s="8" t="s">
        <v>246</v>
      </c>
      <c r="AD34" s="8">
        <v>0</v>
      </c>
      <c r="AE34" s="8">
        <v>0</v>
      </c>
    </row>
    <row r="35" spans="1:31" s="8" customFormat="1" x14ac:dyDescent="0.25">
      <c r="A35" s="188"/>
      <c r="B35" s="92" t="s">
        <v>244</v>
      </c>
      <c r="C35" s="90" t="str">
        <f>VLOOKUP($F35,Admin!$A$16:$E$19,2,FALSE)</f>
        <v>Alkalmazott (ipari) kutatás – Működési költség</v>
      </c>
      <c r="D35" s="160" t="s">
        <v>129</v>
      </c>
      <c r="E35" s="90" t="str">
        <f>VLOOKUP($F35,Admin!$A$16:$E$19,4,FALSE)</f>
        <v>54. Bérköltség - technikus segédszemélyzet</v>
      </c>
      <c r="F35" s="90" t="s">
        <v>173</v>
      </c>
      <c r="G35" s="160" t="s">
        <v>174</v>
      </c>
      <c r="H35" s="160" t="s">
        <v>203</v>
      </c>
      <c r="I35" s="90" t="str">
        <f>VLOOKUP($F35,Admin!$A$16:$E$19,5,FALSE)</f>
        <v>Technikus</v>
      </c>
      <c r="J35" s="160" t="s">
        <v>139</v>
      </c>
      <c r="K35" s="160" t="str">
        <f t="shared" si="81"/>
        <v>2023.12</v>
      </c>
      <c r="L35" s="91" t="s">
        <v>8</v>
      </c>
      <c r="M35" s="92" t="s">
        <v>89</v>
      </c>
      <c r="N35" s="161">
        <v>424999</v>
      </c>
      <c r="O35" s="162">
        <v>29792</v>
      </c>
      <c r="P35" s="160">
        <v>130</v>
      </c>
      <c r="Q35" s="236">
        <v>130</v>
      </c>
      <c r="R35" s="229">
        <f t="shared" si="91"/>
        <v>1</v>
      </c>
      <c r="S35" s="163">
        <f t="shared" si="92"/>
        <v>424999</v>
      </c>
      <c r="T35" s="164">
        <v>29792</v>
      </c>
      <c r="U35" s="165">
        <f t="shared" si="93"/>
        <v>0</v>
      </c>
      <c r="V35" s="87">
        <v>0.13</v>
      </c>
      <c r="W35" s="223" t="s">
        <v>245</v>
      </c>
      <c r="X35" s="23">
        <v>45194</v>
      </c>
      <c r="Y35" s="20" t="s">
        <v>197</v>
      </c>
      <c r="Z35" s="20"/>
      <c r="AA35" s="20"/>
      <c r="AB35" s="167"/>
      <c r="AC35" s="8" t="s">
        <v>246</v>
      </c>
      <c r="AD35" s="8">
        <v>0</v>
      </c>
      <c r="AE35" s="233">
        <v>5258</v>
      </c>
    </row>
    <row r="36" spans="1:31" s="8" customFormat="1" x14ac:dyDescent="0.25">
      <c r="A36" s="188"/>
      <c r="B36" s="92" t="s">
        <v>244</v>
      </c>
      <c r="C36" s="90" t="str">
        <f>VLOOKUP($F36,Admin!$A$16:$E$19,2,FALSE)</f>
        <v>Alkalmazott (ipari) kutatás – Működési költség</v>
      </c>
      <c r="D36" s="160" t="s">
        <v>129</v>
      </c>
      <c r="E36" s="90" t="str">
        <f>VLOOKUP($F36,Admin!$A$16:$E$19,4,FALSE)</f>
        <v>54. Bérköltség - technikus segédszemélyzet</v>
      </c>
      <c r="F36" s="90" t="s">
        <v>173</v>
      </c>
      <c r="G36" s="160" t="s">
        <v>174</v>
      </c>
      <c r="H36" s="160" t="s">
        <v>203</v>
      </c>
      <c r="I36" s="90" t="str">
        <f>VLOOKUP($F36,Admin!$A$16:$E$19,5,FALSE)</f>
        <v>Technikus</v>
      </c>
      <c r="J36" s="160" t="s">
        <v>140</v>
      </c>
      <c r="K36" s="160" t="str">
        <f t="shared" ref="K36:K41" si="94">J36</f>
        <v>2024.01</v>
      </c>
      <c r="L36" s="91" t="s">
        <v>8</v>
      </c>
      <c r="M36" s="92" t="s">
        <v>78</v>
      </c>
      <c r="N36" s="161">
        <v>416523</v>
      </c>
      <c r="O36" s="162">
        <v>19464</v>
      </c>
      <c r="P36" s="160">
        <v>130</v>
      </c>
      <c r="Q36" s="236">
        <v>123.5</v>
      </c>
      <c r="R36" s="229">
        <f t="shared" ref="R36" si="95">Q36/P36</f>
        <v>0.95</v>
      </c>
      <c r="S36" s="163">
        <f t="shared" ref="S36" si="96">ROUND(N36*Q36/P36,0)</f>
        <v>395697</v>
      </c>
      <c r="T36" s="164">
        <v>18491</v>
      </c>
      <c r="U36" s="165">
        <f t="shared" ref="U36" si="97">Q36/P36-S36/N36</f>
        <v>-3.6012417081732195E-7</v>
      </c>
      <c r="V36" s="87">
        <v>0.13</v>
      </c>
      <c r="W36" s="223" t="s">
        <v>245</v>
      </c>
      <c r="X36" s="23">
        <v>45306</v>
      </c>
      <c r="Y36" s="20" t="s">
        <v>197</v>
      </c>
      <c r="Z36" s="20"/>
      <c r="AA36" s="20"/>
      <c r="AB36" s="167"/>
      <c r="AC36" s="8" t="s">
        <v>246</v>
      </c>
      <c r="AD36" s="243">
        <v>0</v>
      </c>
      <c r="AE36" s="243">
        <v>0</v>
      </c>
    </row>
    <row r="37" spans="1:31" s="8" customFormat="1" x14ac:dyDescent="0.25">
      <c r="A37" s="188"/>
      <c r="B37" s="92" t="s">
        <v>244</v>
      </c>
      <c r="C37" s="90" t="str">
        <f>VLOOKUP($F37,Admin!$A$16:$E$19,2,FALSE)</f>
        <v>Alkalmazott (ipari) kutatás – Működési költség</v>
      </c>
      <c r="D37" s="160" t="s">
        <v>129</v>
      </c>
      <c r="E37" s="90" t="str">
        <f>VLOOKUP($F37,Admin!$A$16:$E$19,4,FALSE)</f>
        <v>54. Bérköltség - technikus segédszemélyzet</v>
      </c>
      <c r="F37" s="90" t="s">
        <v>173</v>
      </c>
      <c r="G37" s="160" t="s">
        <v>174</v>
      </c>
      <c r="H37" s="160" t="s">
        <v>203</v>
      </c>
      <c r="I37" s="90" t="str">
        <f>VLOOKUP($F37,Admin!$A$16:$E$19,5,FALSE)</f>
        <v>Technikus</v>
      </c>
      <c r="J37" s="160" t="s">
        <v>141</v>
      </c>
      <c r="K37" s="160" t="str">
        <f t="shared" si="94"/>
        <v>2024.02</v>
      </c>
      <c r="L37" s="91" t="s">
        <v>8</v>
      </c>
      <c r="M37" s="92" t="s">
        <v>78</v>
      </c>
      <c r="N37" s="161">
        <v>298000</v>
      </c>
      <c r="O37" s="162">
        <v>4056</v>
      </c>
      <c r="P37" s="160">
        <v>87</v>
      </c>
      <c r="Q37" s="236">
        <v>87</v>
      </c>
      <c r="R37" s="229">
        <f t="shared" ref="R37" si="98">Q37/P37</f>
        <v>1</v>
      </c>
      <c r="S37" s="163">
        <f t="shared" ref="S37" si="99">ROUND(N37*Q37/P37,0)</f>
        <v>298000</v>
      </c>
      <c r="T37" s="164">
        <v>4056</v>
      </c>
      <c r="U37" s="165">
        <f t="shared" ref="U37" si="100">Q37/P37-S37/N37</f>
        <v>0</v>
      </c>
      <c r="V37" s="87">
        <v>0.13</v>
      </c>
      <c r="W37" s="223" t="s">
        <v>245</v>
      </c>
      <c r="X37" s="23">
        <v>45321</v>
      </c>
      <c r="Y37" s="20" t="s">
        <v>197</v>
      </c>
      <c r="Z37" s="20"/>
      <c r="AA37" s="20"/>
      <c r="AB37" s="167"/>
      <c r="AC37" s="8" t="s">
        <v>246</v>
      </c>
      <c r="AD37" s="243">
        <v>0</v>
      </c>
      <c r="AE37" s="243">
        <v>0</v>
      </c>
    </row>
    <row r="38" spans="1:31" s="8" customFormat="1" x14ac:dyDescent="0.25">
      <c r="A38" s="188"/>
      <c r="B38" s="92" t="s">
        <v>244</v>
      </c>
      <c r="C38" s="90" t="str">
        <f>VLOOKUP($F38,Admin!$A$16:$E$19,2,FALSE)</f>
        <v>Alkalmazott (ipari) kutatás – Működési költség</v>
      </c>
      <c r="D38" s="160" t="s">
        <v>129</v>
      </c>
      <c r="E38" s="90" t="str">
        <f>VLOOKUP($F38,Admin!$A$16:$E$19,4,FALSE)</f>
        <v>54. Bérköltség - technikus segédszemélyzet</v>
      </c>
      <c r="F38" s="90" t="s">
        <v>173</v>
      </c>
      <c r="G38" s="160" t="s">
        <v>174</v>
      </c>
      <c r="H38" s="160" t="s">
        <v>203</v>
      </c>
      <c r="I38" s="90" t="str">
        <f>VLOOKUP($F38,Admin!$A$16:$E$19,5,FALSE)</f>
        <v>Technikus</v>
      </c>
      <c r="J38" s="160" t="s">
        <v>142</v>
      </c>
      <c r="K38" s="160" t="str">
        <f t="shared" si="94"/>
        <v>2024.03</v>
      </c>
      <c r="L38" s="91" t="s">
        <v>8</v>
      </c>
      <c r="M38" s="92" t="s">
        <v>78</v>
      </c>
      <c r="N38" s="161">
        <v>298000</v>
      </c>
      <c r="O38" s="162">
        <v>4056</v>
      </c>
      <c r="P38" s="160">
        <v>87</v>
      </c>
      <c r="Q38" s="236">
        <v>87</v>
      </c>
      <c r="R38" s="229">
        <f t="shared" ref="R38:R41" si="101">Q38/P38</f>
        <v>1</v>
      </c>
      <c r="S38" s="163">
        <f t="shared" ref="S38:S41" si="102">ROUND(N38*Q38/P38,0)</f>
        <v>298000</v>
      </c>
      <c r="T38" s="164">
        <v>4056</v>
      </c>
      <c r="U38" s="165">
        <f t="shared" ref="U38:U41" si="103">Q38/P38-S38/N38</f>
        <v>0</v>
      </c>
      <c r="V38" s="87">
        <v>0.13</v>
      </c>
      <c r="W38" s="223" t="s">
        <v>245</v>
      </c>
      <c r="X38" s="23">
        <v>45321</v>
      </c>
      <c r="Y38" s="20" t="s">
        <v>197</v>
      </c>
      <c r="Z38" s="20"/>
      <c r="AA38" s="20"/>
      <c r="AB38" s="167"/>
      <c r="AC38" s="243" t="s">
        <v>246</v>
      </c>
      <c r="AD38" s="243">
        <v>0</v>
      </c>
      <c r="AE38" s="243">
        <v>0</v>
      </c>
    </row>
    <row r="39" spans="1:31" s="8" customFormat="1" x14ac:dyDescent="0.25">
      <c r="A39" s="188"/>
      <c r="B39" s="92" t="s">
        <v>244</v>
      </c>
      <c r="C39" s="90" t="str">
        <f>VLOOKUP($F39,Admin!$A$16:$E$19,2,FALSE)</f>
        <v>Alkalmazott (ipari) kutatás – Működési költség</v>
      </c>
      <c r="D39" s="160" t="s">
        <v>129</v>
      </c>
      <c r="E39" s="90" t="str">
        <f>VLOOKUP($F39,Admin!$A$16:$E$19,4,FALSE)</f>
        <v>54. Bérköltség - technikus segédszemélyzet</v>
      </c>
      <c r="F39" s="90" t="s">
        <v>173</v>
      </c>
      <c r="G39" s="160" t="s">
        <v>174</v>
      </c>
      <c r="H39" s="160" t="s">
        <v>203</v>
      </c>
      <c r="I39" s="90" t="str">
        <f>VLOOKUP($F39,Admin!$A$16:$E$19,5,FALSE)</f>
        <v>Technikus</v>
      </c>
      <c r="J39" s="160" t="s">
        <v>143</v>
      </c>
      <c r="K39" s="160" t="str">
        <f t="shared" si="94"/>
        <v>2024.04</v>
      </c>
      <c r="L39" s="91" t="s">
        <v>8</v>
      </c>
      <c r="M39" s="92" t="s">
        <v>78</v>
      </c>
      <c r="N39" s="161">
        <v>298000</v>
      </c>
      <c r="O39" s="162">
        <v>4056</v>
      </c>
      <c r="P39" s="160">
        <v>87</v>
      </c>
      <c r="Q39" s="236">
        <v>87</v>
      </c>
      <c r="R39" s="229">
        <f t="shared" si="101"/>
        <v>1</v>
      </c>
      <c r="S39" s="163">
        <f t="shared" si="102"/>
        <v>298000</v>
      </c>
      <c r="T39" s="164">
        <v>4056</v>
      </c>
      <c r="U39" s="165">
        <f t="shared" si="103"/>
        <v>0</v>
      </c>
      <c r="V39" s="87">
        <v>0.13</v>
      </c>
      <c r="W39" s="223" t="s">
        <v>245</v>
      </c>
      <c r="X39" s="23">
        <v>45321</v>
      </c>
      <c r="Y39" s="20" t="s">
        <v>197</v>
      </c>
      <c r="Z39" s="20"/>
      <c r="AA39" s="20"/>
      <c r="AB39" s="167"/>
      <c r="AC39" s="8" t="s">
        <v>246</v>
      </c>
      <c r="AD39" s="243">
        <v>0</v>
      </c>
      <c r="AE39" s="233">
        <v>44940</v>
      </c>
    </row>
    <row r="40" spans="1:31" s="8" customFormat="1" x14ac:dyDescent="0.25">
      <c r="A40" s="188"/>
      <c r="B40" s="92" t="s">
        <v>244</v>
      </c>
      <c r="C40" s="90" t="str">
        <f>VLOOKUP($F40,Admin!$A$16:$E$19,2,FALSE)</f>
        <v>Alkalmazott (ipari) kutatás – Működési költség</v>
      </c>
      <c r="D40" s="160" t="s">
        <v>129</v>
      </c>
      <c r="E40" s="90" t="str">
        <f>VLOOKUP($F40,Admin!$A$16:$E$19,4,FALSE)</f>
        <v>54. Bérköltség - technikus segédszemélyzet</v>
      </c>
      <c r="F40" s="90" t="s">
        <v>173</v>
      </c>
      <c r="G40" s="160" t="s">
        <v>174</v>
      </c>
      <c r="H40" s="160" t="s">
        <v>203</v>
      </c>
      <c r="I40" s="90" t="str">
        <f>VLOOKUP($F40,Admin!$A$16:$E$19,5,FALSE)</f>
        <v>Technikus</v>
      </c>
      <c r="J40" s="160" t="s">
        <v>144</v>
      </c>
      <c r="K40" s="160" t="str">
        <f t="shared" si="94"/>
        <v>2024.05</v>
      </c>
      <c r="L40" s="91" t="s">
        <v>8</v>
      </c>
      <c r="M40" s="92" t="s">
        <v>78</v>
      </c>
      <c r="N40" s="161">
        <v>298000</v>
      </c>
      <c r="O40" s="162">
        <v>4056</v>
      </c>
      <c r="P40" s="160">
        <v>87</v>
      </c>
      <c r="Q40" s="236">
        <v>87</v>
      </c>
      <c r="R40" s="229">
        <f t="shared" si="101"/>
        <v>1</v>
      </c>
      <c r="S40" s="163">
        <f t="shared" si="102"/>
        <v>298000</v>
      </c>
      <c r="T40" s="164">
        <v>4056</v>
      </c>
      <c r="U40" s="165">
        <f t="shared" si="103"/>
        <v>0</v>
      </c>
      <c r="V40" s="87">
        <v>0.13</v>
      </c>
      <c r="W40" s="223" t="s">
        <v>245</v>
      </c>
      <c r="X40" s="23">
        <v>45321</v>
      </c>
      <c r="Y40" s="20" t="s">
        <v>197</v>
      </c>
      <c r="Z40" s="20"/>
      <c r="AA40" s="20"/>
      <c r="AB40" s="167"/>
      <c r="AC40" s="8" t="s">
        <v>246</v>
      </c>
      <c r="AD40" s="243">
        <v>0</v>
      </c>
      <c r="AE40" s="243">
        <v>0</v>
      </c>
    </row>
    <row r="41" spans="1:31" s="8" customFormat="1" x14ac:dyDescent="0.25">
      <c r="A41" s="188"/>
      <c r="B41" s="92" t="s">
        <v>244</v>
      </c>
      <c r="C41" s="90" t="str">
        <f>VLOOKUP($F41,Admin!$A$16:$E$19,2,FALSE)</f>
        <v>Alkalmazott (ipari) kutatás – Működési költség</v>
      </c>
      <c r="D41" s="160" t="s">
        <v>129</v>
      </c>
      <c r="E41" s="90" t="str">
        <f>VLOOKUP($F41,Admin!$A$16:$E$19,4,FALSE)</f>
        <v>54. Bérköltség - technikus segédszemélyzet</v>
      </c>
      <c r="F41" s="90" t="s">
        <v>173</v>
      </c>
      <c r="G41" s="160" t="s">
        <v>174</v>
      </c>
      <c r="H41" s="160" t="s">
        <v>203</v>
      </c>
      <c r="I41" s="90" t="str">
        <f>VLOOKUP($F41,Admin!$A$16:$E$19,5,FALSE)</f>
        <v>Technikus</v>
      </c>
      <c r="J41" s="160" t="s">
        <v>211</v>
      </c>
      <c r="K41" s="160" t="str">
        <f t="shared" si="94"/>
        <v>2024.06</v>
      </c>
      <c r="L41" s="91" t="s">
        <v>9</v>
      </c>
      <c r="M41" s="92" t="s">
        <v>78</v>
      </c>
      <c r="N41" s="161">
        <v>447000</v>
      </c>
      <c r="O41" s="162">
        <f t="shared" ref="O41" si="104">ROUND(N41*V41,0)</f>
        <v>58110</v>
      </c>
      <c r="P41" s="160">
        <v>130</v>
      </c>
      <c r="Q41" s="236">
        <v>123.5</v>
      </c>
      <c r="R41" s="229">
        <f t="shared" si="101"/>
        <v>0.95</v>
      </c>
      <c r="S41" s="163">
        <f t="shared" si="102"/>
        <v>424650</v>
      </c>
      <c r="T41" s="164">
        <v>29792</v>
      </c>
      <c r="U41" s="165">
        <f t="shared" si="103"/>
        <v>0</v>
      </c>
      <c r="V41" s="87">
        <v>0.13</v>
      </c>
      <c r="W41" s="223" t="s">
        <v>245</v>
      </c>
      <c r="X41" s="23">
        <v>45439</v>
      </c>
      <c r="Y41" s="20" t="s">
        <v>197</v>
      </c>
      <c r="Z41" s="20"/>
      <c r="AA41" s="20"/>
      <c r="AB41" s="167"/>
      <c r="AE41" s="233"/>
    </row>
    <row r="42" spans="1:31" s="8" customFormat="1" x14ac:dyDescent="0.25">
      <c r="A42" s="188"/>
      <c r="B42" s="92" t="s">
        <v>244</v>
      </c>
      <c r="C42" s="90" t="str">
        <f>VLOOKUP($F42,Admin!$A$16:$E$19,2,FALSE)</f>
        <v>Alkalmazott (ipari) kutatás – Működési költség</v>
      </c>
      <c r="D42" s="160" t="s">
        <v>129</v>
      </c>
      <c r="E42" s="90" t="str">
        <f>VLOOKUP($F42,Admin!$A$16:$E$19,4,FALSE)</f>
        <v>54. Bérköltség - technikus segédszemélyzet</v>
      </c>
      <c r="F42" s="90" t="s">
        <v>173</v>
      </c>
      <c r="G42" s="160" t="s">
        <v>174</v>
      </c>
      <c r="H42" s="160" t="s">
        <v>203</v>
      </c>
      <c r="I42" s="90" t="str">
        <f>VLOOKUP($F42,Admin!$A$16:$E$19,5,FALSE)</f>
        <v>Technikus</v>
      </c>
      <c r="J42" s="160" t="s">
        <v>212</v>
      </c>
      <c r="K42" s="160" t="str">
        <f t="shared" ref="K42:K43" si="105">J42</f>
        <v>2024.07</v>
      </c>
      <c r="L42" s="91" t="s">
        <v>9</v>
      </c>
      <c r="M42" s="92" t="s">
        <v>78</v>
      </c>
      <c r="N42" s="161">
        <v>447000</v>
      </c>
      <c r="O42" s="162">
        <f t="shared" ref="O42:O43" si="106">ROUND(N42*V42,0)</f>
        <v>58110</v>
      </c>
      <c r="P42" s="160">
        <v>130</v>
      </c>
      <c r="Q42" s="236">
        <v>123.5</v>
      </c>
      <c r="R42" s="229">
        <f t="shared" ref="R42:R43" si="107">Q42/P42</f>
        <v>0.95</v>
      </c>
      <c r="S42" s="163">
        <f t="shared" ref="S42:S43" si="108">ROUND(N42*Q42/P42,0)</f>
        <v>424650</v>
      </c>
      <c r="T42" s="164">
        <v>29792</v>
      </c>
      <c r="U42" s="165">
        <f t="shared" ref="U42:U43" si="109">Q42/P42-S42/N42</f>
        <v>0</v>
      </c>
      <c r="V42" s="87">
        <v>0.13</v>
      </c>
      <c r="W42" s="223" t="s">
        <v>245</v>
      </c>
      <c r="X42" s="23">
        <v>45439</v>
      </c>
      <c r="Y42" s="20" t="s">
        <v>197</v>
      </c>
      <c r="Z42" s="20"/>
      <c r="AA42" s="20"/>
      <c r="AB42" s="167"/>
      <c r="AE42" s="233"/>
    </row>
    <row r="43" spans="1:31" s="8" customFormat="1" x14ac:dyDescent="0.25">
      <c r="A43" s="188"/>
      <c r="B43" s="92" t="s">
        <v>244</v>
      </c>
      <c r="C43" s="90" t="str">
        <f>VLOOKUP($F43,Admin!$A$16:$E$19,2,FALSE)</f>
        <v>Alkalmazott (ipari) kutatás – Működési költség</v>
      </c>
      <c r="D43" s="160" t="s">
        <v>129</v>
      </c>
      <c r="E43" s="90" t="str">
        <f>VLOOKUP($F43,Admin!$A$16:$E$19,4,FALSE)</f>
        <v>54. Bérköltség - technikus segédszemélyzet</v>
      </c>
      <c r="F43" s="90" t="s">
        <v>173</v>
      </c>
      <c r="G43" s="160" t="s">
        <v>174</v>
      </c>
      <c r="H43" s="160" t="s">
        <v>203</v>
      </c>
      <c r="I43" s="90" t="str">
        <f>VLOOKUP($F43,Admin!$A$16:$E$19,5,FALSE)</f>
        <v>Technikus</v>
      </c>
      <c r="J43" s="160" t="s">
        <v>213</v>
      </c>
      <c r="K43" s="160" t="str">
        <f t="shared" si="105"/>
        <v>2024.08</v>
      </c>
      <c r="L43" s="91" t="s">
        <v>9</v>
      </c>
      <c r="M43" s="92" t="s">
        <v>78</v>
      </c>
      <c r="N43" s="161">
        <v>447000</v>
      </c>
      <c r="O43" s="162">
        <f t="shared" si="106"/>
        <v>58110</v>
      </c>
      <c r="P43" s="160">
        <v>130</v>
      </c>
      <c r="Q43" s="236">
        <v>123.5</v>
      </c>
      <c r="R43" s="229">
        <f t="shared" si="107"/>
        <v>0.95</v>
      </c>
      <c r="S43" s="163">
        <f t="shared" si="108"/>
        <v>424650</v>
      </c>
      <c r="T43" s="164">
        <v>29792</v>
      </c>
      <c r="U43" s="165">
        <f t="shared" si="109"/>
        <v>0</v>
      </c>
      <c r="V43" s="87">
        <v>0.13</v>
      </c>
      <c r="W43" s="223" t="s">
        <v>245</v>
      </c>
      <c r="X43" s="23">
        <v>45439</v>
      </c>
      <c r="Y43" s="20" t="s">
        <v>197</v>
      </c>
      <c r="Z43" s="20"/>
      <c r="AA43" s="20"/>
      <c r="AB43" s="167"/>
      <c r="AE43" s="233"/>
    </row>
    <row r="44" spans="1:31" s="8" customFormat="1" x14ac:dyDescent="0.25">
      <c r="A44" s="207">
        <v>1</v>
      </c>
      <c r="B44" s="92" t="s">
        <v>201</v>
      </c>
      <c r="C44" s="90" t="str">
        <f>VLOOKUP($F44,Admin!$A$16:$E$19,2,FALSE)</f>
        <v>Alkalmazott (ipari) kutatás – Működési költség</v>
      </c>
      <c r="D44" s="160" t="s">
        <v>129</v>
      </c>
      <c r="E44" s="90" t="str">
        <f>VLOOKUP($F44,Admin!$A$16:$E$19,4,FALSE)</f>
        <v>54. Bérköltség - Kutató-fejlesztő munkatárs</v>
      </c>
      <c r="F44" s="90" t="s">
        <v>171</v>
      </c>
      <c r="G44" s="160" t="s">
        <v>174</v>
      </c>
      <c r="H44" s="160" t="s">
        <v>194</v>
      </c>
      <c r="I44" s="90" t="str">
        <f>VLOOKUP($F44,Admin!$A$16:$E$19,5,FALSE)</f>
        <v>K+F munkatárs</v>
      </c>
      <c r="J44" s="160" t="s">
        <v>43</v>
      </c>
      <c r="K44" s="160" t="str">
        <f t="shared" ref="K44" si="110">J44</f>
        <v>2022.04</v>
      </c>
      <c r="L44" s="91" t="s">
        <v>8</v>
      </c>
      <c r="M44" s="92" t="s">
        <v>78</v>
      </c>
      <c r="N44" s="161">
        <v>923000</v>
      </c>
      <c r="O44" s="162">
        <f t="shared" ref="O44" si="111">ROUND(N44*V44,0)</f>
        <v>119990</v>
      </c>
      <c r="P44" s="160">
        <v>174</v>
      </c>
      <c r="Q44" s="236">
        <v>19</v>
      </c>
      <c r="R44" s="229">
        <f t="shared" ref="R44" si="112">Q44/P44</f>
        <v>0.10919540229885058</v>
      </c>
      <c r="S44" s="163">
        <f t="shared" ref="S44" si="113">ROUND(N44*Q44/P44,0)</f>
        <v>100787</v>
      </c>
      <c r="T44" s="164">
        <f t="shared" ref="T44" si="114">ROUND(S44*V44,0)</f>
        <v>13102</v>
      </c>
      <c r="U44" s="165">
        <f t="shared" ref="U44" si="115">Q44/P44-S44/N44</f>
        <v>3.8604749630355428E-7</v>
      </c>
      <c r="V44" s="87">
        <v>0.13</v>
      </c>
      <c r="W44" s="223"/>
      <c r="X44" s="23">
        <v>44648</v>
      </c>
      <c r="Y44" s="20" t="s">
        <v>197</v>
      </c>
      <c r="Z44" s="20"/>
      <c r="AA44" s="20"/>
      <c r="AB44" s="167"/>
    </row>
    <row r="45" spans="1:31" s="8" customFormat="1" x14ac:dyDescent="0.25">
      <c r="A45" s="207">
        <v>1</v>
      </c>
      <c r="B45" s="92" t="s">
        <v>201</v>
      </c>
      <c r="C45" s="90" t="str">
        <f>VLOOKUP($F45,Admin!$A$16:$E$19,2,FALSE)</f>
        <v>Alkalmazott (ipari) kutatás – Működési költség</v>
      </c>
      <c r="D45" s="160" t="s">
        <v>129</v>
      </c>
      <c r="E45" s="90" t="str">
        <f>VLOOKUP($F45,Admin!$A$16:$E$19,4,FALSE)</f>
        <v>54. Bérköltség - Kutató-fejlesztő munkatárs</v>
      </c>
      <c r="F45" s="90" t="s">
        <v>171</v>
      </c>
      <c r="G45" s="160" t="s">
        <v>174</v>
      </c>
      <c r="H45" s="160" t="s">
        <v>194</v>
      </c>
      <c r="I45" s="90" t="str">
        <f>VLOOKUP($F45,Admin!$A$16:$E$19,5,FALSE)</f>
        <v>K+F munkatárs</v>
      </c>
      <c r="J45" s="160" t="s">
        <v>44</v>
      </c>
      <c r="K45" s="160" t="str">
        <f t="shared" ref="K45:K46" si="116">J45</f>
        <v>2022.05</v>
      </c>
      <c r="L45" s="91" t="s">
        <v>8</v>
      </c>
      <c r="M45" s="92" t="s">
        <v>78</v>
      </c>
      <c r="N45" s="161">
        <v>923000</v>
      </c>
      <c r="O45" s="162">
        <f t="shared" ref="O45:O46" si="117">ROUND(N45*V45,0)</f>
        <v>119990</v>
      </c>
      <c r="P45" s="160">
        <v>174</v>
      </c>
      <c r="Q45" s="236">
        <v>19</v>
      </c>
      <c r="R45" s="229">
        <f t="shared" ref="R45:R46" si="118">Q45/P45</f>
        <v>0.10919540229885058</v>
      </c>
      <c r="S45" s="163">
        <f t="shared" ref="S45:S46" si="119">ROUND(N45*Q45/P45,0)</f>
        <v>100787</v>
      </c>
      <c r="T45" s="164">
        <f t="shared" ref="T45:T46" si="120">ROUND(S45*V45,0)</f>
        <v>13102</v>
      </c>
      <c r="U45" s="165">
        <f t="shared" ref="U45:U46" si="121">Q45/P45-S45/N45</f>
        <v>3.8604749630355428E-7</v>
      </c>
      <c r="V45" s="87">
        <v>0.13</v>
      </c>
      <c r="W45" s="223"/>
      <c r="X45" s="23">
        <v>44648</v>
      </c>
      <c r="Y45" s="20" t="s">
        <v>197</v>
      </c>
      <c r="Z45" s="20"/>
      <c r="AA45" s="20"/>
      <c r="AB45" s="167"/>
    </row>
    <row r="46" spans="1:31" s="8" customFormat="1" x14ac:dyDescent="0.25">
      <c r="A46" s="207">
        <v>1</v>
      </c>
      <c r="B46" s="92" t="s">
        <v>201</v>
      </c>
      <c r="C46" s="90" t="str">
        <f>VLOOKUP($F46,Admin!$A$16:$E$19,2,FALSE)</f>
        <v>Alkalmazott (ipari) kutatás – Működési költség</v>
      </c>
      <c r="D46" s="160" t="s">
        <v>129</v>
      </c>
      <c r="E46" s="90" t="str">
        <f>VLOOKUP($F46,Admin!$A$16:$E$19,4,FALSE)</f>
        <v>54. Bérköltség - Kutató-fejlesztő munkatárs</v>
      </c>
      <c r="F46" s="90" t="s">
        <v>171</v>
      </c>
      <c r="G46" s="160" t="s">
        <v>174</v>
      </c>
      <c r="H46" s="160" t="s">
        <v>194</v>
      </c>
      <c r="I46" s="90" t="str">
        <f>VLOOKUP($F46,Admin!$A$16:$E$19,5,FALSE)</f>
        <v>K+F munkatárs</v>
      </c>
      <c r="J46" s="160" t="s">
        <v>45</v>
      </c>
      <c r="K46" s="160" t="str">
        <f t="shared" si="116"/>
        <v>2022.06</v>
      </c>
      <c r="L46" s="91" t="s">
        <v>8</v>
      </c>
      <c r="M46" s="92" t="s">
        <v>78</v>
      </c>
      <c r="N46" s="161">
        <v>923000</v>
      </c>
      <c r="O46" s="162">
        <f t="shared" si="117"/>
        <v>119990</v>
      </c>
      <c r="P46" s="160">
        <v>174</v>
      </c>
      <c r="Q46" s="236">
        <v>19</v>
      </c>
      <c r="R46" s="229">
        <f t="shared" si="118"/>
        <v>0.10919540229885058</v>
      </c>
      <c r="S46" s="163">
        <f t="shared" si="119"/>
        <v>100787</v>
      </c>
      <c r="T46" s="164">
        <f t="shared" si="120"/>
        <v>13102</v>
      </c>
      <c r="U46" s="165">
        <f t="shared" si="121"/>
        <v>3.8604749630355428E-7</v>
      </c>
      <c r="V46" s="87">
        <v>0.13</v>
      </c>
      <c r="W46" s="223"/>
      <c r="X46" s="23">
        <v>44713</v>
      </c>
      <c r="Y46" s="20" t="s">
        <v>197</v>
      </c>
      <c r="Z46" s="20"/>
      <c r="AA46" s="20"/>
      <c r="AB46" s="167"/>
    </row>
    <row r="47" spans="1:31" s="8" customFormat="1" x14ac:dyDescent="0.25">
      <c r="A47" s="207">
        <v>1</v>
      </c>
      <c r="B47" s="92" t="s">
        <v>201</v>
      </c>
      <c r="C47" s="90" t="str">
        <f>VLOOKUP($F47,Admin!$A$16:$E$19,2,FALSE)</f>
        <v>Alkalmazott (ipari) kutatás – Működési költség</v>
      </c>
      <c r="D47" s="160" t="s">
        <v>129</v>
      </c>
      <c r="E47" s="90" t="str">
        <f>VLOOKUP($F47,Admin!$A$16:$E$19,4,FALSE)</f>
        <v>54. Bérköltség - Kutató-fejlesztő munkatárs</v>
      </c>
      <c r="F47" s="90" t="s">
        <v>171</v>
      </c>
      <c r="G47" s="160" t="s">
        <v>174</v>
      </c>
      <c r="H47" s="160" t="s">
        <v>194</v>
      </c>
      <c r="I47" s="90" t="str">
        <f>VLOOKUP($F47,Admin!$A$16:$E$19,5,FALSE)</f>
        <v>K+F munkatárs</v>
      </c>
      <c r="J47" s="160" t="s">
        <v>46</v>
      </c>
      <c r="K47" s="160" t="str">
        <f t="shared" ref="K47:K49" si="122">J47</f>
        <v>2022.07</v>
      </c>
      <c r="L47" s="91" t="s">
        <v>8</v>
      </c>
      <c r="M47" s="92" t="s">
        <v>78</v>
      </c>
      <c r="N47" s="161">
        <v>923000</v>
      </c>
      <c r="O47" s="162">
        <f t="shared" ref="O47" si="123">ROUND(N47*V47,0)</f>
        <v>119990</v>
      </c>
      <c r="P47" s="160">
        <v>174</v>
      </c>
      <c r="Q47" s="236">
        <v>19</v>
      </c>
      <c r="R47" s="229">
        <f t="shared" ref="R47" si="124">Q47/P47</f>
        <v>0.10919540229885058</v>
      </c>
      <c r="S47" s="163">
        <f t="shared" ref="S47" si="125">ROUND(N47*Q47/P47,0)</f>
        <v>100787</v>
      </c>
      <c r="T47" s="164">
        <f t="shared" ref="T47" si="126">ROUND(S47*V47,0)</f>
        <v>13102</v>
      </c>
      <c r="U47" s="165">
        <f t="shared" ref="U47" si="127">Q47/P47-S47/N47</f>
        <v>3.8604749630355428E-7</v>
      </c>
      <c r="V47" s="87">
        <v>0.13</v>
      </c>
      <c r="W47" s="223"/>
      <c r="X47" s="23">
        <v>44742</v>
      </c>
      <c r="Y47" s="20" t="s">
        <v>197</v>
      </c>
      <c r="Z47" s="20"/>
      <c r="AA47" s="20"/>
      <c r="AB47" s="167"/>
    </row>
    <row r="48" spans="1:31" s="8" customFormat="1" x14ac:dyDescent="0.25">
      <c r="A48" s="207">
        <v>1</v>
      </c>
      <c r="B48" s="92" t="s">
        <v>201</v>
      </c>
      <c r="C48" s="90" t="str">
        <f>VLOOKUP($F48,Admin!$A$16:$E$19,2,FALSE)</f>
        <v>Alkalmazott (ipari) kutatás – Működési költség</v>
      </c>
      <c r="D48" s="160" t="s">
        <v>129</v>
      </c>
      <c r="E48" s="90" t="str">
        <f>VLOOKUP($F48,Admin!$A$16:$E$19,4,FALSE)</f>
        <v>54. Bérköltség - Kutató-fejlesztő munkatárs</v>
      </c>
      <c r="F48" s="90" t="s">
        <v>171</v>
      </c>
      <c r="G48" s="160" t="s">
        <v>174</v>
      </c>
      <c r="H48" s="160" t="s">
        <v>194</v>
      </c>
      <c r="I48" s="90" t="str">
        <f>VLOOKUP($F48,Admin!$A$16:$E$19,5,FALSE)</f>
        <v>K+F munkatárs</v>
      </c>
      <c r="J48" s="160" t="s">
        <v>47</v>
      </c>
      <c r="K48" s="160" t="str">
        <f t="shared" si="122"/>
        <v>2022.08</v>
      </c>
      <c r="L48" s="91" t="s">
        <v>8</v>
      </c>
      <c r="M48" s="92" t="s">
        <v>78</v>
      </c>
      <c r="N48" s="161">
        <v>722348</v>
      </c>
      <c r="O48" s="162">
        <f t="shared" ref="O48:O49" si="128">ROUND(N48*V48,0)</f>
        <v>93905</v>
      </c>
      <c r="P48" s="160">
        <v>174</v>
      </c>
      <c r="Q48" s="236">
        <v>19</v>
      </c>
      <c r="R48" s="229">
        <f t="shared" ref="R48:R49" si="129">Q48/P48</f>
        <v>0.10919540229885058</v>
      </c>
      <c r="S48" s="163">
        <f t="shared" ref="S48:S49" si="130">ROUND(N48*Q48/P48,0)</f>
        <v>78877</v>
      </c>
      <c r="T48" s="164">
        <f t="shared" ref="T48:T49" si="131">ROUND(S48*V48,0)</f>
        <v>10254</v>
      </c>
      <c r="U48" s="165">
        <f t="shared" ref="U48:U49" si="132">Q48/P48-S48/N48</f>
        <v>1.1138643717101271E-7</v>
      </c>
      <c r="V48" s="87">
        <v>0.13</v>
      </c>
      <c r="W48" s="223"/>
      <c r="X48" s="23">
        <v>44742</v>
      </c>
      <c r="Y48" s="20" t="s">
        <v>197</v>
      </c>
      <c r="Z48" s="20"/>
      <c r="AA48" s="20"/>
      <c r="AB48" s="167"/>
    </row>
    <row r="49" spans="1:36" s="8" customFormat="1" x14ac:dyDescent="0.25">
      <c r="A49" s="207">
        <v>1</v>
      </c>
      <c r="B49" s="92" t="s">
        <v>201</v>
      </c>
      <c r="C49" s="90" t="str">
        <f>VLOOKUP($F49,Admin!$A$16:$E$19,2,FALSE)</f>
        <v>Alkalmazott (ipari) kutatás – Működési költség</v>
      </c>
      <c r="D49" s="160" t="s">
        <v>129</v>
      </c>
      <c r="E49" s="90" t="str">
        <f>VLOOKUP($F49,Admin!$A$16:$E$19,4,FALSE)</f>
        <v>54. Bérköltség - Kutató-fejlesztő munkatárs</v>
      </c>
      <c r="F49" s="90" t="s">
        <v>171</v>
      </c>
      <c r="G49" s="160" t="s">
        <v>174</v>
      </c>
      <c r="H49" s="160" t="s">
        <v>194</v>
      </c>
      <c r="I49" s="90" t="str">
        <f>VLOOKUP($F49,Admin!$A$16:$E$19,5,FALSE)</f>
        <v>K+F munkatárs</v>
      </c>
      <c r="J49" s="160" t="s">
        <v>48</v>
      </c>
      <c r="K49" s="160" t="str">
        <f t="shared" si="122"/>
        <v>2022.09</v>
      </c>
      <c r="L49" s="91" t="s">
        <v>8</v>
      </c>
      <c r="M49" s="92" t="s">
        <v>78</v>
      </c>
      <c r="N49" s="161">
        <v>923000</v>
      </c>
      <c r="O49" s="162">
        <f t="shared" si="128"/>
        <v>119990</v>
      </c>
      <c r="P49" s="160">
        <v>174</v>
      </c>
      <c r="Q49" s="236">
        <v>19</v>
      </c>
      <c r="R49" s="229">
        <f t="shared" si="129"/>
        <v>0.10919540229885058</v>
      </c>
      <c r="S49" s="163">
        <f t="shared" si="130"/>
        <v>100787</v>
      </c>
      <c r="T49" s="164">
        <f t="shared" si="131"/>
        <v>13102</v>
      </c>
      <c r="U49" s="165">
        <f t="shared" si="132"/>
        <v>3.8604749630355428E-7</v>
      </c>
      <c r="V49" s="87">
        <v>0.13</v>
      </c>
      <c r="W49" s="223"/>
      <c r="X49" s="23">
        <v>44742</v>
      </c>
      <c r="Y49" s="20" t="s">
        <v>197</v>
      </c>
      <c r="Z49" s="20"/>
      <c r="AA49" s="20"/>
      <c r="AB49" s="167"/>
    </row>
    <row r="50" spans="1:36" s="8" customFormat="1" x14ac:dyDescent="0.25">
      <c r="A50" s="207">
        <v>2</v>
      </c>
      <c r="B50" s="92" t="s">
        <v>201</v>
      </c>
      <c r="C50" s="90" t="str">
        <f>VLOOKUP($F50,Admin!$A$16:$E$19,2,FALSE)</f>
        <v>Alkalmazott (ipari) kutatás – Működési költség</v>
      </c>
      <c r="D50" s="160" t="s">
        <v>129</v>
      </c>
      <c r="E50" s="90" t="str">
        <f>VLOOKUP($F50,Admin!$A$16:$E$19,4,FALSE)</f>
        <v>54. Bérköltség - Kutató-fejlesztő munkatárs</v>
      </c>
      <c r="F50" s="90" t="s">
        <v>171</v>
      </c>
      <c r="G50" s="160" t="s">
        <v>174</v>
      </c>
      <c r="H50" s="160" t="s">
        <v>194</v>
      </c>
      <c r="I50" s="90" t="str">
        <f>VLOOKUP($F50,Admin!$A$16:$E$19,5,FALSE)</f>
        <v>K+F munkatárs</v>
      </c>
      <c r="J50" s="160" t="s">
        <v>49</v>
      </c>
      <c r="K50" s="160" t="str">
        <f t="shared" ref="K50:K52" si="133">J50</f>
        <v>2022.10</v>
      </c>
      <c r="L50" s="91" t="s">
        <v>8</v>
      </c>
      <c r="M50" s="92" t="s">
        <v>78</v>
      </c>
      <c r="N50" s="161">
        <v>673000</v>
      </c>
      <c r="O50" s="162">
        <f t="shared" ref="O50" si="134">ROUND(N50*V50,0)</f>
        <v>87490</v>
      </c>
      <c r="P50" s="160">
        <v>174</v>
      </c>
      <c r="Q50" s="236">
        <v>26</v>
      </c>
      <c r="R50" s="229">
        <f t="shared" ref="R50" si="135">Q50/P50</f>
        <v>0.14942528735632185</v>
      </c>
      <c r="S50" s="163">
        <f t="shared" ref="S50" si="136">ROUND(N50*Q50/P50,0)</f>
        <v>100563</v>
      </c>
      <c r="T50" s="164">
        <f t="shared" ref="T50" si="137">ROUND(S50*V50,0)</f>
        <v>13073</v>
      </c>
      <c r="U50" s="165">
        <f t="shared" ref="U50" si="138">Q50/P50-S50/N50</f>
        <v>3.2450342438150592E-7</v>
      </c>
      <c r="V50" s="87">
        <v>0.13</v>
      </c>
      <c r="W50" s="223"/>
      <c r="X50" s="23">
        <v>44830</v>
      </c>
      <c r="Y50" s="20" t="s">
        <v>197</v>
      </c>
      <c r="Z50" s="20"/>
      <c r="AA50" s="20"/>
      <c r="AB50" s="167"/>
      <c r="AF50" s="8">
        <v>168</v>
      </c>
      <c r="AG50" s="8">
        <f t="shared" ref="AG50:AG53" si="139">ROUNDUP(AF50*R50,2)</f>
        <v>25.110000000000003</v>
      </c>
      <c r="AH50" s="235">
        <v>44869</v>
      </c>
      <c r="AI50" s="8" t="str">
        <f t="shared" ref="AI50:AI57" si="140">CONCATENATE(J50,".01")</f>
        <v>2022.10.01</v>
      </c>
      <c r="AJ50" s="235">
        <f t="shared" ref="AJ50:AJ57" si="141">EOMONTH(AI50,0)</f>
        <v>44865</v>
      </c>
    </row>
    <row r="51" spans="1:36" s="8" customFormat="1" x14ac:dyDescent="0.25">
      <c r="A51" s="207">
        <v>2</v>
      </c>
      <c r="B51" s="92" t="s">
        <v>201</v>
      </c>
      <c r="C51" s="90" t="str">
        <f>VLOOKUP($F51,Admin!$A$16:$E$19,2,FALSE)</f>
        <v>Alkalmazott (ipari) kutatás – Működési költség</v>
      </c>
      <c r="D51" s="160" t="s">
        <v>129</v>
      </c>
      <c r="E51" s="90" t="str">
        <f>VLOOKUP($F51,Admin!$A$16:$E$19,4,FALSE)</f>
        <v>54. Bérköltség - Kutató-fejlesztő munkatárs</v>
      </c>
      <c r="F51" s="90" t="s">
        <v>171</v>
      </c>
      <c r="G51" s="160" t="s">
        <v>174</v>
      </c>
      <c r="H51" s="160" t="s">
        <v>194</v>
      </c>
      <c r="I51" s="90" t="str">
        <f>VLOOKUP($F51,Admin!$A$16:$E$19,5,FALSE)</f>
        <v>K+F munkatárs</v>
      </c>
      <c r="J51" s="160" t="s">
        <v>50</v>
      </c>
      <c r="K51" s="160" t="str">
        <f t="shared" si="133"/>
        <v>2022.11</v>
      </c>
      <c r="L51" s="91" t="s">
        <v>8</v>
      </c>
      <c r="M51" s="92" t="s">
        <v>78</v>
      </c>
      <c r="N51" s="161">
        <v>673000</v>
      </c>
      <c r="O51" s="162">
        <f t="shared" ref="O51:O52" si="142">ROUND(N51*V51,0)</f>
        <v>87490</v>
      </c>
      <c r="P51" s="160">
        <v>174</v>
      </c>
      <c r="Q51" s="236">
        <v>26</v>
      </c>
      <c r="R51" s="229">
        <f t="shared" ref="R51:R52" si="143">Q51/P51</f>
        <v>0.14942528735632185</v>
      </c>
      <c r="S51" s="163">
        <f t="shared" ref="S51:S52" si="144">ROUND(N51*Q51/P51,0)</f>
        <v>100563</v>
      </c>
      <c r="T51" s="164">
        <f t="shared" ref="T51:T52" si="145">ROUND(S51*V51,0)</f>
        <v>13073</v>
      </c>
      <c r="U51" s="165">
        <f t="shared" ref="U51:U52" si="146">Q51/P51-S51/N51</f>
        <v>3.2450342438150592E-7</v>
      </c>
      <c r="V51" s="87">
        <v>0.13</v>
      </c>
      <c r="W51" s="223" t="s">
        <v>221</v>
      </c>
      <c r="X51" s="23">
        <v>44830</v>
      </c>
      <c r="Y51" s="20" t="s">
        <v>197</v>
      </c>
      <c r="Z51" s="20"/>
      <c r="AA51" s="20"/>
      <c r="AB51" s="167"/>
      <c r="AC51" s="210" t="e">
        <v>#N/A</v>
      </c>
      <c r="AD51" s="210" t="e">
        <v>#N/A</v>
      </c>
      <c r="AE51" s="210" t="e">
        <v>#N/A</v>
      </c>
      <c r="AF51" s="8">
        <v>168</v>
      </c>
      <c r="AG51" s="8">
        <f t="shared" si="139"/>
        <v>25.110000000000003</v>
      </c>
      <c r="AH51" s="235">
        <v>44900</v>
      </c>
      <c r="AI51" s="8" t="str">
        <f t="shared" si="140"/>
        <v>2022.11.01</v>
      </c>
      <c r="AJ51" s="235">
        <f t="shared" si="141"/>
        <v>44895</v>
      </c>
    </row>
    <row r="52" spans="1:36" s="8" customFormat="1" x14ac:dyDescent="0.25">
      <c r="A52" s="207">
        <v>2</v>
      </c>
      <c r="B52" s="92" t="s">
        <v>201</v>
      </c>
      <c r="C52" s="90" t="str">
        <f>VLOOKUP($F52,Admin!$A$16:$E$19,2,FALSE)</f>
        <v>Alkalmazott (ipari) kutatás – Működési költség</v>
      </c>
      <c r="D52" s="160" t="s">
        <v>129</v>
      </c>
      <c r="E52" s="90" t="str">
        <f>VLOOKUP($F52,Admin!$A$16:$E$19,4,FALSE)</f>
        <v>54. Bérköltség - Kutató-fejlesztő munkatárs</v>
      </c>
      <c r="F52" s="90" t="s">
        <v>171</v>
      </c>
      <c r="G52" s="160" t="s">
        <v>174</v>
      </c>
      <c r="H52" s="160" t="s">
        <v>194</v>
      </c>
      <c r="I52" s="90" t="str">
        <f>VLOOKUP($F52,Admin!$A$16:$E$19,5,FALSE)</f>
        <v>K+F munkatárs</v>
      </c>
      <c r="J52" s="160" t="s">
        <v>51</v>
      </c>
      <c r="K52" s="160" t="str">
        <f t="shared" si="133"/>
        <v>2022.12</v>
      </c>
      <c r="L52" s="91" t="s">
        <v>8</v>
      </c>
      <c r="M52" s="92" t="s">
        <v>78</v>
      </c>
      <c r="N52" s="161">
        <v>672999</v>
      </c>
      <c r="O52" s="162">
        <f t="shared" si="142"/>
        <v>87490</v>
      </c>
      <c r="P52" s="160">
        <v>174</v>
      </c>
      <c r="Q52" s="236">
        <v>26</v>
      </c>
      <c r="R52" s="229">
        <f t="shared" si="143"/>
        <v>0.14942528735632185</v>
      </c>
      <c r="S52" s="163">
        <f t="shared" si="144"/>
        <v>100563</v>
      </c>
      <c r="T52" s="164">
        <f t="shared" si="145"/>
        <v>13073</v>
      </c>
      <c r="U52" s="165">
        <f t="shared" si="146"/>
        <v>1.0247491785686513E-7</v>
      </c>
      <c r="V52" s="87">
        <v>0.13</v>
      </c>
      <c r="W52" s="223" t="s">
        <v>221</v>
      </c>
      <c r="X52" s="23">
        <v>44830</v>
      </c>
      <c r="Y52" s="20" t="s">
        <v>197</v>
      </c>
      <c r="Z52" s="20"/>
      <c r="AA52" s="20"/>
      <c r="AB52" s="167"/>
      <c r="AC52" s="210" t="s">
        <v>246</v>
      </c>
      <c r="AD52" s="210" t="s">
        <v>247</v>
      </c>
      <c r="AE52" s="210" t="s">
        <v>247</v>
      </c>
      <c r="AF52" s="8">
        <v>168</v>
      </c>
      <c r="AG52" s="8">
        <f t="shared" si="139"/>
        <v>25.110000000000003</v>
      </c>
      <c r="AH52" s="235">
        <v>44931</v>
      </c>
      <c r="AI52" s="8" t="str">
        <f t="shared" si="140"/>
        <v>2022.12.01</v>
      </c>
      <c r="AJ52" s="235">
        <f t="shared" si="141"/>
        <v>44926</v>
      </c>
    </row>
    <row r="53" spans="1:36" s="8" customFormat="1" x14ac:dyDescent="0.25">
      <c r="A53" s="207">
        <v>2</v>
      </c>
      <c r="B53" s="92" t="s">
        <v>201</v>
      </c>
      <c r="C53" s="90" t="str">
        <f>VLOOKUP($F53,Admin!$A$16:$E$19,2,FALSE)</f>
        <v>Alkalmazott (ipari) kutatás – Működési költség</v>
      </c>
      <c r="D53" s="160" t="s">
        <v>129</v>
      </c>
      <c r="E53" s="90" t="str">
        <f>VLOOKUP($F53,Admin!$A$16:$E$19,4,FALSE)</f>
        <v>54. Bérköltség - Kutató-fejlesztő munkatárs</v>
      </c>
      <c r="F53" s="90" t="s">
        <v>171</v>
      </c>
      <c r="G53" s="160" t="s">
        <v>174</v>
      </c>
      <c r="H53" s="160" t="s">
        <v>194</v>
      </c>
      <c r="I53" s="90" t="str">
        <f>VLOOKUP($F53,Admin!$A$16:$E$19,5,FALSE)</f>
        <v>K+F munkatárs</v>
      </c>
      <c r="J53" s="160" t="s">
        <v>64</v>
      </c>
      <c r="K53" s="160" t="str">
        <f t="shared" ref="K53:K55" si="147">J53</f>
        <v>2023.01</v>
      </c>
      <c r="L53" s="91" t="s">
        <v>8</v>
      </c>
      <c r="M53" s="92" t="s">
        <v>78</v>
      </c>
      <c r="N53" s="161">
        <v>713400</v>
      </c>
      <c r="O53" s="162">
        <f t="shared" ref="O53" si="148">ROUND(N53*V53,0)</f>
        <v>92742</v>
      </c>
      <c r="P53" s="160">
        <v>174</v>
      </c>
      <c r="Q53" s="236">
        <v>26</v>
      </c>
      <c r="R53" s="229">
        <f t="shared" ref="R53" si="149">Q53/P53</f>
        <v>0.14942528735632185</v>
      </c>
      <c r="S53" s="163">
        <f t="shared" ref="S53" si="150">ROUND(N53*Q53/P53,0)</f>
        <v>106600</v>
      </c>
      <c r="T53" s="164">
        <f t="shared" ref="T53" si="151">ROUND(S53*V53,0)</f>
        <v>13858</v>
      </c>
      <c r="U53" s="165">
        <f t="shared" ref="U53" si="152">Q53/P53-S53/N53</f>
        <v>0</v>
      </c>
      <c r="V53" s="87">
        <v>0.13</v>
      </c>
      <c r="W53" s="223" t="s">
        <v>221</v>
      </c>
      <c r="X53" s="23">
        <v>44944</v>
      </c>
      <c r="Y53" s="20" t="s">
        <v>197</v>
      </c>
      <c r="Z53" s="20"/>
      <c r="AA53" s="20"/>
      <c r="AB53" s="167"/>
      <c r="AC53" s="210" t="s">
        <v>246</v>
      </c>
      <c r="AD53" s="218">
        <v>1</v>
      </c>
      <c r="AE53" s="210">
        <v>0</v>
      </c>
      <c r="AF53" s="8">
        <v>176</v>
      </c>
      <c r="AG53" s="8">
        <f t="shared" si="139"/>
        <v>26.3</v>
      </c>
      <c r="AH53" s="235">
        <v>44960</v>
      </c>
      <c r="AI53" s="8" t="str">
        <f t="shared" si="140"/>
        <v>2023.01.01</v>
      </c>
      <c r="AJ53" s="235">
        <f t="shared" si="141"/>
        <v>44957</v>
      </c>
    </row>
    <row r="54" spans="1:36" s="8" customFormat="1" x14ac:dyDescent="0.25">
      <c r="A54" s="207">
        <v>2</v>
      </c>
      <c r="B54" s="92" t="s">
        <v>201</v>
      </c>
      <c r="C54" s="90" t="str">
        <f>VLOOKUP($F54,Admin!$A$16:$E$19,2,FALSE)</f>
        <v>Alkalmazott (ipari) kutatás – Működési költség</v>
      </c>
      <c r="D54" s="160" t="s">
        <v>129</v>
      </c>
      <c r="E54" s="90" t="str">
        <f>VLOOKUP($F54,Admin!$A$16:$E$19,4,FALSE)</f>
        <v>54. Bérköltség - Kutató-fejlesztő munkatárs</v>
      </c>
      <c r="F54" s="90" t="s">
        <v>171</v>
      </c>
      <c r="G54" s="160" t="s">
        <v>174</v>
      </c>
      <c r="H54" s="160" t="s">
        <v>194</v>
      </c>
      <c r="I54" s="90" t="str">
        <f>VLOOKUP($F54,Admin!$A$16:$E$19,5,FALSE)</f>
        <v>K+F munkatárs</v>
      </c>
      <c r="J54" s="160" t="s">
        <v>65</v>
      </c>
      <c r="K54" s="160" t="str">
        <f t="shared" si="147"/>
        <v>2023.02</v>
      </c>
      <c r="L54" s="91" t="s">
        <v>8</v>
      </c>
      <c r="M54" s="92" t="s">
        <v>78</v>
      </c>
      <c r="N54" s="161">
        <v>713400</v>
      </c>
      <c r="O54" s="162">
        <f t="shared" ref="O54:O55" si="153">ROUND(N54*V54,0)</f>
        <v>92742</v>
      </c>
      <c r="P54" s="160">
        <v>174</v>
      </c>
      <c r="Q54" s="236">
        <v>26</v>
      </c>
      <c r="R54" s="229">
        <f t="shared" ref="R54:R55" si="154">Q54/P54</f>
        <v>0.14942528735632185</v>
      </c>
      <c r="S54" s="163">
        <f t="shared" ref="S54:S55" si="155">ROUND(N54*Q54/P54,0)</f>
        <v>106600</v>
      </c>
      <c r="T54" s="164">
        <f t="shared" ref="T54:T55" si="156">ROUND(S54*V54,0)</f>
        <v>13858</v>
      </c>
      <c r="U54" s="165">
        <f t="shared" ref="U54:U55" si="157">Q54/P54-S54/N54</f>
        <v>0</v>
      </c>
      <c r="V54" s="87">
        <v>0.13</v>
      </c>
      <c r="W54" s="223" t="s">
        <v>221</v>
      </c>
      <c r="X54" s="23">
        <v>44944</v>
      </c>
      <c r="Y54" s="20" t="s">
        <v>197</v>
      </c>
      <c r="Z54" s="20"/>
      <c r="AA54" s="20"/>
      <c r="AB54" s="167"/>
      <c r="AC54" s="8" t="s">
        <v>246</v>
      </c>
      <c r="AD54" s="8">
        <v>146601</v>
      </c>
      <c r="AE54" s="8">
        <v>19058</v>
      </c>
      <c r="AF54" s="8">
        <v>160</v>
      </c>
      <c r="AG54" s="8">
        <f>ROUNDUP(AF54*R54,2)</f>
        <v>23.91</v>
      </c>
      <c r="AH54" s="235">
        <v>44988</v>
      </c>
      <c r="AI54" s="8" t="str">
        <f t="shared" si="140"/>
        <v>2023.02.01</v>
      </c>
      <c r="AJ54" s="235">
        <f t="shared" si="141"/>
        <v>44985</v>
      </c>
    </row>
    <row r="55" spans="1:36" s="8" customFormat="1" x14ac:dyDescent="0.25">
      <c r="A55" s="207">
        <v>2</v>
      </c>
      <c r="B55" s="92" t="s">
        <v>201</v>
      </c>
      <c r="C55" s="90" t="str">
        <f>VLOOKUP($F55,Admin!$A$16:$E$19,2,FALSE)</f>
        <v>Alkalmazott (ipari) kutatás – Működési költség</v>
      </c>
      <c r="D55" s="160" t="s">
        <v>129</v>
      </c>
      <c r="E55" s="90" t="str">
        <f>VLOOKUP($F55,Admin!$A$16:$E$19,4,FALSE)</f>
        <v>54. Bérköltség - Kutató-fejlesztő munkatárs</v>
      </c>
      <c r="F55" s="90" t="s">
        <v>171</v>
      </c>
      <c r="G55" s="160" t="s">
        <v>174</v>
      </c>
      <c r="H55" s="160" t="s">
        <v>194</v>
      </c>
      <c r="I55" s="90" t="str">
        <f>VLOOKUP($F55,Admin!$A$16:$E$19,5,FALSE)</f>
        <v>K+F munkatárs</v>
      </c>
      <c r="J55" s="160" t="s">
        <v>66</v>
      </c>
      <c r="K55" s="160" t="str">
        <f t="shared" si="147"/>
        <v>2023.03</v>
      </c>
      <c r="L55" s="91" t="s">
        <v>8</v>
      </c>
      <c r="M55" s="92" t="s">
        <v>78</v>
      </c>
      <c r="N55" s="161">
        <v>860000</v>
      </c>
      <c r="O55" s="162">
        <f t="shared" si="153"/>
        <v>111800</v>
      </c>
      <c r="P55" s="160">
        <v>174</v>
      </c>
      <c r="Q55" s="236">
        <v>21</v>
      </c>
      <c r="R55" s="229">
        <f t="shared" si="154"/>
        <v>0.1206896551724138</v>
      </c>
      <c r="S55" s="163">
        <f t="shared" si="155"/>
        <v>103793</v>
      </c>
      <c r="T55" s="164">
        <f t="shared" si="156"/>
        <v>13493</v>
      </c>
      <c r="U55" s="165">
        <f t="shared" si="157"/>
        <v>1.2028869286750954E-7</v>
      </c>
      <c r="V55" s="87">
        <v>0.13</v>
      </c>
      <c r="W55" s="223" t="s">
        <v>221</v>
      </c>
      <c r="X55" s="23">
        <v>44980</v>
      </c>
      <c r="Y55" s="20" t="s">
        <v>197</v>
      </c>
      <c r="Z55" s="20"/>
      <c r="AA55" s="20"/>
      <c r="AB55" s="167"/>
      <c r="AC55" s="8" t="s">
        <v>246</v>
      </c>
      <c r="AD55" s="8">
        <v>1</v>
      </c>
      <c r="AE55" s="8">
        <v>0</v>
      </c>
      <c r="AF55" s="8">
        <v>176</v>
      </c>
      <c r="AG55" s="8">
        <f t="shared" ref="AG55:AG57" si="158">ROUNDUP(AF55*R55,2)</f>
        <v>21.25</v>
      </c>
      <c r="AH55" s="235">
        <v>45021</v>
      </c>
      <c r="AI55" s="8" t="str">
        <f t="shared" si="140"/>
        <v>2023.03.01</v>
      </c>
      <c r="AJ55" s="235">
        <f t="shared" si="141"/>
        <v>45016</v>
      </c>
    </row>
    <row r="56" spans="1:36" s="8" customFormat="1" x14ac:dyDescent="0.25">
      <c r="A56" s="207">
        <v>2</v>
      </c>
      <c r="B56" s="92" t="s">
        <v>201</v>
      </c>
      <c r="C56" s="90" t="str">
        <f>VLOOKUP($F56,Admin!$A$16:$E$19,2,FALSE)</f>
        <v>Alkalmazott (ipari) kutatás – Működési költség</v>
      </c>
      <c r="D56" s="160" t="s">
        <v>129</v>
      </c>
      <c r="E56" s="90" t="str">
        <f>VLOOKUP($F56,Admin!$A$16:$E$19,4,FALSE)</f>
        <v>54. Bérköltség - Kutató-fejlesztő munkatárs</v>
      </c>
      <c r="F56" s="90" t="s">
        <v>171</v>
      </c>
      <c r="G56" s="160" t="s">
        <v>174</v>
      </c>
      <c r="H56" s="160" t="s">
        <v>194</v>
      </c>
      <c r="I56" s="90" t="str">
        <f>VLOOKUP($F56,Admin!$A$16:$E$19,5,FALSE)</f>
        <v>K+F munkatárs</v>
      </c>
      <c r="J56" s="160" t="s">
        <v>67</v>
      </c>
      <c r="K56" s="160" t="str">
        <f t="shared" ref="K56:K57" si="159">J56</f>
        <v>2023.04</v>
      </c>
      <c r="L56" s="91" t="s">
        <v>8</v>
      </c>
      <c r="M56" s="92" t="s">
        <v>78</v>
      </c>
      <c r="N56" s="161">
        <v>860000</v>
      </c>
      <c r="O56" s="162">
        <f t="shared" ref="O56:O57" si="160">ROUND(N56*V56,0)</f>
        <v>111800</v>
      </c>
      <c r="P56" s="160">
        <v>174</v>
      </c>
      <c r="Q56" s="236">
        <v>21</v>
      </c>
      <c r="R56" s="229">
        <f t="shared" ref="R56:R57" si="161">Q56/P56</f>
        <v>0.1206896551724138</v>
      </c>
      <c r="S56" s="163">
        <f t="shared" ref="S56:S57" si="162">ROUND(N56*Q56/P56,0)</f>
        <v>103793</v>
      </c>
      <c r="T56" s="164">
        <f t="shared" ref="T56:T57" si="163">ROUND(S56*V56,0)</f>
        <v>13493</v>
      </c>
      <c r="U56" s="165">
        <f t="shared" ref="U56:U57" si="164">Q56/P56-S56/N56</f>
        <v>1.2028869286750954E-7</v>
      </c>
      <c r="V56" s="87">
        <v>0.13</v>
      </c>
      <c r="W56" s="223" t="s">
        <v>221</v>
      </c>
      <c r="X56" s="23">
        <v>44980</v>
      </c>
      <c r="Y56" s="20" t="s">
        <v>197</v>
      </c>
      <c r="Z56" s="20"/>
      <c r="AA56" s="20"/>
      <c r="AB56" s="167"/>
      <c r="AC56" s="8" t="s">
        <v>246</v>
      </c>
      <c r="AD56" s="233">
        <v>1</v>
      </c>
      <c r="AE56" s="8">
        <v>0</v>
      </c>
      <c r="AF56" s="8">
        <v>144</v>
      </c>
      <c r="AG56" s="8">
        <f t="shared" si="158"/>
        <v>17.380000000000003</v>
      </c>
      <c r="AH56" s="235">
        <v>45051</v>
      </c>
      <c r="AI56" s="8" t="str">
        <f t="shared" si="140"/>
        <v>2023.04.01</v>
      </c>
      <c r="AJ56" s="235">
        <f t="shared" si="141"/>
        <v>45046</v>
      </c>
    </row>
    <row r="57" spans="1:36" s="8" customFormat="1" x14ac:dyDescent="0.25">
      <c r="A57" s="207">
        <v>2</v>
      </c>
      <c r="B57" s="92" t="s">
        <v>201</v>
      </c>
      <c r="C57" s="90" t="str">
        <f>VLOOKUP($F57,Admin!$A$16:$E$19,2,FALSE)</f>
        <v>Alkalmazott (ipari) kutatás – Működési költség</v>
      </c>
      <c r="D57" s="160" t="s">
        <v>129</v>
      </c>
      <c r="E57" s="90" t="str">
        <f>VLOOKUP($F57,Admin!$A$16:$E$19,4,FALSE)</f>
        <v>54. Bérköltség - Kutató-fejlesztő munkatárs</v>
      </c>
      <c r="F57" s="90" t="s">
        <v>171</v>
      </c>
      <c r="G57" s="160" t="s">
        <v>174</v>
      </c>
      <c r="H57" s="160" t="s">
        <v>194</v>
      </c>
      <c r="I57" s="90" t="str">
        <f>VLOOKUP($F57,Admin!$A$16:$E$19,5,FALSE)</f>
        <v>K+F munkatárs</v>
      </c>
      <c r="J57" s="160" t="s">
        <v>68</v>
      </c>
      <c r="K57" s="160" t="str">
        <f t="shared" si="159"/>
        <v>2023.05</v>
      </c>
      <c r="L57" s="91" t="s">
        <v>8</v>
      </c>
      <c r="M57" s="92" t="s">
        <v>78</v>
      </c>
      <c r="N57" s="161">
        <v>859998</v>
      </c>
      <c r="O57" s="162">
        <f t="shared" si="160"/>
        <v>111800</v>
      </c>
      <c r="P57" s="160">
        <v>174</v>
      </c>
      <c r="Q57" s="236">
        <v>21</v>
      </c>
      <c r="R57" s="229">
        <f t="shared" si="161"/>
        <v>0.1206896551724138</v>
      </c>
      <c r="S57" s="163">
        <f t="shared" si="162"/>
        <v>103793</v>
      </c>
      <c r="T57" s="164">
        <f t="shared" si="163"/>
        <v>13493</v>
      </c>
      <c r="U57" s="165">
        <f t="shared" si="164"/>
        <v>-1.603852968073971E-7</v>
      </c>
      <c r="V57" s="87">
        <v>0.13</v>
      </c>
      <c r="W57" s="223" t="s">
        <v>221</v>
      </c>
      <c r="X57" s="23">
        <v>44980</v>
      </c>
      <c r="Y57" s="20" t="s">
        <v>197</v>
      </c>
      <c r="Z57" s="20"/>
      <c r="AA57" s="20"/>
      <c r="AB57" s="167"/>
      <c r="AC57" s="8" t="s">
        <v>246</v>
      </c>
      <c r="AD57" s="8">
        <v>0</v>
      </c>
      <c r="AE57" s="8">
        <v>0</v>
      </c>
      <c r="AF57" s="8">
        <v>168</v>
      </c>
      <c r="AG57" s="8">
        <f t="shared" si="158"/>
        <v>20.28</v>
      </c>
      <c r="AH57" s="235">
        <v>45082</v>
      </c>
      <c r="AI57" s="8" t="str">
        <f t="shared" si="140"/>
        <v>2023.05.01</v>
      </c>
      <c r="AJ57" s="235">
        <f t="shared" si="141"/>
        <v>45077</v>
      </c>
    </row>
    <row r="58" spans="1:36" s="8" customFormat="1" x14ac:dyDescent="0.25">
      <c r="A58" s="207">
        <v>1</v>
      </c>
      <c r="B58" s="92" t="s">
        <v>200</v>
      </c>
      <c r="C58" s="90" t="str">
        <f>VLOOKUP($F58,Admin!$A$16:$E$19,2,FALSE)</f>
        <v>Alkalmazott (ipari) kutatás – Működési költség</v>
      </c>
      <c r="D58" s="160" t="s">
        <v>129</v>
      </c>
      <c r="E58" s="90" t="str">
        <f>VLOOKUP($F58,Admin!$A$16:$E$19,4,FALSE)</f>
        <v>54. Bérköltség - Kutató-fejlesztő munkatárs</v>
      </c>
      <c r="F58" s="90" t="s">
        <v>171</v>
      </c>
      <c r="G58" s="160" t="s">
        <v>174</v>
      </c>
      <c r="H58" s="160" t="s">
        <v>195</v>
      </c>
      <c r="I58" s="90" t="str">
        <f>VLOOKUP($F58,Admin!$A$16:$E$19,5,FALSE)</f>
        <v>K+F munkatárs</v>
      </c>
      <c r="J58" s="160" t="s">
        <v>43</v>
      </c>
      <c r="K58" s="160" t="str">
        <f t="shared" ref="K58:K60" si="165">J58</f>
        <v>2022.04</v>
      </c>
      <c r="L58" s="91" t="s">
        <v>8</v>
      </c>
      <c r="M58" s="92" t="s">
        <v>78</v>
      </c>
      <c r="N58" s="161">
        <v>552500</v>
      </c>
      <c r="O58" s="162">
        <f t="shared" ref="O58:O88" si="166">ROUND(N58*V58,0)</f>
        <v>71825</v>
      </c>
      <c r="P58" s="160">
        <v>174</v>
      </c>
      <c r="Q58" s="236">
        <v>47</v>
      </c>
      <c r="R58" s="229">
        <f t="shared" ref="R58" si="167">Q58/P58</f>
        <v>0.27011494252873564</v>
      </c>
      <c r="S58" s="163">
        <f t="shared" ref="S58" si="168">ROUND(N58*Q58/P58,0)</f>
        <v>149239</v>
      </c>
      <c r="T58" s="164">
        <f t="shared" ref="T58" si="169">ROUND(S58*V58,0)</f>
        <v>19401</v>
      </c>
      <c r="U58" s="165">
        <f t="shared" ref="U58" si="170">Q58/P58-S58/N58</f>
        <v>-8.9457533675174616E-7</v>
      </c>
      <c r="V58" s="87">
        <v>0.13</v>
      </c>
      <c r="W58" s="223"/>
      <c r="X58" s="23">
        <v>44644</v>
      </c>
      <c r="Y58" s="20" t="s">
        <v>197</v>
      </c>
      <c r="Z58" s="20"/>
      <c r="AA58" s="20"/>
      <c r="AB58" s="167"/>
    </row>
    <row r="59" spans="1:36" s="8" customFormat="1" x14ac:dyDescent="0.25">
      <c r="A59" s="207">
        <v>1</v>
      </c>
      <c r="B59" s="92" t="s">
        <v>200</v>
      </c>
      <c r="C59" s="90" t="str">
        <f>VLOOKUP($F59,Admin!$A$16:$E$19,2,FALSE)</f>
        <v>Alkalmazott (ipari) kutatás – Működési költség</v>
      </c>
      <c r="D59" s="160" t="s">
        <v>129</v>
      </c>
      <c r="E59" s="90" t="str">
        <f>VLOOKUP($F59,Admin!$A$16:$E$19,4,FALSE)</f>
        <v>54. Bérköltség - Kutató-fejlesztő munkatárs</v>
      </c>
      <c r="F59" s="90" t="s">
        <v>171</v>
      </c>
      <c r="G59" s="160" t="s">
        <v>174</v>
      </c>
      <c r="H59" s="160" t="s">
        <v>195</v>
      </c>
      <c r="I59" s="90" t="str">
        <f>VLOOKUP($F59,Admin!$A$16:$E$19,5,FALSE)</f>
        <v>K+F munkatárs</v>
      </c>
      <c r="J59" s="160" t="s">
        <v>44</v>
      </c>
      <c r="K59" s="160" t="str">
        <f t="shared" si="165"/>
        <v>2022.05</v>
      </c>
      <c r="L59" s="91" t="s">
        <v>8</v>
      </c>
      <c r="M59" s="92" t="s">
        <v>78</v>
      </c>
      <c r="N59" s="161">
        <v>552500</v>
      </c>
      <c r="O59" s="162">
        <f t="shared" ref="O59:O60" si="171">ROUND(N59*V59,0)</f>
        <v>71825</v>
      </c>
      <c r="P59" s="160">
        <v>174</v>
      </c>
      <c r="Q59" s="236">
        <v>47</v>
      </c>
      <c r="R59" s="229">
        <f t="shared" ref="R59:R60" si="172">Q59/P59</f>
        <v>0.27011494252873564</v>
      </c>
      <c r="S59" s="163">
        <f t="shared" ref="S59:S60" si="173">ROUND(N59*Q59/P59,0)</f>
        <v>149239</v>
      </c>
      <c r="T59" s="164">
        <f t="shared" ref="T59:T60" si="174">ROUND(S59*V59,0)</f>
        <v>19401</v>
      </c>
      <c r="U59" s="165">
        <f t="shared" ref="U59:U60" si="175">Q59/P59-S59/N59</f>
        <v>-8.9457533675174616E-7</v>
      </c>
      <c r="V59" s="87">
        <v>0.13</v>
      </c>
      <c r="W59" s="223"/>
      <c r="X59" s="23">
        <v>44644</v>
      </c>
      <c r="Y59" s="20" t="s">
        <v>197</v>
      </c>
      <c r="Z59" s="20"/>
      <c r="AA59" s="20"/>
      <c r="AB59" s="167"/>
    </row>
    <row r="60" spans="1:36" s="8" customFormat="1" x14ac:dyDescent="0.25">
      <c r="A60" s="207">
        <v>1</v>
      </c>
      <c r="B60" s="92" t="s">
        <v>200</v>
      </c>
      <c r="C60" s="90" t="str">
        <f>VLOOKUP($F60,Admin!$A$16:$E$19,2,FALSE)</f>
        <v>Alkalmazott (ipari) kutatás – Működési költség</v>
      </c>
      <c r="D60" s="160" t="s">
        <v>129</v>
      </c>
      <c r="E60" s="90" t="str">
        <f>VLOOKUP($F60,Admin!$A$16:$E$19,4,FALSE)</f>
        <v>54. Bérköltség - Kutató-fejlesztő munkatárs</v>
      </c>
      <c r="F60" s="90" t="s">
        <v>171</v>
      </c>
      <c r="G60" s="160" t="s">
        <v>174</v>
      </c>
      <c r="H60" s="160" t="s">
        <v>195</v>
      </c>
      <c r="I60" s="90" t="str">
        <f>VLOOKUP($F60,Admin!$A$16:$E$19,5,FALSE)</f>
        <v>K+F munkatárs</v>
      </c>
      <c r="J60" s="160" t="s">
        <v>45</v>
      </c>
      <c r="K60" s="160" t="str">
        <f t="shared" si="165"/>
        <v>2022.06</v>
      </c>
      <c r="L60" s="91" t="s">
        <v>8</v>
      </c>
      <c r="M60" s="92" t="s">
        <v>78</v>
      </c>
      <c r="N60" s="161">
        <v>552500</v>
      </c>
      <c r="O60" s="162">
        <f t="shared" si="171"/>
        <v>71825</v>
      </c>
      <c r="P60" s="160">
        <v>174</v>
      </c>
      <c r="Q60" s="236">
        <v>47</v>
      </c>
      <c r="R60" s="229">
        <f t="shared" si="172"/>
        <v>0.27011494252873564</v>
      </c>
      <c r="S60" s="163">
        <f t="shared" si="173"/>
        <v>149239</v>
      </c>
      <c r="T60" s="164">
        <f t="shared" si="174"/>
        <v>19401</v>
      </c>
      <c r="U60" s="165">
        <f t="shared" si="175"/>
        <v>-8.9457533675174616E-7</v>
      </c>
      <c r="V60" s="87">
        <v>0.13</v>
      </c>
      <c r="W60" s="223"/>
      <c r="X60" s="23">
        <v>44713</v>
      </c>
      <c r="Y60" s="20" t="s">
        <v>197</v>
      </c>
      <c r="Z60" s="20"/>
      <c r="AA60" s="20"/>
      <c r="AB60" s="167"/>
    </row>
    <row r="61" spans="1:36" s="8" customFormat="1" x14ac:dyDescent="0.25">
      <c r="A61" s="207">
        <v>1</v>
      </c>
      <c r="B61" s="92" t="s">
        <v>200</v>
      </c>
      <c r="C61" s="90" t="str">
        <f>VLOOKUP($F61,Admin!$A$16:$E$19,2,FALSE)</f>
        <v>Alkalmazott (ipari) kutatás – Működési költség</v>
      </c>
      <c r="D61" s="160" t="s">
        <v>129</v>
      </c>
      <c r="E61" s="90" t="str">
        <f>VLOOKUP($F61,Admin!$A$16:$E$19,4,FALSE)</f>
        <v>54. Bérköltség - Kutató-fejlesztő munkatárs</v>
      </c>
      <c r="F61" s="90" t="s">
        <v>171</v>
      </c>
      <c r="G61" s="160" t="s">
        <v>174</v>
      </c>
      <c r="H61" s="160" t="s">
        <v>195</v>
      </c>
      <c r="I61" s="90" t="str">
        <f>VLOOKUP($F61,Admin!$A$16:$E$19,5,FALSE)</f>
        <v>K+F munkatárs</v>
      </c>
      <c r="J61" s="160" t="s">
        <v>46</v>
      </c>
      <c r="K61" s="160" t="str">
        <f t="shared" ref="K61:K63" si="176">J61</f>
        <v>2022.07</v>
      </c>
      <c r="L61" s="91" t="s">
        <v>8</v>
      </c>
      <c r="M61" s="92" t="s">
        <v>78</v>
      </c>
      <c r="N61" s="161">
        <v>552500</v>
      </c>
      <c r="O61" s="162">
        <f t="shared" ref="O61" si="177">ROUND(N61*V61,0)</f>
        <v>71825</v>
      </c>
      <c r="P61" s="160">
        <v>174</v>
      </c>
      <c r="Q61" s="236">
        <v>47</v>
      </c>
      <c r="R61" s="229">
        <f t="shared" ref="R61" si="178">Q61/P61</f>
        <v>0.27011494252873564</v>
      </c>
      <c r="S61" s="163">
        <f t="shared" ref="S61" si="179">ROUND(N61*Q61/P61,0)</f>
        <v>149239</v>
      </c>
      <c r="T61" s="164">
        <f t="shared" ref="T61" si="180">ROUND(S61*V61,0)</f>
        <v>19401</v>
      </c>
      <c r="U61" s="165">
        <f t="shared" ref="U61" si="181">Q61/P61-S61/N61</f>
        <v>-8.9457533675174616E-7</v>
      </c>
      <c r="V61" s="87">
        <v>0.13</v>
      </c>
      <c r="W61" s="223"/>
      <c r="X61" s="23">
        <v>44741</v>
      </c>
      <c r="Y61" s="20" t="s">
        <v>197</v>
      </c>
      <c r="Z61" s="20"/>
      <c r="AA61" s="20"/>
      <c r="AB61" s="167"/>
    </row>
    <row r="62" spans="1:36" s="8" customFormat="1" x14ac:dyDescent="0.25">
      <c r="A62" s="207">
        <v>1</v>
      </c>
      <c r="B62" s="92" t="s">
        <v>200</v>
      </c>
      <c r="C62" s="90" t="str">
        <f>VLOOKUP($F62,Admin!$A$16:$E$19,2,FALSE)</f>
        <v>Alkalmazott (ipari) kutatás – Működési költség</v>
      </c>
      <c r="D62" s="160" t="s">
        <v>129</v>
      </c>
      <c r="E62" s="90" t="str">
        <f>VLOOKUP($F62,Admin!$A$16:$E$19,4,FALSE)</f>
        <v>54. Bérköltség - Kutató-fejlesztő munkatárs</v>
      </c>
      <c r="F62" s="90" t="s">
        <v>171</v>
      </c>
      <c r="G62" s="160" t="s">
        <v>174</v>
      </c>
      <c r="H62" s="160" t="s">
        <v>195</v>
      </c>
      <c r="I62" s="90" t="str">
        <f>VLOOKUP($F62,Admin!$A$16:$E$19,5,FALSE)</f>
        <v>K+F munkatárs</v>
      </c>
      <c r="J62" s="160" t="s">
        <v>47</v>
      </c>
      <c r="K62" s="160" t="str">
        <f t="shared" si="176"/>
        <v>2022.08</v>
      </c>
      <c r="L62" s="91" t="s">
        <v>8</v>
      </c>
      <c r="M62" s="92" t="s">
        <v>78</v>
      </c>
      <c r="N62" s="161">
        <v>552500</v>
      </c>
      <c r="O62" s="162">
        <f t="shared" ref="O62:O63" si="182">ROUND(N62*V62,0)</f>
        <v>71825</v>
      </c>
      <c r="P62" s="160">
        <v>174</v>
      </c>
      <c r="Q62" s="236">
        <v>47</v>
      </c>
      <c r="R62" s="229">
        <f t="shared" ref="R62:R63" si="183">Q62/P62</f>
        <v>0.27011494252873564</v>
      </c>
      <c r="S62" s="163">
        <f t="shared" ref="S62:S63" si="184">ROUND(N62*Q62/P62,0)</f>
        <v>149239</v>
      </c>
      <c r="T62" s="164">
        <f t="shared" ref="T62:T63" si="185">ROUND(S62*V62,0)</f>
        <v>19401</v>
      </c>
      <c r="U62" s="165">
        <f t="shared" ref="U62:U63" si="186">Q62/P62-S62/N62</f>
        <v>-8.9457533675174616E-7</v>
      </c>
      <c r="V62" s="87">
        <v>0.13</v>
      </c>
      <c r="W62" s="223"/>
      <c r="X62" s="23">
        <v>44741</v>
      </c>
      <c r="Y62" s="20" t="s">
        <v>197</v>
      </c>
      <c r="Z62" s="20"/>
      <c r="AA62" s="20"/>
      <c r="AB62" s="167"/>
    </row>
    <row r="63" spans="1:36" s="8" customFormat="1" x14ac:dyDescent="0.25">
      <c r="A63" s="207">
        <v>1</v>
      </c>
      <c r="B63" s="92" t="s">
        <v>200</v>
      </c>
      <c r="C63" s="90" t="str">
        <f>VLOOKUP($F63,Admin!$A$16:$E$19,2,FALSE)</f>
        <v>Alkalmazott (ipari) kutatás – Működési költség</v>
      </c>
      <c r="D63" s="160" t="s">
        <v>129</v>
      </c>
      <c r="E63" s="90" t="str">
        <f>VLOOKUP($F63,Admin!$A$16:$E$19,4,FALSE)</f>
        <v>54. Bérköltség - Kutató-fejlesztő munkatárs</v>
      </c>
      <c r="F63" s="90" t="s">
        <v>171</v>
      </c>
      <c r="G63" s="160" t="s">
        <v>174</v>
      </c>
      <c r="H63" s="160" t="s">
        <v>195</v>
      </c>
      <c r="I63" s="90" t="str">
        <f>VLOOKUP($F63,Admin!$A$16:$E$19,5,FALSE)</f>
        <v>K+F munkatárs</v>
      </c>
      <c r="J63" s="160" t="s">
        <v>48</v>
      </c>
      <c r="K63" s="160" t="str">
        <f t="shared" si="176"/>
        <v>2022.09</v>
      </c>
      <c r="L63" s="91" t="s">
        <v>8</v>
      </c>
      <c r="M63" s="92" t="s">
        <v>78</v>
      </c>
      <c r="N63" s="161">
        <v>552500</v>
      </c>
      <c r="O63" s="162">
        <f t="shared" si="182"/>
        <v>71825</v>
      </c>
      <c r="P63" s="160">
        <v>174</v>
      </c>
      <c r="Q63" s="236">
        <v>47</v>
      </c>
      <c r="R63" s="229">
        <f t="shared" si="183"/>
        <v>0.27011494252873564</v>
      </c>
      <c r="S63" s="163">
        <f t="shared" si="184"/>
        <v>149239</v>
      </c>
      <c r="T63" s="164">
        <f t="shared" si="185"/>
        <v>19401</v>
      </c>
      <c r="U63" s="165">
        <f t="shared" si="186"/>
        <v>-8.9457533675174616E-7</v>
      </c>
      <c r="V63" s="87">
        <v>0.13</v>
      </c>
      <c r="W63" s="223"/>
      <c r="X63" s="23">
        <v>44741</v>
      </c>
      <c r="Y63" s="20" t="s">
        <v>197</v>
      </c>
      <c r="Z63" s="20"/>
      <c r="AA63" s="20"/>
      <c r="AB63" s="167"/>
    </row>
    <row r="64" spans="1:36" s="8" customFormat="1" x14ac:dyDescent="0.25">
      <c r="A64" s="207">
        <v>2</v>
      </c>
      <c r="B64" s="92" t="s">
        <v>200</v>
      </c>
      <c r="C64" s="90" t="str">
        <f>VLOOKUP($F64,Admin!$A$16:$E$19,2,FALSE)</f>
        <v>Alkalmazott (ipari) kutatás – Működési költség</v>
      </c>
      <c r="D64" s="160" t="s">
        <v>129</v>
      </c>
      <c r="E64" s="90" t="str">
        <f>VLOOKUP($F64,Admin!$A$16:$E$19,4,FALSE)</f>
        <v>54. Bérköltség - Kutató-fejlesztő munkatárs</v>
      </c>
      <c r="F64" s="90" t="s">
        <v>171</v>
      </c>
      <c r="G64" s="160" t="s">
        <v>174</v>
      </c>
      <c r="H64" s="160" t="s">
        <v>195</v>
      </c>
      <c r="I64" s="90" t="str">
        <f>VLOOKUP($F64,Admin!$A$16:$E$19,5,FALSE)</f>
        <v>K+F munkatárs</v>
      </c>
      <c r="J64" s="160" t="s">
        <v>49</v>
      </c>
      <c r="K64" s="160" t="str">
        <f t="shared" ref="K64:K66" si="187">J64</f>
        <v>2022.10</v>
      </c>
      <c r="L64" s="91" t="s">
        <v>8</v>
      </c>
      <c r="M64" s="92" t="s">
        <v>78</v>
      </c>
      <c r="N64" s="161">
        <v>427500</v>
      </c>
      <c r="O64" s="162">
        <f t="shared" ref="O64" si="188">ROUND(N64*V64,0)</f>
        <v>55575</v>
      </c>
      <c r="P64" s="160">
        <v>174</v>
      </c>
      <c r="Q64" s="236">
        <v>62</v>
      </c>
      <c r="R64" s="229">
        <f t="shared" ref="R64" si="189">Q64/P64</f>
        <v>0.35632183908045978</v>
      </c>
      <c r="S64" s="163">
        <f t="shared" ref="S64" si="190">ROUND(N64*Q64/P64,0)</f>
        <v>152328</v>
      </c>
      <c r="T64" s="164">
        <f t="shared" ref="T64" si="191">ROUND(S64*V64,0)</f>
        <v>19803</v>
      </c>
      <c r="U64" s="165">
        <f t="shared" ref="U64" si="192">Q64/P64-S64/N64</f>
        <v>-9.679370840953716E-7</v>
      </c>
      <c r="V64" s="87">
        <v>0.13</v>
      </c>
      <c r="W64" s="223"/>
      <c r="X64" s="23">
        <v>44830</v>
      </c>
      <c r="Y64" s="20" t="s">
        <v>197</v>
      </c>
      <c r="Z64" s="20"/>
      <c r="AA64" s="20"/>
      <c r="AB64" s="167"/>
      <c r="AF64" s="8">
        <v>168</v>
      </c>
      <c r="AG64" s="8">
        <f t="shared" ref="AG64:AG67" si="193">ROUNDUP(AF64*R64,2)</f>
        <v>59.87</v>
      </c>
      <c r="AH64" s="235">
        <v>44869</v>
      </c>
      <c r="AI64" s="8" t="str">
        <f t="shared" ref="AI64:AI75" si="194">CONCATENATE(J64,".01")</f>
        <v>2022.10.01</v>
      </c>
      <c r="AJ64" s="235">
        <f t="shared" ref="AJ64:AJ75" si="195">EOMONTH(AI64,0)</f>
        <v>44865</v>
      </c>
    </row>
    <row r="65" spans="1:36" s="8" customFormat="1" x14ac:dyDescent="0.25">
      <c r="A65" s="207">
        <v>2</v>
      </c>
      <c r="B65" s="92" t="s">
        <v>200</v>
      </c>
      <c r="C65" s="90" t="str">
        <f>VLOOKUP($F65,Admin!$A$16:$E$19,2,FALSE)</f>
        <v>Alkalmazott (ipari) kutatás – Működési költség</v>
      </c>
      <c r="D65" s="160" t="s">
        <v>129</v>
      </c>
      <c r="E65" s="90" t="str">
        <f>VLOOKUP($F65,Admin!$A$16:$E$19,4,FALSE)</f>
        <v>54. Bérköltség - Kutató-fejlesztő munkatárs</v>
      </c>
      <c r="F65" s="90" t="s">
        <v>171</v>
      </c>
      <c r="G65" s="160" t="s">
        <v>174</v>
      </c>
      <c r="H65" s="160" t="s">
        <v>195</v>
      </c>
      <c r="I65" s="90" t="str">
        <f>VLOOKUP($F65,Admin!$A$16:$E$19,5,FALSE)</f>
        <v>K+F munkatárs</v>
      </c>
      <c r="J65" s="160" t="s">
        <v>50</v>
      </c>
      <c r="K65" s="160" t="str">
        <f t="shared" si="187"/>
        <v>2022.11</v>
      </c>
      <c r="L65" s="91" t="s">
        <v>8</v>
      </c>
      <c r="M65" s="92" t="s">
        <v>78</v>
      </c>
      <c r="N65" s="161">
        <v>427500</v>
      </c>
      <c r="O65" s="162">
        <f t="shared" ref="O65:O66" si="196">ROUND(N65*V65,0)</f>
        <v>55575</v>
      </c>
      <c r="P65" s="160">
        <v>174</v>
      </c>
      <c r="Q65" s="236">
        <v>62</v>
      </c>
      <c r="R65" s="229">
        <f t="shared" ref="R65:R66" si="197">Q65/P65</f>
        <v>0.35632183908045978</v>
      </c>
      <c r="S65" s="163">
        <f t="shared" ref="S65:S66" si="198">ROUND(N65*Q65/P65,0)</f>
        <v>152328</v>
      </c>
      <c r="T65" s="164">
        <f t="shared" ref="T65:T66" si="199">ROUND(S65*V65,0)</f>
        <v>19803</v>
      </c>
      <c r="U65" s="165">
        <f t="shared" ref="U65:U66" si="200">Q65/P65-S65/N65</f>
        <v>-9.679370840953716E-7</v>
      </c>
      <c r="V65" s="87">
        <v>0.13</v>
      </c>
      <c r="W65" s="223" t="s">
        <v>222</v>
      </c>
      <c r="X65" s="23">
        <v>44830</v>
      </c>
      <c r="Y65" s="20" t="s">
        <v>197</v>
      </c>
      <c r="Z65" s="20"/>
      <c r="AA65" s="20"/>
      <c r="AB65" s="167"/>
      <c r="AC65" s="210" t="e">
        <v>#N/A</v>
      </c>
      <c r="AD65" s="210" t="e">
        <v>#N/A</v>
      </c>
      <c r="AE65" s="210" t="e">
        <v>#N/A</v>
      </c>
      <c r="AF65" s="8">
        <v>168</v>
      </c>
      <c r="AG65" s="8">
        <f t="shared" si="193"/>
        <v>59.87</v>
      </c>
      <c r="AH65" s="235">
        <v>44900</v>
      </c>
      <c r="AI65" s="8" t="str">
        <f t="shared" si="194"/>
        <v>2022.11.01</v>
      </c>
      <c r="AJ65" s="235">
        <f t="shared" si="195"/>
        <v>44895</v>
      </c>
    </row>
    <row r="66" spans="1:36" s="8" customFormat="1" x14ac:dyDescent="0.25">
      <c r="A66" s="207">
        <v>2</v>
      </c>
      <c r="B66" s="92" t="s">
        <v>200</v>
      </c>
      <c r="C66" s="90" t="str">
        <f>VLOOKUP($F66,Admin!$A$16:$E$19,2,FALSE)</f>
        <v>Alkalmazott (ipari) kutatás – Működési költség</v>
      </c>
      <c r="D66" s="160" t="s">
        <v>129</v>
      </c>
      <c r="E66" s="90" t="str">
        <f>VLOOKUP($F66,Admin!$A$16:$E$19,4,FALSE)</f>
        <v>54. Bérköltség - Kutató-fejlesztő munkatárs</v>
      </c>
      <c r="F66" s="90" t="s">
        <v>171</v>
      </c>
      <c r="G66" s="160" t="s">
        <v>174</v>
      </c>
      <c r="H66" s="160" t="s">
        <v>195</v>
      </c>
      <c r="I66" s="90" t="str">
        <f>VLOOKUP($F66,Admin!$A$16:$E$19,5,FALSE)</f>
        <v>K+F munkatárs</v>
      </c>
      <c r="J66" s="160" t="s">
        <v>51</v>
      </c>
      <c r="K66" s="160" t="str">
        <f t="shared" si="187"/>
        <v>2022.12</v>
      </c>
      <c r="L66" s="91" t="s">
        <v>8</v>
      </c>
      <c r="M66" s="92" t="s">
        <v>78</v>
      </c>
      <c r="N66" s="161">
        <v>427500</v>
      </c>
      <c r="O66" s="162">
        <f t="shared" si="196"/>
        <v>55575</v>
      </c>
      <c r="P66" s="160">
        <v>174</v>
      </c>
      <c r="Q66" s="236">
        <v>62</v>
      </c>
      <c r="R66" s="229">
        <f t="shared" si="197"/>
        <v>0.35632183908045978</v>
      </c>
      <c r="S66" s="163">
        <f t="shared" si="198"/>
        <v>152328</v>
      </c>
      <c r="T66" s="164">
        <f t="shared" si="199"/>
        <v>19803</v>
      </c>
      <c r="U66" s="165">
        <f t="shared" si="200"/>
        <v>-9.679370840953716E-7</v>
      </c>
      <c r="V66" s="87">
        <v>0.13</v>
      </c>
      <c r="W66" s="223" t="s">
        <v>222</v>
      </c>
      <c r="X66" s="23">
        <v>44830</v>
      </c>
      <c r="Y66" s="20" t="s">
        <v>197</v>
      </c>
      <c r="Z66" s="20"/>
      <c r="AA66" s="20"/>
      <c r="AB66" s="167"/>
      <c r="AC66" s="210" t="s">
        <v>246</v>
      </c>
      <c r="AD66" s="210" t="s">
        <v>247</v>
      </c>
      <c r="AE66" s="210" t="s">
        <v>247</v>
      </c>
      <c r="AF66" s="8">
        <v>168</v>
      </c>
      <c r="AG66" s="8">
        <f t="shared" si="193"/>
        <v>59.87</v>
      </c>
      <c r="AH66" s="235">
        <v>44931</v>
      </c>
      <c r="AI66" s="8" t="str">
        <f t="shared" si="194"/>
        <v>2022.12.01</v>
      </c>
      <c r="AJ66" s="235">
        <f t="shared" si="195"/>
        <v>44926</v>
      </c>
    </row>
    <row r="67" spans="1:36" s="8" customFormat="1" x14ac:dyDescent="0.25">
      <c r="A67" s="207">
        <v>2</v>
      </c>
      <c r="B67" s="92" t="s">
        <v>200</v>
      </c>
      <c r="C67" s="90" t="str">
        <f>VLOOKUP($F67,Admin!$A$16:$E$19,2,FALSE)</f>
        <v>Alkalmazott (ipari) kutatás – Működési költség</v>
      </c>
      <c r="D67" s="160" t="s">
        <v>129</v>
      </c>
      <c r="E67" s="90" t="str">
        <f>VLOOKUP($F67,Admin!$A$16:$E$19,4,FALSE)</f>
        <v>54. Bérköltség - Kutató-fejlesztő munkatárs</v>
      </c>
      <c r="F67" s="90" t="s">
        <v>171</v>
      </c>
      <c r="G67" s="160" t="s">
        <v>174</v>
      </c>
      <c r="H67" s="160" t="s">
        <v>195</v>
      </c>
      <c r="I67" s="90" t="str">
        <f>VLOOKUP($F67,Admin!$A$16:$E$19,5,FALSE)</f>
        <v>K+F munkatárs</v>
      </c>
      <c r="J67" s="160" t="s">
        <v>64</v>
      </c>
      <c r="K67" s="160" t="str">
        <f t="shared" ref="K67:K69" si="201">J67</f>
        <v>2023.01</v>
      </c>
      <c r="L67" s="91" t="s">
        <v>8</v>
      </c>
      <c r="M67" s="92" t="s">
        <v>78</v>
      </c>
      <c r="N67" s="161">
        <v>491599</v>
      </c>
      <c r="O67" s="162">
        <f t="shared" ref="O67" si="202">ROUND(N67*V67,0)</f>
        <v>63908</v>
      </c>
      <c r="P67" s="160">
        <v>174</v>
      </c>
      <c r="Q67" s="236">
        <v>53</v>
      </c>
      <c r="R67" s="229">
        <f t="shared" ref="R67" si="203">Q67/P67</f>
        <v>0.3045977011494253</v>
      </c>
      <c r="S67" s="163">
        <f t="shared" ref="S67" si="204">ROUND(N67*Q67/P67,0)</f>
        <v>149740</v>
      </c>
      <c r="T67" s="164">
        <f t="shared" ref="T67" si="205">ROUND(S67*V67,0)</f>
        <v>19466</v>
      </c>
      <c r="U67" s="165">
        <f t="shared" ref="U67" si="206">Q67/P67-S67/N67</f>
        <v>-1.5197883573847548E-7</v>
      </c>
      <c r="V67" s="87">
        <v>0.13</v>
      </c>
      <c r="W67" s="223" t="s">
        <v>222</v>
      </c>
      <c r="X67" s="23">
        <v>44936</v>
      </c>
      <c r="Y67" s="20" t="s">
        <v>197</v>
      </c>
      <c r="Z67" s="20"/>
      <c r="AA67" s="20"/>
      <c r="AB67" s="167"/>
      <c r="AC67" s="210" t="s">
        <v>246</v>
      </c>
      <c r="AD67" s="210">
        <v>0</v>
      </c>
      <c r="AE67" s="210">
        <v>0</v>
      </c>
      <c r="AF67" s="8">
        <v>176</v>
      </c>
      <c r="AG67" s="8">
        <f t="shared" si="193"/>
        <v>53.61</v>
      </c>
      <c r="AH67" s="235">
        <v>44960</v>
      </c>
      <c r="AI67" s="8" t="str">
        <f t="shared" si="194"/>
        <v>2023.01.01</v>
      </c>
      <c r="AJ67" s="235">
        <f t="shared" si="195"/>
        <v>44957</v>
      </c>
    </row>
    <row r="68" spans="1:36" s="8" customFormat="1" x14ac:dyDescent="0.25">
      <c r="A68" s="207">
        <v>2</v>
      </c>
      <c r="B68" s="92" t="s">
        <v>200</v>
      </c>
      <c r="C68" s="90" t="str">
        <f>VLOOKUP($F68,Admin!$A$16:$E$19,2,FALSE)</f>
        <v>Alkalmazott (ipari) kutatás – Működési költség</v>
      </c>
      <c r="D68" s="160" t="s">
        <v>129</v>
      </c>
      <c r="E68" s="90" t="str">
        <f>VLOOKUP($F68,Admin!$A$16:$E$19,4,FALSE)</f>
        <v>54. Bérköltség - Kutató-fejlesztő munkatárs</v>
      </c>
      <c r="F68" s="90" t="s">
        <v>171</v>
      </c>
      <c r="G68" s="160" t="s">
        <v>174</v>
      </c>
      <c r="H68" s="160" t="s">
        <v>195</v>
      </c>
      <c r="I68" s="90" t="str">
        <f>VLOOKUP($F68,Admin!$A$16:$E$19,5,FALSE)</f>
        <v>K+F munkatárs</v>
      </c>
      <c r="J68" s="160" t="s">
        <v>65</v>
      </c>
      <c r="K68" s="160" t="str">
        <f t="shared" si="201"/>
        <v>2023.02</v>
      </c>
      <c r="L68" s="91" t="s">
        <v>8</v>
      </c>
      <c r="M68" s="92" t="s">
        <v>78</v>
      </c>
      <c r="N68" s="161">
        <v>491600</v>
      </c>
      <c r="O68" s="162">
        <f t="shared" ref="O68:O69" si="207">ROUND(N68*V68,0)</f>
        <v>63908</v>
      </c>
      <c r="P68" s="160">
        <v>174</v>
      </c>
      <c r="Q68" s="236">
        <v>53</v>
      </c>
      <c r="R68" s="229">
        <f t="shared" ref="R68:R69" si="208">Q68/P68</f>
        <v>0.3045977011494253</v>
      </c>
      <c r="S68" s="163">
        <f t="shared" ref="S68:S69" si="209">ROUND(N68*Q68/P68,0)</f>
        <v>149740</v>
      </c>
      <c r="T68" s="164">
        <f t="shared" ref="T68:T69" si="210">ROUND(S68*V68,0)</f>
        <v>19466</v>
      </c>
      <c r="U68" s="165">
        <f t="shared" ref="U68:U69" si="211">Q68/P68-S68/N68</f>
        <v>4.6762623573393114E-7</v>
      </c>
      <c r="V68" s="87">
        <v>0.13</v>
      </c>
      <c r="W68" s="223" t="s">
        <v>222</v>
      </c>
      <c r="X68" s="23">
        <v>44936</v>
      </c>
      <c r="Y68" s="20" t="s">
        <v>197</v>
      </c>
      <c r="Z68" s="20"/>
      <c r="AA68" s="20"/>
      <c r="AB68" s="167"/>
      <c r="AC68" s="8" t="s">
        <v>246</v>
      </c>
      <c r="AD68" s="8">
        <v>108400</v>
      </c>
      <c r="AE68" s="8">
        <v>25207</v>
      </c>
      <c r="AF68" s="8">
        <v>160</v>
      </c>
      <c r="AG68" s="8">
        <f>ROUNDUP(AF68*R68,2)</f>
        <v>48.739999999999995</v>
      </c>
      <c r="AH68" s="235">
        <v>44988</v>
      </c>
      <c r="AI68" s="8" t="str">
        <f t="shared" si="194"/>
        <v>2023.02.01</v>
      </c>
      <c r="AJ68" s="235">
        <f t="shared" si="195"/>
        <v>44985</v>
      </c>
    </row>
    <row r="69" spans="1:36" s="8" customFormat="1" x14ac:dyDescent="0.25">
      <c r="A69" s="207">
        <v>2</v>
      </c>
      <c r="B69" s="92" t="s">
        <v>200</v>
      </c>
      <c r="C69" s="90" t="str">
        <f>VLOOKUP($F69,Admin!$A$16:$E$19,2,FALSE)</f>
        <v>Alkalmazott (ipari) kutatás – Működési költség</v>
      </c>
      <c r="D69" s="160" t="s">
        <v>129</v>
      </c>
      <c r="E69" s="90" t="str">
        <f>VLOOKUP($F69,Admin!$A$16:$E$19,4,FALSE)</f>
        <v>54. Bérköltség - Kutató-fejlesztő munkatárs</v>
      </c>
      <c r="F69" s="90" t="s">
        <v>171</v>
      </c>
      <c r="G69" s="160" t="s">
        <v>174</v>
      </c>
      <c r="H69" s="160" t="s">
        <v>195</v>
      </c>
      <c r="I69" s="90" t="str">
        <f>VLOOKUP($F69,Admin!$A$16:$E$19,5,FALSE)</f>
        <v>K+F munkatárs</v>
      </c>
      <c r="J69" s="160" t="s">
        <v>66</v>
      </c>
      <c r="K69" s="160" t="str">
        <f t="shared" si="201"/>
        <v>2023.03</v>
      </c>
      <c r="L69" s="91" t="s">
        <v>8</v>
      </c>
      <c r="M69" s="92" t="s">
        <v>78</v>
      </c>
      <c r="N69" s="161">
        <v>600000</v>
      </c>
      <c r="O69" s="162">
        <f t="shared" si="207"/>
        <v>78000</v>
      </c>
      <c r="P69" s="160">
        <v>174</v>
      </c>
      <c r="Q69" s="236">
        <v>58</v>
      </c>
      <c r="R69" s="229">
        <f t="shared" si="208"/>
        <v>0.33333333333333331</v>
      </c>
      <c r="S69" s="163">
        <f t="shared" si="209"/>
        <v>200000</v>
      </c>
      <c r="T69" s="164">
        <f t="shared" si="210"/>
        <v>26000</v>
      </c>
      <c r="U69" s="165">
        <f t="shared" si="211"/>
        <v>0</v>
      </c>
      <c r="V69" s="87">
        <v>0.13</v>
      </c>
      <c r="W69" s="223" t="s">
        <v>222</v>
      </c>
      <c r="X69" s="23">
        <v>44980</v>
      </c>
      <c r="Y69" s="20" t="s">
        <v>197</v>
      </c>
      <c r="Z69" s="20"/>
      <c r="AA69" s="20"/>
      <c r="AB69" s="167"/>
      <c r="AC69" s="8" t="s">
        <v>246</v>
      </c>
      <c r="AD69" s="8">
        <v>0</v>
      </c>
      <c r="AE69" s="8">
        <v>11115</v>
      </c>
      <c r="AF69" s="8">
        <v>176</v>
      </c>
      <c r="AG69" s="8">
        <f t="shared" ref="AG69:AG75" si="212">ROUNDUP(AF69*R69,2)</f>
        <v>58.669999999999995</v>
      </c>
      <c r="AH69" s="235">
        <v>45021</v>
      </c>
      <c r="AI69" s="8" t="str">
        <f t="shared" si="194"/>
        <v>2023.03.01</v>
      </c>
      <c r="AJ69" s="235">
        <f t="shared" si="195"/>
        <v>45016</v>
      </c>
    </row>
    <row r="70" spans="1:36" s="8" customFormat="1" x14ac:dyDescent="0.25">
      <c r="A70" s="207">
        <v>2</v>
      </c>
      <c r="B70" s="92" t="s">
        <v>200</v>
      </c>
      <c r="C70" s="90" t="str">
        <f>VLOOKUP($F70,Admin!$A$16:$E$19,2,FALSE)</f>
        <v>Alkalmazott (ipari) kutatás – Működési költség</v>
      </c>
      <c r="D70" s="160" t="s">
        <v>129</v>
      </c>
      <c r="E70" s="90" t="str">
        <f>VLOOKUP($F70,Admin!$A$16:$E$19,4,FALSE)</f>
        <v>54. Bérköltség - Kutató-fejlesztő munkatárs</v>
      </c>
      <c r="F70" s="90" t="s">
        <v>171</v>
      </c>
      <c r="G70" s="160" t="s">
        <v>174</v>
      </c>
      <c r="H70" s="160" t="s">
        <v>195</v>
      </c>
      <c r="I70" s="90" t="str">
        <f>VLOOKUP($F70,Admin!$A$16:$E$19,5,FALSE)</f>
        <v>K+F munkatárs</v>
      </c>
      <c r="J70" s="160" t="s">
        <v>67</v>
      </c>
      <c r="K70" s="160" t="str">
        <f t="shared" ref="K70:K75" si="213">J70</f>
        <v>2023.04</v>
      </c>
      <c r="L70" s="91" t="s">
        <v>8</v>
      </c>
      <c r="M70" s="92" t="s">
        <v>78</v>
      </c>
      <c r="N70" s="161">
        <v>600000</v>
      </c>
      <c r="O70" s="162">
        <f t="shared" ref="O70:O75" si="214">ROUND(N70*V70,0)</f>
        <v>78000</v>
      </c>
      <c r="P70" s="160">
        <v>174</v>
      </c>
      <c r="Q70" s="236">
        <v>58</v>
      </c>
      <c r="R70" s="229">
        <f t="shared" ref="R70:R75" si="215">Q70/P70</f>
        <v>0.33333333333333331</v>
      </c>
      <c r="S70" s="163">
        <f t="shared" ref="S70:S75" si="216">ROUND(N70*Q70/P70,0)</f>
        <v>200000</v>
      </c>
      <c r="T70" s="164">
        <f t="shared" ref="T70:T75" si="217">ROUND(S70*V70,0)</f>
        <v>26000</v>
      </c>
      <c r="U70" s="165">
        <f t="shared" ref="U70:U75" si="218">Q70/P70-S70/N70</f>
        <v>0</v>
      </c>
      <c r="V70" s="87">
        <v>0.13</v>
      </c>
      <c r="W70" s="223" t="s">
        <v>222</v>
      </c>
      <c r="X70" s="23">
        <v>44980</v>
      </c>
      <c r="Y70" s="20" t="s">
        <v>197</v>
      </c>
      <c r="Z70" s="20"/>
      <c r="AA70" s="20"/>
      <c r="AB70" s="167"/>
      <c r="AC70" s="8" t="s">
        <v>246</v>
      </c>
      <c r="AD70" s="8">
        <v>0</v>
      </c>
      <c r="AE70" s="233">
        <v>11115</v>
      </c>
      <c r="AF70" s="8">
        <v>144</v>
      </c>
      <c r="AG70" s="8">
        <f t="shared" si="212"/>
        <v>48</v>
      </c>
      <c r="AH70" s="235">
        <v>45051</v>
      </c>
      <c r="AI70" s="8" t="str">
        <f t="shared" si="194"/>
        <v>2023.04.01</v>
      </c>
      <c r="AJ70" s="235">
        <f t="shared" si="195"/>
        <v>45046</v>
      </c>
    </row>
    <row r="71" spans="1:36" s="8" customFormat="1" x14ac:dyDescent="0.25">
      <c r="A71" s="207">
        <v>2</v>
      </c>
      <c r="B71" s="92" t="s">
        <v>200</v>
      </c>
      <c r="C71" s="90" t="str">
        <f>VLOOKUP($F71,Admin!$A$16:$E$19,2,FALSE)</f>
        <v>Alkalmazott (ipari) kutatás – Működési költség</v>
      </c>
      <c r="D71" s="160" t="s">
        <v>129</v>
      </c>
      <c r="E71" s="90" t="str">
        <f>VLOOKUP($F71,Admin!$A$16:$E$19,4,FALSE)</f>
        <v>54. Bérköltség - Kutató-fejlesztő munkatárs</v>
      </c>
      <c r="F71" s="90" t="s">
        <v>171</v>
      </c>
      <c r="G71" s="160" t="s">
        <v>174</v>
      </c>
      <c r="H71" s="160" t="s">
        <v>195</v>
      </c>
      <c r="I71" s="90" t="str">
        <f>VLOOKUP($F71,Admin!$A$16:$E$19,5,FALSE)</f>
        <v>K+F munkatárs</v>
      </c>
      <c r="J71" s="160" t="s">
        <v>68</v>
      </c>
      <c r="K71" s="160" t="str">
        <f t="shared" si="213"/>
        <v>2023.05</v>
      </c>
      <c r="L71" s="91" t="s">
        <v>8</v>
      </c>
      <c r="M71" s="92" t="s">
        <v>78</v>
      </c>
      <c r="N71" s="161">
        <v>600000</v>
      </c>
      <c r="O71" s="162">
        <f t="shared" si="214"/>
        <v>78000</v>
      </c>
      <c r="P71" s="160">
        <v>174</v>
      </c>
      <c r="Q71" s="236">
        <v>58</v>
      </c>
      <c r="R71" s="229">
        <f t="shared" si="215"/>
        <v>0.33333333333333331</v>
      </c>
      <c r="S71" s="163">
        <f t="shared" si="216"/>
        <v>200000</v>
      </c>
      <c r="T71" s="164">
        <f t="shared" si="217"/>
        <v>26000</v>
      </c>
      <c r="U71" s="165">
        <f t="shared" si="218"/>
        <v>0</v>
      </c>
      <c r="V71" s="87">
        <v>0.13</v>
      </c>
      <c r="W71" s="223" t="s">
        <v>222</v>
      </c>
      <c r="X71" s="23">
        <v>44980</v>
      </c>
      <c r="Y71" s="20" t="s">
        <v>197</v>
      </c>
      <c r="Z71" s="20"/>
      <c r="AA71" s="20"/>
      <c r="AB71" s="167"/>
      <c r="AC71" s="8" t="s">
        <v>246</v>
      </c>
      <c r="AD71" s="8">
        <v>0</v>
      </c>
      <c r="AE71" s="8">
        <v>0</v>
      </c>
      <c r="AF71" s="8">
        <v>168</v>
      </c>
      <c r="AG71" s="8">
        <f t="shared" si="212"/>
        <v>56</v>
      </c>
      <c r="AH71" s="235">
        <v>45082</v>
      </c>
      <c r="AI71" s="8" t="str">
        <f t="shared" si="194"/>
        <v>2023.05.01</v>
      </c>
      <c r="AJ71" s="235">
        <f t="shared" si="195"/>
        <v>45077</v>
      </c>
    </row>
    <row r="72" spans="1:36" s="8" customFormat="1" x14ac:dyDescent="0.25">
      <c r="A72" s="207">
        <v>2</v>
      </c>
      <c r="B72" s="92" t="s">
        <v>200</v>
      </c>
      <c r="C72" s="90" t="str">
        <f>VLOOKUP($F72,Admin!$A$16:$E$19,2,FALSE)</f>
        <v>Alkalmazott (ipari) kutatás – Működési költség</v>
      </c>
      <c r="D72" s="160" t="s">
        <v>129</v>
      </c>
      <c r="E72" s="90" t="str">
        <f>VLOOKUP($F72,Admin!$A$16:$E$19,4,FALSE)</f>
        <v>54. Bérköltség - Kutató-fejlesztő munkatárs</v>
      </c>
      <c r="F72" s="90" t="s">
        <v>171</v>
      </c>
      <c r="G72" s="160" t="s">
        <v>174</v>
      </c>
      <c r="H72" s="160" t="s">
        <v>195</v>
      </c>
      <c r="I72" s="90" t="str">
        <f>VLOOKUP($F72,Admin!$A$16:$E$19,5,FALSE)</f>
        <v>K+F munkatárs</v>
      </c>
      <c r="J72" s="160" t="s">
        <v>69</v>
      </c>
      <c r="K72" s="160" t="str">
        <f t="shared" si="213"/>
        <v>2023.06</v>
      </c>
      <c r="L72" s="91" t="s">
        <v>8</v>
      </c>
      <c r="M72" s="92" t="s">
        <v>78</v>
      </c>
      <c r="N72" s="161">
        <v>599999</v>
      </c>
      <c r="O72" s="162">
        <f t="shared" si="214"/>
        <v>78000</v>
      </c>
      <c r="P72" s="160">
        <v>174</v>
      </c>
      <c r="Q72" s="236">
        <v>58</v>
      </c>
      <c r="R72" s="229">
        <f t="shared" si="215"/>
        <v>0.33333333333333331</v>
      </c>
      <c r="S72" s="163">
        <f t="shared" si="216"/>
        <v>200000</v>
      </c>
      <c r="T72" s="164">
        <f t="shared" si="217"/>
        <v>26000</v>
      </c>
      <c r="U72" s="165">
        <f t="shared" si="218"/>
        <v>-5.5555648148519765E-7</v>
      </c>
      <c r="V72" s="87">
        <v>0.13</v>
      </c>
      <c r="W72" s="223" t="s">
        <v>222</v>
      </c>
      <c r="X72" s="23">
        <v>44980</v>
      </c>
      <c r="Y72" s="20" t="s">
        <v>197</v>
      </c>
      <c r="Z72" s="20"/>
      <c r="AA72" s="20"/>
      <c r="AB72" s="167"/>
      <c r="AC72" s="8" t="s">
        <v>246</v>
      </c>
      <c r="AD72" s="8">
        <v>0</v>
      </c>
      <c r="AE72" s="8">
        <v>0</v>
      </c>
      <c r="AF72" s="8">
        <v>176</v>
      </c>
      <c r="AG72" s="8">
        <f t="shared" si="212"/>
        <v>58.669999999999995</v>
      </c>
      <c r="AH72" s="235">
        <v>45112</v>
      </c>
      <c r="AI72" s="8" t="str">
        <f t="shared" si="194"/>
        <v>2023.06.01</v>
      </c>
      <c r="AJ72" s="235">
        <f t="shared" si="195"/>
        <v>45107</v>
      </c>
    </row>
    <row r="73" spans="1:36" s="8" customFormat="1" x14ac:dyDescent="0.25">
      <c r="A73" s="207">
        <v>2</v>
      </c>
      <c r="B73" s="92" t="s">
        <v>200</v>
      </c>
      <c r="C73" s="90" t="str">
        <f>VLOOKUP($F73,Admin!$A$16:$E$19,2,FALSE)</f>
        <v>Alkalmazott (ipari) kutatás – Működési költség</v>
      </c>
      <c r="D73" s="160" t="s">
        <v>129</v>
      </c>
      <c r="E73" s="90" t="str">
        <f>VLOOKUP($F73,Admin!$A$16:$E$19,4,FALSE)</f>
        <v>54. Bérköltség - Kutató-fejlesztő munkatárs</v>
      </c>
      <c r="F73" s="90" t="s">
        <v>171</v>
      </c>
      <c r="G73" s="160" t="s">
        <v>174</v>
      </c>
      <c r="H73" s="160" t="s">
        <v>195</v>
      </c>
      <c r="I73" s="90" t="str">
        <f>VLOOKUP($F73,Admin!$A$16:$E$19,5,FALSE)</f>
        <v>K+F munkatárs</v>
      </c>
      <c r="J73" s="160" t="s">
        <v>70</v>
      </c>
      <c r="K73" s="160" t="str">
        <f t="shared" si="213"/>
        <v>2023.07</v>
      </c>
      <c r="L73" s="91" t="s">
        <v>8</v>
      </c>
      <c r="M73" s="92" t="s">
        <v>78</v>
      </c>
      <c r="N73" s="161">
        <v>600000</v>
      </c>
      <c r="O73" s="162">
        <f t="shared" si="214"/>
        <v>78000</v>
      </c>
      <c r="P73" s="160">
        <v>174</v>
      </c>
      <c r="Q73" s="236">
        <v>58</v>
      </c>
      <c r="R73" s="229">
        <f t="shared" si="215"/>
        <v>0.33333333333333331</v>
      </c>
      <c r="S73" s="163">
        <f t="shared" si="216"/>
        <v>200000</v>
      </c>
      <c r="T73" s="164">
        <f t="shared" si="217"/>
        <v>26000</v>
      </c>
      <c r="U73" s="165">
        <f t="shared" si="218"/>
        <v>0</v>
      </c>
      <c r="V73" s="87">
        <v>0.13</v>
      </c>
      <c r="W73" s="223" t="s">
        <v>222</v>
      </c>
      <c r="X73" s="23">
        <v>44980</v>
      </c>
      <c r="Y73" s="20" t="s">
        <v>197</v>
      </c>
      <c r="Z73" s="20"/>
      <c r="AA73" s="20"/>
      <c r="AB73" s="167"/>
      <c r="AC73" s="8" t="s">
        <v>246</v>
      </c>
      <c r="AD73" s="8">
        <v>1</v>
      </c>
      <c r="AE73" s="8">
        <v>0</v>
      </c>
      <c r="AF73" s="8">
        <v>168</v>
      </c>
      <c r="AG73" s="8">
        <f t="shared" si="212"/>
        <v>56</v>
      </c>
      <c r="AH73" s="235">
        <v>45142</v>
      </c>
      <c r="AI73" s="8" t="str">
        <f t="shared" si="194"/>
        <v>2023.07.01</v>
      </c>
      <c r="AJ73" s="235">
        <f t="shared" si="195"/>
        <v>45138</v>
      </c>
    </row>
    <row r="74" spans="1:36" s="8" customFormat="1" x14ac:dyDescent="0.25">
      <c r="A74" s="207">
        <v>2</v>
      </c>
      <c r="B74" s="92" t="s">
        <v>200</v>
      </c>
      <c r="C74" s="90" t="str">
        <f>VLOOKUP($F74,Admin!$A$16:$E$19,2,FALSE)</f>
        <v>Alkalmazott (ipari) kutatás – Működési költség</v>
      </c>
      <c r="D74" s="160" t="s">
        <v>129</v>
      </c>
      <c r="E74" s="90" t="str">
        <f>VLOOKUP($F74,Admin!$A$16:$E$19,4,FALSE)</f>
        <v>54. Bérköltség - Kutató-fejlesztő munkatárs</v>
      </c>
      <c r="F74" s="90" t="s">
        <v>171</v>
      </c>
      <c r="G74" s="160" t="s">
        <v>174</v>
      </c>
      <c r="H74" s="160" t="s">
        <v>195</v>
      </c>
      <c r="I74" s="90" t="str">
        <f>VLOOKUP($F74,Admin!$A$16:$E$19,5,FALSE)</f>
        <v>K+F munkatárs</v>
      </c>
      <c r="J74" s="160" t="s">
        <v>71</v>
      </c>
      <c r="K74" s="160" t="str">
        <f t="shared" si="213"/>
        <v>2023.08</v>
      </c>
      <c r="L74" s="91" t="s">
        <v>8</v>
      </c>
      <c r="M74" s="92" t="s">
        <v>78</v>
      </c>
      <c r="N74" s="161">
        <v>600000</v>
      </c>
      <c r="O74" s="162">
        <f t="shared" si="214"/>
        <v>78000</v>
      </c>
      <c r="P74" s="160">
        <v>174</v>
      </c>
      <c r="Q74" s="236">
        <v>58</v>
      </c>
      <c r="R74" s="229">
        <f t="shared" si="215"/>
        <v>0.33333333333333331</v>
      </c>
      <c r="S74" s="163">
        <f t="shared" si="216"/>
        <v>200000</v>
      </c>
      <c r="T74" s="164">
        <f t="shared" si="217"/>
        <v>26000</v>
      </c>
      <c r="U74" s="165">
        <f t="shared" si="218"/>
        <v>0</v>
      </c>
      <c r="V74" s="87">
        <v>0.13</v>
      </c>
      <c r="W74" s="223" t="s">
        <v>222</v>
      </c>
      <c r="X74" s="23">
        <v>44980</v>
      </c>
      <c r="Y74" s="20" t="s">
        <v>197</v>
      </c>
      <c r="Z74" s="20"/>
      <c r="AA74" s="20"/>
      <c r="AB74" s="167"/>
      <c r="AC74" s="8" t="s">
        <v>246</v>
      </c>
      <c r="AD74" s="233">
        <v>1</v>
      </c>
      <c r="AE74" s="8">
        <v>0</v>
      </c>
      <c r="AF74" s="8">
        <v>184</v>
      </c>
      <c r="AG74" s="8">
        <f t="shared" si="212"/>
        <v>61.339999999999996</v>
      </c>
      <c r="AH74" s="235">
        <v>45174</v>
      </c>
      <c r="AI74" s="8" t="str">
        <f t="shared" si="194"/>
        <v>2023.08.01</v>
      </c>
      <c r="AJ74" s="235">
        <f t="shared" si="195"/>
        <v>45169</v>
      </c>
    </row>
    <row r="75" spans="1:36" s="8" customFormat="1" x14ac:dyDescent="0.25">
      <c r="A75" s="207">
        <v>2</v>
      </c>
      <c r="B75" s="92" t="s">
        <v>200</v>
      </c>
      <c r="C75" s="90" t="str">
        <f>VLOOKUP($F75,Admin!$A$16:$E$19,2,FALSE)</f>
        <v>Alkalmazott (ipari) kutatás – Működési költség</v>
      </c>
      <c r="D75" s="160" t="s">
        <v>129</v>
      </c>
      <c r="E75" s="90" t="str">
        <f>VLOOKUP($F75,Admin!$A$16:$E$19,4,FALSE)</f>
        <v>54. Bérköltség - Kutató-fejlesztő munkatárs</v>
      </c>
      <c r="F75" s="90" t="s">
        <v>171</v>
      </c>
      <c r="G75" s="160" t="s">
        <v>174</v>
      </c>
      <c r="H75" s="160" t="s">
        <v>195</v>
      </c>
      <c r="I75" s="90" t="str">
        <f>VLOOKUP($F75,Admin!$A$16:$E$19,5,FALSE)</f>
        <v>K+F munkatárs</v>
      </c>
      <c r="J75" s="160" t="s">
        <v>72</v>
      </c>
      <c r="K75" s="160" t="str">
        <f t="shared" si="213"/>
        <v>2023.09</v>
      </c>
      <c r="L75" s="91" t="s">
        <v>8</v>
      </c>
      <c r="M75" s="92" t="s">
        <v>78</v>
      </c>
      <c r="N75" s="161">
        <v>600000</v>
      </c>
      <c r="O75" s="162">
        <f t="shared" si="214"/>
        <v>78000</v>
      </c>
      <c r="P75" s="160">
        <v>174</v>
      </c>
      <c r="Q75" s="236">
        <v>58</v>
      </c>
      <c r="R75" s="229">
        <f t="shared" si="215"/>
        <v>0.33333333333333331</v>
      </c>
      <c r="S75" s="163">
        <f t="shared" si="216"/>
        <v>200000</v>
      </c>
      <c r="T75" s="164">
        <f t="shared" si="217"/>
        <v>26000</v>
      </c>
      <c r="U75" s="165">
        <f t="shared" si="218"/>
        <v>0</v>
      </c>
      <c r="V75" s="87">
        <v>0.13</v>
      </c>
      <c r="W75" s="223" t="s">
        <v>222</v>
      </c>
      <c r="X75" s="23">
        <v>45155</v>
      </c>
      <c r="Y75" s="20" t="s">
        <v>197</v>
      </c>
      <c r="Z75" s="20"/>
      <c r="AA75" s="20"/>
      <c r="AB75" s="167"/>
      <c r="AC75" s="8" t="s">
        <v>246</v>
      </c>
      <c r="AD75" s="8">
        <v>0</v>
      </c>
      <c r="AE75" s="8">
        <v>0</v>
      </c>
      <c r="AF75" s="8">
        <v>168</v>
      </c>
      <c r="AG75" s="8">
        <f t="shared" si="212"/>
        <v>56</v>
      </c>
      <c r="AH75" s="235">
        <v>45204</v>
      </c>
      <c r="AI75" s="8" t="str">
        <f t="shared" si="194"/>
        <v>2023.09.01</v>
      </c>
      <c r="AJ75" s="235">
        <f t="shared" si="195"/>
        <v>45199</v>
      </c>
    </row>
    <row r="76" spans="1:36" s="8" customFormat="1" x14ac:dyDescent="0.25">
      <c r="A76" s="188"/>
      <c r="B76" s="92" t="s">
        <v>200</v>
      </c>
      <c r="C76" s="90" t="str">
        <f>VLOOKUP($F76,Admin!$A$16:$E$19,2,FALSE)</f>
        <v>Alkalmazott (ipari) kutatás – Működési költség</v>
      </c>
      <c r="D76" s="160" t="s">
        <v>129</v>
      </c>
      <c r="E76" s="90" t="str">
        <f>VLOOKUP($F76,Admin!$A$16:$E$19,4,FALSE)</f>
        <v>54. Bérköltség - Kutató-fejlesztő munkatárs</v>
      </c>
      <c r="F76" s="90" t="s">
        <v>171</v>
      </c>
      <c r="G76" s="160" t="s">
        <v>174</v>
      </c>
      <c r="H76" s="160" t="s">
        <v>195</v>
      </c>
      <c r="I76" s="90" t="str">
        <f>VLOOKUP($F76,Admin!$A$16:$E$19,5,FALSE)</f>
        <v>K+F munkatárs</v>
      </c>
      <c r="J76" s="160" t="s">
        <v>73</v>
      </c>
      <c r="K76" s="160" t="str">
        <f t="shared" ref="K76:K78" si="219">J76</f>
        <v>2023.10</v>
      </c>
      <c r="L76" s="91" t="s">
        <v>8</v>
      </c>
      <c r="M76" s="92" t="s">
        <v>78</v>
      </c>
      <c r="N76" s="161">
        <v>600000</v>
      </c>
      <c r="O76" s="162">
        <f t="shared" ref="O76" si="220">ROUND(N76*V76,0)</f>
        <v>78000</v>
      </c>
      <c r="P76" s="160">
        <v>174</v>
      </c>
      <c r="Q76" s="236">
        <v>58</v>
      </c>
      <c r="R76" s="229">
        <f t="shared" ref="R76" si="221">Q76/P76</f>
        <v>0.33333333333333331</v>
      </c>
      <c r="S76" s="163">
        <f t="shared" ref="S76" si="222">ROUND(N76*Q76/P76,0)</f>
        <v>200000</v>
      </c>
      <c r="T76" s="164">
        <f t="shared" ref="T76" si="223">ROUND(S76*V76,0)</f>
        <v>26000</v>
      </c>
      <c r="U76" s="165">
        <f t="shared" ref="U76" si="224">Q76/P76-S76/N76</f>
        <v>0</v>
      </c>
      <c r="V76" s="87">
        <v>0.13</v>
      </c>
      <c r="W76" s="223" t="s">
        <v>222</v>
      </c>
      <c r="X76" s="23">
        <v>45189</v>
      </c>
      <c r="Y76" s="20" t="s">
        <v>197</v>
      </c>
      <c r="Z76" s="20"/>
      <c r="AA76" s="20"/>
      <c r="AB76" s="167"/>
      <c r="AC76" s="8" t="s">
        <v>246</v>
      </c>
      <c r="AD76" s="8">
        <v>0</v>
      </c>
      <c r="AE76" s="233">
        <v>234000</v>
      </c>
    </row>
    <row r="77" spans="1:36" s="8" customFormat="1" x14ac:dyDescent="0.25">
      <c r="A77" s="188"/>
      <c r="B77" s="92" t="s">
        <v>200</v>
      </c>
      <c r="C77" s="90" t="str">
        <f>VLOOKUP($F77,Admin!$A$16:$E$19,2,FALSE)</f>
        <v>Alkalmazott (ipari) kutatás – Működési költség</v>
      </c>
      <c r="D77" s="160" t="s">
        <v>129</v>
      </c>
      <c r="E77" s="90" t="str">
        <f>VLOOKUP($F77,Admin!$A$16:$E$19,4,FALSE)</f>
        <v>54. Bérköltség - Kutató-fejlesztő munkatárs</v>
      </c>
      <c r="F77" s="90" t="s">
        <v>171</v>
      </c>
      <c r="G77" s="160" t="s">
        <v>174</v>
      </c>
      <c r="H77" s="160" t="s">
        <v>195</v>
      </c>
      <c r="I77" s="90" t="str">
        <f>VLOOKUP($F77,Admin!$A$16:$E$19,5,FALSE)</f>
        <v>K+F munkatárs</v>
      </c>
      <c r="J77" s="160" t="s">
        <v>74</v>
      </c>
      <c r="K77" s="160" t="str">
        <f t="shared" si="219"/>
        <v>2023.11</v>
      </c>
      <c r="L77" s="91" t="s">
        <v>8</v>
      </c>
      <c r="M77" s="92" t="s">
        <v>78</v>
      </c>
      <c r="N77" s="161">
        <v>600000</v>
      </c>
      <c r="O77" s="162">
        <f t="shared" ref="O77:O78" si="225">ROUND(N77*V77,0)</f>
        <v>78000</v>
      </c>
      <c r="P77" s="160">
        <v>174</v>
      </c>
      <c r="Q77" s="236">
        <v>58</v>
      </c>
      <c r="R77" s="229">
        <f t="shared" ref="R77:R78" si="226">Q77/P77</f>
        <v>0.33333333333333331</v>
      </c>
      <c r="S77" s="163">
        <f t="shared" ref="S77:S78" si="227">ROUND(N77*Q77/P77,0)</f>
        <v>200000</v>
      </c>
      <c r="T77" s="164">
        <f t="shared" ref="T77:T78" si="228">ROUND(S77*V77,0)</f>
        <v>26000</v>
      </c>
      <c r="U77" s="165">
        <f t="shared" ref="U77:U78" si="229">Q77/P77-S77/N77</f>
        <v>0</v>
      </c>
      <c r="V77" s="87">
        <v>0.13</v>
      </c>
      <c r="W77" s="223" t="s">
        <v>222</v>
      </c>
      <c r="X77" s="23">
        <v>45189</v>
      </c>
      <c r="Y77" s="20" t="s">
        <v>197</v>
      </c>
      <c r="Z77" s="20"/>
      <c r="AA77" s="20"/>
      <c r="AB77" s="167"/>
      <c r="AC77" s="8" t="s">
        <v>246</v>
      </c>
      <c r="AD77" s="8">
        <v>0</v>
      </c>
      <c r="AE77" s="8">
        <v>0</v>
      </c>
    </row>
    <row r="78" spans="1:36" s="8" customFormat="1" x14ac:dyDescent="0.25">
      <c r="A78" s="188"/>
      <c r="B78" s="92" t="s">
        <v>200</v>
      </c>
      <c r="C78" s="90" t="str">
        <f>VLOOKUP($F78,Admin!$A$16:$E$19,2,FALSE)</f>
        <v>Alkalmazott (ipari) kutatás – Működési költség</v>
      </c>
      <c r="D78" s="160" t="s">
        <v>129</v>
      </c>
      <c r="E78" s="90" t="str">
        <f>VLOOKUP($F78,Admin!$A$16:$E$19,4,FALSE)</f>
        <v>54. Bérköltség - Kutató-fejlesztő munkatárs</v>
      </c>
      <c r="F78" s="90" t="s">
        <v>171</v>
      </c>
      <c r="G78" s="160" t="s">
        <v>174</v>
      </c>
      <c r="H78" s="160" t="s">
        <v>195</v>
      </c>
      <c r="I78" s="90" t="str">
        <f>VLOOKUP($F78,Admin!$A$16:$E$19,5,FALSE)</f>
        <v>K+F munkatárs</v>
      </c>
      <c r="J78" s="160" t="s">
        <v>139</v>
      </c>
      <c r="K78" s="160" t="str">
        <f t="shared" si="219"/>
        <v>2023.12</v>
      </c>
      <c r="L78" s="91" t="s">
        <v>8</v>
      </c>
      <c r="M78" s="92" t="s">
        <v>78</v>
      </c>
      <c r="N78" s="161">
        <v>600000</v>
      </c>
      <c r="O78" s="162">
        <f t="shared" si="225"/>
        <v>78000</v>
      </c>
      <c r="P78" s="160">
        <v>174</v>
      </c>
      <c r="Q78" s="236">
        <v>58</v>
      </c>
      <c r="R78" s="229">
        <f t="shared" si="226"/>
        <v>0.33333333333333331</v>
      </c>
      <c r="S78" s="163">
        <f t="shared" si="227"/>
        <v>200000</v>
      </c>
      <c r="T78" s="164">
        <f t="shared" si="228"/>
        <v>26000</v>
      </c>
      <c r="U78" s="165">
        <f t="shared" si="229"/>
        <v>0</v>
      </c>
      <c r="V78" s="87">
        <v>0.13</v>
      </c>
      <c r="W78" s="223" t="s">
        <v>222</v>
      </c>
      <c r="X78" s="23">
        <v>45189</v>
      </c>
      <c r="Y78" s="20" t="s">
        <v>197</v>
      </c>
      <c r="Z78" s="20"/>
      <c r="AA78" s="20"/>
      <c r="AB78" s="167"/>
      <c r="AC78" s="8" t="s">
        <v>246</v>
      </c>
      <c r="AD78" s="8">
        <v>0</v>
      </c>
      <c r="AE78" s="233">
        <v>13000</v>
      </c>
    </row>
    <row r="79" spans="1:36" s="8" customFormat="1" x14ac:dyDescent="0.25">
      <c r="A79" s="188"/>
      <c r="B79" s="92" t="s">
        <v>200</v>
      </c>
      <c r="C79" s="90" t="str">
        <f>VLOOKUP($F79,Admin!$A$16:$E$19,2,FALSE)</f>
        <v>Alkalmazott (ipari) kutatás – Működési költség</v>
      </c>
      <c r="D79" s="160" t="s">
        <v>129</v>
      </c>
      <c r="E79" s="90" t="str">
        <f>VLOOKUP($F79,Admin!$A$16:$E$19,4,FALSE)</f>
        <v>54. Bérköltség - Kutató-fejlesztő munkatárs</v>
      </c>
      <c r="F79" s="90" t="s">
        <v>171</v>
      </c>
      <c r="G79" s="160" t="s">
        <v>174</v>
      </c>
      <c r="H79" s="160" t="s">
        <v>195</v>
      </c>
      <c r="I79" s="90" t="str">
        <f>VLOOKUP($F79,Admin!$A$16:$E$19,5,FALSE)</f>
        <v>K+F munkatárs</v>
      </c>
      <c r="J79" s="160" t="s">
        <v>140</v>
      </c>
      <c r="K79" s="160" t="str">
        <f t="shared" ref="K79:K84" si="230">J79</f>
        <v>2024.01</v>
      </c>
      <c r="L79" s="91" t="s">
        <v>8</v>
      </c>
      <c r="M79" s="92" t="s">
        <v>78</v>
      </c>
      <c r="N79" s="161">
        <v>630000</v>
      </c>
      <c r="O79" s="162">
        <f t="shared" ref="O79" si="231">ROUND(N79*V79,0)</f>
        <v>81900</v>
      </c>
      <c r="P79" s="160">
        <v>174</v>
      </c>
      <c r="Q79" s="236">
        <v>55.68</v>
      </c>
      <c r="R79" s="229">
        <f t="shared" ref="R79" si="232">Q79/P79</f>
        <v>0.32</v>
      </c>
      <c r="S79" s="163">
        <f t="shared" ref="S79" si="233">ROUND(N79*Q79/P79,0)</f>
        <v>201600</v>
      </c>
      <c r="T79" s="164">
        <f t="shared" ref="T79" si="234">ROUND(S79*V79,0)</f>
        <v>26208</v>
      </c>
      <c r="U79" s="165">
        <f t="shared" ref="U79" si="235">Q79/P79-S79/N79</f>
        <v>0</v>
      </c>
      <c r="V79" s="87">
        <v>0.13</v>
      </c>
      <c r="W79" s="223" t="s">
        <v>222</v>
      </c>
      <c r="X79" s="23">
        <v>45306</v>
      </c>
      <c r="Y79" s="20" t="s">
        <v>197</v>
      </c>
      <c r="Z79" s="20"/>
      <c r="AA79" s="20"/>
      <c r="AB79" s="167"/>
      <c r="AC79" s="8" t="s">
        <v>246</v>
      </c>
      <c r="AD79" s="233">
        <v>1</v>
      </c>
      <c r="AE79" s="243">
        <v>0</v>
      </c>
    </row>
    <row r="80" spans="1:36" s="8" customFormat="1" x14ac:dyDescent="0.25">
      <c r="A80" s="188"/>
      <c r="B80" s="92" t="s">
        <v>200</v>
      </c>
      <c r="C80" s="90" t="str">
        <f>VLOOKUP($F80,Admin!$A$16:$E$19,2,FALSE)</f>
        <v>Alkalmazott (ipari) kutatás – Működési költség</v>
      </c>
      <c r="D80" s="160" t="s">
        <v>129</v>
      </c>
      <c r="E80" s="90" t="str">
        <f>VLOOKUP($F80,Admin!$A$16:$E$19,4,FALSE)</f>
        <v>54. Bérköltség - Kutató-fejlesztő munkatárs</v>
      </c>
      <c r="F80" s="90" t="s">
        <v>171</v>
      </c>
      <c r="G80" s="160" t="s">
        <v>174</v>
      </c>
      <c r="H80" s="160" t="s">
        <v>195</v>
      </c>
      <c r="I80" s="90" t="str">
        <f>VLOOKUP($F80,Admin!$A$16:$E$19,5,FALSE)</f>
        <v>K+F munkatárs</v>
      </c>
      <c r="J80" s="160" t="s">
        <v>141</v>
      </c>
      <c r="K80" s="160" t="str">
        <f t="shared" si="230"/>
        <v>2024.02</v>
      </c>
      <c r="L80" s="91" t="s">
        <v>8</v>
      </c>
      <c r="M80" s="92" t="s">
        <v>78</v>
      </c>
      <c r="N80" s="161">
        <v>630000</v>
      </c>
      <c r="O80" s="162">
        <f t="shared" ref="O80:O81" si="236">ROUND(N80*V80,0)</f>
        <v>81900</v>
      </c>
      <c r="P80" s="160">
        <v>174</v>
      </c>
      <c r="Q80" s="236">
        <v>55.68</v>
      </c>
      <c r="R80" s="229">
        <f t="shared" ref="R80:R81" si="237">Q80/P80</f>
        <v>0.32</v>
      </c>
      <c r="S80" s="163">
        <f t="shared" ref="S80:S81" si="238">ROUND(N80*Q80/P80,0)</f>
        <v>201600</v>
      </c>
      <c r="T80" s="164">
        <f t="shared" ref="T80:T81" si="239">ROUND(S80*V80,0)</f>
        <v>26208</v>
      </c>
      <c r="U80" s="165">
        <f t="shared" ref="U80:U81" si="240">Q80/P80-S80/N80</f>
        <v>0</v>
      </c>
      <c r="V80" s="87">
        <v>0.13</v>
      </c>
      <c r="W80" s="223" t="s">
        <v>222</v>
      </c>
      <c r="X80" s="23">
        <v>45306</v>
      </c>
      <c r="Y80" s="20" t="s">
        <v>197</v>
      </c>
      <c r="Z80" s="20"/>
      <c r="AA80" s="20"/>
      <c r="AB80" s="167"/>
      <c r="AC80" s="8" t="s">
        <v>246</v>
      </c>
      <c r="AD80" s="243">
        <v>0</v>
      </c>
      <c r="AE80" s="243">
        <v>0</v>
      </c>
    </row>
    <row r="81" spans="1:31" s="8" customFormat="1" x14ac:dyDescent="0.25">
      <c r="A81" s="188"/>
      <c r="B81" s="92" t="s">
        <v>200</v>
      </c>
      <c r="C81" s="90" t="str">
        <f>VLOOKUP($F81,Admin!$A$16:$E$19,2,FALSE)</f>
        <v>Alkalmazott (ipari) kutatás – Működési költség</v>
      </c>
      <c r="D81" s="160" t="s">
        <v>129</v>
      </c>
      <c r="E81" s="90" t="str">
        <f>VLOOKUP($F81,Admin!$A$16:$E$19,4,FALSE)</f>
        <v>54. Bérköltség - Kutató-fejlesztő munkatárs</v>
      </c>
      <c r="F81" s="90" t="s">
        <v>171</v>
      </c>
      <c r="G81" s="160" t="s">
        <v>174</v>
      </c>
      <c r="H81" s="160" t="s">
        <v>195</v>
      </c>
      <c r="I81" s="90" t="str">
        <f>VLOOKUP($F81,Admin!$A$16:$E$19,5,FALSE)</f>
        <v>K+F munkatárs</v>
      </c>
      <c r="J81" s="160" t="s">
        <v>142</v>
      </c>
      <c r="K81" s="160" t="str">
        <f t="shared" si="230"/>
        <v>2024.03</v>
      </c>
      <c r="L81" s="91" t="s">
        <v>8</v>
      </c>
      <c r="M81" s="92" t="s">
        <v>78</v>
      </c>
      <c r="N81" s="161">
        <v>650000</v>
      </c>
      <c r="O81" s="162">
        <f t="shared" si="236"/>
        <v>84500</v>
      </c>
      <c r="P81" s="160">
        <v>174</v>
      </c>
      <c r="Q81" s="236">
        <v>53.94</v>
      </c>
      <c r="R81" s="229">
        <f t="shared" si="237"/>
        <v>0.31</v>
      </c>
      <c r="S81" s="163">
        <f t="shared" si="238"/>
        <v>201500</v>
      </c>
      <c r="T81" s="164">
        <f t="shared" si="239"/>
        <v>26195</v>
      </c>
      <c r="U81" s="165">
        <f t="shared" si="240"/>
        <v>0</v>
      </c>
      <c r="V81" s="87">
        <v>0.13</v>
      </c>
      <c r="W81" s="223" t="s">
        <v>222</v>
      </c>
      <c r="X81" s="23">
        <v>45351</v>
      </c>
      <c r="Y81" s="20" t="s">
        <v>197</v>
      </c>
      <c r="Z81" s="20"/>
      <c r="AA81" s="20"/>
      <c r="AB81" s="167"/>
      <c r="AC81" s="243" t="s">
        <v>246</v>
      </c>
      <c r="AD81" s="243">
        <v>0</v>
      </c>
      <c r="AE81" s="243">
        <v>0</v>
      </c>
    </row>
    <row r="82" spans="1:31" s="8" customFormat="1" x14ac:dyDescent="0.25">
      <c r="A82" s="188"/>
      <c r="B82" s="92" t="s">
        <v>200</v>
      </c>
      <c r="C82" s="90" t="str">
        <f>VLOOKUP($F82,Admin!$A$16:$E$19,2,FALSE)</f>
        <v>Alkalmazott (ipari) kutatás – Működési költség</v>
      </c>
      <c r="D82" s="160" t="s">
        <v>129</v>
      </c>
      <c r="E82" s="90" t="str">
        <f>VLOOKUP($F82,Admin!$A$16:$E$19,4,FALSE)</f>
        <v>54. Bérköltség - Kutató-fejlesztő munkatárs</v>
      </c>
      <c r="F82" s="90" t="s">
        <v>171</v>
      </c>
      <c r="G82" s="160" t="s">
        <v>174</v>
      </c>
      <c r="H82" s="160" t="s">
        <v>195</v>
      </c>
      <c r="I82" s="90" t="str">
        <f>VLOOKUP($F82,Admin!$A$16:$E$19,5,FALSE)</f>
        <v>K+F munkatárs</v>
      </c>
      <c r="J82" s="160" t="s">
        <v>143</v>
      </c>
      <c r="K82" s="160" t="str">
        <f t="shared" si="230"/>
        <v>2024.04</v>
      </c>
      <c r="L82" s="91" t="s">
        <v>8</v>
      </c>
      <c r="M82" s="92" t="s">
        <v>78</v>
      </c>
      <c r="N82" s="161">
        <v>650000</v>
      </c>
      <c r="O82" s="162">
        <f t="shared" ref="O82" si="241">ROUND(N82*V82,0)</f>
        <v>84500</v>
      </c>
      <c r="P82" s="160">
        <v>174</v>
      </c>
      <c r="Q82" s="236">
        <v>53.94</v>
      </c>
      <c r="R82" s="229">
        <f t="shared" ref="R82" si="242">Q82/P82</f>
        <v>0.31</v>
      </c>
      <c r="S82" s="163">
        <f t="shared" ref="S82" si="243">ROUND(N82*Q82/P82,0)</f>
        <v>201500</v>
      </c>
      <c r="T82" s="164">
        <f t="shared" ref="T82" si="244">ROUND(S82*V82,0)</f>
        <v>26195</v>
      </c>
      <c r="U82" s="165">
        <f t="shared" ref="U82" si="245">Q82/P82-S82/N82</f>
        <v>0</v>
      </c>
      <c r="V82" s="87">
        <v>0.13</v>
      </c>
      <c r="W82" s="223" t="s">
        <v>222</v>
      </c>
      <c r="X82" s="23">
        <v>45391</v>
      </c>
      <c r="Y82" s="20" t="s">
        <v>197</v>
      </c>
      <c r="Z82" s="20"/>
      <c r="AA82" s="20"/>
      <c r="AB82" s="167"/>
      <c r="AC82" s="8" t="s">
        <v>246</v>
      </c>
      <c r="AD82" s="243">
        <v>0</v>
      </c>
      <c r="AE82" s="233">
        <v>15861</v>
      </c>
    </row>
    <row r="83" spans="1:31" s="8" customFormat="1" x14ac:dyDescent="0.25">
      <c r="A83" s="188"/>
      <c r="B83" s="92" t="s">
        <v>200</v>
      </c>
      <c r="C83" s="90" t="str">
        <f>VLOOKUP($F83,Admin!$A$16:$E$19,2,FALSE)</f>
        <v>Alkalmazott (ipari) kutatás – Működési költség</v>
      </c>
      <c r="D83" s="160" t="s">
        <v>129</v>
      </c>
      <c r="E83" s="90" t="str">
        <f>VLOOKUP($F83,Admin!$A$16:$E$19,4,FALSE)</f>
        <v>54. Bérköltség - Kutató-fejlesztő munkatárs</v>
      </c>
      <c r="F83" s="90" t="s">
        <v>171</v>
      </c>
      <c r="G83" s="160" t="s">
        <v>174</v>
      </c>
      <c r="H83" s="160" t="s">
        <v>195</v>
      </c>
      <c r="I83" s="90" t="str">
        <f>VLOOKUP($F83,Admin!$A$16:$E$19,5,FALSE)</f>
        <v>K+F munkatárs</v>
      </c>
      <c r="J83" s="160" t="s">
        <v>144</v>
      </c>
      <c r="K83" s="160" t="str">
        <f t="shared" si="230"/>
        <v>2024.05</v>
      </c>
      <c r="L83" s="91" t="s">
        <v>8</v>
      </c>
      <c r="M83" s="92" t="s">
        <v>78</v>
      </c>
      <c r="N83" s="161">
        <v>650000</v>
      </c>
      <c r="O83" s="162">
        <f t="shared" ref="O83:O84" si="246">ROUND(N83*V83,0)</f>
        <v>84500</v>
      </c>
      <c r="P83" s="160">
        <v>174</v>
      </c>
      <c r="Q83" s="236">
        <v>53.94</v>
      </c>
      <c r="R83" s="229">
        <f t="shared" ref="R83:R84" si="247">Q83/P83</f>
        <v>0.31</v>
      </c>
      <c r="S83" s="163">
        <f t="shared" ref="S83:S84" si="248">ROUND(N83*Q83/P83,0)</f>
        <v>201500</v>
      </c>
      <c r="T83" s="164">
        <f t="shared" ref="T83:T84" si="249">ROUND(S83*V83,0)</f>
        <v>26195</v>
      </c>
      <c r="U83" s="165">
        <f t="shared" ref="U83:U84" si="250">Q83/P83-S83/N83</f>
        <v>0</v>
      </c>
      <c r="V83" s="87">
        <v>0.13</v>
      </c>
      <c r="W83" s="223" t="s">
        <v>222</v>
      </c>
      <c r="X83" s="23">
        <v>45391</v>
      </c>
      <c r="Y83" s="20" t="s">
        <v>197</v>
      </c>
      <c r="Z83" s="20"/>
      <c r="AA83" s="20"/>
      <c r="AB83" s="167"/>
      <c r="AC83" s="8" t="s">
        <v>246</v>
      </c>
      <c r="AD83" s="243">
        <v>0</v>
      </c>
      <c r="AE83" s="243">
        <v>0</v>
      </c>
    </row>
    <row r="84" spans="1:31" s="8" customFormat="1" x14ac:dyDescent="0.25">
      <c r="A84" s="188"/>
      <c r="B84" s="92" t="s">
        <v>200</v>
      </c>
      <c r="C84" s="90" t="str">
        <f>VLOOKUP($F84,Admin!$A$16:$E$19,2,FALSE)</f>
        <v>Alkalmazott (ipari) kutatás – Működési költség</v>
      </c>
      <c r="D84" s="160" t="s">
        <v>129</v>
      </c>
      <c r="E84" s="90" t="str">
        <f>VLOOKUP($F84,Admin!$A$16:$E$19,4,FALSE)</f>
        <v>54. Bérköltség - Kutató-fejlesztő munkatárs</v>
      </c>
      <c r="F84" s="90" t="s">
        <v>171</v>
      </c>
      <c r="G84" s="160" t="s">
        <v>174</v>
      </c>
      <c r="H84" s="160" t="s">
        <v>195</v>
      </c>
      <c r="I84" s="90" t="str">
        <f>VLOOKUP($F84,Admin!$A$16:$E$19,5,FALSE)</f>
        <v>K+F munkatárs</v>
      </c>
      <c r="J84" s="160" t="s">
        <v>211</v>
      </c>
      <c r="K84" s="160" t="str">
        <f t="shared" si="230"/>
        <v>2024.06</v>
      </c>
      <c r="L84" s="91" t="s">
        <v>9</v>
      </c>
      <c r="M84" s="92" t="s">
        <v>78</v>
      </c>
      <c r="N84" s="161">
        <v>700000</v>
      </c>
      <c r="O84" s="162">
        <f t="shared" si="246"/>
        <v>91000</v>
      </c>
      <c r="P84" s="160">
        <v>174</v>
      </c>
      <c r="Q84" s="236">
        <v>53.94</v>
      </c>
      <c r="R84" s="229">
        <f t="shared" si="247"/>
        <v>0.31</v>
      </c>
      <c r="S84" s="163">
        <f t="shared" si="248"/>
        <v>217000</v>
      </c>
      <c r="T84" s="164">
        <f t="shared" si="249"/>
        <v>28210</v>
      </c>
      <c r="U84" s="165">
        <f t="shared" si="250"/>
        <v>0</v>
      </c>
      <c r="V84" s="87">
        <v>0.13</v>
      </c>
      <c r="W84" s="223" t="s">
        <v>222</v>
      </c>
      <c r="X84" s="23">
        <v>45442</v>
      </c>
      <c r="Y84" s="20" t="s">
        <v>197</v>
      </c>
      <c r="Z84" s="20"/>
      <c r="AA84" s="20"/>
      <c r="AB84" s="167"/>
      <c r="AE84" s="233"/>
    </row>
    <row r="85" spans="1:31" s="8" customFormat="1" x14ac:dyDescent="0.25">
      <c r="A85" s="188"/>
      <c r="B85" s="92" t="s">
        <v>200</v>
      </c>
      <c r="C85" s="90" t="str">
        <f>VLOOKUP($F85,Admin!$A$16:$E$19,2,FALSE)</f>
        <v>Alkalmazott (ipari) kutatás – Működési költség</v>
      </c>
      <c r="D85" s="160" t="s">
        <v>129</v>
      </c>
      <c r="E85" s="90" t="str">
        <f>VLOOKUP($F85,Admin!$A$16:$E$19,4,FALSE)</f>
        <v>54. Bérköltség - Kutató-fejlesztő munkatárs</v>
      </c>
      <c r="F85" s="90" t="s">
        <v>171</v>
      </c>
      <c r="G85" s="160" t="s">
        <v>174</v>
      </c>
      <c r="H85" s="160" t="s">
        <v>195</v>
      </c>
      <c r="I85" s="90" t="str">
        <f>VLOOKUP($F85,Admin!$A$16:$E$19,5,FALSE)</f>
        <v>K+F munkatárs</v>
      </c>
      <c r="J85" s="160" t="s">
        <v>212</v>
      </c>
      <c r="K85" s="160" t="str">
        <f t="shared" ref="K85:K87" si="251">J85</f>
        <v>2024.07</v>
      </c>
      <c r="L85" s="91" t="s">
        <v>9</v>
      </c>
      <c r="M85" s="92" t="s">
        <v>78</v>
      </c>
      <c r="N85" s="161">
        <v>700000</v>
      </c>
      <c r="O85" s="162">
        <f t="shared" ref="O85" si="252">ROUND(N85*V85,0)</f>
        <v>91000</v>
      </c>
      <c r="P85" s="160">
        <v>174</v>
      </c>
      <c r="Q85" s="236">
        <v>53.94</v>
      </c>
      <c r="R85" s="229">
        <f t="shared" ref="R85" si="253">Q85/P85</f>
        <v>0.31</v>
      </c>
      <c r="S85" s="163">
        <f t="shared" ref="S85" si="254">ROUND(N85*Q85/P85,0)</f>
        <v>217000</v>
      </c>
      <c r="T85" s="164">
        <f t="shared" ref="T85" si="255">ROUND(S85*V85,0)</f>
        <v>28210</v>
      </c>
      <c r="U85" s="165">
        <f t="shared" ref="U85" si="256">Q85/P85-S85/N85</f>
        <v>0</v>
      </c>
      <c r="V85" s="87">
        <v>0.13</v>
      </c>
      <c r="W85" s="223" t="s">
        <v>222</v>
      </c>
      <c r="X85" s="23">
        <v>45476</v>
      </c>
      <c r="Y85" s="20"/>
      <c r="Z85" s="20"/>
      <c r="AA85" s="20"/>
      <c r="AB85" s="167"/>
      <c r="AE85" s="233"/>
    </row>
    <row r="86" spans="1:31" s="8" customFormat="1" x14ac:dyDescent="0.25">
      <c r="A86" s="188"/>
      <c r="B86" s="92" t="s">
        <v>200</v>
      </c>
      <c r="C86" s="90" t="str">
        <f>VLOOKUP($F86,Admin!$A$16:$E$19,2,FALSE)</f>
        <v>Alkalmazott (ipari) kutatás – Működési költség</v>
      </c>
      <c r="D86" s="160" t="s">
        <v>129</v>
      </c>
      <c r="E86" s="90" t="str">
        <f>VLOOKUP($F86,Admin!$A$16:$E$19,4,FALSE)</f>
        <v>54. Bérköltség - Kutató-fejlesztő munkatárs</v>
      </c>
      <c r="F86" s="90" t="s">
        <v>171</v>
      </c>
      <c r="G86" s="160" t="s">
        <v>174</v>
      </c>
      <c r="H86" s="160" t="s">
        <v>195</v>
      </c>
      <c r="I86" s="90" t="str">
        <f>VLOOKUP($F86,Admin!$A$16:$E$19,5,FALSE)</f>
        <v>K+F munkatárs</v>
      </c>
      <c r="J86" s="160" t="s">
        <v>213</v>
      </c>
      <c r="K86" s="160" t="str">
        <f t="shared" si="251"/>
        <v>2024.08</v>
      </c>
      <c r="L86" s="91" t="s">
        <v>9</v>
      </c>
      <c r="M86" s="92" t="s">
        <v>78</v>
      </c>
      <c r="N86" s="161">
        <v>700000</v>
      </c>
      <c r="O86" s="162">
        <f t="shared" ref="O86:O87" si="257">ROUND(N86*V86,0)</f>
        <v>91000</v>
      </c>
      <c r="P86" s="160">
        <v>174</v>
      </c>
      <c r="Q86" s="236">
        <v>53.94</v>
      </c>
      <c r="R86" s="229">
        <f t="shared" ref="R86:R87" si="258">Q86/P86</f>
        <v>0.31</v>
      </c>
      <c r="S86" s="163">
        <f t="shared" ref="S86:S87" si="259">ROUND(N86*Q86/P86,0)</f>
        <v>217000</v>
      </c>
      <c r="T86" s="164">
        <f t="shared" ref="T86:T87" si="260">ROUND(S86*V86,0)</f>
        <v>28210</v>
      </c>
      <c r="U86" s="165">
        <f t="shared" ref="U86:U87" si="261">Q86/P86-S86/N86</f>
        <v>0</v>
      </c>
      <c r="V86" s="87">
        <v>0.13</v>
      </c>
      <c r="W86" s="223" t="s">
        <v>222</v>
      </c>
      <c r="X86" s="23">
        <v>45476</v>
      </c>
      <c r="Y86" s="20"/>
      <c r="Z86" s="20"/>
      <c r="AA86" s="20"/>
      <c r="AB86" s="167"/>
      <c r="AE86" s="233"/>
    </row>
    <row r="87" spans="1:31" s="8" customFormat="1" x14ac:dyDescent="0.25">
      <c r="A87" s="188"/>
      <c r="B87" s="92" t="s">
        <v>200</v>
      </c>
      <c r="C87" s="90" t="str">
        <f>VLOOKUP($F87,Admin!$A$16:$E$19,2,FALSE)</f>
        <v>Alkalmazott (ipari) kutatás – Működési költség</v>
      </c>
      <c r="D87" s="160" t="s">
        <v>129</v>
      </c>
      <c r="E87" s="90" t="str">
        <f>VLOOKUP($F87,Admin!$A$16:$E$19,4,FALSE)</f>
        <v>54. Bérköltség - Kutató-fejlesztő munkatárs</v>
      </c>
      <c r="F87" s="90" t="s">
        <v>171</v>
      </c>
      <c r="G87" s="160" t="s">
        <v>174</v>
      </c>
      <c r="H87" s="160" t="s">
        <v>195</v>
      </c>
      <c r="I87" s="90" t="str">
        <f>VLOOKUP($F87,Admin!$A$16:$E$19,5,FALSE)</f>
        <v>K+F munkatárs</v>
      </c>
      <c r="J87" s="160" t="s">
        <v>214</v>
      </c>
      <c r="K87" s="160" t="str">
        <f t="shared" si="251"/>
        <v>2024.09</v>
      </c>
      <c r="L87" s="91" t="s">
        <v>9</v>
      </c>
      <c r="M87" s="92" t="s">
        <v>78</v>
      </c>
      <c r="N87" s="161">
        <v>700000</v>
      </c>
      <c r="O87" s="162">
        <f t="shared" si="257"/>
        <v>91000</v>
      </c>
      <c r="P87" s="160">
        <v>174</v>
      </c>
      <c r="Q87" s="236">
        <v>53.94</v>
      </c>
      <c r="R87" s="229">
        <f t="shared" si="258"/>
        <v>0.31</v>
      </c>
      <c r="S87" s="163">
        <f t="shared" si="259"/>
        <v>217000</v>
      </c>
      <c r="T87" s="164">
        <f t="shared" si="260"/>
        <v>28210</v>
      </c>
      <c r="U87" s="165">
        <f t="shared" si="261"/>
        <v>0</v>
      </c>
      <c r="V87" s="87">
        <v>0.13</v>
      </c>
      <c r="W87" s="223" t="s">
        <v>222</v>
      </c>
      <c r="X87" s="23">
        <v>45476</v>
      </c>
      <c r="Y87" s="20"/>
      <c r="Z87" s="20"/>
      <c r="AA87" s="20"/>
      <c r="AB87" s="167"/>
      <c r="AE87" s="233"/>
    </row>
    <row r="88" spans="1:31" s="8" customFormat="1" x14ac:dyDescent="0.25">
      <c r="A88" s="207">
        <v>1</v>
      </c>
      <c r="B88" s="92" t="s">
        <v>189</v>
      </c>
      <c r="C88" s="90" t="str">
        <f>VLOOKUP($F88,Admin!$A$16:$E$19,2,FALSE)</f>
        <v>Alkalmazott (ipari) kutatás – Működési költség</v>
      </c>
      <c r="D88" s="160" t="s">
        <v>129</v>
      </c>
      <c r="E88" s="90" t="str">
        <f>VLOOKUP($F88,Admin!$A$16:$E$19,4,FALSE)</f>
        <v>54. Bérköltség - Kutató-fejlesztő munkatárs</v>
      </c>
      <c r="F88" s="90" t="s">
        <v>171</v>
      </c>
      <c r="G88" s="160" t="s">
        <v>174</v>
      </c>
      <c r="H88" s="160" t="s">
        <v>193</v>
      </c>
      <c r="I88" s="90" t="str">
        <f>VLOOKUP($F88,Admin!$A$16:$E$19,5,FALSE)</f>
        <v>K+F munkatárs</v>
      </c>
      <c r="J88" s="160" t="s">
        <v>38</v>
      </c>
      <c r="K88" s="160" t="str">
        <f t="shared" ref="K88" si="262">J88</f>
        <v>2021.11</v>
      </c>
      <c r="L88" s="91" t="s">
        <v>8</v>
      </c>
      <c r="M88" s="92" t="s">
        <v>78</v>
      </c>
      <c r="N88" s="161">
        <v>1081000</v>
      </c>
      <c r="O88" s="162">
        <f t="shared" si="166"/>
        <v>167555</v>
      </c>
      <c r="P88" s="160">
        <v>174</v>
      </c>
      <c r="Q88" s="236">
        <v>15</v>
      </c>
      <c r="R88" s="229">
        <f t="shared" ref="R88" si="263">Q88/P88</f>
        <v>8.6206896551724144E-2</v>
      </c>
      <c r="S88" s="163">
        <f t="shared" ref="S88" si="264">ROUND(N88*Q88/P88,0)</f>
        <v>93190</v>
      </c>
      <c r="T88" s="164">
        <f t="shared" ref="T88" si="265">ROUND(S88*V88,0)</f>
        <v>14444</v>
      </c>
      <c r="U88" s="165">
        <f t="shared" ref="U88" si="266">Q88/P88-S88/N88</f>
        <v>-3.1898944144459485E-7</v>
      </c>
      <c r="V88" s="87">
        <v>0.155</v>
      </c>
      <c r="W88" s="223"/>
      <c r="X88" s="23">
        <v>44511</v>
      </c>
      <c r="Y88" s="20" t="s">
        <v>197</v>
      </c>
      <c r="Z88" s="20"/>
      <c r="AA88" s="20"/>
      <c r="AB88" s="167"/>
    </row>
    <row r="89" spans="1:31" s="8" customFormat="1" x14ac:dyDescent="0.25">
      <c r="A89" s="207">
        <v>1</v>
      </c>
      <c r="B89" s="92" t="s">
        <v>189</v>
      </c>
      <c r="C89" s="90" t="str">
        <f>VLOOKUP($F89,Admin!$A$16:$E$19,2,FALSE)</f>
        <v>Alkalmazott (ipari) kutatás – Működési költség</v>
      </c>
      <c r="D89" s="160" t="s">
        <v>129</v>
      </c>
      <c r="E89" s="90" t="str">
        <f>VLOOKUP($F89,Admin!$A$16:$E$19,4,FALSE)</f>
        <v>54. Bérköltség - Kutató-fejlesztő munkatárs</v>
      </c>
      <c r="F89" s="90" t="s">
        <v>171</v>
      </c>
      <c r="G89" s="160" t="s">
        <v>174</v>
      </c>
      <c r="H89" s="160" t="s">
        <v>193</v>
      </c>
      <c r="I89" s="90" t="str">
        <f>VLOOKUP($F89,Admin!$A$16:$E$19,5,FALSE)</f>
        <v>K+F munkatárs</v>
      </c>
      <c r="J89" s="160" t="s">
        <v>39</v>
      </c>
      <c r="K89" s="160" t="str">
        <f t="shared" ref="K89:K395" si="267">J89</f>
        <v>2021.12</v>
      </c>
      <c r="L89" s="91" t="s">
        <v>8</v>
      </c>
      <c r="M89" s="92" t="s">
        <v>78</v>
      </c>
      <c r="N89" s="161">
        <v>1081000</v>
      </c>
      <c r="O89" s="162">
        <f t="shared" ref="O89:O390" si="268">ROUND(N89*V89,0)</f>
        <v>167555</v>
      </c>
      <c r="P89" s="160">
        <v>174</v>
      </c>
      <c r="Q89" s="236">
        <v>15</v>
      </c>
      <c r="R89" s="229">
        <f t="shared" ref="R89:R390" si="269">Q89/P89</f>
        <v>8.6206896551724144E-2</v>
      </c>
      <c r="S89" s="163">
        <f t="shared" ref="S89:S390" si="270">ROUND(N89*Q89/P89,0)</f>
        <v>93190</v>
      </c>
      <c r="T89" s="164">
        <f t="shared" ref="T89:T390" si="271">ROUND(S89*V89,0)</f>
        <v>14444</v>
      </c>
      <c r="U89" s="165">
        <f t="shared" ref="U89:U390" si="272">Q89/P89-S89/N89</f>
        <v>-3.1898944144459485E-7</v>
      </c>
      <c r="V89" s="87">
        <v>0.155</v>
      </c>
      <c r="W89" s="223"/>
      <c r="X89" s="23">
        <v>44511</v>
      </c>
      <c r="Y89" s="20" t="s">
        <v>197</v>
      </c>
      <c r="Z89" s="20"/>
      <c r="AA89" s="20"/>
      <c r="AB89" s="167"/>
    </row>
    <row r="90" spans="1:31" s="8" customFormat="1" x14ac:dyDescent="0.25">
      <c r="A90" s="207">
        <v>1</v>
      </c>
      <c r="B90" s="92" t="s">
        <v>189</v>
      </c>
      <c r="C90" s="90" t="str">
        <f>VLOOKUP($F90,Admin!$A$16:$E$19,2,FALSE)</f>
        <v>Alkalmazott (ipari) kutatás – Működési költség</v>
      </c>
      <c r="D90" s="160" t="s">
        <v>129</v>
      </c>
      <c r="E90" s="90" t="str">
        <f>VLOOKUP($F90,Admin!$A$16:$E$19,4,FALSE)</f>
        <v>54. Bérköltség - Kutató-fejlesztő munkatárs</v>
      </c>
      <c r="F90" s="90" t="s">
        <v>171</v>
      </c>
      <c r="G90" s="160" t="s">
        <v>174</v>
      </c>
      <c r="H90" s="160" t="s">
        <v>193</v>
      </c>
      <c r="I90" s="90" t="str">
        <f>VLOOKUP($F90,Admin!$A$16:$E$19,5,FALSE)</f>
        <v>K+F munkatárs</v>
      </c>
      <c r="J90" s="160" t="s">
        <v>40</v>
      </c>
      <c r="K90" s="160" t="str">
        <f t="shared" si="267"/>
        <v>2022.01</v>
      </c>
      <c r="L90" s="91" t="s">
        <v>8</v>
      </c>
      <c r="M90" s="92" t="s">
        <v>78</v>
      </c>
      <c r="N90" s="161">
        <v>1201900</v>
      </c>
      <c r="O90" s="162">
        <f t="shared" si="268"/>
        <v>156247</v>
      </c>
      <c r="P90" s="160">
        <v>174</v>
      </c>
      <c r="Q90" s="236">
        <v>15</v>
      </c>
      <c r="R90" s="229">
        <f t="shared" si="269"/>
        <v>8.6206896551724144E-2</v>
      </c>
      <c r="S90" s="163">
        <f t="shared" si="270"/>
        <v>103612</v>
      </c>
      <c r="T90" s="164">
        <f t="shared" si="271"/>
        <v>13470</v>
      </c>
      <c r="U90" s="165">
        <f t="shared" si="272"/>
        <v>5.7380412060714647E-8</v>
      </c>
      <c r="V90" s="87">
        <v>0.13</v>
      </c>
      <c r="W90" s="223"/>
      <c r="X90" s="23">
        <v>44511</v>
      </c>
      <c r="Y90" s="20" t="s">
        <v>197</v>
      </c>
      <c r="Z90" s="20"/>
      <c r="AA90" s="20"/>
      <c r="AB90" s="167"/>
    </row>
    <row r="91" spans="1:31" s="8" customFormat="1" x14ac:dyDescent="0.25">
      <c r="A91" s="207">
        <v>1</v>
      </c>
      <c r="B91" s="92" t="s">
        <v>189</v>
      </c>
      <c r="C91" s="90" t="str">
        <f>VLOOKUP($F91,Admin!$A$16:$E$19,2,FALSE)</f>
        <v>Alkalmazott (ipari) kutatás – Működési költség</v>
      </c>
      <c r="D91" s="160" t="s">
        <v>129</v>
      </c>
      <c r="E91" s="90" t="str">
        <f>VLOOKUP($F91,Admin!$A$16:$E$19,4,FALSE)</f>
        <v>54. Bérköltség - Kutató-fejlesztő munkatárs</v>
      </c>
      <c r="F91" s="90" t="s">
        <v>171</v>
      </c>
      <c r="G91" s="160" t="s">
        <v>174</v>
      </c>
      <c r="H91" s="160" t="s">
        <v>193</v>
      </c>
      <c r="I91" s="90" t="str">
        <f>VLOOKUP($F91,Admin!$A$16:$E$19,5,FALSE)</f>
        <v>K+F munkatárs</v>
      </c>
      <c r="J91" s="160" t="s">
        <v>41</v>
      </c>
      <c r="K91" s="160" t="str">
        <f t="shared" si="267"/>
        <v>2022.02</v>
      </c>
      <c r="L91" s="91" t="s">
        <v>8</v>
      </c>
      <c r="M91" s="92" t="s">
        <v>78</v>
      </c>
      <c r="N91" s="161">
        <v>1111000</v>
      </c>
      <c r="O91" s="162">
        <f t="shared" si="268"/>
        <v>144430</v>
      </c>
      <c r="P91" s="160">
        <v>174</v>
      </c>
      <c r="Q91" s="236">
        <v>20</v>
      </c>
      <c r="R91" s="229">
        <f t="shared" si="269"/>
        <v>0.11494252873563218</v>
      </c>
      <c r="S91" s="163">
        <f t="shared" si="270"/>
        <v>127701</v>
      </c>
      <c r="T91" s="164">
        <f t="shared" si="271"/>
        <v>16601</v>
      </c>
      <c r="U91" s="165">
        <f t="shared" si="272"/>
        <v>1.3449620824002029E-7</v>
      </c>
      <c r="V91" s="87">
        <v>0.13</v>
      </c>
      <c r="W91" s="223"/>
      <c r="X91" s="23">
        <v>44589</v>
      </c>
      <c r="Y91" s="20" t="s">
        <v>197</v>
      </c>
      <c r="Z91" s="20"/>
      <c r="AA91" s="20"/>
      <c r="AB91" s="167"/>
    </row>
    <row r="92" spans="1:31" s="8" customFormat="1" x14ac:dyDescent="0.25">
      <c r="A92" s="207">
        <v>1</v>
      </c>
      <c r="B92" s="92" t="s">
        <v>189</v>
      </c>
      <c r="C92" s="90" t="str">
        <f>VLOOKUP($F92,Admin!$A$16:$E$19,2,FALSE)</f>
        <v>Alkalmazott (ipari) kutatás – Működési költség</v>
      </c>
      <c r="D92" s="160" t="s">
        <v>129</v>
      </c>
      <c r="E92" s="90" t="str">
        <f>VLOOKUP($F92,Admin!$A$16:$E$19,4,FALSE)</f>
        <v>54. Bérköltség - Kutató-fejlesztő munkatárs</v>
      </c>
      <c r="F92" s="90" t="s">
        <v>171</v>
      </c>
      <c r="G92" s="160" t="s">
        <v>174</v>
      </c>
      <c r="H92" s="160" t="s">
        <v>193</v>
      </c>
      <c r="I92" s="90" t="str">
        <f>VLOOKUP($F92,Admin!$A$16:$E$19,5,FALSE)</f>
        <v>K+F munkatárs</v>
      </c>
      <c r="J92" s="160" t="s">
        <v>42</v>
      </c>
      <c r="K92" s="160" t="str">
        <f t="shared" si="267"/>
        <v>2022.03</v>
      </c>
      <c r="L92" s="91" t="s">
        <v>8</v>
      </c>
      <c r="M92" s="92" t="s">
        <v>78</v>
      </c>
      <c r="N92" s="161">
        <v>1110999</v>
      </c>
      <c r="O92" s="162">
        <f t="shared" si="268"/>
        <v>144430</v>
      </c>
      <c r="P92" s="160">
        <v>174</v>
      </c>
      <c r="Q92" s="236">
        <v>69</v>
      </c>
      <c r="R92" s="229">
        <f t="shared" si="269"/>
        <v>0.39655172413793105</v>
      </c>
      <c r="S92" s="163">
        <f t="shared" si="270"/>
        <v>440569</v>
      </c>
      <c r="T92" s="164">
        <f t="shared" si="271"/>
        <v>57274</v>
      </c>
      <c r="U92" s="165">
        <f t="shared" si="272"/>
        <v>-3.8797018064862243E-7</v>
      </c>
      <c r="V92" s="87">
        <v>0.13</v>
      </c>
      <c r="W92" s="223"/>
      <c r="X92" s="23">
        <v>44615</v>
      </c>
      <c r="Y92" s="20" t="s">
        <v>197</v>
      </c>
      <c r="Z92" s="20"/>
      <c r="AA92" s="20"/>
      <c r="AB92" s="167"/>
    </row>
    <row r="93" spans="1:31" s="8" customFormat="1" x14ac:dyDescent="0.25">
      <c r="A93" s="207">
        <v>1</v>
      </c>
      <c r="B93" s="92" t="s">
        <v>189</v>
      </c>
      <c r="C93" s="90" t="str">
        <f>VLOOKUP($F93,Admin!$A$16:$E$19,2,FALSE)</f>
        <v>Alkalmazott (ipari) kutatás – Működési költség</v>
      </c>
      <c r="D93" s="160" t="s">
        <v>129</v>
      </c>
      <c r="E93" s="90" t="str">
        <f>VLOOKUP($F93,Admin!$A$16:$E$19,4,FALSE)</f>
        <v>54. Bérköltség - Kutató-fejlesztő munkatárs</v>
      </c>
      <c r="F93" s="90" t="s">
        <v>171</v>
      </c>
      <c r="G93" s="160" t="s">
        <v>174</v>
      </c>
      <c r="H93" s="160" t="s">
        <v>193</v>
      </c>
      <c r="I93" s="90" t="str">
        <f>VLOOKUP($F93,Admin!$A$16:$E$19,5,FALSE)</f>
        <v>K+F munkatárs</v>
      </c>
      <c r="J93" s="160" t="s">
        <v>43</v>
      </c>
      <c r="K93" s="160" t="str">
        <f t="shared" si="267"/>
        <v>2022.04</v>
      </c>
      <c r="L93" s="91" t="s">
        <v>8</v>
      </c>
      <c r="M93" s="92" t="s">
        <v>78</v>
      </c>
      <c r="N93" s="161">
        <v>1111000</v>
      </c>
      <c r="O93" s="162">
        <f t="shared" ref="O93" si="273">ROUND(N93*V93,0)</f>
        <v>144430</v>
      </c>
      <c r="P93" s="160">
        <v>174</v>
      </c>
      <c r="Q93" s="236">
        <v>69</v>
      </c>
      <c r="R93" s="229">
        <f t="shared" ref="R93" si="274">Q93/P93</f>
        <v>0.39655172413793105</v>
      </c>
      <c r="S93" s="163">
        <f t="shared" ref="S93" si="275">ROUND(N93*Q93/P93,0)</f>
        <v>440569</v>
      </c>
      <c r="T93" s="164">
        <f t="shared" ref="T93" si="276">ROUND(S93*V93,0)</f>
        <v>57274</v>
      </c>
      <c r="U93" s="165">
        <f t="shared" ref="U93" si="277">Q93/P93-S93/N93</f>
        <v>-3.1037586500914927E-8</v>
      </c>
      <c r="V93" s="87">
        <v>0.13</v>
      </c>
      <c r="W93" s="223"/>
      <c r="X93" s="23">
        <v>44642</v>
      </c>
      <c r="Y93" s="20" t="s">
        <v>197</v>
      </c>
      <c r="Z93" s="20"/>
      <c r="AA93" s="20"/>
      <c r="AB93" s="167"/>
    </row>
    <row r="94" spans="1:31" s="8" customFormat="1" x14ac:dyDescent="0.25">
      <c r="A94" s="207">
        <v>1</v>
      </c>
      <c r="B94" s="92" t="s">
        <v>189</v>
      </c>
      <c r="C94" s="90" t="str">
        <f>VLOOKUP($F94,Admin!$A$16:$E$19,2,FALSE)</f>
        <v>Alkalmazott (ipari) kutatás – Működési költség</v>
      </c>
      <c r="D94" s="160" t="s">
        <v>129</v>
      </c>
      <c r="E94" s="90" t="str">
        <f>VLOOKUP($F94,Admin!$A$16:$E$19,4,FALSE)</f>
        <v>54. Bérköltség - Kutató-fejlesztő munkatárs</v>
      </c>
      <c r="F94" s="90" t="s">
        <v>171</v>
      </c>
      <c r="G94" s="160" t="s">
        <v>174</v>
      </c>
      <c r="H94" s="160" t="s">
        <v>193</v>
      </c>
      <c r="I94" s="90" t="str">
        <f>VLOOKUP($F94,Admin!$A$16:$E$19,5,FALSE)</f>
        <v>K+F munkatárs</v>
      </c>
      <c r="J94" s="160" t="s">
        <v>44</v>
      </c>
      <c r="K94" s="160" t="str">
        <f t="shared" si="267"/>
        <v>2022.05</v>
      </c>
      <c r="L94" s="91" t="s">
        <v>8</v>
      </c>
      <c r="M94" s="92" t="s">
        <v>78</v>
      </c>
      <c r="N94" s="161">
        <v>1111000</v>
      </c>
      <c r="O94" s="162">
        <f t="shared" ref="O94:O95" si="278">ROUND(N94*V94,0)</f>
        <v>144430</v>
      </c>
      <c r="P94" s="160">
        <v>174</v>
      </c>
      <c r="Q94" s="236">
        <v>69</v>
      </c>
      <c r="R94" s="229">
        <f t="shared" ref="R94:R95" si="279">Q94/P94</f>
        <v>0.39655172413793105</v>
      </c>
      <c r="S94" s="163">
        <f t="shared" ref="S94:S95" si="280">ROUND(N94*Q94/P94,0)</f>
        <v>440569</v>
      </c>
      <c r="T94" s="164">
        <f t="shared" ref="T94:T95" si="281">ROUND(S94*V94,0)</f>
        <v>57274</v>
      </c>
      <c r="U94" s="165">
        <f t="shared" ref="U94:U95" si="282">Q94/P94-S94/N94</f>
        <v>-3.1037586500914927E-8</v>
      </c>
      <c r="V94" s="87">
        <v>0.13</v>
      </c>
      <c r="W94" s="223"/>
      <c r="X94" s="23">
        <v>44642</v>
      </c>
      <c r="Y94" s="20" t="s">
        <v>197</v>
      </c>
      <c r="Z94" s="20"/>
      <c r="AA94" s="20"/>
      <c r="AB94" s="167"/>
    </row>
    <row r="95" spans="1:31" s="8" customFormat="1" x14ac:dyDescent="0.25">
      <c r="A95" s="207">
        <v>1</v>
      </c>
      <c r="B95" s="92" t="s">
        <v>189</v>
      </c>
      <c r="C95" s="90" t="str">
        <f>VLOOKUP($F95,Admin!$A$16:$E$19,2,FALSE)</f>
        <v>Alkalmazott (ipari) kutatás – Működési költség</v>
      </c>
      <c r="D95" s="160" t="s">
        <v>129</v>
      </c>
      <c r="E95" s="90" t="str">
        <f>VLOOKUP($F95,Admin!$A$16:$E$19,4,FALSE)</f>
        <v>54. Bérköltség - Kutató-fejlesztő munkatárs</v>
      </c>
      <c r="F95" s="90" t="s">
        <v>171</v>
      </c>
      <c r="G95" s="160" t="s">
        <v>174</v>
      </c>
      <c r="H95" s="160" t="s">
        <v>193</v>
      </c>
      <c r="I95" s="90" t="str">
        <f>VLOOKUP($F95,Admin!$A$16:$E$19,5,FALSE)</f>
        <v>K+F munkatárs</v>
      </c>
      <c r="J95" s="160" t="s">
        <v>45</v>
      </c>
      <c r="K95" s="160" t="str">
        <f t="shared" si="267"/>
        <v>2022.06</v>
      </c>
      <c r="L95" s="91" t="s">
        <v>8</v>
      </c>
      <c r="M95" s="92" t="s">
        <v>78</v>
      </c>
      <c r="N95" s="161">
        <v>1111000</v>
      </c>
      <c r="O95" s="162">
        <f t="shared" si="278"/>
        <v>144430</v>
      </c>
      <c r="P95" s="160">
        <v>174</v>
      </c>
      <c r="Q95" s="236">
        <v>69</v>
      </c>
      <c r="R95" s="229">
        <f t="shared" si="279"/>
        <v>0.39655172413793105</v>
      </c>
      <c r="S95" s="163">
        <f t="shared" si="280"/>
        <v>440569</v>
      </c>
      <c r="T95" s="164">
        <f t="shared" si="281"/>
        <v>57274</v>
      </c>
      <c r="U95" s="165">
        <f t="shared" si="282"/>
        <v>-3.1037586500914927E-8</v>
      </c>
      <c r="V95" s="87">
        <v>0.13</v>
      </c>
      <c r="W95" s="223"/>
      <c r="X95" s="23">
        <v>44642</v>
      </c>
      <c r="Y95" s="20" t="s">
        <v>197</v>
      </c>
      <c r="Z95" s="20"/>
      <c r="AA95" s="20"/>
      <c r="AB95" s="167"/>
    </row>
    <row r="96" spans="1:31" s="8" customFormat="1" x14ac:dyDescent="0.25">
      <c r="A96" s="207">
        <v>1</v>
      </c>
      <c r="B96" s="92" t="s">
        <v>189</v>
      </c>
      <c r="C96" s="90" t="str">
        <f>VLOOKUP($F96,Admin!$A$16:$E$19,2,FALSE)</f>
        <v>Alkalmazott (ipari) kutatás – Működési költség</v>
      </c>
      <c r="D96" s="160" t="s">
        <v>129</v>
      </c>
      <c r="E96" s="90" t="str">
        <f>VLOOKUP($F96,Admin!$A$16:$E$19,4,FALSE)</f>
        <v>54. Bérköltség - Kutató-fejlesztő munkatárs</v>
      </c>
      <c r="F96" s="90" t="s">
        <v>171</v>
      </c>
      <c r="G96" s="160" t="s">
        <v>174</v>
      </c>
      <c r="H96" s="160" t="s">
        <v>193</v>
      </c>
      <c r="I96" s="90" t="str">
        <f>VLOOKUP($F96,Admin!$A$16:$E$19,5,FALSE)</f>
        <v>K+F munkatárs</v>
      </c>
      <c r="J96" s="160" t="s">
        <v>46</v>
      </c>
      <c r="K96" s="160" t="str">
        <f t="shared" ref="K96:K97" si="283">J96</f>
        <v>2022.07</v>
      </c>
      <c r="L96" s="91" t="s">
        <v>8</v>
      </c>
      <c r="M96" s="92" t="s">
        <v>78</v>
      </c>
      <c r="N96" s="161">
        <v>1250000</v>
      </c>
      <c r="O96" s="162">
        <f t="shared" ref="O96" si="284">ROUND(N96*V96,0)</f>
        <v>162500</v>
      </c>
      <c r="P96" s="160">
        <v>174</v>
      </c>
      <c r="Q96" s="236">
        <v>25</v>
      </c>
      <c r="R96" s="229">
        <f t="shared" ref="R96" si="285">Q96/P96</f>
        <v>0.14367816091954022</v>
      </c>
      <c r="S96" s="163">
        <f t="shared" ref="S96" si="286">ROUND(N96*Q96/P96,0)</f>
        <v>179598</v>
      </c>
      <c r="T96" s="164">
        <f t="shared" ref="T96" si="287">ROUND(S96*V96,0)</f>
        <v>23348</v>
      </c>
      <c r="U96" s="165">
        <f t="shared" ref="U96" si="288">Q96/P96-S96/N96</f>
        <v>-2.3908045979070813E-7</v>
      </c>
      <c r="V96" s="87">
        <v>0.13</v>
      </c>
      <c r="W96" s="223"/>
      <c r="X96" s="23">
        <v>44739</v>
      </c>
      <c r="Y96" s="20" t="s">
        <v>197</v>
      </c>
      <c r="Z96" s="20"/>
      <c r="AA96" s="20"/>
      <c r="AB96" s="167"/>
    </row>
    <row r="97" spans="1:37" s="8" customFormat="1" x14ac:dyDescent="0.25">
      <c r="A97" s="207">
        <v>1</v>
      </c>
      <c r="B97" s="92" t="s">
        <v>189</v>
      </c>
      <c r="C97" s="90" t="str">
        <f>VLOOKUP($F97,Admin!$A$16:$E$19,2,FALSE)</f>
        <v>Alkalmazott (ipari) kutatás – Működési költség</v>
      </c>
      <c r="D97" s="160" t="s">
        <v>129</v>
      </c>
      <c r="E97" s="90" t="str">
        <f>VLOOKUP($F97,Admin!$A$16:$E$19,4,FALSE)</f>
        <v>54. Bérköltség - Kutató-fejlesztő munkatárs</v>
      </c>
      <c r="F97" s="90" t="s">
        <v>171</v>
      </c>
      <c r="G97" s="160" t="s">
        <v>174</v>
      </c>
      <c r="H97" s="160" t="s">
        <v>193</v>
      </c>
      <c r="I97" s="90" t="str">
        <f>VLOOKUP($F97,Admin!$A$16:$E$19,5,FALSE)</f>
        <v>K+F munkatárs</v>
      </c>
      <c r="J97" s="160" t="s">
        <v>47</v>
      </c>
      <c r="K97" s="160" t="str">
        <f t="shared" si="283"/>
        <v>2022.08</v>
      </c>
      <c r="L97" s="91" t="s">
        <v>8</v>
      </c>
      <c r="M97" s="92" t="s">
        <v>78</v>
      </c>
      <c r="N97" s="161">
        <v>1250000</v>
      </c>
      <c r="O97" s="162">
        <f t="shared" ref="O97" si="289">ROUND(N97*V97,0)</f>
        <v>162500</v>
      </c>
      <c r="P97" s="160">
        <v>174</v>
      </c>
      <c r="Q97" s="236">
        <v>25</v>
      </c>
      <c r="R97" s="229">
        <f t="shared" ref="R97" si="290">Q97/P97</f>
        <v>0.14367816091954022</v>
      </c>
      <c r="S97" s="163">
        <f t="shared" ref="S97" si="291">ROUND(N97*Q97/P97,0)</f>
        <v>179598</v>
      </c>
      <c r="T97" s="164">
        <f t="shared" ref="T97" si="292">ROUND(S97*V97,0)</f>
        <v>23348</v>
      </c>
      <c r="U97" s="165">
        <f t="shared" ref="U97" si="293">Q97/P97-S97/N97</f>
        <v>-2.3908045979070813E-7</v>
      </c>
      <c r="V97" s="87">
        <v>0.13</v>
      </c>
      <c r="W97" s="223"/>
      <c r="X97" s="23">
        <v>44739</v>
      </c>
      <c r="Y97" s="20" t="s">
        <v>197</v>
      </c>
      <c r="Z97" s="20"/>
      <c r="AA97" s="20"/>
      <c r="AB97" s="167"/>
    </row>
    <row r="98" spans="1:37" s="8" customFormat="1" x14ac:dyDescent="0.25">
      <c r="A98" s="207">
        <v>1</v>
      </c>
      <c r="B98" s="92" t="s">
        <v>189</v>
      </c>
      <c r="C98" s="90" t="str">
        <f>VLOOKUP($F98,Admin!$A$16:$E$19,2,FALSE)</f>
        <v>Alkalmazott (ipari) kutatás – Működési költség</v>
      </c>
      <c r="D98" s="160" t="s">
        <v>129</v>
      </c>
      <c r="E98" s="90" t="str">
        <f>VLOOKUP($F98,Admin!$A$16:$E$19,4,FALSE)</f>
        <v>54. Bérköltség - Kutató-fejlesztő munkatárs</v>
      </c>
      <c r="F98" s="90" t="s">
        <v>171</v>
      </c>
      <c r="G98" s="160" t="s">
        <v>174</v>
      </c>
      <c r="H98" s="160" t="s">
        <v>193</v>
      </c>
      <c r="I98" s="90" t="str">
        <f>VLOOKUP($F98,Admin!$A$16:$E$19,5,FALSE)</f>
        <v>K+F munkatárs</v>
      </c>
      <c r="J98" s="160" t="s">
        <v>48</v>
      </c>
      <c r="K98" s="160" t="str">
        <f t="shared" ref="K98:K101" si="294">J98</f>
        <v>2022.09</v>
      </c>
      <c r="L98" s="91" t="s">
        <v>8</v>
      </c>
      <c r="M98" s="92" t="s">
        <v>78</v>
      </c>
      <c r="N98" s="161">
        <v>1250000</v>
      </c>
      <c r="O98" s="162">
        <f t="shared" ref="O98" si="295">ROUND(N98*V98,0)</f>
        <v>162500</v>
      </c>
      <c r="P98" s="160">
        <v>174</v>
      </c>
      <c r="Q98" s="236">
        <v>25</v>
      </c>
      <c r="R98" s="229">
        <f t="shared" ref="R98" si="296">Q98/P98</f>
        <v>0.14367816091954022</v>
      </c>
      <c r="S98" s="163">
        <f t="shared" ref="S98" si="297">ROUND(N98*Q98/P98,0)</f>
        <v>179598</v>
      </c>
      <c r="T98" s="164">
        <f t="shared" ref="T98" si="298">ROUND(S98*V98,0)</f>
        <v>23348</v>
      </c>
      <c r="U98" s="165">
        <f t="shared" ref="U98" si="299">Q98/P98-S98/N98</f>
        <v>-2.3908045979070813E-7</v>
      </c>
      <c r="V98" s="87">
        <v>0.13</v>
      </c>
      <c r="W98" s="223"/>
      <c r="X98" s="23">
        <v>44803</v>
      </c>
      <c r="Y98" s="20" t="s">
        <v>197</v>
      </c>
      <c r="Z98" s="20"/>
      <c r="AA98" s="20"/>
      <c r="AB98" s="167"/>
    </row>
    <row r="99" spans="1:37" s="8" customFormat="1" x14ac:dyDescent="0.25">
      <c r="A99" s="207">
        <v>2</v>
      </c>
      <c r="B99" s="92" t="s">
        <v>189</v>
      </c>
      <c r="C99" s="90" t="str">
        <f>VLOOKUP($F99,Admin!$A$16:$E$19,2,FALSE)</f>
        <v>Alkalmazott (ipari) kutatás – Működési költség</v>
      </c>
      <c r="D99" s="160" t="s">
        <v>129</v>
      </c>
      <c r="E99" s="90" t="str">
        <f>VLOOKUP($F99,Admin!$A$16:$E$19,4,FALSE)</f>
        <v>54. Bérköltség - Kutató-fejlesztő munkatárs</v>
      </c>
      <c r="F99" s="90" t="s">
        <v>171</v>
      </c>
      <c r="G99" s="160" t="s">
        <v>174</v>
      </c>
      <c r="H99" s="160" t="s">
        <v>193</v>
      </c>
      <c r="I99" s="90" t="str">
        <f>VLOOKUP($F99,Admin!$A$16:$E$19,5,FALSE)</f>
        <v>K+F munkatárs</v>
      </c>
      <c r="J99" s="160" t="s">
        <v>49</v>
      </c>
      <c r="K99" s="160" t="str">
        <f t="shared" si="294"/>
        <v>2022.10</v>
      </c>
      <c r="L99" s="91" t="s">
        <v>8</v>
      </c>
      <c r="M99" s="92" t="s">
        <v>78</v>
      </c>
      <c r="N99" s="161">
        <v>1139998</v>
      </c>
      <c r="O99" s="162">
        <f t="shared" ref="O99" si="300">ROUND(N99*V99,0)</f>
        <v>148200</v>
      </c>
      <c r="P99" s="160">
        <v>174</v>
      </c>
      <c r="Q99" s="236">
        <v>25</v>
      </c>
      <c r="R99" s="229">
        <f t="shared" ref="R99" si="301">Q99/P99</f>
        <v>0.14367816091954022</v>
      </c>
      <c r="S99" s="163">
        <f t="shared" ref="S99" si="302">ROUND(N99*Q99/P99,0)</f>
        <v>163793</v>
      </c>
      <c r="T99" s="164">
        <f t="shared" ref="T99" si="303">ROUND(S99*V99,0)</f>
        <v>21293</v>
      </c>
      <c r="U99" s="165">
        <f t="shared" ref="U99" si="304">Q99/P99-S99/N99</f>
        <v>-1.6132313038208501E-7</v>
      </c>
      <c r="V99" s="87">
        <v>0.13</v>
      </c>
      <c r="W99" s="223"/>
      <c r="X99" s="23">
        <v>44838</v>
      </c>
      <c r="Y99" s="20" t="s">
        <v>197</v>
      </c>
      <c r="Z99" s="20"/>
      <c r="AA99" s="20"/>
      <c r="AB99" s="167"/>
      <c r="AF99" s="8">
        <v>168</v>
      </c>
      <c r="AG99" s="8">
        <f t="shared" ref="AG99:AG110" si="305">ROUNDUP(AF99*R99,2)</f>
        <v>24.14</v>
      </c>
      <c r="AH99" s="235">
        <v>44869</v>
      </c>
      <c r="AI99" s="8" t="str">
        <f t="shared" ref="AI99:AI110" si="306">CONCATENATE(J99,".01")</f>
        <v>2022.10.01</v>
      </c>
      <c r="AJ99" s="235">
        <f t="shared" ref="AJ99:AJ110" si="307">EOMONTH(AI99,0)</f>
        <v>44865</v>
      </c>
      <c r="AK99" s="8" t="str">
        <f t="shared" ref="AK99:AK110" si="308">CONCATENATE("A 2020-1.1.2-PIACI-KFI-2021-00219 számú 
támogatás keretében elszámolásra került: 
",TEXT(S99,"# ##0")," Ft bér + ",TEXT(T99,"# ##0")," Ft járulék")</f>
        <v>A 2020-1.1.2-PIACI-KFI-2021-00219 számú 
támogatás keretében elszámolásra került: 
163 793 Ft bér + 21 293 Ft járulék</v>
      </c>
    </row>
    <row r="100" spans="1:37" s="8" customFormat="1" x14ac:dyDescent="0.25">
      <c r="A100" s="207">
        <v>2</v>
      </c>
      <c r="B100" s="92" t="s">
        <v>189</v>
      </c>
      <c r="C100" s="90" t="str">
        <f>VLOOKUP($F100,Admin!$A$16:$E$19,2,FALSE)</f>
        <v>Alkalmazott (ipari) kutatás – Működési költség</v>
      </c>
      <c r="D100" s="160" t="s">
        <v>129</v>
      </c>
      <c r="E100" s="90" t="str">
        <f>VLOOKUP($F100,Admin!$A$16:$E$19,4,FALSE)</f>
        <v>54. Bérköltség - Kutató-fejlesztő munkatárs</v>
      </c>
      <c r="F100" s="90" t="s">
        <v>171</v>
      </c>
      <c r="G100" s="160" t="s">
        <v>174</v>
      </c>
      <c r="H100" s="160" t="s">
        <v>193</v>
      </c>
      <c r="I100" s="90" t="str">
        <f>VLOOKUP($F100,Admin!$A$16:$E$19,5,FALSE)</f>
        <v>K+F munkatárs</v>
      </c>
      <c r="J100" s="160" t="s">
        <v>50</v>
      </c>
      <c r="K100" s="160" t="str">
        <f t="shared" si="294"/>
        <v>2022.11</v>
      </c>
      <c r="L100" s="91" t="s">
        <v>8</v>
      </c>
      <c r="M100" s="92" t="s">
        <v>78</v>
      </c>
      <c r="N100" s="161">
        <v>1140000</v>
      </c>
      <c r="O100" s="162">
        <f t="shared" ref="O100:O101" si="309">ROUND(N100*V100,0)</f>
        <v>148200</v>
      </c>
      <c r="P100" s="160">
        <v>174</v>
      </c>
      <c r="Q100" s="236">
        <v>25</v>
      </c>
      <c r="R100" s="229">
        <f t="shared" ref="R100:R101" si="310">Q100/P100</f>
        <v>0.14367816091954022</v>
      </c>
      <c r="S100" s="163">
        <f t="shared" ref="S100:S101" si="311">ROUND(N100*Q100/P100,0)</f>
        <v>163793</v>
      </c>
      <c r="T100" s="164">
        <f t="shared" ref="T100:T101" si="312">ROUND(S100*V100,0)</f>
        <v>21293</v>
      </c>
      <c r="U100" s="165">
        <f t="shared" ref="U100:U101" si="313">Q100/P100-S100/N100</f>
        <v>9.0744101621798023E-8</v>
      </c>
      <c r="V100" s="87">
        <v>0.13</v>
      </c>
      <c r="W100" s="223" t="s">
        <v>223</v>
      </c>
      <c r="X100" s="23">
        <v>44838</v>
      </c>
      <c r="Y100" s="20" t="s">
        <v>197</v>
      </c>
      <c r="Z100" s="20"/>
      <c r="AA100" s="20"/>
      <c r="AB100" s="167"/>
      <c r="AC100" s="210" t="e">
        <v>#N/A</v>
      </c>
      <c r="AD100" s="211" t="e">
        <v>#N/A</v>
      </c>
      <c r="AE100" s="210" t="e">
        <v>#N/A</v>
      </c>
      <c r="AF100" s="8">
        <v>168</v>
      </c>
      <c r="AG100" s="8">
        <f t="shared" si="305"/>
        <v>24.14</v>
      </c>
      <c r="AH100" s="235">
        <v>44900</v>
      </c>
      <c r="AI100" s="8" t="str">
        <f t="shared" si="306"/>
        <v>2022.11.01</v>
      </c>
      <c r="AJ100" s="235">
        <f t="shared" si="307"/>
        <v>44895</v>
      </c>
      <c r="AK100" s="8" t="str">
        <f t="shared" si="308"/>
        <v>A 2020-1.1.2-PIACI-KFI-2021-00219 számú 
támogatás keretében elszámolásra került: 
163 793 Ft bér + 21 293 Ft járulék</v>
      </c>
    </row>
    <row r="101" spans="1:37" s="8" customFormat="1" x14ac:dyDescent="0.25">
      <c r="A101" s="207">
        <v>2</v>
      </c>
      <c r="B101" s="92" t="s">
        <v>189</v>
      </c>
      <c r="C101" s="90" t="str">
        <f>VLOOKUP($F101,Admin!$A$16:$E$19,2,FALSE)</f>
        <v>Alkalmazott (ipari) kutatás – Működési költség</v>
      </c>
      <c r="D101" s="160" t="s">
        <v>129</v>
      </c>
      <c r="E101" s="90" t="str">
        <f>VLOOKUP($F101,Admin!$A$16:$E$19,4,FALSE)</f>
        <v>54. Bérköltség - Kutató-fejlesztő munkatárs</v>
      </c>
      <c r="F101" s="90" t="s">
        <v>171</v>
      </c>
      <c r="G101" s="160" t="s">
        <v>174</v>
      </c>
      <c r="H101" s="160" t="s">
        <v>193</v>
      </c>
      <c r="I101" s="90" t="str">
        <f>VLOOKUP($F101,Admin!$A$16:$E$19,5,FALSE)</f>
        <v>K+F munkatárs</v>
      </c>
      <c r="J101" s="160" t="s">
        <v>51</v>
      </c>
      <c r="K101" s="160" t="str">
        <f t="shared" si="294"/>
        <v>2022.12</v>
      </c>
      <c r="L101" s="91" t="s">
        <v>8</v>
      </c>
      <c r="M101" s="92" t="s">
        <v>78</v>
      </c>
      <c r="N101" s="161">
        <v>1139999</v>
      </c>
      <c r="O101" s="162">
        <f t="shared" si="309"/>
        <v>148200</v>
      </c>
      <c r="P101" s="160">
        <v>174</v>
      </c>
      <c r="Q101" s="236">
        <v>25</v>
      </c>
      <c r="R101" s="229">
        <f t="shared" si="310"/>
        <v>0.14367816091954022</v>
      </c>
      <c r="S101" s="163">
        <f t="shared" si="311"/>
        <v>163793</v>
      </c>
      <c r="T101" s="164">
        <f t="shared" si="312"/>
        <v>21293</v>
      </c>
      <c r="U101" s="165">
        <f t="shared" si="313"/>
        <v>-3.5289403815808029E-8</v>
      </c>
      <c r="V101" s="87">
        <v>0.13</v>
      </c>
      <c r="W101" s="223" t="s">
        <v>223</v>
      </c>
      <c r="X101" s="23">
        <v>44838</v>
      </c>
      <c r="Y101" s="20" t="s">
        <v>197</v>
      </c>
      <c r="Z101" s="20"/>
      <c r="AA101" s="20"/>
      <c r="AB101" s="167"/>
      <c r="AC101" s="210" t="s">
        <v>246</v>
      </c>
      <c r="AD101" s="210" t="s">
        <v>247</v>
      </c>
      <c r="AE101" s="210" t="s">
        <v>247</v>
      </c>
      <c r="AF101" s="8">
        <v>168</v>
      </c>
      <c r="AG101" s="8">
        <f t="shared" si="305"/>
        <v>24.14</v>
      </c>
      <c r="AH101" s="235">
        <v>44931</v>
      </c>
      <c r="AI101" s="8" t="str">
        <f t="shared" si="306"/>
        <v>2022.12.01</v>
      </c>
      <c r="AJ101" s="235">
        <f t="shared" si="307"/>
        <v>44926</v>
      </c>
      <c r="AK101" s="8" t="str">
        <f t="shared" si="308"/>
        <v>A 2020-1.1.2-PIACI-KFI-2021-00219 számú 
támogatás keretében elszámolásra került: 
163 793 Ft bér + 21 293 Ft járulék</v>
      </c>
    </row>
    <row r="102" spans="1:37" s="8" customFormat="1" x14ac:dyDescent="0.25">
      <c r="A102" s="207">
        <v>2</v>
      </c>
      <c r="B102" s="92" t="s">
        <v>189</v>
      </c>
      <c r="C102" s="90" t="str">
        <f>VLOOKUP($F102,Admin!$A$16:$E$19,2,FALSE)</f>
        <v>Alkalmazott (ipari) kutatás – Működési költség</v>
      </c>
      <c r="D102" s="160" t="s">
        <v>129</v>
      </c>
      <c r="E102" s="90" t="str">
        <f>VLOOKUP($F102,Admin!$A$16:$E$19,4,FALSE)</f>
        <v>54. Bérköltség - Kutató-fejlesztő munkatárs</v>
      </c>
      <c r="F102" s="90" t="s">
        <v>171</v>
      </c>
      <c r="G102" s="160" t="s">
        <v>174</v>
      </c>
      <c r="H102" s="160" t="s">
        <v>193</v>
      </c>
      <c r="I102" s="90" t="str">
        <f>VLOOKUP($F102,Admin!$A$16:$E$19,5,FALSE)</f>
        <v>K+F munkatárs</v>
      </c>
      <c r="J102" s="160" t="s">
        <v>64</v>
      </c>
      <c r="K102" s="160" t="str">
        <f t="shared" ref="K102:K104" si="314">J102</f>
        <v>2023.01</v>
      </c>
      <c r="L102" s="91" t="s">
        <v>8</v>
      </c>
      <c r="M102" s="92" t="s">
        <v>78</v>
      </c>
      <c r="N102" s="161">
        <v>890000</v>
      </c>
      <c r="O102" s="162">
        <f t="shared" ref="O102" si="315">ROUND(N102*V102,0)</f>
        <v>115700</v>
      </c>
      <c r="P102" s="160">
        <v>174</v>
      </c>
      <c r="Q102" s="236">
        <v>86</v>
      </c>
      <c r="R102" s="229">
        <f t="shared" ref="R102" si="316">Q102/P102</f>
        <v>0.4942528735632184</v>
      </c>
      <c r="S102" s="163">
        <f t="shared" ref="S102" si="317">ROUND(N102*Q102/P102,0)</f>
        <v>439885</v>
      </c>
      <c r="T102" s="164">
        <f t="shared" ref="T102" si="318">ROUND(S102*V102,0)</f>
        <v>57185</v>
      </c>
      <c r="U102" s="165">
        <f t="shared" ref="U102" si="319">Q102/P102-S102/N102</f>
        <v>6.4574454339272336E-8</v>
      </c>
      <c r="V102" s="87">
        <v>0.13</v>
      </c>
      <c r="W102" s="223" t="s">
        <v>223</v>
      </c>
      <c r="X102" s="23">
        <v>44936</v>
      </c>
      <c r="Y102" s="20" t="s">
        <v>197</v>
      </c>
      <c r="Z102" s="20"/>
      <c r="AA102" s="20"/>
      <c r="AB102" s="167"/>
      <c r="AC102" s="210" t="s">
        <v>246</v>
      </c>
      <c r="AD102" s="210">
        <v>0</v>
      </c>
      <c r="AE102" s="210">
        <v>0</v>
      </c>
      <c r="AF102" s="8">
        <v>176</v>
      </c>
      <c r="AG102" s="8">
        <f t="shared" si="305"/>
        <v>86.990000000000009</v>
      </c>
      <c r="AH102" s="235">
        <v>44960</v>
      </c>
      <c r="AI102" s="8" t="str">
        <f t="shared" si="306"/>
        <v>2023.01.01</v>
      </c>
      <c r="AJ102" s="235">
        <f t="shared" si="307"/>
        <v>44957</v>
      </c>
      <c r="AK102" s="8" t="str">
        <f t="shared" si="308"/>
        <v>A 2020-1.1.2-PIACI-KFI-2021-00219 számú 
támogatás keretében elszámolásra került: 
439 885 Ft bér + 57 185 Ft járulék</v>
      </c>
    </row>
    <row r="103" spans="1:37" s="8" customFormat="1" x14ac:dyDescent="0.25">
      <c r="A103" s="207">
        <v>2</v>
      </c>
      <c r="B103" s="92" t="s">
        <v>189</v>
      </c>
      <c r="C103" s="90" t="str">
        <f>VLOOKUP($F103,Admin!$A$16:$E$19,2,FALSE)</f>
        <v>Alkalmazott (ipari) kutatás – Működési költség</v>
      </c>
      <c r="D103" s="160" t="s">
        <v>129</v>
      </c>
      <c r="E103" s="90" t="str">
        <f>VLOOKUP($F103,Admin!$A$16:$E$19,4,FALSE)</f>
        <v>54. Bérköltség - Kutató-fejlesztő munkatárs</v>
      </c>
      <c r="F103" s="90" t="s">
        <v>171</v>
      </c>
      <c r="G103" s="160" t="s">
        <v>174</v>
      </c>
      <c r="H103" s="160" t="s">
        <v>193</v>
      </c>
      <c r="I103" s="90" t="str">
        <f>VLOOKUP($F103,Admin!$A$16:$E$19,5,FALSE)</f>
        <v>K+F munkatárs</v>
      </c>
      <c r="J103" s="160" t="s">
        <v>65</v>
      </c>
      <c r="K103" s="160" t="str">
        <f t="shared" si="314"/>
        <v>2023.02</v>
      </c>
      <c r="L103" s="91" t="s">
        <v>8</v>
      </c>
      <c r="M103" s="92" t="s">
        <v>78</v>
      </c>
      <c r="N103" s="161">
        <v>890000</v>
      </c>
      <c r="O103" s="162">
        <f t="shared" ref="O103:O104" si="320">ROUND(N103*V103,0)</f>
        <v>115700</v>
      </c>
      <c r="P103" s="160">
        <v>174</v>
      </c>
      <c r="Q103" s="236">
        <v>86</v>
      </c>
      <c r="R103" s="229">
        <f t="shared" ref="R103:R104" si="321">Q103/P103</f>
        <v>0.4942528735632184</v>
      </c>
      <c r="S103" s="163">
        <f t="shared" ref="S103:S104" si="322">ROUND(N103*Q103/P103,0)</f>
        <v>439885</v>
      </c>
      <c r="T103" s="164">
        <f t="shared" ref="T103:T104" si="323">ROUND(S103*V103,0)</f>
        <v>57185</v>
      </c>
      <c r="U103" s="165">
        <f t="shared" ref="U103:U104" si="324">Q103/P103-S103/N103</f>
        <v>6.4574454339272336E-8</v>
      </c>
      <c r="V103" s="87">
        <v>0.13</v>
      </c>
      <c r="W103" s="223" t="s">
        <v>223</v>
      </c>
      <c r="X103" s="23">
        <v>44936</v>
      </c>
      <c r="Y103" s="20" t="s">
        <v>197</v>
      </c>
      <c r="Z103" s="20"/>
      <c r="AA103" s="20"/>
      <c r="AB103" s="167"/>
      <c r="AC103" s="8" t="s">
        <v>246</v>
      </c>
      <c r="AD103" s="8">
        <v>320000</v>
      </c>
      <c r="AE103" s="8">
        <v>59384</v>
      </c>
      <c r="AF103" s="8">
        <v>160</v>
      </c>
      <c r="AG103" s="8">
        <f t="shared" si="305"/>
        <v>79.09</v>
      </c>
      <c r="AH103" s="235">
        <v>44988</v>
      </c>
      <c r="AI103" s="8" t="str">
        <f t="shared" si="306"/>
        <v>2023.02.01</v>
      </c>
      <c r="AJ103" s="235">
        <f t="shared" si="307"/>
        <v>44985</v>
      </c>
      <c r="AK103" s="8" t="str">
        <f t="shared" si="308"/>
        <v>A 2020-1.1.2-PIACI-KFI-2021-00219 számú 
támogatás keretében elszámolásra került: 
439 885 Ft bér + 57 185 Ft járulék</v>
      </c>
    </row>
    <row r="104" spans="1:37" s="8" customFormat="1" x14ac:dyDescent="0.25">
      <c r="A104" s="207">
        <v>2</v>
      </c>
      <c r="B104" s="92" t="s">
        <v>189</v>
      </c>
      <c r="C104" s="90" t="str">
        <f>VLOOKUP($F104,Admin!$A$16:$E$19,2,FALSE)</f>
        <v>Alkalmazott (ipari) kutatás – Működési költség</v>
      </c>
      <c r="D104" s="160" t="s">
        <v>129</v>
      </c>
      <c r="E104" s="90" t="str">
        <f>VLOOKUP($F104,Admin!$A$16:$E$19,4,FALSE)</f>
        <v>54. Bérköltség - Kutató-fejlesztő munkatárs</v>
      </c>
      <c r="F104" s="90" t="s">
        <v>171</v>
      </c>
      <c r="G104" s="160" t="s">
        <v>174</v>
      </c>
      <c r="H104" s="160" t="s">
        <v>193</v>
      </c>
      <c r="I104" s="90" t="str">
        <f>VLOOKUP($F104,Admin!$A$16:$E$19,5,FALSE)</f>
        <v>K+F munkatárs</v>
      </c>
      <c r="J104" s="160" t="s">
        <v>66</v>
      </c>
      <c r="K104" s="160" t="str">
        <f t="shared" si="314"/>
        <v>2023.03</v>
      </c>
      <c r="L104" s="91" t="s">
        <v>8</v>
      </c>
      <c r="M104" s="92" t="s">
        <v>78</v>
      </c>
      <c r="N104" s="161">
        <v>890000</v>
      </c>
      <c r="O104" s="162">
        <f t="shared" si="320"/>
        <v>115700</v>
      </c>
      <c r="P104" s="160">
        <v>174</v>
      </c>
      <c r="Q104" s="236">
        <v>86</v>
      </c>
      <c r="R104" s="229">
        <f t="shared" si="321"/>
        <v>0.4942528735632184</v>
      </c>
      <c r="S104" s="163">
        <f t="shared" si="322"/>
        <v>439885</v>
      </c>
      <c r="T104" s="164">
        <f t="shared" si="323"/>
        <v>57185</v>
      </c>
      <c r="U104" s="165">
        <f t="shared" si="324"/>
        <v>6.4574454339272336E-8</v>
      </c>
      <c r="V104" s="87">
        <v>0.13</v>
      </c>
      <c r="W104" s="223" t="s">
        <v>223</v>
      </c>
      <c r="X104" s="23">
        <v>44936</v>
      </c>
      <c r="Y104" s="20" t="s">
        <v>197</v>
      </c>
      <c r="Z104" s="20"/>
      <c r="AA104" s="20"/>
      <c r="AB104" s="167"/>
      <c r="AC104" s="8" t="s">
        <v>246</v>
      </c>
      <c r="AD104" s="8">
        <v>320000</v>
      </c>
      <c r="AE104" s="8">
        <v>59384</v>
      </c>
      <c r="AF104" s="8">
        <v>176</v>
      </c>
      <c r="AG104" s="8">
        <f t="shared" si="305"/>
        <v>86.990000000000009</v>
      </c>
      <c r="AH104" s="235">
        <v>45021</v>
      </c>
      <c r="AI104" s="8" t="str">
        <f t="shared" si="306"/>
        <v>2023.03.01</v>
      </c>
      <c r="AJ104" s="235">
        <f t="shared" si="307"/>
        <v>45016</v>
      </c>
      <c r="AK104" s="8" t="str">
        <f t="shared" si="308"/>
        <v>A 2020-1.1.2-PIACI-KFI-2021-00219 számú 
támogatás keretében elszámolásra került: 
439 885 Ft bér + 57 185 Ft járulék</v>
      </c>
    </row>
    <row r="105" spans="1:37" s="8" customFormat="1" x14ac:dyDescent="0.25">
      <c r="A105" s="207">
        <v>2</v>
      </c>
      <c r="B105" s="92" t="s">
        <v>189</v>
      </c>
      <c r="C105" s="90" t="str">
        <f>VLOOKUP($F105,Admin!$A$16:$E$19,2,FALSE)</f>
        <v>Alkalmazott (ipari) kutatás – Működési költség</v>
      </c>
      <c r="D105" s="160" t="s">
        <v>129</v>
      </c>
      <c r="E105" s="90" t="str">
        <f>VLOOKUP($F105,Admin!$A$16:$E$19,4,FALSE)</f>
        <v>54. Bérköltség - Kutató-fejlesztő munkatárs</v>
      </c>
      <c r="F105" s="90" t="s">
        <v>171</v>
      </c>
      <c r="G105" s="160" t="s">
        <v>174</v>
      </c>
      <c r="H105" s="160" t="s">
        <v>193</v>
      </c>
      <c r="I105" s="90" t="str">
        <f>VLOOKUP($F105,Admin!$A$16:$E$19,5,FALSE)</f>
        <v>K+F munkatárs</v>
      </c>
      <c r="J105" s="160" t="s">
        <v>67</v>
      </c>
      <c r="K105" s="160" t="str">
        <f t="shared" ref="K105:K107" si="325">J105</f>
        <v>2023.04</v>
      </c>
      <c r="L105" s="91" t="s">
        <v>8</v>
      </c>
      <c r="M105" s="92" t="s">
        <v>78</v>
      </c>
      <c r="N105" s="161">
        <v>1210000</v>
      </c>
      <c r="O105" s="162">
        <f t="shared" ref="O105" si="326">ROUND(N105*V105,0)</f>
        <v>157300</v>
      </c>
      <c r="P105" s="160">
        <v>174</v>
      </c>
      <c r="Q105" s="236">
        <v>91</v>
      </c>
      <c r="R105" s="229">
        <f t="shared" ref="R105" si="327">Q105/P105</f>
        <v>0.52298850574712641</v>
      </c>
      <c r="S105" s="163">
        <f t="shared" ref="S105" si="328">ROUND(N105*Q105/P105,0)</f>
        <v>632816</v>
      </c>
      <c r="T105" s="164">
        <f t="shared" ref="T105" si="329">ROUND(S105*V105,0)</f>
        <v>82266</v>
      </c>
      <c r="U105" s="165">
        <f t="shared" ref="U105" si="330">Q105/P105-S105/N105</f>
        <v>7.5995060244693491E-8</v>
      </c>
      <c r="V105" s="87">
        <v>0.13</v>
      </c>
      <c r="W105" s="223" t="s">
        <v>223</v>
      </c>
      <c r="X105" s="23">
        <v>45002</v>
      </c>
      <c r="Y105" s="20" t="s">
        <v>197</v>
      </c>
      <c r="Z105" s="20"/>
      <c r="AA105" s="20"/>
      <c r="AB105" s="167"/>
      <c r="AC105" s="8" t="s">
        <v>246</v>
      </c>
      <c r="AD105" s="8">
        <v>0</v>
      </c>
      <c r="AE105" s="233">
        <v>17784</v>
      </c>
      <c r="AF105" s="8">
        <v>144</v>
      </c>
      <c r="AG105" s="8">
        <f t="shared" si="305"/>
        <v>75.320000000000007</v>
      </c>
      <c r="AH105" s="235">
        <v>45051</v>
      </c>
      <c r="AI105" s="8" t="str">
        <f t="shared" si="306"/>
        <v>2023.04.01</v>
      </c>
      <c r="AJ105" s="235">
        <f t="shared" si="307"/>
        <v>45046</v>
      </c>
      <c r="AK105" s="8" t="str">
        <f t="shared" si="308"/>
        <v>A 2020-1.1.2-PIACI-KFI-2021-00219 számú 
támogatás keretében elszámolásra került: 
632 816 Ft bér + 82 266 Ft járulék</v>
      </c>
    </row>
    <row r="106" spans="1:37" s="8" customFormat="1" x14ac:dyDescent="0.25">
      <c r="A106" s="207">
        <v>2</v>
      </c>
      <c r="B106" s="92" t="s">
        <v>189</v>
      </c>
      <c r="C106" s="90" t="str">
        <f>VLOOKUP($F106,Admin!$A$16:$E$19,2,FALSE)</f>
        <v>Alkalmazott (ipari) kutatás – Működési költség</v>
      </c>
      <c r="D106" s="160" t="s">
        <v>129</v>
      </c>
      <c r="E106" s="90" t="str">
        <f>VLOOKUP($F106,Admin!$A$16:$E$19,4,FALSE)</f>
        <v>54. Bérköltség - Kutató-fejlesztő munkatárs</v>
      </c>
      <c r="F106" s="90" t="s">
        <v>171</v>
      </c>
      <c r="G106" s="160" t="s">
        <v>174</v>
      </c>
      <c r="H106" s="160" t="s">
        <v>193</v>
      </c>
      <c r="I106" s="90" t="str">
        <f>VLOOKUP($F106,Admin!$A$16:$E$19,5,FALSE)</f>
        <v>K+F munkatárs</v>
      </c>
      <c r="J106" s="160" t="s">
        <v>68</v>
      </c>
      <c r="K106" s="160" t="str">
        <f t="shared" si="325"/>
        <v>2023.05</v>
      </c>
      <c r="L106" s="91" t="s">
        <v>8</v>
      </c>
      <c r="M106" s="92" t="s">
        <v>78</v>
      </c>
      <c r="N106" s="161">
        <v>1210000</v>
      </c>
      <c r="O106" s="162">
        <f t="shared" ref="O106:O107" si="331">ROUND(N106*V106,0)</f>
        <v>157300</v>
      </c>
      <c r="P106" s="160">
        <v>174</v>
      </c>
      <c r="Q106" s="236">
        <v>91</v>
      </c>
      <c r="R106" s="229">
        <f t="shared" ref="R106:R107" si="332">Q106/P106</f>
        <v>0.52298850574712641</v>
      </c>
      <c r="S106" s="163">
        <f t="shared" ref="S106:S107" si="333">ROUND(N106*Q106/P106,0)</f>
        <v>632816</v>
      </c>
      <c r="T106" s="164">
        <f t="shared" ref="T106:T107" si="334">ROUND(S106*V106,0)</f>
        <v>82266</v>
      </c>
      <c r="U106" s="165">
        <f t="shared" ref="U106:U107" si="335">Q106/P106-S106/N106</f>
        <v>7.5995060244693491E-8</v>
      </c>
      <c r="V106" s="87">
        <v>0.13</v>
      </c>
      <c r="W106" s="223" t="s">
        <v>223</v>
      </c>
      <c r="X106" s="23">
        <v>45002</v>
      </c>
      <c r="Y106" s="20" t="s">
        <v>197</v>
      </c>
      <c r="Z106" s="20"/>
      <c r="AA106" s="20"/>
      <c r="AB106" s="167"/>
      <c r="AC106" s="8" t="s">
        <v>246</v>
      </c>
      <c r="AD106" s="8">
        <v>0</v>
      </c>
      <c r="AE106" s="8">
        <v>0</v>
      </c>
      <c r="AF106" s="8">
        <v>168</v>
      </c>
      <c r="AG106" s="8">
        <f t="shared" si="305"/>
        <v>87.87</v>
      </c>
      <c r="AH106" s="235">
        <v>45082</v>
      </c>
      <c r="AI106" s="8" t="str">
        <f t="shared" si="306"/>
        <v>2023.05.01</v>
      </c>
      <c r="AJ106" s="235">
        <f t="shared" si="307"/>
        <v>45077</v>
      </c>
      <c r="AK106" s="8" t="str">
        <f t="shared" si="308"/>
        <v>A 2020-1.1.2-PIACI-KFI-2021-00219 számú 
támogatás keretében elszámolásra került: 
632 816 Ft bér + 82 266 Ft járulék</v>
      </c>
    </row>
    <row r="107" spans="1:37" s="8" customFormat="1" x14ac:dyDescent="0.25">
      <c r="A107" s="207">
        <v>2</v>
      </c>
      <c r="B107" s="92" t="s">
        <v>189</v>
      </c>
      <c r="C107" s="90" t="str">
        <f>VLOOKUP($F107,Admin!$A$16:$E$19,2,FALSE)</f>
        <v>Alkalmazott (ipari) kutatás – Működési költség</v>
      </c>
      <c r="D107" s="160" t="s">
        <v>129</v>
      </c>
      <c r="E107" s="90" t="str">
        <f>VLOOKUP($F107,Admin!$A$16:$E$19,4,FALSE)</f>
        <v>54. Bérköltség - Kutató-fejlesztő munkatárs</v>
      </c>
      <c r="F107" s="90" t="s">
        <v>171</v>
      </c>
      <c r="G107" s="160" t="s">
        <v>174</v>
      </c>
      <c r="H107" s="160" t="s">
        <v>193</v>
      </c>
      <c r="I107" s="90" t="str">
        <f>VLOOKUP($F107,Admin!$A$16:$E$19,5,FALSE)</f>
        <v>K+F munkatárs</v>
      </c>
      <c r="J107" s="160" t="s">
        <v>69</v>
      </c>
      <c r="K107" s="160" t="str">
        <f t="shared" si="325"/>
        <v>2023.06</v>
      </c>
      <c r="L107" s="91" t="s">
        <v>8</v>
      </c>
      <c r="M107" s="92" t="s">
        <v>78</v>
      </c>
      <c r="N107" s="161">
        <v>1210000</v>
      </c>
      <c r="O107" s="162">
        <f t="shared" si="331"/>
        <v>157300</v>
      </c>
      <c r="P107" s="160">
        <v>174</v>
      </c>
      <c r="Q107" s="236">
        <v>91</v>
      </c>
      <c r="R107" s="229">
        <f t="shared" si="332"/>
        <v>0.52298850574712641</v>
      </c>
      <c r="S107" s="163">
        <f t="shared" si="333"/>
        <v>632816</v>
      </c>
      <c r="T107" s="164">
        <f t="shared" si="334"/>
        <v>82266</v>
      </c>
      <c r="U107" s="165">
        <f t="shared" si="335"/>
        <v>7.5995060244693491E-8</v>
      </c>
      <c r="V107" s="87">
        <v>0.13</v>
      </c>
      <c r="W107" s="223" t="s">
        <v>223</v>
      </c>
      <c r="X107" s="23">
        <v>45002</v>
      </c>
      <c r="Y107" s="20" t="s">
        <v>197</v>
      </c>
      <c r="Z107" s="20"/>
      <c r="AA107" s="20"/>
      <c r="AB107" s="167"/>
      <c r="AC107" s="8" t="s">
        <v>246</v>
      </c>
      <c r="AD107" s="8">
        <v>0</v>
      </c>
      <c r="AE107" s="8">
        <v>0</v>
      </c>
      <c r="AF107" s="8">
        <v>176</v>
      </c>
      <c r="AG107" s="8">
        <f t="shared" si="305"/>
        <v>92.050000000000011</v>
      </c>
      <c r="AH107" s="235">
        <v>45112</v>
      </c>
      <c r="AI107" s="8" t="str">
        <f t="shared" si="306"/>
        <v>2023.06.01</v>
      </c>
      <c r="AJ107" s="235">
        <f t="shared" si="307"/>
        <v>45107</v>
      </c>
      <c r="AK107" s="8" t="str">
        <f t="shared" si="308"/>
        <v>A 2020-1.1.2-PIACI-KFI-2021-00219 számú 
támogatás keretében elszámolásra került: 
632 816 Ft bér + 82 266 Ft járulék</v>
      </c>
    </row>
    <row r="108" spans="1:37" s="8" customFormat="1" x14ac:dyDescent="0.25">
      <c r="A108" s="207">
        <v>2</v>
      </c>
      <c r="B108" s="92" t="s">
        <v>189</v>
      </c>
      <c r="C108" s="90" t="str">
        <f>VLOOKUP($F108,Admin!$A$16:$E$19,2,FALSE)</f>
        <v>Alkalmazott (ipari) kutatás – Működési költség</v>
      </c>
      <c r="D108" s="160" t="s">
        <v>129</v>
      </c>
      <c r="E108" s="90" t="str">
        <f>VLOOKUP($F108,Admin!$A$16:$E$19,4,FALSE)</f>
        <v>54. Bérköltség - Kutató-fejlesztő munkatárs</v>
      </c>
      <c r="F108" s="90" t="s">
        <v>171</v>
      </c>
      <c r="G108" s="160" t="s">
        <v>174</v>
      </c>
      <c r="H108" s="160" t="s">
        <v>193</v>
      </c>
      <c r="I108" s="90" t="str">
        <f>VLOOKUP($F108,Admin!$A$16:$E$19,5,FALSE)</f>
        <v>K+F munkatárs</v>
      </c>
      <c r="J108" s="160" t="s">
        <v>70</v>
      </c>
      <c r="K108" s="160" t="str">
        <f t="shared" ref="K108:K112" si="336">J108</f>
        <v>2023.07</v>
      </c>
      <c r="L108" s="91" t="s">
        <v>8</v>
      </c>
      <c r="M108" s="92" t="s">
        <v>78</v>
      </c>
      <c r="N108" s="161">
        <v>1210000</v>
      </c>
      <c r="O108" s="162">
        <f t="shared" ref="O108" si="337">ROUND(N108*V108,0)</f>
        <v>157300</v>
      </c>
      <c r="P108" s="160">
        <v>174</v>
      </c>
      <c r="Q108" s="236">
        <v>91</v>
      </c>
      <c r="R108" s="229">
        <f t="shared" ref="R108" si="338">Q108/P108</f>
        <v>0.52298850574712641</v>
      </c>
      <c r="S108" s="163">
        <f t="shared" ref="S108" si="339">ROUND(N108*Q108/P108,0)</f>
        <v>632816</v>
      </c>
      <c r="T108" s="164">
        <f t="shared" ref="T108" si="340">ROUND(S108*V108,0)</f>
        <v>82266</v>
      </c>
      <c r="U108" s="165">
        <f t="shared" ref="U108" si="341">Q108/P108-S108/N108</f>
        <v>7.5995060244693491E-8</v>
      </c>
      <c r="V108" s="87">
        <v>0.13</v>
      </c>
      <c r="W108" s="223" t="s">
        <v>223</v>
      </c>
      <c r="X108" s="23">
        <v>45082</v>
      </c>
      <c r="Y108" s="20" t="s">
        <v>197</v>
      </c>
      <c r="Z108" s="20"/>
      <c r="AA108" s="20"/>
      <c r="AB108" s="167"/>
      <c r="AC108" s="8" t="s">
        <v>246</v>
      </c>
      <c r="AD108" s="8">
        <v>1</v>
      </c>
      <c r="AE108" s="8">
        <v>0</v>
      </c>
      <c r="AF108" s="8">
        <v>168</v>
      </c>
      <c r="AG108" s="8">
        <f t="shared" si="305"/>
        <v>87.87</v>
      </c>
      <c r="AH108" s="235">
        <v>45142</v>
      </c>
      <c r="AI108" s="8" t="str">
        <f t="shared" si="306"/>
        <v>2023.07.01</v>
      </c>
      <c r="AJ108" s="235">
        <f t="shared" si="307"/>
        <v>45138</v>
      </c>
      <c r="AK108" s="8" t="str">
        <f t="shared" si="308"/>
        <v>A 2020-1.1.2-PIACI-KFI-2021-00219 számú 
támogatás keretében elszámolásra került: 
632 816 Ft bér + 82 266 Ft járulék</v>
      </c>
    </row>
    <row r="109" spans="1:37" s="8" customFormat="1" x14ac:dyDescent="0.25">
      <c r="A109" s="207">
        <v>2</v>
      </c>
      <c r="B109" s="92" t="s">
        <v>189</v>
      </c>
      <c r="C109" s="90" t="str">
        <f>VLOOKUP($F109,Admin!$A$16:$E$19,2,FALSE)</f>
        <v>Alkalmazott (ipari) kutatás – Működési költség</v>
      </c>
      <c r="D109" s="160" t="s">
        <v>129</v>
      </c>
      <c r="E109" s="90" t="str">
        <f>VLOOKUP($F109,Admin!$A$16:$E$19,4,FALSE)</f>
        <v>54. Bérköltség - Kutató-fejlesztő munkatárs</v>
      </c>
      <c r="F109" s="90" t="s">
        <v>171</v>
      </c>
      <c r="G109" s="160" t="s">
        <v>174</v>
      </c>
      <c r="H109" s="160" t="s">
        <v>193</v>
      </c>
      <c r="I109" s="90" t="str">
        <f>VLOOKUP($F109,Admin!$A$16:$E$19,5,FALSE)</f>
        <v>K+F munkatárs</v>
      </c>
      <c r="J109" s="160" t="s">
        <v>71</v>
      </c>
      <c r="K109" s="160" t="str">
        <f t="shared" si="336"/>
        <v>2023.08</v>
      </c>
      <c r="L109" s="91" t="s">
        <v>8</v>
      </c>
      <c r="M109" s="92" t="s">
        <v>78</v>
      </c>
      <c r="N109" s="161">
        <v>1210000</v>
      </c>
      <c r="O109" s="162">
        <f t="shared" ref="O109:O112" si="342">ROUND(N109*V109,0)</f>
        <v>157300</v>
      </c>
      <c r="P109" s="160">
        <v>174</v>
      </c>
      <c r="Q109" s="236">
        <v>91</v>
      </c>
      <c r="R109" s="229">
        <f t="shared" ref="R109:R112" si="343">Q109/P109</f>
        <v>0.52298850574712641</v>
      </c>
      <c r="S109" s="163">
        <f t="shared" ref="S109:S112" si="344">ROUND(N109*Q109/P109,0)</f>
        <v>632816</v>
      </c>
      <c r="T109" s="164">
        <f t="shared" ref="T109:T112" si="345">ROUND(S109*V109,0)</f>
        <v>82266</v>
      </c>
      <c r="U109" s="165">
        <f t="shared" ref="U109:U112" si="346">Q109/P109-S109/N109</f>
        <v>7.5995060244693491E-8</v>
      </c>
      <c r="V109" s="87">
        <v>0.13</v>
      </c>
      <c r="W109" s="223" t="s">
        <v>223</v>
      </c>
      <c r="X109" s="23">
        <v>45082</v>
      </c>
      <c r="Y109" s="20" t="s">
        <v>197</v>
      </c>
      <c r="Z109" s="20"/>
      <c r="AA109" s="20"/>
      <c r="AB109" s="167"/>
      <c r="AC109" s="8" t="s">
        <v>246</v>
      </c>
      <c r="AD109" s="233">
        <v>1</v>
      </c>
      <c r="AE109" s="8">
        <v>0</v>
      </c>
      <c r="AF109" s="8">
        <v>184</v>
      </c>
      <c r="AG109" s="8">
        <f t="shared" si="305"/>
        <v>96.23</v>
      </c>
      <c r="AH109" s="235">
        <v>45174</v>
      </c>
      <c r="AI109" s="8" t="str">
        <f t="shared" si="306"/>
        <v>2023.08.01</v>
      </c>
      <c r="AJ109" s="235">
        <f t="shared" si="307"/>
        <v>45169</v>
      </c>
      <c r="AK109" s="8" t="str">
        <f t="shared" si="308"/>
        <v>A 2020-1.1.2-PIACI-KFI-2021-00219 számú 
támogatás keretében elszámolásra került: 
632 816 Ft bér + 82 266 Ft járulék</v>
      </c>
    </row>
    <row r="110" spans="1:37" s="8" customFormat="1" x14ac:dyDescent="0.25">
      <c r="A110" s="207">
        <v>2</v>
      </c>
      <c r="B110" s="92" t="s">
        <v>189</v>
      </c>
      <c r="C110" s="90" t="str">
        <f>VLOOKUP($F110,Admin!$A$16:$E$19,2,FALSE)</f>
        <v>Alkalmazott (ipari) kutatás – Működési költség</v>
      </c>
      <c r="D110" s="160" t="s">
        <v>129</v>
      </c>
      <c r="E110" s="90" t="str">
        <f>VLOOKUP($F110,Admin!$A$16:$E$19,4,FALSE)</f>
        <v>54. Bérköltség - Kutató-fejlesztő munkatárs</v>
      </c>
      <c r="F110" s="90" t="s">
        <v>171</v>
      </c>
      <c r="G110" s="160" t="s">
        <v>174</v>
      </c>
      <c r="H110" s="160" t="s">
        <v>193</v>
      </c>
      <c r="I110" s="90" t="str">
        <f>VLOOKUP($F110,Admin!$A$16:$E$19,5,FALSE)</f>
        <v>K+F munkatárs</v>
      </c>
      <c r="J110" s="160" t="s">
        <v>72</v>
      </c>
      <c r="K110" s="160" t="str">
        <f t="shared" si="336"/>
        <v>2023.09</v>
      </c>
      <c r="L110" s="91" t="s">
        <v>8</v>
      </c>
      <c r="M110" s="92" t="s">
        <v>78</v>
      </c>
      <c r="N110" s="161">
        <v>1210000</v>
      </c>
      <c r="O110" s="162">
        <f t="shared" si="342"/>
        <v>157300</v>
      </c>
      <c r="P110" s="160">
        <v>174</v>
      </c>
      <c r="Q110" s="236">
        <v>91</v>
      </c>
      <c r="R110" s="229">
        <f t="shared" si="343"/>
        <v>0.52298850574712641</v>
      </c>
      <c r="S110" s="163">
        <f t="shared" si="344"/>
        <v>632816</v>
      </c>
      <c r="T110" s="164">
        <f t="shared" si="345"/>
        <v>82266</v>
      </c>
      <c r="U110" s="165">
        <f t="shared" si="346"/>
        <v>7.5995060244693491E-8</v>
      </c>
      <c r="V110" s="87">
        <v>0.13</v>
      </c>
      <c r="W110" s="223" t="s">
        <v>223</v>
      </c>
      <c r="X110" s="23">
        <v>45082</v>
      </c>
      <c r="Y110" s="20" t="s">
        <v>197</v>
      </c>
      <c r="Z110" s="20"/>
      <c r="AA110" s="20"/>
      <c r="AB110" s="167"/>
      <c r="AC110" s="8" t="s">
        <v>246</v>
      </c>
      <c r="AD110" s="8">
        <v>0</v>
      </c>
      <c r="AE110" s="8">
        <v>0</v>
      </c>
      <c r="AF110" s="8">
        <v>168</v>
      </c>
      <c r="AG110" s="8">
        <f t="shared" si="305"/>
        <v>87.87</v>
      </c>
      <c r="AH110" s="235">
        <v>45204</v>
      </c>
      <c r="AI110" s="8" t="str">
        <f t="shared" si="306"/>
        <v>2023.09.01</v>
      </c>
      <c r="AJ110" s="235">
        <f t="shared" si="307"/>
        <v>45199</v>
      </c>
      <c r="AK110" s="8" t="str">
        <f t="shared" si="308"/>
        <v>A 2020-1.1.2-PIACI-KFI-2021-00219 számú 
támogatás keretében elszámolásra került: 
632 816 Ft bér + 82 266 Ft járulék</v>
      </c>
    </row>
    <row r="111" spans="1:37" s="8" customFormat="1" x14ac:dyDescent="0.25">
      <c r="A111" s="188"/>
      <c r="B111" s="92" t="s">
        <v>189</v>
      </c>
      <c r="C111" s="90" t="str">
        <f>VLOOKUP($F111,Admin!$A$16:$E$19,2,FALSE)</f>
        <v>Alkalmazott (ipari) kutatás – Működési költség</v>
      </c>
      <c r="D111" s="160" t="s">
        <v>129</v>
      </c>
      <c r="E111" s="90" t="str">
        <f>VLOOKUP($F111,Admin!$A$16:$E$19,4,FALSE)</f>
        <v>54. Bérköltség - Kutató-fejlesztő munkatárs</v>
      </c>
      <c r="F111" s="90" t="s">
        <v>171</v>
      </c>
      <c r="G111" s="160" t="s">
        <v>174</v>
      </c>
      <c r="H111" s="160" t="s">
        <v>193</v>
      </c>
      <c r="I111" s="90" t="str">
        <f>VLOOKUP($F111,Admin!$A$16:$E$19,5,FALSE)</f>
        <v>K+F munkatárs</v>
      </c>
      <c r="J111" s="160" t="s">
        <v>73</v>
      </c>
      <c r="K111" s="160" t="str">
        <f t="shared" si="336"/>
        <v>2023.10</v>
      </c>
      <c r="L111" s="91" t="s">
        <v>8</v>
      </c>
      <c r="M111" s="92" t="s">
        <v>78</v>
      </c>
      <c r="N111" s="161">
        <v>1209999</v>
      </c>
      <c r="O111" s="162">
        <f t="shared" si="342"/>
        <v>157300</v>
      </c>
      <c r="P111" s="160">
        <v>174</v>
      </c>
      <c r="Q111" s="236">
        <v>91</v>
      </c>
      <c r="R111" s="229">
        <f t="shared" si="343"/>
        <v>0.52298850574712641</v>
      </c>
      <c r="S111" s="163">
        <f t="shared" si="344"/>
        <v>632816</v>
      </c>
      <c r="T111" s="164">
        <f t="shared" si="345"/>
        <v>82266</v>
      </c>
      <c r="U111" s="165">
        <f t="shared" si="346"/>
        <v>-3.5622713967509156E-7</v>
      </c>
      <c r="V111" s="87">
        <v>0.13</v>
      </c>
      <c r="W111" s="223" t="s">
        <v>223</v>
      </c>
      <c r="X111" s="23">
        <v>45082</v>
      </c>
      <c r="Y111" s="20" t="s">
        <v>197</v>
      </c>
      <c r="Z111" s="20"/>
      <c r="AA111" s="20"/>
      <c r="AB111" s="167"/>
      <c r="AC111" s="8" t="s">
        <v>246</v>
      </c>
      <c r="AD111" s="8">
        <v>0</v>
      </c>
      <c r="AE111" s="8">
        <v>0</v>
      </c>
    </row>
    <row r="112" spans="1:37" s="8" customFormat="1" x14ac:dyDescent="0.25">
      <c r="A112" s="188"/>
      <c r="B112" s="92" t="s">
        <v>189</v>
      </c>
      <c r="C112" s="90" t="str">
        <f>VLOOKUP($F112,Admin!$A$16:$E$19,2,FALSE)</f>
        <v>Alkalmazott (ipari) kutatás – Működési költség</v>
      </c>
      <c r="D112" s="160" t="s">
        <v>129</v>
      </c>
      <c r="E112" s="90" t="str">
        <f>VLOOKUP($F112,Admin!$A$16:$E$19,4,FALSE)</f>
        <v>54. Bérköltség - Kutató-fejlesztő munkatárs</v>
      </c>
      <c r="F112" s="90" t="s">
        <v>171</v>
      </c>
      <c r="G112" s="160" t="s">
        <v>174</v>
      </c>
      <c r="H112" s="160" t="s">
        <v>193</v>
      </c>
      <c r="I112" s="90" t="str">
        <f>VLOOKUP($F112,Admin!$A$16:$E$19,5,FALSE)</f>
        <v>K+F munkatárs</v>
      </c>
      <c r="J112" s="160" t="s">
        <v>74</v>
      </c>
      <c r="K112" s="160" t="str">
        <f t="shared" si="336"/>
        <v>2023.11</v>
      </c>
      <c r="L112" s="91" t="s">
        <v>8</v>
      </c>
      <c r="M112" s="92" t="s">
        <v>78</v>
      </c>
      <c r="N112" s="161">
        <v>1210000</v>
      </c>
      <c r="O112" s="162">
        <f t="shared" si="342"/>
        <v>157300</v>
      </c>
      <c r="P112" s="160">
        <v>174</v>
      </c>
      <c r="Q112" s="236">
        <v>91</v>
      </c>
      <c r="R112" s="229">
        <f t="shared" si="343"/>
        <v>0.52298850574712641</v>
      </c>
      <c r="S112" s="163">
        <f t="shared" si="344"/>
        <v>632816</v>
      </c>
      <c r="T112" s="164">
        <f t="shared" si="345"/>
        <v>82266</v>
      </c>
      <c r="U112" s="165">
        <f t="shared" si="346"/>
        <v>7.5995060244693491E-8</v>
      </c>
      <c r="V112" s="87">
        <v>0.13</v>
      </c>
      <c r="W112" s="223" t="s">
        <v>223</v>
      </c>
      <c r="X112" s="23">
        <v>45082</v>
      </c>
      <c r="Y112" s="20" t="s">
        <v>197</v>
      </c>
      <c r="Z112" s="20"/>
      <c r="AA112" s="20"/>
      <c r="AB112" s="167"/>
      <c r="AC112" s="8" t="s">
        <v>246</v>
      </c>
      <c r="AD112" s="8">
        <v>0</v>
      </c>
      <c r="AE112" s="8">
        <v>0</v>
      </c>
    </row>
    <row r="113" spans="1:31" s="8" customFormat="1" x14ac:dyDescent="0.25">
      <c r="A113" s="188"/>
      <c r="B113" s="92" t="s">
        <v>189</v>
      </c>
      <c r="C113" s="90" t="str">
        <f>VLOOKUP($F113,Admin!$A$16:$E$19,2,FALSE)</f>
        <v>Alkalmazott (ipari) kutatás – Működési költség</v>
      </c>
      <c r="D113" s="160" t="s">
        <v>129</v>
      </c>
      <c r="E113" s="90" t="str">
        <f>VLOOKUP($F113,Admin!$A$16:$E$19,4,FALSE)</f>
        <v>54. Bérköltség - Kutató-fejlesztő munkatárs</v>
      </c>
      <c r="F113" s="90" t="s">
        <v>171</v>
      </c>
      <c r="G113" s="160" t="s">
        <v>174</v>
      </c>
      <c r="H113" s="160" t="s">
        <v>193</v>
      </c>
      <c r="I113" s="90" t="str">
        <f>VLOOKUP($F113,Admin!$A$16:$E$19,5,FALSE)</f>
        <v>K+F munkatárs</v>
      </c>
      <c r="J113" s="160" t="s">
        <v>139</v>
      </c>
      <c r="K113" s="160" t="str">
        <f t="shared" ref="K113" si="347">J113</f>
        <v>2023.12</v>
      </c>
      <c r="L113" s="91" t="s">
        <v>8</v>
      </c>
      <c r="M113" s="92" t="s">
        <v>78</v>
      </c>
      <c r="N113" s="161">
        <v>1210000</v>
      </c>
      <c r="O113" s="162">
        <f t="shared" ref="O113" si="348">ROUND(N113*V113,0)</f>
        <v>157300</v>
      </c>
      <c r="P113" s="160">
        <v>174</v>
      </c>
      <c r="Q113" s="236">
        <v>91</v>
      </c>
      <c r="R113" s="229">
        <f t="shared" ref="R113" si="349">Q113/P113</f>
        <v>0.52298850574712641</v>
      </c>
      <c r="S113" s="163">
        <f t="shared" ref="S113" si="350">ROUND(N113*Q113/P113,0)</f>
        <v>632816</v>
      </c>
      <c r="T113" s="164">
        <f t="shared" ref="T113" si="351">ROUND(S113*V113,0)</f>
        <v>82266</v>
      </c>
      <c r="U113" s="165">
        <f t="shared" ref="U113" si="352">Q113/P113-S113/N113</f>
        <v>7.5995060244693491E-8</v>
      </c>
      <c r="V113" s="87">
        <v>0.13</v>
      </c>
      <c r="W113" s="223" t="s">
        <v>223</v>
      </c>
      <c r="X113" s="23">
        <v>45244</v>
      </c>
      <c r="Y113" s="20" t="s">
        <v>197</v>
      </c>
      <c r="Z113" s="20"/>
      <c r="AA113" s="20"/>
      <c r="AB113" s="167"/>
      <c r="AC113" s="8" t="s">
        <v>246</v>
      </c>
      <c r="AD113" s="8">
        <v>0</v>
      </c>
      <c r="AE113" s="8">
        <v>0</v>
      </c>
    </row>
    <row r="114" spans="1:31" s="8" customFormat="1" x14ac:dyDescent="0.25">
      <c r="A114" s="188"/>
      <c r="B114" s="92" t="s">
        <v>189</v>
      </c>
      <c r="C114" s="90" t="str">
        <f>VLOOKUP($F114,Admin!$A$16:$E$19,2,FALSE)</f>
        <v>Alkalmazott (ipari) kutatás – Működési költség</v>
      </c>
      <c r="D114" s="160" t="s">
        <v>129</v>
      </c>
      <c r="E114" s="90" t="str">
        <f>VLOOKUP($F114,Admin!$A$16:$E$19,4,FALSE)</f>
        <v>54. Bérköltség - Kutató-fejlesztő munkatárs</v>
      </c>
      <c r="F114" s="90" t="s">
        <v>171</v>
      </c>
      <c r="G114" s="160" t="s">
        <v>174</v>
      </c>
      <c r="H114" s="160" t="s">
        <v>193</v>
      </c>
      <c r="I114" s="90" t="str">
        <f>VLOOKUP($F114,Admin!$A$16:$E$19,5,FALSE)</f>
        <v>K+F munkatárs</v>
      </c>
      <c r="J114" s="160" t="s">
        <v>140</v>
      </c>
      <c r="K114" s="160" t="str">
        <f t="shared" ref="K114:K115" si="353">J114</f>
        <v>2024.01</v>
      </c>
      <c r="L114" s="91" t="s">
        <v>8</v>
      </c>
      <c r="M114" s="92" t="s">
        <v>78</v>
      </c>
      <c r="N114" s="161">
        <v>1070000</v>
      </c>
      <c r="O114" s="162">
        <f t="shared" ref="O114" si="354">ROUND(N114*V114,0)</f>
        <v>139100</v>
      </c>
      <c r="P114" s="160">
        <v>174</v>
      </c>
      <c r="Q114" s="236">
        <v>90.48</v>
      </c>
      <c r="R114" s="229">
        <f t="shared" ref="R114" si="355">Q114/P114</f>
        <v>0.52</v>
      </c>
      <c r="S114" s="163">
        <f t="shared" ref="S114" si="356">ROUND(N114*Q114/P114,0)</f>
        <v>556400</v>
      </c>
      <c r="T114" s="164">
        <f t="shared" ref="T114" si="357">ROUND(S114*V114,0)</f>
        <v>72332</v>
      </c>
      <c r="U114" s="165">
        <f t="shared" ref="U114" si="358">Q114/P114-S114/N114</f>
        <v>0</v>
      </c>
      <c r="V114" s="87">
        <v>0.13</v>
      </c>
      <c r="W114" s="223" t="s">
        <v>223</v>
      </c>
      <c r="X114" s="23">
        <v>45308</v>
      </c>
      <c r="Y114" s="20" t="s">
        <v>197</v>
      </c>
      <c r="Z114" s="20"/>
      <c r="AA114" s="20"/>
      <c r="AB114" s="167"/>
      <c r="AC114" s="8" t="s">
        <v>246</v>
      </c>
      <c r="AD114" s="233">
        <v>1</v>
      </c>
      <c r="AE114" s="243">
        <v>0</v>
      </c>
    </row>
    <row r="115" spans="1:31" s="8" customFormat="1" x14ac:dyDescent="0.25">
      <c r="A115" s="188"/>
      <c r="B115" s="92" t="s">
        <v>189</v>
      </c>
      <c r="C115" s="90" t="str">
        <f>VLOOKUP($F115,Admin!$A$16:$E$19,2,FALSE)</f>
        <v>Alkalmazott (ipari) kutatás – Működési költség</v>
      </c>
      <c r="D115" s="160" t="s">
        <v>129</v>
      </c>
      <c r="E115" s="90" t="str">
        <f>VLOOKUP($F115,Admin!$A$16:$E$19,4,FALSE)</f>
        <v>54. Bérköltség - Kutató-fejlesztő munkatárs</v>
      </c>
      <c r="F115" s="90" t="s">
        <v>171</v>
      </c>
      <c r="G115" s="160" t="s">
        <v>174</v>
      </c>
      <c r="H115" s="160" t="s">
        <v>193</v>
      </c>
      <c r="I115" s="90" t="str">
        <f>VLOOKUP($F115,Admin!$A$16:$E$19,5,FALSE)</f>
        <v>K+F munkatárs</v>
      </c>
      <c r="J115" s="160" t="s">
        <v>141</v>
      </c>
      <c r="K115" s="160" t="str">
        <f t="shared" si="353"/>
        <v>2024.02</v>
      </c>
      <c r="L115" s="91" t="s">
        <v>8</v>
      </c>
      <c r="M115" s="92" t="s">
        <v>78</v>
      </c>
      <c r="N115" s="161">
        <v>1070000</v>
      </c>
      <c r="O115" s="162">
        <f t="shared" ref="O115" si="359">ROUND(N115*V115,0)</f>
        <v>139100</v>
      </c>
      <c r="P115" s="160">
        <v>174</v>
      </c>
      <c r="Q115" s="236">
        <v>90.48</v>
      </c>
      <c r="R115" s="229">
        <f t="shared" ref="R115" si="360">Q115/P115</f>
        <v>0.52</v>
      </c>
      <c r="S115" s="163">
        <f t="shared" ref="S115" si="361">ROUND(N115*Q115/P115,0)</f>
        <v>556400</v>
      </c>
      <c r="T115" s="164">
        <f t="shared" ref="T115" si="362">ROUND(S115*V115,0)</f>
        <v>72332</v>
      </c>
      <c r="U115" s="165">
        <f t="shared" ref="U115" si="363">Q115/P115-S115/N115</f>
        <v>0</v>
      </c>
      <c r="V115" s="87">
        <v>0.13</v>
      </c>
      <c r="W115" s="223" t="s">
        <v>223</v>
      </c>
      <c r="X115" s="23">
        <v>45308</v>
      </c>
      <c r="Y115" s="20" t="s">
        <v>197</v>
      </c>
      <c r="Z115" s="20"/>
      <c r="AA115" s="20"/>
      <c r="AB115" s="167"/>
      <c r="AC115" s="8" t="s">
        <v>246</v>
      </c>
      <c r="AD115" s="243">
        <v>0</v>
      </c>
      <c r="AE115" s="243">
        <v>0</v>
      </c>
    </row>
    <row r="116" spans="1:31" s="8" customFormat="1" x14ac:dyDescent="0.25">
      <c r="A116" s="188"/>
      <c r="B116" s="92" t="s">
        <v>189</v>
      </c>
      <c r="C116" s="90" t="str">
        <f>VLOOKUP($F116,Admin!$A$16:$E$19,2,FALSE)</f>
        <v>Alkalmazott (ipari) kutatás – Működési költség</v>
      </c>
      <c r="D116" s="160" t="s">
        <v>129</v>
      </c>
      <c r="E116" s="90" t="str">
        <f>VLOOKUP($F116,Admin!$A$16:$E$19,4,FALSE)</f>
        <v>54. Bérköltség - Kutató-fejlesztő munkatárs</v>
      </c>
      <c r="F116" s="90" t="s">
        <v>171</v>
      </c>
      <c r="G116" s="160" t="s">
        <v>174</v>
      </c>
      <c r="H116" s="160" t="s">
        <v>193</v>
      </c>
      <c r="I116" s="90" t="str">
        <f>VLOOKUP($F116,Admin!$A$16:$E$19,5,FALSE)</f>
        <v>K+F munkatárs</v>
      </c>
      <c r="J116" s="160" t="s">
        <v>142</v>
      </c>
      <c r="K116" s="160" t="str">
        <f t="shared" ref="K116:K119" si="364">J116</f>
        <v>2024.03</v>
      </c>
      <c r="L116" s="91" t="s">
        <v>8</v>
      </c>
      <c r="M116" s="92" t="s">
        <v>78</v>
      </c>
      <c r="N116" s="161">
        <v>1070000</v>
      </c>
      <c r="O116" s="162">
        <f t="shared" ref="O116" si="365">ROUND(N116*V116,0)</f>
        <v>139100</v>
      </c>
      <c r="P116" s="160">
        <v>174</v>
      </c>
      <c r="Q116" s="236">
        <v>90.48</v>
      </c>
      <c r="R116" s="229">
        <f t="shared" ref="R116" si="366">Q116/P116</f>
        <v>0.52</v>
      </c>
      <c r="S116" s="163">
        <f t="shared" ref="S116" si="367">ROUND(N116*Q116/P116,0)</f>
        <v>556400</v>
      </c>
      <c r="T116" s="164">
        <f t="shared" ref="T116" si="368">ROUND(S116*V116,0)</f>
        <v>72332</v>
      </c>
      <c r="U116" s="165">
        <f t="shared" ref="U116" si="369">Q116/P116-S116/N116</f>
        <v>0</v>
      </c>
      <c r="V116" s="87">
        <v>0.13</v>
      </c>
      <c r="W116" s="223" t="s">
        <v>223</v>
      </c>
      <c r="X116" s="23">
        <v>45337</v>
      </c>
      <c r="Y116" s="20" t="s">
        <v>197</v>
      </c>
      <c r="Z116" s="20"/>
      <c r="AA116" s="20"/>
      <c r="AB116" s="167"/>
      <c r="AC116" s="243" t="s">
        <v>246</v>
      </c>
      <c r="AD116" s="243">
        <v>0</v>
      </c>
      <c r="AE116" s="243">
        <v>0</v>
      </c>
    </row>
    <row r="117" spans="1:31" s="8" customFormat="1" x14ac:dyDescent="0.25">
      <c r="A117" s="188"/>
      <c r="B117" s="92" t="s">
        <v>189</v>
      </c>
      <c r="C117" s="90" t="str">
        <f>VLOOKUP($F117,Admin!$A$16:$E$19,2,FALSE)</f>
        <v>Alkalmazott (ipari) kutatás – Működési költség</v>
      </c>
      <c r="D117" s="160" t="s">
        <v>129</v>
      </c>
      <c r="E117" s="90" t="str">
        <f>VLOOKUP($F117,Admin!$A$16:$E$19,4,FALSE)</f>
        <v>54. Bérköltség - Kutató-fejlesztő munkatárs</v>
      </c>
      <c r="F117" s="90" t="s">
        <v>171</v>
      </c>
      <c r="G117" s="160" t="s">
        <v>174</v>
      </c>
      <c r="H117" s="160" t="s">
        <v>193</v>
      </c>
      <c r="I117" s="90" t="str">
        <f>VLOOKUP($F117,Admin!$A$16:$E$19,5,FALSE)</f>
        <v>K+F munkatárs</v>
      </c>
      <c r="J117" s="160" t="s">
        <v>143</v>
      </c>
      <c r="K117" s="160" t="str">
        <f t="shared" si="364"/>
        <v>2024.04</v>
      </c>
      <c r="L117" s="91" t="s">
        <v>8</v>
      </c>
      <c r="M117" s="92" t="s">
        <v>78</v>
      </c>
      <c r="N117" s="161">
        <v>1070000</v>
      </c>
      <c r="O117" s="162">
        <f t="shared" ref="O117" si="370">ROUND(N117*V117,0)</f>
        <v>139100</v>
      </c>
      <c r="P117" s="160">
        <v>174</v>
      </c>
      <c r="Q117" s="236">
        <v>90.48</v>
      </c>
      <c r="R117" s="229">
        <f t="shared" ref="R117" si="371">Q117/P117</f>
        <v>0.52</v>
      </c>
      <c r="S117" s="163">
        <f t="shared" ref="S117" si="372">ROUND(N117*Q117/P117,0)</f>
        <v>556400</v>
      </c>
      <c r="T117" s="164">
        <f t="shared" ref="T117" si="373">ROUND(S117*V117,0)</f>
        <v>72332</v>
      </c>
      <c r="U117" s="165">
        <f t="shared" ref="U117" si="374">Q117/P117-S117/N117</f>
        <v>0</v>
      </c>
      <c r="V117" s="87">
        <v>0.13</v>
      </c>
      <c r="W117" s="223" t="s">
        <v>223</v>
      </c>
      <c r="X117" s="23">
        <v>45363</v>
      </c>
      <c r="Y117" s="20" t="s">
        <v>197</v>
      </c>
      <c r="Z117" s="20"/>
      <c r="AA117" s="20"/>
      <c r="AB117" s="167"/>
      <c r="AC117" s="8" t="s">
        <v>246</v>
      </c>
      <c r="AD117" s="243">
        <v>0</v>
      </c>
      <c r="AE117" s="243">
        <v>0</v>
      </c>
    </row>
    <row r="118" spans="1:31" s="8" customFormat="1" x14ac:dyDescent="0.25">
      <c r="A118" s="188"/>
      <c r="B118" s="92" t="s">
        <v>189</v>
      </c>
      <c r="C118" s="90" t="str">
        <f>VLOOKUP($F118,Admin!$A$16:$E$19,2,FALSE)</f>
        <v>Alkalmazott (ipari) kutatás – Működési költség</v>
      </c>
      <c r="D118" s="160" t="s">
        <v>129</v>
      </c>
      <c r="E118" s="90" t="str">
        <f>VLOOKUP($F118,Admin!$A$16:$E$19,4,FALSE)</f>
        <v>54. Bérköltség - Kutató-fejlesztő munkatárs</v>
      </c>
      <c r="F118" s="90" t="s">
        <v>171</v>
      </c>
      <c r="G118" s="160" t="s">
        <v>174</v>
      </c>
      <c r="H118" s="160" t="s">
        <v>193</v>
      </c>
      <c r="I118" s="90" t="str">
        <f>VLOOKUP($F118,Admin!$A$16:$E$19,5,FALSE)</f>
        <v>K+F munkatárs</v>
      </c>
      <c r="J118" s="160" t="s">
        <v>144</v>
      </c>
      <c r="K118" s="160" t="str">
        <f t="shared" si="364"/>
        <v>2024.05</v>
      </c>
      <c r="L118" s="91" t="s">
        <v>8</v>
      </c>
      <c r="M118" s="92" t="s">
        <v>78</v>
      </c>
      <c r="N118" s="161">
        <v>1070000</v>
      </c>
      <c r="O118" s="162">
        <f t="shared" ref="O118:O119" si="375">ROUND(N118*V118,0)</f>
        <v>139100</v>
      </c>
      <c r="P118" s="160">
        <v>174</v>
      </c>
      <c r="Q118" s="236">
        <v>90.48</v>
      </c>
      <c r="R118" s="229">
        <f t="shared" ref="R118:R119" si="376">Q118/P118</f>
        <v>0.52</v>
      </c>
      <c r="S118" s="163">
        <f t="shared" ref="S118:S119" si="377">ROUND(N118*Q118/P118,0)</f>
        <v>556400</v>
      </c>
      <c r="T118" s="164">
        <f t="shared" ref="T118:T119" si="378">ROUND(S118*V118,0)</f>
        <v>72332</v>
      </c>
      <c r="U118" s="165">
        <f t="shared" ref="U118:U119" si="379">Q118/P118-S118/N118</f>
        <v>0</v>
      </c>
      <c r="V118" s="87">
        <v>0.13</v>
      </c>
      <c r="W118" s="223" t="s">
        <v>223</v>
      </c>
      <c r="X118" s="23">
        <v>45363</v>
      </c>
      <c r="Y118" s="20" t="s">
        <v>197</v>
      </c>
      <c r="Z118" s="20"/>
      <c r="AA118" s="20"/>
      <c r="AB118" s="167"/>
      <c r="AC118" s="8" t="s">
        <v>246</v>
      </c>
      <c r="AD118" s="243">
        <v>0</v>
      </c>
      <c r="AE118" s="243">
        <v>0</v>
      </c>
    </row>
    <row r="119" spans="1:31" s="8" customFormat="1" x14ac:dyDescent="0.25">
      <c r="A119" s="188"/>
      <c r="B119" s="92" t="s">
        <v>189</v>
      </c>
      <c r="C119" s="90" t="str">
        <f>VLOOKUP($F119,Admin!$A$16:$E$19,2,FALSE)</f>
        <v>Alkalmazott (ipari) kutatás – Működési költség</v>
      </c>
      <c r="D119" s="160" t="s">
        <v>129</v>
      </c>
      <c r="E119" s="90" t="str">
        <f>VLOOKUP($F119,Admin!$A$16:$E$19,4,FALSE)</f>
        <v>54. Bérköltség - Kutató-fejlesztő munkatárs</v>
      </c>
      <c r="F119" s="90" t="s">
        <v>171</v>
      </c>
      <c r="G119" s="160" t="s">
        <v>174</v>
      </c>
      <c r="H119" s="160" t="s">
        <v>193</v>
      </c>
      <c r="I119" s="90" t="str">
        <f>VLOOKUP($F119,Admin!$A$16:$E$19,5,FALSE)</f>
        <v>K+F munkatárs</v>
      </c>
      <c r="J119" s="160" t="s">
        <v>211</v>
      </c>
      <c r="K119" s="160" t="str">
        <f t="shared" si="364"/>
        <v>2024.06</v>
      </c>
      <c r="L119" s="91" t="s">
        <v>9</v>
      </c>
      <c r="M119" s="92" t="s">
        <v>78</v>
      </c>
      <c r="N119" s="161">
        <v>1086500</v>
      </c>
      <c r="O119" s="162">
        <f t="shared" si="375"/>
        <v>141245</v>
      </c>
      <c r="P119" s="160">
        <v>174</v>
      </c>
      <c r="Q119" s="236">
        <v>90.48</v>
      </c>
      <c r="R119" s="229">
        <f t="shared" si="376"/>
        <v>0.52</v>
      </c>
      <c r="S119" s="163">
        <f t="shared" si="377"/>
        <v>564980</v>
      </c>
      <c r="T119" s="164">
        <f t="shared" si="378"/>
        <v>73447</v>
      </c>
      <c r="U119" s="165">
        <f t="shared" si="379"/>
        <v>0</v>
      </c>
      <c r="V119" s="87">
        <v>0.13</v>
      </c>
      <c r="W119" s="223" t="s">
        <v>223</v>
      </c>
      <c r="X119" s="23">
        <v>45435</v>
      </c>
      <c r="Y119" s="20" t="s">
        <v>197</v>
      </c>
      <c r="Z119" s="20"/>
      <c r="AA119" s="20"/>
      <c r="AB119" s="167"/>
    </row>
    <row r="120" spans="1:31" s="8" customFormat="1" x14ac:dyDescent="0.25">
      <c r="A120" s="188"/>
      <c r="B120" s="92" t="s">
        <v>189</v>
      </c>
      <c r="C120" s="90" t="str">
        <f>VLOOKUP($F120,Admin!$A$16:$E$19,2,FALSE)</f>
        <v>Alkalmazott (ipari) kutatás – Működési költség</v>
      </c>
      <c r="D120" s="160" t="s">
        <v>129</v>
      </c>
      <c r="E120" s="90" t="str">
        <f>VLOOKUP($F120,Admin!$A$16:$E$19,4,FALSE)</f>
        <v>54. Bérköltség - Kutató-fejlesztő munkatárs</v>
      </c>
      <c r="F120" s="90" t="s">
        <v>171</v>
      </c>
      <c r="G120" s="160" t="s">
        <v>174</v>
      </c>
      <c r="H120" s="160" t="s">
        <v>193</v>
      </c>
      <c r="I120" s="90" t="str">
        <f>VLOOKUP($F120,Admin!$A$16:$E$19,5,FALSE)</f>
        <v>K+F munkatárs</v>
      </c>
      <c r="J120" s="160" t="s">
        <v>212</v>
      </c>
      <c r="K120" s="160" t="str">
        <f t="shared" ref="K120:K121" si="380">J120</f>
        <v>2024.07</v>
      </c>
      <c r="L120" s="91" t="s">
        <v>9</v>
      </c>
      <c r="M120" s="92" t="s">
        <v>78</v>
      </c>
      <c r="N120" s="161">
        <v>1086500</v>
      </c>
      <c r="O120" s="162">
        <f t="shared" ref="O120:O121" si="381">ROUND(N120*V120,0)</f>
        <v>141245</v>
      </c>
      <c r="P120" s="160">
        <v>174</v>
      </c>
      <c r="Q120" s="236">
        <v>90.48</v>
      </c>
      <c r="R120" s="229">
        <f t="shared" ref="R120:R121" si="382">Q120/P120</f>
        <v>0.52</v>
      </c>
      <c r="S120" s="163">
        <f t="shared" ref="S120:S121" si="383">ROUND(N120*Q120/P120,0)</f>
        <v>564980</v>
      </c>
      <c r="T120" s="164">
        <f t="shared" ref="T120:T121" si="384">ROUND(S120*V120,0)</f>
        <v>73447</v>
      </c>
      <c r="U120" s="165">
        <f t="shared" ref="U120:U121" si="385">Q120/P120-S120/N120</f>
        <v>0</v>
      </c>
      <c r="V120" s="87">
        <v>0.13</v>
      </c>
      <c r="W120" s="223" t="s">
        <v>223</v>
      </c>
      <c r="X120" s="23">
        <v>45435</v>
      </c>
      <c r="Y120" s="20" t="s">
        <v>197</v>
      </c>
      <c r="Z120" s="20"/>
      <c r="AA120" s="20"/>
      <c r="AB120" s="167"/>
    </row>
    <row r="121" spans="1:31" s="8" customFormat="1" x14ac:dyDescent="0.25">
      <c r="A121" s="188"/>
      <c r="B121" s="92" t="s">
        <v>189</v>
      </c>
      <c r="C121" s="90" t="str">
        <f>VLOOKUP($F121,Admin!$A$16:$E$19,2,FALSE)</f>
        <v>Alkalmazott (ipari) kutatás – Működési költség</v>
      </c>
      <c r="D121" s="160" t="s">
        <v>129</v>
      </c>
      <c r="E121" s="90" t="str">
        <f>VLOOKUP($F121,Admin!$A$16:$E$19,4,FALSE)</f>
        <v>54. Bérköltség - Kutató-fejlesztő munkatárs</v>
      </c>
      <c r="F121" s="90" t="s">
        <v>171</v>
      </c>
      <c r="G121" s="160" t="s">
        <v>174</v>
      </c>
      <c r="H121" s="160" t="s">
        <v>193</v>
      </c>
      <c r="I121" s="90" t="str">
        <f>VLOOKUP($F121,Admin!$A$16:$E$19,5,FALSE)</f>
        <v>K+F munkatárs</v>
      </c>
      <c r="J121" s="160" t="s">
        <v>213</v>
      </c>
      <c r="K121" s="160" t="str">
        <f t="shared" si="380"/>
        <v>2024.08</v>
      </c>
      <c r="L121" s="91" t="s">
        <v>9</v>
      </c>
      <c r="M121" s="92" t="s">
        <v>78</v>
      </c>
      <c r="N121" s="161">
        <v>1086500</v>
      </c>
      <c r="O121" s="162">
        <f t="shared" si="381"/>
        <v>141245</v>
      </c>
      <c r="P121" s="160">
        <v>174</v>
      </c>
      <c r="Q121" s="236">
        <v>90.48</v>
      </c>
      <c r="R121" s="229">
        <f t="shared" si="382"/>
        <v>0.52</v>
      </c>
      <c r="S121" s="163">
        <f t="shared" si="383"/>
        <v>564980</v>
      </c>
      <c r="T121" s="164">
        <f t="shared" si="384"/>
        <v>73447</v>
      </c>
      <c r="U121" s="165">
        <f t="shared" si="385"/>
        <v>0</v>
      </c>
      <c r="V121" s="87">
        <v>0.13</v>
      </c>
      <c r="W121" s="223" t="s">
        <v>223</v>
      </c>
      <c r="X121" s="23">
        <v>45435</v>
      </c>
      <c r="Y121" s="20" t="s">
        <v>197</v>
      </c>
      <c r="Z121" s="20"/>
      <c r="AA121" s="20"/>
      <c r="AB121" s="167"/>
    </row>
    <row r="122" spans="1:31" s="8" customFormat="1" x14ac:dyDescent="0.25">
      <c r="A122" s="207">
        <v>1</v>
      </c>
      <c r="B122" s="92" t="s">
        <v>190</v>
      </c>
      <c r="C122" s="90" t="str">
        <f>VLOOKUP($F122,Admin!$A$16:$E$19,2,FALSE)</f>
        <v>Alkalmazott (ipari) kutatás – Működési költség</v>
      </c>
      <c r="D122" s="160" t="s">
        <v>129</v>
      </c>
      <c r="E122" s="90" t="str">
        <f>VLOOKUP($F122,Admin!$A$16:$E$19,4,FALSE)</f>
        <v>54. Bérköltség - Kutató-fejlesztő munkatárs</v>
      </c>
      <c r="F122" s="90" t="s">
        <v>171</v>
      </c>
      <c r="G122" s="160" t="s">
        <v>174</v>
      </c>
      <c r="H122" s="160" t="s">
        <v>194</v>
      </c>
      <c r="I122" s="90" t="str">
        <f>VLOOKUP($F122,Admin!$A$16:$E$19,5,FALSE)</f>
        <v>K+F munkatárs</v>
      </c>
      <c r="J122" s="160" t="s">
        <v>37</v>
      </c>
      <c r="K122" s="160" t="str">
        <f t="shared" si="267"/>
        <v>2021.10</v>
      </c>
      <c r="L122" s="91" t="s">
        <v>8</v>
      </c>
      <c r="M122" s="92" t="s">
        <v>78</v>
      </c>
      <c r="N122" s="161">
        <v>1579999</v>
      </c>
      <c r="O122" s="162">
        <f t="shared" si="268"/>
        <v>244900</v>
      </c>
      <c r="P122" s="160">
        <v>174</v>
      </c>
      <c r="Q122" s="236">
        <v>30</v>
      </c>
      <c r="R122" s="229">
        <f t="shared" si="269"/>
        <v>0.17241379310344829</v>
      </c>
      <c r="S122" s="163">
        <f t="shared" si="270"/>
        <v>272414</v>
      </c>
      <c r="T122" s="164">
        <f t="shared" si="271"/>
        <v>42224</v>
      </c>
      <c r="U122" s="165">
        <f t="shared" si="272"/>
        <v>-2.4006999044257071E-7</v>
      </c>
      <c r="V122" s="87">
        <v>0.155</v>
      </c>
      <c r="W122" s="223"/>
      <c r="X122" s="23">
        <v>44470</v>
      </c>
      <c r="Y122" s="20" t="s">
        <v>197</v>
      </c>
      <c r="Z122" s="20"/>
      <c r="AA122" s="20"/>
      <c r="AB122" s="167"/>
    </row>
    <row r="123" spans="1:31" s="8" customFormat="1" x14ac:dyDescent="0.25">
      <c r="A123" s="207">
        <v>1</v>
      </c>
      <c r="B123" s="92" t="s">
        <v>190</v>
      </c>
      <c r="C123" s="90" t="str">
        <f>VLOOKUP($F123,Admin!$A$16:$E$19,2,FALSE)</f>
        <v>Alkalmazott (ipari) kutatás – Működési költség</v>
      </c>
      <c r="D123" s="160" t="s">
        <v>129</v>
      </c>
      <c r="E123" s="90" t="str">
        <f>VLOOKUP($F123,Admin!$A$16:$E$19,4,FALSE)</f>
        <v>54. Bérköltség - Kutató-fejlesztő munkatárs</v>
      </c>
      <c r="F123" s="90" t="s">
        <v>171</v>
      </c>
      <c r="G123" s="160" t="s">
        <v>174</v>
      </c>
      <c r="H123" s="160" t="s">
        <v>194</v>
      </c>
      <c r="I123" s="90" t="str">
        <f>VLOOKUP($F123,Admin!$A$16:$E$19,5,FALSE)</f>
        <v>K+F munkatárs</v>
      </c>
      <c r="J123" s="160" t="s">
        <v>38</v>
      </c>
      <c r="K123" s="160" t="str">
        <f t="shared" si="267"/>
        <v>2021.11</v>
      </c>
      <c r="L123" s="91" t="s">
        <v>8</v>
      </c>
      <c r="M123" s="92" t="s">
        <v>78</v>
      </c>
      <c r="N123" s="161">
        <v>1610000</v>
      </c>
      <c r="O123" s="162">
        <f t="shared" si="268"/>
        <v>249550</v>
      </c>
      <c r="P123" s="160">
        <v>174</v>
      </c>
      <c r="Q123" s="236">
        <v>30</v>
      </c>
      <c r="R123" s="229">
        <f t="shared" si="269"/>
        <v>0.17241379310344829</v>
      </c>
      <c r="S123" s="194">
        <v>241379</v>
      </c>
      <c r="T123" s="164">
        <f t="shared" si="271"/>
        <v>37414</v>
      </c>
      <c r="U123" s="165">
        <f t="shared" si="272"/>
        <v>2.2488948382951401E-2</v>
      </c>
      <c r="V123" s="87">
        <v>0.155</v>
      </c>
      <c r="W123" s="223"/>
      <c r="X123" s="23">
        <v>44509</v>
      </c>
      <c r="Y123" s="20" t="s">
        <v>197</v>
      </c>
      <c r="Z123" s="20"/>
      <c r="AA123" s="20"/>
      <c r="AB123" s="167"/>
    </row>
    <row r="124" spans="1:31" s="8" customFormat="1" x14ac:dyDescent="0.25">
      <c r="A124" s="207">
        <v>1</v>
      </c>
      <c r="B124" s="92" t="s">
        <v>190</v>
      </c>
      <c r="C124" s="90" t="str">
        <f>VLOOKUP($F124,Admin!$A$16:$E$19,2,FALSE)</f>
        <v>Alkalmazott (ipari) kutatás – Működési költség</v>
      </c>
      <c r="D124" s="160" t="s">
        <v>129</v>
      </c>
      <c r="E124" s="90" t="str">
        <f>VLOOKUP($F124,Admin!$A$16:$E$19,4,FALSE)</f>
        <v>54. Bérköltség - Kutató-fejlesztő munkatárs</v>
      </c>
      <c r="F124" s="90" t="s">
        <v>171</v>
      </c>
      <c r="G124" s="160" t="s">
        <v>174</v>
      </c>
      <c r="H124" s="160" t="s">
        <v>194</v>
      </c>
      <c r="I124" s="90" t="str">
        <f>VLOOKUP($F124,Admin!$A$16:$E$19,5,FALSE)</f>
        <v>K+F munkatárs</v>
      </c>
      <c r="J124" s="160" t="s">
        <v>39</v>
      </c>
      <c r="K124" s="160" t="str">
        <f t="shared" si="267"/>
        <v>2021.12</v>
      </c>
      <c r="L124" s="91" t="s">
        <v>8</v>
      </c>
      <c r="M124" s="92" t="s">
        <v>78</v>
      </c>
      <c r="N124" s="161">
        <v>1610000</v>
      </c>
      <c r="O124" s="162">
        <f t="shared" si="268"/>
        <v>249550</v>
      </c>
      <c r="P124" s="160">
        <v>174</v>
      </c>
      <c r="Q124" s="236">
        <v>30</v>
      </c>
      <c r="R124" s="229">
        <f t="shared" si="269"/>
        <v>0.17241379310344829</v>
      </c>
      <c r="S124" s="194">
        <v>241379</v>
      </c>
      <c r="T124" s="164">
        <f t="shared" si="271"/>
        <v>37414</v>
      </c>
      <c r="U124" s="165">
        <f t="shared" si="272"/>
        <v>2.2488948382951401E-2</v>
      </c>
      <c r="V124" s="87">
        <v>0.155</v>
      </c>
      <c r="W124" s="223"/>
      <c r="X124" s="23">
        <v>44509</v>
      </c>
      <c r="Y124" s="20" t="s">
        <v>197</v>
      </c>
      <c r="Z124" s="20"/>
      <c r="AA124" s="20"/>
      <c r="AB124" s="167"/>
    </row>
    <row r="125" spans="1:31" s="8" customFormat="1" x14ac:dyDescent="0.25">
      <c r="A125" s="207">
        <v>1</v>
      </c>
      <c r="B125" s="92" t="s">
        <v>190</v>
      </c>
      <c r="C125" s="90" t="str">
        <f>VLOOKUP($F125,Admin!$A$16:$E$19,2,FALSE)</f>
        <v>Alkalmazott (ipari) kutatás – Működési költség</v>
      </c>
      <c r="D125" s="160" t="s">
        <v>129</v>
      </c>
      <c r="E125" s="90" t="str">
        <f>VLOOKUP($F125,Admin!$A$16:$E$19,4,FALSE)</f>
        <v>54. Bérköltség - Kutató-fejlesztő munkatárs</v>
      </c>
      <c r="F125" s="90" t="s">
        <v>171</v>
      </c>
      <c r="G125" s="160" t="s">
        <v>174</v>
      </c>
      <c r="H125" s="160" t="s">
        <v>194</v>
      </c>
      <c r="I125" s="90" t="str">
        <f>VLOOKUP($F125,Admin!$A$16:$E$19,5,FALSE)</f>
        <v>K+F munkatárs</v>
      </c>
      <c r="J125" s="160" t="s">
        <v>40</v>
      </c>
      <c r="K125" s="160" t="str">
        <f t="shared" si="267"/>
        <v>2022.01</v>
      </c>
      <c r="L125" s="91" t="s">
        <v>8</v>
      </c>
      <c r="M125" s="92" t="s">
        <v>78</v>
      </c>
      <c r="N125" s="161">
        <v>1526000</v>
      </c>
      <c r="O125" s="162">
        <f t="shared" si="268"/>
        <v>198380</v>
      </c>
      <c r="P125" s="160">
        <v>174</v>
      </c>
      <c r="Q125" s="236">
        <v>29</v>
      </c>
      <c r="R125" s="229">
        <f t="shared" si="269"/>
        <v>0.16666666666666666</v>
      </c>
      <c r="S125" s="163">
        <f t="shared" si="270"/>
        <v>254333</v>
      </c>
      <c r="T125" s="164">
        <f t="shared" si="271"/>
        <v>33063</v>
      </c>
      <c r="U125" s="165">
        <f t="shared" si="272"/>
        <v>2.1843599823379023E-7</v>
      </c>
      <c r="V125" s="87">
        <v>0.13</v>
      </c>
      <c r="W125" s="223"/>
      <c r="X125" s="23">
        <v>44566</v>
      </c>
      <c r="Y125" s="20" t="s">
        <v>197</v>
      </c>
      <c r="Z125" s="20"/>
      <c r="AA125" s="20"/>
      <c r="AB125" s="167"/>
    </row>
    <row r="126" spans="1:31" s="8" customFormat="1" x14ac:dyDescent="0.25">
      <c r="A126" s="207">
        <v>1</v>
      </c>
      <c r="B126" s="92" t="s">
        <v>190</v>
      </c>
      <c r="C126" s="90" t="str">
        <f>VLOOKUP($F126,Admin!$A$16:$E$19,2,FALSE)</f>
        <v>Alkalmazott (ipari) kutatás – Működési költség</v>
      </c>
      <c r="D126" s="160" t="s">
        <v>129</v>
      </c>
      <c r="E126" s="90" t="str">
        <f>VLOOKUP($F126,Admin!$A$16:$E$19,4,FALSE)</f>
        <v>54. Bérköltség - Kutató-fejlesztő munkatárs</v>
      </c>
      <c r="F126" s="90" t="s">
        <v>171</v>
      </c>
      <c r="G126" s="160" t="s">
        <v>174</v>
      </c>
      <c r="H126" s="160" t="s">
        <v>194</v>
      </c>
      <c r="I126" s="90" t="str">
        <f>VLOOKUP($F126,Admin!$A$16:$E$19,5,FALSE)</f>
        <v>K+F munkatárs</v>
      </c>
      <c r="J126" s="160" t="s">
        <v>41</v>
      </c>
      <c r="K126" s="160" t="str">
        <f t="shared" si="267"/>
        <v>2022.02</v>
      </c>
      <c r="L126" s="91" t="s">
        <v>8</v>
      </c>
      <c r="M126" s="92" t="s">
        <v>78</v>
      </c>
      <c r="N126" s="161">
        <v>1526000</v>
      </c>
      <c r="O126" s="162">
        <f t="shared" si="268"/>
        <v>198380</v>
      </c>
      <c r="P126" s="160">
        <v>174</v>
      </c>
      <c r="Q126" s="236">
        <v>31</v>
      </c>
      <c r="R126" s="229">
        <f t="shared" si="269"/>
        <v>0.17816091954022989</v>
      </c>
      <c r="S126" s="163">
        <f t="shared" si="270"/>
        <v>271874</v>
      </c>
      <c r="T126" s="164">
        <f t="shared" si="271"/>
        <v>35344</v>
      </c>
      <c r="U126" s="165">
        <f t="shared" si="272"/>
        <v>-2.8622648046150445E-7</v>
      </c>
      <c r="V126" s="87">
        <v>0.13</v>
      </c>
      <c r="W126" s="223"/>
      <c r="X126" s="23">
        <v>44595</v>
      </c>
      <c r="Y126" s="20" t="s">
        <v>197</v>
      </c>
      <c r="Z126" s="20"/>
      <c r="AA126" s="20"/>
      <c r="AB126" s="167"/>
    </row>
    <row r="127" spans="1:31" s="8" customFormat="1" x14ac:dyDescent="0.25">
      <c r="A127" s="207">
        <v>1</v>
      </c>
      <c r="B127" s="92" t="s">
        <v>190</v>
      </c>
      <c r="C127" s="90" t="str">
        <f>VLOOKUP($F127,Admin!$A$16:$E$19,2,FALSE)</f>
        <v>Alkalmazott (ipari) kutatás – Működési költség</v>
      </c>
      <c r="D127" s="160" t="s">
        <v>129</v>
      </c>
      <c r="E127" s="90" t="str">
        <f>VLOOKUP($F127,Admin!$A$16:$E$19,4,FALSE)</f>
        <v>54. Bérköltség - Kutató-fejlesztő munkatárs</v>
      </c>
      <c r="F127" s="90" t="s">
        <v>171</v>
      </c>
      <c r="G127" s="160" t="s">
        <v>174</v>
      </c>
      <c r="H127" s="160" t="s">
        <v>194</v>
      </c>
      <c r="I127" s="90" t="str">
        <f>VLOOKUP($F127,Admin!$A$16:$E$19,5,FALSE)</f>
        <v>K+F munkatárs</v>
      </c>
      <c r="J127" s="160" t="s">
        <v>42</v>
      </c>
      <c r="K127" s="160" t="str">
        <f t="shared" si="267"/>
        <v>2022.03</v>
      </c>
      <c r="L127" s="91" t="s">
        <v>8</v>
      </c>
      <c r="M127" s="92" t="s">
        <v>78</v>
      </c>
      <c r="N127" s="161">
        <v>1566000</v>
      </c>
      <c r="O127" s="162">
        <f t="shared" si="268"/>
        <v>203580</v>
      </c>
      <c r="P127" s="160">
        <v>174</v>
      </c>
      <c r="Q127" s="236">
        <v>29</v>
      </c>
      <c r="R127" s="229">
        <f t="shared" si="269"/>
        <v>0.16666666666666666</v>
      </c>
      <c r="S127" s="163">
        <f t="shared" si="270"/>
        <v>261000</v>
      </c>
      <c r="T127" s="164">
        <f t="shared" si="271"/>
        <v>33930</v>
      </c>
      <c r="U127" s="165">
        <f t="shared" si="272"/>
        <v>0</v>
      </c>
      <c r="V127" s="87">
        <v>0.13</v>
      </c>
      <c r="W127" s="223"/>
      <c r="X127" s="23">
        <v>44615</v>
      </c>
      <c r="Y127" s="20" t="s">
        <v>197</v>
      </c>
      <c r="Z127" s="20"/>
      <c r="AA127" s="20"/>
      <c r="AB127" s="167"/>
    </row>
    <row r="128" spans="1:31" s="8" customFormat="1" x14ac:dyDescent="0.25">
      <c r="A128" s="207">
        <v>1</v>
      </c>
      <c r="B128" s="92" t="s">
        <v>190</v>
      </c>
      <c r="C128" s="90" t="str">
        <f>VLOOKUP($F128,Admin!$A$16:$E$19,2,FALSE)</f>
        <v>Alkalmazott (ipari) kutatás – Működési költség</v>
      </c>
      <c r="D128" s="160" t="s">
        <v>129</v>
      </c>
      <c r="E128" s="90" t="str">
        <f>VLOOKUP($F128,Admin!$A$16:$E$19,4,FALSE)</f>
        <v>54. Bérköltség - Kutató-fejlesztő munkatárs</v>
      </c>
      <c r="F128" s="90" t="s">
        <v>171</v>
      </c>
      <c r="G128" s="160" t="s">
        <v>174</v>
      </c>
      <c r="H128" s="160" t="s">
        <v>194</v>
      </c>
      <c r="I128" s="90" t="str">
        <f>VLOOKUP($F128,Admin!$A$16:$E$19,5,FALSE)</f>
        <v>K+F munkatárs</v>
      </c>
      <c r="J128" s="160" t="s">
        <v>43</v>
      </c>
      <c r="K128" s="160" t="str">
        <f t="shared" ref="K128:K130" si="386">J128</f>
        <v>2022.04</v>
      </c>
      <c r="L128" s="91" t="s">
        <v>8</v>
      </c>
      <c r="M128" s="92" t="s">
        <v>78</v>
      </c>
      <c r="N128" s="161">
        <v>1614000</v>
      </c>
      <c r="O128" s="162">
        <f t="shared" ref="O128" si="387">ROUND(N128*V128,0)</f>
        <v>209820</v>
      </c>
      <c r="P128" s="160">
        <v>174</v>
      </c>
      <c r="Q128" s="236">
        <v>55</v>
      </c>
      <c r="R128" s="229">
        <f t="shared" ref="R128" si="388">Q128/P128</f>
        <v>0.31609195402298851</v>
      </c>
      <c r="S128" s="163">
        <f t="shared" ref="S128" si="389">ROUND(N128*Q128/P128,0)</f>
        <v>510172</v>
      </c>
      <c r="T128" s="164">
        <f t="shared" ref="T128" si="390">ROUND(S128*V128,0)</f>
        <v>66322</v>
      </c>
      <c r="U128" s="165">
        <f t="shared" ref="U128" si="391">Q128/P128-S128/N128</f>
        <v>2.563773875419173E-7</v>
      </c>
      <c r="V128" s="87">
        <v>0.13</v>
      </c>
      <c r="W128" s="223"/>
      <c r="X128" s="23">
        <v>44651</v>
      </c>
      <c r="Y128" s="20" t="s">
        <v>197</v>
      </c>
      <c r="Z128" s="20"/>
      <c r="AA128" s="20"/>
      <c r="AB128" s="167"/>
    </row>
    <row r="129" spans="1:36" s="8" customFormat="1" x14ac:dyDescent="0.25">
      <c r="A129" s="207">
        <v>1</v>
      </c>
      <c r="B129" s="92" t="s">
        <v>190</v>
      </c>
      <c r="C129" s="90" t="str">
        <f>VLOOKUP($F129,Admin!$A$16:$E$19,2,FALSE)</f>
        <v>Alkalmazott (ipari) kutatás – Működési költség</v>
      </c>
      <c r="D129" s="160" t="s">
        <v>129</v>
      </c>
      <c r="E129" s="90" t="str">
        <f>VLOOKUP($F129,Admin!$A$16:$E$19,4,FALSE)</f>
        <v>54. Bérköltség - Kutató-fejlesztő munkatárs</v>
      </c>
      <c r="F129" s="90" t="s">
        <v>171</v>
      </c>
      <c r="G129" s="160" t="s">
        <v>174</v>
      </c>
      <c r="H129" s="160" t="s">
        <v>194</v>
      </c>
      <c r="I129" s="90" t="str">
        <f>VLOOKUP($F129,Admin!$A$16:$E$19,5,FALSE)</f>
        <v>K+F munkatárs</v>
      </c>
      <c r="J129" s="160" t="s">
        <v>44</v>
      </c>
      <c r="K129" s="160" t="str">
        <f t="shared" si="386"/>
        <v>2022.05</v>
      </c>
      <c r="L129" s="91" t="s">
        <v>8</v>
      </c>
      <c r="M129" s="92" t="s">
        <v>78</v>
      </c>
      <c r="N129" s="161">
        <v>1614000</v>
      </c>
      <c r="O129" s="162">
        <f t="shared" ref="O129:O130" si="392">ROUND(N129*V129,0)</f>
        <v>209820</v>
      </c>
      <c r="P129" s="160">
        <v>174</v>
      </c>
      <c r="Q129" s="236">
        <v>55</v>
      </c>
      <c r="R129" s="229">
        <f t="shared" ref="R129:R130" si="393">Q129/P129</f>
        <v>0.31609195402298851</v>
      </c>
      <c r="S129" s="163">
        <f t="shared" ref="S129:S130" si="394">ROUND(N129*Q129/P129,0)</f>
        <v>510172</v>
      </c>
      <c r="T129" s="164">
        <f t="shared" ref="T129:T130" si="395">ROUND(S129*V129,0)</f>
        <v>66322</v>
      </c>
      <c r="U129" s="165">
        <f t="shared" ref="U129:U130" si="396">Q129/P129-S129/N129</f>
        <v>2.563773875419173E-7</v>
      </c>
      <c r="V129" s="87">
        <v>0.13</v>
      </c>
      <c r="W129" s="223"/>
      <c r="X129" s="23">
        <v>44651</v>
      </c>
      <c r="Y129" s="20" t="s">
        <v>197</v>
      </c>
      <c r="Z129" s="20"/>
      <c r="AA129" s="20"/>
      <c r="AB129" s="167"/>
    </row>
    <row r="130" spans="1:36" s="8" customFormat="1" x14ac:dyDescent="0.25">
      <c r="A130" s="207">
        <v>1</v>
      </c>
      <c r="B130" s="92" t="s">
        <v>190</v>
      </c>
      <c r="C130" s="90" t="str">
        <f>VLOOKUP($F130,Admin!$A$16:$E$19,2,FALSE)</f>
        <v>Alkalmazott (ipari) kutatás – Működési költség</v>
      </c>
      <c r="D130" s="160" t="s">
        <v>129</v>
      </c>
      <c r="E130" s="90" t="str">
        <f>VLOOKUP($F130,Admin!$A$16:$E$19,4,FALSE)</f>
        <v>54. Bérköltség - Kutató-fejlesztő munkatárs</v>
      </c>
      <c r="F130" s="90" t="s">
        <v>171</v>
      </c>
      <c r="G130" s="160" t="s">
        <v>174</v>
      </c>
      <c r="H130" s="160" t="s">
        <v>194</v>
      </c>
      <c r="I130" s="90" t="str">
        <f>VLOOKUP($F130,Admin!$A$16:$E$19,5,FALSE)</f>
        <v>K+F munkatárs</v>
      </c>
      <c r="J130" s="160" t="s">
        <v>45</v>
      </c>
      <c r="K130" s="160" t="str">
        <f t="shared" si="386"/>
        <v>2022.06</v>
      </c>
      <c r="L130" s="91" t="s">
        <v>8</v>
      </c>
      <c r="M130" s="92" t="s">
        <v>78</v>
      </c>
      <c r="N130" s="161">
        <v>1547999</v>
      </c>
      <c r="O130" s="162">
        <f t="shared" si="392"/>
        <v>201240</v>
      </c>
      <c r="P130" s="160">
        <v>174</v>
      </c>
      <c r="Q130" s="236">
        <v>55</v>
      </c>
      <c r="R130" s="229">
        <f t="shared" si="393"/>
        <v>0.31609195402298851</v>
      </c>
      <c r="S130" s="163">
        <f t="shared" si="394"/>
        <v>489310</v>
      </c>
      <c r="T130" s="164">
        <f t="shared" si="395"/>
        <v>63610</v>
      </c>
      <c r="U130" s="165">
        <f t="shared" si="396"/>
        <v>1.8563081904954259E-8</v>
      </c>
      <c r="V130" s="87">
        <v>0.13</v>
      </c>
      <c r="W130" s="223"/>
      <c r="X130" s="23">
        <v>44713</v>
      </c>
      <c r="Y130" s="20" t="s">
        <v>197</v>
      </c>
      <c r="Z130" s="20"/>
      <c r="AA130" s="20"/>
      <c r="AB130" s="167"/>
    </row>
    <row r="131" spans="1:36" s="8" customFormat="1" x14ac:dyDescent="0.25">
      <c r="A131" s="207">
        <v>1</v>
      </c>
      <c r="B131" s="92" t="s">
        <v>190</v>
      </c>
      <c r="C131" s="90" t="str">
        <f>VLOOKUP($F131,Admin!$A$16:$E$19,2,FALSE)</f>
        <v>Alkalmazott (ipari) kutatás – Működési költség</v>
      </c>
      <c r="D131" s="160" t="s">
        <v>129</v>
      </c>
      <c r="E131" s="90" t="str">
        <f>VLOOKUP($F131,Admin!$A$16:$E$19,4,FALSE)</f>
        <v>54. Bérköltség - Kutató-fejlesztő munkatárs</v>
      </c>
      <c r="F131" s="90" t="s">
        <v>171</v>
      </c>
      <c r="G131" s="160" t="s">
        <v>174</v>
      </c>
      <c r="H131" s="160" t="s">
        <v>194</v>
      </c>
      <c r="I131" s="90" t="str">
        <f>VLOOKUP($F131,Admin!$A$16:$E$19,5,FALSE)</f>
        <v>K+F munkatárs</v>
      </c>
      <c r="J131" s="160" t="s">
        <v>46</v>
      </c>
      <c r="K131" s="160" t="str">
        <f t="shared" ref="K131:K133" si="397">J131</f>
        <v>2022.07</v>
      </c>
      <c r="L131" s="91" t="s">
        <v>8</v>
      </c>
      <c r="M131" s="92" t="s">
        <v>78</v>
      </c>
      <c r="N131" s="161">
        <v>1500000</v>
      </c>
      <c r="O131" s="162">
        <f t="shared" ref="O131" si="398">ROUND(N131*V131,0)</f>
        <v>195000</v>
      </c>
      <c r="P131" s="160">
        <v>174</v>
      </c>
      <c r="Q131" s="236">
        <v>60</v>
      </c>
      <c r="R131" s="229">
        <f t="shared" ref="R131:R133" si="399">Q131/P131</f>
        <v>0.34482758620689657</v>
      </c>
      <c r="S131" s="163">
        <f t="shared" ref="S131:S133" si="400">ROUND(N131*Q131/P131,0)</f>
        <v>517241</v>
      </c>
      <c r="T131" s="164">
        <f t="shared" ref="T131:T133" si="401">ROUND(S131*V131,0)</f>
        <v>67241</v>
      </c>
      <c r="U131" s="165">
        <f t="shared" ref="U131:U133" si="402">Q131/P131-S131/N131</f>
        <v>2.5287356325565113E-7</v>
      </c>
      <c r="V131" s="87">
        <v>0.13</v>
      </c>
      <c r="W131" s="223"/>
      <c r="X131" s="23"/>
      <c r="Y131" s="20" t="s">
        <v>197</v>
      </c>
      <c r="Z131" s="20"/>
      <c r="AA131" s="20"/>
      <c r="AB131" s="167"/>
    </row>
    <row r="132" spans="1:36" s="8" customFormat="1" x14ac:dyDescent="0.25">
      <c r="A132" s="207">
        <v>1</v>
      </c>
      <c r="B132" s="92" t="s">
        <v>190</v>
      </c>
      <c r="C132" s="90" t="str">
        <f>VLOOKUP($F132,Admin!$A$16:$E$19,2,FALSE)</f>
        <v>Alkalmazott (ipari) kutatás – Működési költség</v>
      </c>
      <c r="D132" s="160" t="s">
        <v>129</v>
      </c>
      <c r="E132" s="90" t="str">
        <f>VLOOKUP($F132,Admin!$A$16:$E$19,4,FALSE)</f>
        <v>54. Bérköltség - Kutató-fejlesztő munkatárs</v>
      </c>
      <c r="F132" s="90" t="s">
        <v>171</v>
      </c>
      <c r="G132" s="160" t="s">
        <v>174</v>
      </c>
      <c r="H132" s="160" t="s">
        <v>194</v>
      </c>
      <c r="I132" s="90" t="str">
        <f>VLOOKUP($F132,Admin!$A$16:$E$19,5,FALSE)</f>
        <v>K+F munkatárs</v>
      </c>
      <c r="J132" s="160" t="s">
        <v>47</v>
      </c>
      <c r="K132" s="160" t="str">
        <f t="shared" si="397"/>
        <v>2022.08</v>
      </c>
      <c r="L132" s="91" t="s">
        <v>8</v>
      </c>
      <c r="M132" s="92" t="s">
        <v>78</v>
      </c>
      <c r="N132" s="161">
        <v>1500000</v>
      </c>
      <c r="O132" s="162">
        <f t="shared" ref="O132:O133" si="403">ROUND(N132*V132,0)</f>
        <v>195000</v>
      </c>
      <c r="P132" s="160">
        <v>174</v>
      </c>
      <c r="Q132" s="236">
        <v>60</v>
      </c>
      <c r="R132" s="229">
        <f t="shared" si="399"/>
        <v>0.34482758620689657</v>
      </c>
      <c r="S132" s="163">
        <f t="shared" si="400"/>
        <v>517241</v>
      </c>
      <c r="T132" s="164">
        <f t="shared" si="401"/>
        <v>67241</v>
      </c>
      <c r="U132" s="165">
        <f t="shared" si="402"/>
        <v>2.5287356325565113E-7</v>
      </c>
      <c r="V132" s="87">
        <v>0.13</v>
      </c>
      <c r="W132" s="223"/>
      <c r="X132" s="23"/>
      <c r="Y132" s="20" t="s">
        <v>197</v>
      </c>
      <c r="Z132" s="20"/>
      <c r="AA132" s="20"/>
      <c r="AB132" s="167"/>
    </row>
    <row r="133" spans="1:36" s="8" customFormat="1" x14ac:dyDescent="0.25">
      <c r="A133" s="207">
        <v>1</v>
      </c>
      <c r="B133" s="92" t="s">
        <v>190</v>
      </c>
      <c r="C133" s="90" t="str">
        <f>VLOOKUP($F133,Admin!$A$16:$E$19,2,FALSE)</f>
        <v>Alkalmazott (ipari) kutatás – Működési költség</v>
      </c>
      <c r="D133" s="160" t="s">
        <v>129</v>
      </c>
      <c r="E133" s="90" t="str">
        <f>VLOOKUP($F133,Admin!$A$16:$E$19,4,FALSE)</f>
        <v>54. Bérköltség - Kutató-fejlesztő munkatárs</v>
      </c>
      <c r="F133" s="90" t="s">
        <v>171</v>
      </c>
      <c r="G133" s="160" t="s">
        <v>174</v>
      </c>
      <c r="H133" s="160" t="s">
        <v>194</v>
      </c>
      <c r="I133" s="90" t="str">
        <f>VLOOKUP($F133,Admin!$A$16:$E$19,5,FALSE)</f>
        <v>K+F munkatárs</v>
      </c>
      <c r="J133" s="160" t="s">
        <v>48</v>
      </c>
      <c r="K133" s="160" t="str">
        <f t="shared" si="397"/>
        <v>2022.09</v>
      </c>
      <c r="L133" s="91" t="s">
        <v>8</v>
      </c>
      <c r="M133" s="92" t="s">
        <v>78</v>
      </c>
      <c r="N133" s="161">
        <v>1500000</v>
      </c>
      <c r="O133" s="162">
        <f t="shared" si="403"/>
        <v>195000</v>
      </c>
      <c r="P133" s="160">
        <v>174</v>
      </c>
      <c r="Q133" s="236">
        <v>60</v>
      </c>
      <c r="R133" s="229">
        <f t="shared" si="399"/>
        <v>0.34482758620689657</v>
      </c>
      <c r="S133" s="163">
        <f t="shared" si="400"/>
        <v>517241</v>
      </c>
      <c r="T133" s="164">
        <f t="shared" si="401"/>
        <v>67241</v>
      </c>
      <c r="U133" s="165">
        <f t="shared" si="402"/>
        <v>2.5287356325565113E-7</v>
      </c>
      <c r="V133" s="87">
        <v>0.13</v>
      </c>
      <c r="W133" s="223"/>
      <c r="X133" s="23"/>
      <c r="Y133" s="20" t="s">
        <v>197</v>
      </c>
      <c r="Z133" s="20"/>
      <c r="AA133" s="20"/>
      <c r="AB133" s="167"/>
    </row>
    <row r="134" spans="1:36" s="8" customFormat="1" x14ac:dyDescent="0.25">
      <c r="A134" s="207">
        <v>2</v>
      </c>
      <c r="B134" s="92" t="s">
        <v>190</v>
      </c>
      <c r="C134" s="90" t="str">
        <f>VLOOKUP($F134,Admin!$A$16:$E$19,2,FALSE)</f>
        <v>Alkalmazott (ipari) kutatás – Működési költség</v>
      </c>
      <c r="D134" s="160" t="s">
        <v>129</v>
      </c>
      <c r="E134" s="90" t="str">
        <f>VLOOKUP($F134,Admin!$A$16:$E$19,4,FALSE)</f>
        <v>54. Bérköltség - Kutató-fejlesztő munkatárs</v>
      </c>
      <c r="F134" s="90" t="s">
        <v>171</v>
      </c>
      <c r="G134" s="160" t="s">
        <v>174</v>
      </c>
      <c r="H134" s="160" t="s">
        <v>194</v>
      </c>
      <c r="I134" s="90" t="str">
        <f>VLOOKUP($F134,Admin!$A$16:$E$19,5,FALSE)</f>
        <v>K+F munkatárs</v>
      </c>
      <c r="J134" s="160" t="s">
        <v>49</v>
      </c>
      <c r="K134" s="160" t="str">
        <f t="shared" ref="K134:K136" si="404">J134</f>
        <v>2022.10</v>
      </c>
      <c r="L134" s="91" t="s">
        <v>8</v>
      </c>
      <c r="M134" s="92" t="s">
        <v>78</v>
      </c>
      <c r="N134" s="161">
        <v>1375000</v>
      </c>
      <c r="O134" s="162">
        <f t="shared" ref="O134" si="405">ROUND(N134*V134,0)</f>
        <v>178750</v>
      </c>
      <c r="P134" s="160">
        <v>174</v>
      </c>
      <c r="Q134" s="236">
        <v>50</v>
      </c>
      <c r="R134" s="229">
        <f t="shared" ref="R134" si="406">Q134/P134</f>
        <v>0.28735632183908044</v>
      </c>
      <c r="S134" s="163">
        <f t="shared" ref="S134" si="407">ROUND(N134*Q134/P134,0)</f>
        <v>395115</v>
      </c>
      <c r="T134" s="164">
        <f t="shared" ref="T134" si="408">ROUND(S134*V134,0)</f>
        <v>51365</v>
      </c>
      <c r="U134" s="165">
        <f t="shared" ref="U134" si="409">Q134/P134-S134/N134</f>
        <v>-4.1797283190092571E-8</v>
      </c>
      <c r="V134" s="87">
        <v>0.13</v>
      </c>
      <c r="W134" s="223"/>
      <c r="X134" s="23">
        <v>44826</v>
      </c>
      <c r="Y134" s="20" t="s">
        <v>197</v>
      </c>
      <c r="Z134" s="20"/>
      <c r="AA134" s="20"/>
      <c r="AB134" s="167"/>
      <c r="AF134" s="8">
        <v>168</v>
      </c>
      <c r="AG134" s="8">
        <f t="shared" ref="AG134:AG145" si="410">ROUNDUP(AF134*R134,2)</f>
        <v>48.28</v>
      </c>
      <c r="AH134" s="235">
        <v>44869</v>
      </c>
      <c r="AI134" s="8" t="str">
        <f t="shared" ref="AI134:AI145" si="411">CONCATENATE(J134,".01")</f>
        <v>2022.10.01</v>
      </c>
      <c r="AJ134" s="235">
        <f t="shared" ref="AJ134:AJ145" si="412">EOMONTH(AI134,0)</f>
        <v>44865</v>
      </c>
    </row>
    <row r="135" spans="1:36" s="8" customFormat="1" x14ac:dyDescent="0.25">
      <c r="A135" s="207">
        <v>2</v>
      </c>
      <c r="B135" s="92" t="s">
        <v>190</v>
      </c>
      <c r="C135" s="90" t="str">
        <f>VLOOKUP($F135,Admin!$A$16:$E$19,2,FALSE)</f>
        <v>Alkalmazott (ipari) kutatás – Működési költség</v>
      </c>
      <c r="D135" s="160" t="s">
        <v>129</v>
      </c>
      <c r="E135" s="90" t="str">
        <f>VLOOKUP($F135,Admin!$A$16:$E$19,4,FALSE)</f>
        <v>54. Bérköltség - Kutató-fejlesztő munkatárs</v>
      </c>
      <c r="F135" s="90" t="s">
        <v>171</v>
      </c>
      <c r="G135" s="160" t="s">
        <v>174</v>
      </c>
      <c r="H135" s="160" t="s">
        <v>194</v>
      </c>
      <c r="I135" s="90" t="str">
        <f>VLOOKUP($F135,Admin!$A$16:$E$19,5,FALSE)</f>
        <v>K+F munkatárs</v>
      </c>
      <c r="J135" s="160" t="s">
        <v>50</v>
      </c>
      <c r="K135" s="160" t="str">
        <f t="shared" si="404"/>
        <v>2022.11</v>
      </c>
      <c r="L135" s="91" t="s">
        <v>8</v>
      </c>
      <c r="M135" s="92" t="s">
        <v>78</v>
      </c>
      <c r="N135" s="161">
        <v>1375000</v>
      </c>
      <c r="O135" s="162">
        <f t="shared" ref="O135:O136" si="413">ROUND(N135*V135,0)</f>
        <v>178750</v>
      </c>
      <c r="P135" s="160">
        <v>174</v>
      </c>
      <c r="Q135" s="236">
        <v>50</v>
      </c>
      <c r="R135" s="229">
        <f t="shared" ref="R135:R136" si="414">Q135/P135</f>
        <v>0.28735632183908044</v>
      </c>
      <c r="S135" s="163">
        <f t="shared" ref="S135:S136" si="415">ROUND(N135*Q135/P135,0)</f>
        <v>395115</v>
      </c>
      <c r="T135" s="164">
        <f t="shared" ref="T135:T136" si="416">ROUND(S135*V135,0)</f>
        <v>51365</v>
      </c>
      <c r="U135" s="165">
        <f t="shared" ref="U135:U136" si="417">Q135/P135-S135/N135</f>
        <v>-4.1797283190092571E-8</v>
      </c>
      <c r="V135" s="87">
        <v>0.13</v>
      </c>
      <c r="W135" s="223" t="s">
        <v>224</v>
      </c>
      <c r="X135" s="23">
        <v>44826</v>
      </c>
      <c r="Y135" s="20" t="s">
        <v>197</v>
      </c>
      <c r="Z135" s="20"/>
      <c r="AA135" s="20"/>
      <c r="AB135" s="167"/>
      <c r="AC135" s="210" t="e">
        <v>#N/A</v>
      </c>
      <c r="AD135" s="210" t="e">
        <v>#N/A</v>
      </c>
      <c r="AE135" s="210" t="e">
        <v>#N/A</v>
      </c>
      <c r="AF135" s="8">
        <v>168</v>
      </c>
      <c r="AG135" s="8">
        <f t="shared" si="410"/>
        <v>48.28</v>
      </c>
      <c r="AH135" s="235">
        <v>44900</v>
      </c>
      <c r="AI135" s="8" t="str">
        <f t="shared" si="411"/>
        <v>2022.11.01</v>
      </c>
      <c r="AJ135" s="235">
        <f t="shared" si="412"/>
        <v>44895</v>
      </c>
    </row>
    <row r="136" spans="1:36" s="8" customFormat="1" x14ac:dyDescent="0.25">
      <c r="A136" s="207">
        <v>2</v>
      </c>
      <c r="B136" s="92" t="s">
        <v>190</v>
      </c>
      <c r="C136" s="90" t="str">
        <f>VLOOKUP($F136,Admin!$A$16:$E$19,2,FALSE)</f>
        <v>Alkalmazott (ipari) kutatás – Működési költség</v>
      </c>
      <c r="D136" s="160" t="s">
        <v>129</v>
      </c>
      <c r="E136" s="90" t="str">
        <f>VLOOKUP($F136,Admin!$A$16:$E$19,4,FALSE)</f>
        <v>54. Bérköltség - Kutató-fejlesztő munkatárs</v>
      </c>
      <c r="F136" s="90" t="s">
        <v>171</v>
      </c>
      <c r="G136" s="160" t="s">
        <v>174</v>
      </c>
      <c r="H136" s="160" t="s">
        <v>194</v>
      </c>
      <c r="I136" s="90" t="str">
        <f>VLOOKUP($F136,Admin!$A$16:$E$19,5,FALSE)</f>
        <v>K+F munkatárs</v>
      </c>
      <c r="J136" s="160" t="s">
        <v>51</v>
      </c>
      <c r="K136" s="160" t="str">
        <f t="shared" si="404"/>
        <v>2022.12</v>
      </c>
      <c r="L136" s="91" t="s">
        <v>8</v>
      </c>
      <c r="M136" s="92" t="s">
        <v>78</v>
      </c>
      <c r="N136" s="161">
        <v>1374999</v>
      </c>
      <c r="O136" s="162">
        <f t="shared" si="413"/>
        <v>178750</v>
      </c>
      <c r="P136" s="160">
        <v>174</v>
      </c>
      <c r="Q136" s="236">
        <v>50</v>
      </c>
      <c r="R136" s="229">
        <f t="shared" si="414"/>
        <v>0.28735632183908044</v>
      </c>
      <c r="S136" s="163">
        <f t="shared" si="415"/>
        <v>395115</v>
      </c>
      <c r="T136" s="164">
        <f t="shared" si="416"/>
        <v>51365</v>
      </c>
      <c r="U136" s="165">
        <f t="shared" si="417"/>
        <v>-2.5078388143917607E-7</v>
      </c>
      <c r="V136" s="87">
        <v>0.13</v>
      </c>
      <c r="W136" s="223" t="s">
        <v>224</v>
      </c>
      <c r="X136" s="23">
        <v>44826</v>
      </c>
      <c r="Y136" s="20" t="s">
        <v>197</v>
      </c>
      <c r="Z136" s="20"/>
      <c r="AA136" s="20"/>
      <c r="AB136" s="167"/>
      <c r="AC136" s="210" t="s">
        <v>246</v>
      </c>
      <c r="AD136" s="210" t="s">
        <v>247</v>
      </c>
      <c r="AE136" s="218" t="s">
        <v>247</v>
      </c>
      <c r="AF136" s="8">
        <v>168</v>
      </c>
      <c r="AG136" s="8">
        <f t="shared" si="410"/>
        <v>48.28</v>
      </c>
      <c r="AH136" s="235">
        <v>44931</v>
      </c>
      <c r="AI136" s="8" t="str">
        <f t="shared" si="411"/>
        <v>2022.12.01</v>
      </c>
      <c r="AJ136" s="235">
        <f t="shared" si="412"/>
        <v>44926</v>
      </c>
    </row>
    <row r="137" spans="1:36" s="8" customFormat="1" x14ac:dyDescent="0.25">
      <c r="A137" s="207">
        <v>2</v>
      </c>
      <c r="B137" s="92" t="s">
        <v>190</v>
      </c>
      <c r="C137" s="90" t="str">
        <f>VLOOKUP($F137,Admin!$A$16:$E$19,2,FALSE)</f>
        <v>Alkalmazott (ipari) kutatás – Működési költség</v>
      </c>
      <c r="D137" s="160" t="s">
        <v>129</v>
      </c>
      <c r="E137" s="90" t="str">
        <f>VLOOKUP($F137,Admin!$A$16:$E$19,4,FALSE)</f>
        <v>54. Bérköltség - Kutató-fejlesztő munkatárs</v>
      </c>
      <c r="F137" s="90" t="s">
        <v>171</v>
      </c>
      <c r="G137" s="160" t="s">
        <v>174</v>
      </c>
      <c r="H137" s="160" t="s">
        <v>194</v>
      </c>
      <c r="I137" s="90" t="str">
        <f>VLOOKUP($F137,Admin!$A$16:$E$19,5,FALSE)</f>
        <v>K+F munkatárs</v>
      </c>
      <c r="J137" s="160" t="s">
        <v>64</v>
      </c>
      <c r="K137" s="160" t="str">
        <f t="shared" ref="K137:K139" si="418">J137</f>
        <v>2023.01</v>
      </c>
      <c r="L137" s="91" t="s">
        <v>8</v>
      </c>
      <c r="M137" s="92" t="s">
        <v>78</v>
      </c>
      <c r="N137" s="161">
        <v>1425000</v>
      </c>
      <c r="O137" s="162">
        <f t="shared" ref="O137" si="419">ROUND(N137*V137,0)</f>
        <v>185250</v>
      </c>
      <c r="P137" s="160">
        <v>174</v>
      </c>
      <c r="Q137" s="236">
        <v>56</v>
      </c>
      <c r="R137" s="229">
        <f t="shared" ref="R137" si="420">Q137/P137</f>
        <v>0.32183908045977011</v>
      </c>
      <c r="S137" s="163">
        <f t="shared" ref="S137" si="421">ROUND(N137*Q137/P137,0)</f>
        <v>458621</v>
      </c>
      <c r="T137" s="164">
        <f t="shared" ref="T137" si="422">ROUND(S137*V137,0)</f>
        <v>59621</v>
      </c>
      <c r="U137" s="165">
        <f t="shared" ref="U137" si="423">Q137/P137-S137/N137</f>
        <v>-2.1778584391451972E-7</v>
      </c>
      <c r="V137" s="87">
        <v>0.13</v>
      </c>
      <c r="W137" s="223" t="s">
        <v>224</v>
      </c>
      <c r="X137" s="23">
        <v>44944</v>
      </c>
      <c r="Y137" s="20" t="s">
        <v>197</v>
      </c>
      <c r="Z137" s="20"/>
      <c r="AA137" s="20"/>
      <c r="AB137" s="167"/>
      <c r="AC137" s="210" t="s">
        <v>246</v>
      </c>
      <c r="AD137" s="210">
        <v>0</v>
      </c>
      <c r="AE137" s="210">
        <v>0</v>
      </c>
      <c r="AF137" s="8">
        <v>176</v>
      </c>
      <c r="AG137" s="8">
        <f t="shared" si="410"/>
        <v>56.65</v>
      </c>
      <c r="AH137" s="235">
        <v>44960</v>
      </c>
      <c r="AI137" s="8" t="str">
        <f t="shared" si="411"/>
        <v>2023.01.01</v>
      </c>
      <c r="AJ137" s="235">
        <f t="shared" si="412"/>
        <v>44957</v>
      </c>
    </row>
    <row r="138" spans="1:36" s="8" customFormat="1" x14ac:dyDescent="0.25">
      <c r="A138" s="207">
        <v>2</v>
      </c>
      <c r="B138" s="92" t="s">
        <v>190</v>
      </c>
      <c r="C138" s="90" t="str">
        <f>VLOOKUP($F138,Admin!$A$16:$E$19,2,FALSE)</f>
        <v>Alkalmazott (ipari) kutatás – Működési költség</v>
      </c>
      <c r="D138" s="160" t="s">
        <v>129</v>
      </c>
      <c r="E138" s="90" t="str">
        <f>VLOOKUP($F138,Admin!$A$16:$E$19,4,FALSE)</f>
        <v>54. Bérköltség - Kutató-fejlesztő munkatárs</v>
      </c>
      <c r="F138" s="90" t="s">
        <v>171</v>
      </c>
      <c r="G138" s="160" t="s">
        <v>174</v>
      </c>
      <c r="H138" s="160" t="s">
        <v>194</v>
      </c>
      <c r="I138" s="90" t="str">
        <f>VLOOKUP($F138,Admin!$A$16:$E$19,5,FALSE)</f>
        <v>K+F munkatárs</v>
      </c>
      <c r="J138" s="160" t="s">
        <v>65</v>
      </c>
      <c r="K138" s="160" t="str">
        <f t="shared" si="418"/>
        <v>2023.02</v>
      </c>
      <c r="L138" s="91" t="s">
        <v>8</v>
      </c>
      <c r="M138" s="92" t="s">
        <v>78</v>
      </c>
      <c r="N138" s="161">
        <v>1425000</v>
      </c>
      <c r="O138" s="162">
        <f t="shared" ref="O138:O139" si="424">ROUND(N138*V138,0)</f>
        <v>185250</v>
      </c>
      <c r="P138" s="160">
        <v>174</v>
      </c>
      <c r="Q138" s="236">
        <v>56</v>
      </c>
      <c r="R138" s="229">
        <f t="shared" ref="R138:R139" si="425">Q138/P138</f>
        <v>0.32183908045977011</v>
      </c>
      <c r="S138" s="163">
        <f t="shared" ref="S138:S139" si="426">ROUND(N138*Q138/P138,0)</f>
        <v>458621</v>
      </c>
      <c r="T138" s="164">
        <f t="shared" ref="T138:T139" si="427">ROUND(S138*V138,0)</f>
        <v>59621</v>
      </c>
      <c r="U138" s="165">
        <f t="shared" ref="U138:U139" si="428">Q138/P138-S138/N138</f>
        <v>-2.1778584391451972E-7</v>
      </c>
      <c r="V138" s="87">
        <v>0.13</v>
      </c>
      <c r="W138" s="223" t="s">
        <v>224</v>
      </c>
      <c r="X138" s="23">
        <v>44944</v>
      </c>
      <c r="Y138" s="20" t="s">
        <v>197</v>
      </c>
      <c r="Z138" s="20"/>
      <c r="AA138" s="20"/>
      <c r="AB138" s="167"/>
      <c r="AC138" s="8" t="s">
        <v>246</v>
      </c>
      <c r="AD138" s="8">
        <v>150000</v>
      </c>
      <c r="AE138" s="8">
        <v>162500</v>
      </c>
      <c r="AF138" s="8">
        <v>160</v>
      </c>
      <c r="AG138" s="8">
        <f t="shared" si="410"/>
        <v>51.5</v>
      </c>
      <c r="AH138" s="235">
        <v>44988</v>
      </c>
      <c r="AI138" s="8" t="str">
        <f t="shared" si="411"/>
        <v>2023.02.01</v>
      </c>
      <c r="AJ138" s="235">
        <f t="shared" si="412"/>
        <v>44985</v>
      </c>
    </row>
    <row r="139" spans="1:36" s="8" customFormat="1" x14ac:dyDescent="0.25">
      <c r="A139" s="207">
        <v>2</v>
      </c>
      <c r="B139" s="92" t="s">
        <v>190</v>
      </c>
      <c r="C139" s="90" t="str">
        <f>VLOOKUP($F139,Admin!$A$16:$E$19,2,FALSE)</f>
        <v>Alkalmazott (ipari) kutatás – Működési költség</v>
      </c>
      <c r="D139" s="160" t="s">
        <v>129</v>
      </c>
      <c r="E139" s="90" t="str">
        <f>VLOOKUP($F139,Admin!$A$16:$E$19,4,FALSE)</f>
        <v>54. Bérköltség - Kutató-fejlesztő munkatárs</v>
      </c>
      <c r="F139" s="90" t="s">
        <v>171</v>
      </c>
      <c r="G139" s="160" t="s">
        <v>174</v>
      </c>
      <c r="H139" s="160" t="s">
        <v>194</v>
      </c>
      <c r="I139" s="90" t="str">
        <f>VLOOKUP($F139,Admin!$A$16:$E$19,5,FALSE)</f>
        <v>K+F munkatárs</v>
      </c>
      <c r="J139" s="160" t="s">
        <v>66</v>
      </c>
      <c r="K139" s="160" t="str">
        <f t="shared" si="418"/>
        <v>2023.03</v>
      </c>
      <c r="L139" s="91" t="s">
        <v>8</v>
      </c>
      <c r="M139" s="92" t="s">
        <v>78</v>
      </c>
      <c r="N139" s="161">
        <v>1575000</v>
      </c>
      <c r="O139" s="162">
        <f t="shared" si="424"/>
        <v>204750</v>
      </c>
      <c r="P139" s="160">
        <v>174</v>
      </c>
      <c r="Q139" s="236">
        <v>50</v>
      </c>
      <c r="R139" s="229">
        <f t="shared" si="425"/>
        <v>0.28735632183908044</v>
      </c>
      <c r="S139" s="163">
        <f t="shared" si="426"/>
        <v>452586</v>
      </c>
      <c r="T139" s="164">
        <f t="shared" si="427"/>
        <v>58836</v>
      </c>
      <c r="U139" s="165">
        <f t="shared" si="428"/>
        <v>1.3136288995463374E-7</v>
      </c>
      <c r="V139" s="87">
        <v>0.13</v>
      </c>
      <c r="W139" s="223" t="s">
        <v>224</v>
      </c>
      <c r="X139" s="23">
        <v>44980</v>
      </c>
      <c r="Y139" s="20" t="s">
        <v>197</v>
      </c>
      <c r="Z139" s="20"/>
      <c r="AA139" s="20"/>
      <c r="AB139" s="167"/>
      <c r="AC139" s="8" t="s">
        <v>246</v>
      </c>
      <c r="AD139" s="233">
        <v>0</v>
      </c>
      <c r="AE139" s="8">
        <v>143000</v>
      </c>
      <c r="AF139" s="8">
        <v>176</v>
      </c>
      <c r="AG139" s="8">
        <f t="shared" si="410"/>
        <v>50.58</v>
      </c>
      <c r="AH139" s="235">
        <v>45021</v>
      </c>
      <c r="AI139" s="8" t="str">
        <f t="shared" si="411"/>
        <v>2023.03.01</v>
      </c>
      <c r="AJ139" s="235">
        <f t="shared" si="412"/>
        <v>45016</v>
      </c>
    </row>
    <row r="140" spans="1:36" s="8" customFormat="1" x14ac:dyDescent="0.25">
      <c r="A140" s="207">
        <v>2</v>
      </c>
      <c r="B140" s="92" t="s">
        <v>190</v>
      </c>
      <c r="C140" s="90" t="str">
        <f>VLOOKUP($F140,Admin!$A$16:$E$19,2,FALSE)</f>
        <v>Alkalmazott (ipari) kutatás – Működési költség</v>
      </c>
      <c r="D140" s="160" t="s">
        <v>129</v>
      </c>
      <c r="E140" s="90" t="str">
        <f>VLOOKUP($F140,Admin!$A$16:$E$19,4,FALSE)</f>
        <v>54. Bérköltség - Kutató-fejlesztő munkatárs</v>
      </c>
      <c r="F140" s="90" t="s">
        <v>171</v>
      </c>
      <c r="G140" s="160" t="s">
        <v>174</v>
      </c>
      <c r="H140" s="160" t="s">
        <v>194</v>
      </c>
      <c r="I140" s="90" t="str">
        <f>VLOOKUP($F140,Admin!$A$16:$E$19,5,FALSE)</f>
        <v>K+F munkatárs</v>
      </c>
      <c r="J140" s="160" t="s">
        <v>67</v>
      </c>
      <c r="K140" s="160" t="str">
        <f t="shared" ref="K140:K144" si="429">J140</f>
        <v>2023.04</v>
      </c>
      <c r="L140" s="91" t="s">
        <v>8</v>
      </c>
      <c r="M140" s="92" t="s">
        <v>78</v>
      </c>
      <c r="N140" s="161">
        <v>1575000</v>
      </c>
      <c r="O140" s="162">
        <f t="shared" ref="O140:O144" si="430">ROUND(N140*V140,0)</f>
        <v>204750</v>
      </c>
      <c r="P140" s="160">
        <v>174</v>
      </c>
      <c r="Q140" s="236">
        <v>50</v>
      </c>
      <c r="R140" s="229">
        <f t="shared" ref="R140:R144" si="431">Q140/P140</f>
        <v>0.28735632183908044</v>
      </c>
      <c r="S140" s="163">
        <f t="shared" ref="S140:S144" si="432">ROUND(N140*Q140/P140,0)</f>
        <v>452586</v>
      </c>
      <c r="T140" s="164">
        <f t="shared" ref="T140:T144" si="433">ROUND(S140*V140,0)</f>
        <v>58836</v>
      </c>
      <c r="U140" s="165">
        <f t="shared" ref="U140:U144" si="434">Q140/P140-S140/N140</f>
        <v>1.3136288995463374E-7</v>
      </c>
      <c r="V140" s="87">
        <v>0.13</v>
      </c>
      <c r="W140" s="223" t="s">
        <v>224</v>
      </c>
      <c r="X140" s="23">
        <v>44980</v>
      </c>
      <c r="Y140" s="20" t="s">
        <v>197</v>
      </c>
      <c r="Z140" s="20"/>
      <c r="AA140" s="20"/>
      <c r="AB140" s="167"/>
      <c r="AC140" s="8" t="s">
        <v>246</v>
      </c>
      <c r="AD140" s="8">
        <v>0</v>
      </c>
      <c r="AE140" s="233">
        <v>143000</v>
      </c>
      <c r="AF140" s="8">
        <v>144</v>
      </c>
      <c r="AG140" s="8">
        <f t="shared" si="410"/>
        <v>41.379999999999995</v>
      </c>
      <c r="AH140" s="235">
        <v>45051</v>
      </c>
      <c r="AI140" s="8" t="str">
        <f t="shared" si="411"/>
        <v>2023.04.01</v>
      </c>
      <c r="AJ140" s="235">
        <f t="shared" si="412"/>
        <v>45046</v>
      </c>
    </row>
    <row r="141" spans="1:36" s="8" customFormat="1" x14ac:dyDescent="0.25">
      <c r="A141" s="207">
        <v>2</v>
      </c>
      <c r="B141" s="92" t="s">
        <v>190</v>
      </c>
      <c r="C141" s="90" t="str">
        <f>VLOOKUP($F141,Admin!$A$16:$E$19,2,FALSE)</f>
        <v>Alkalmazott (ipari) kutatás – Működési költség</v>
      </c>
      <c r="D141" s="160" t="s">
        <v>129</v>
      </c>
      <c r="E141" s="90" t="str">
        <f>VLOOKUP($F141,Admin!$A$16:$E$19,4,FALSE)</f>
        <v>54. Bérköltség - Kutató-fejlesztő munkatárs</v>
      </c>
      <c r="F141" s="90" t="s">
        <v>171</v>
      </c>
      <c r="G141" s="160" t="s">
        <v>174</v>
      </c>
      <c r="H141" s="160" t="s">
        <v>194</v>
      </c>
      <c r="I141" s="90" t="str">
        <f>VLOOKUP($F141,Admin!$A$16:$E$19,5,FALSE)</f>
        <v>K+F munkatárs</v>
      </c>
      <c r="J141" s="160" t="s">
        <v>68</v>
      </c>
      <c r="K141" s="160" t="str">
        <f t="shared" si="429"/>
        <v>2023.05</v>
      </c>
      <c r="L141" s="91" t="s">
        <v>8</v>
      </c>
      <c r="M141" s="92" t="s">
        <v>78</v>
      </c>
      <c r="N141" s="161">
        <v>1575000</v>
      </c>
      <c r="O141" s="162">
        <f t="shared" si="430"/>
        <v>204750</v>
      </c>
      <c r="P141" s="160">
        <v>174</v>
      </c>
      <c r="Q141" s="236">
        <v>50</v>
      </c>
      <c r="R141" s="229">
        <f t="shared" si="431"/>
        <v>0.28735632183908044</v>
      </c>
      <c r="S141" s="163">
        <f t="shared" si="432"/>
        <v>452586</v>
      </c>
      <c r="T141" s="164">
        <f t="shared" si="433"/>
        <v>58836</v>
      </c>
      <c r="U141" s="165">
        <f t="shared" si="434"/>
        <v>1.3136288995463374E-7</v>
      </c>
      <c r="V141" s="87">
        <v>0.13</v>
      </c>
      <c r="W141" s="223" t="s">
        <v>224</v>
      </c>
      <c r="X141" s="23">
        <v>44980</v>
      </c>
      <c r="Y141" s="20" t="s">
        <v>197</v>
      </c>
      <c r="Z141" s="20"/>
      <c r="AA141" s="20"/>
      <c r="AB141" s="167"/>
      <c r="AC141" s="8" t="s">
        <v>246</v>
      </c>
      <c r="AD141" s="8">
        <v>0</v>
      </c>
      <c r="AE141" s="8">
        <v>0</v>
      </c>
      <c r="AF141" s="8">
        <v>168</v>
      </c>
      <c r="AG141" s="8">
        <f t="shared" si="410"/>
        <v>48.28</v>
      </c>
      <c r="AH141" s="235">
        <v>45082</v>
      </c>
      <c r="AI141" s="8" t="str">
        <f t="shared" si="411"/>
        <v>2023.05.01</v>
      </c>
      <c r="AJ141" s="235">
        <f t="shared" si="412"/>
        <v>45077</v>
      </c>
    </row>
    <row r="142" spans="1:36" s="8" customFormat="1" x14ac:dyDescent="0.25">
      <c r="A142" s="207">
        <v>2</v>
      </c>
      <c r="B142" s="92" t="s">
        <v>190</v>
      </c>
      <c r="C142" s="90" t="str">
        <f>VLOOKUP($F142,Admin!$A$16:$E$19,2,FALSE)</f>
        <v>Alkalmazott (ipari) kutatás – Működési költség</v>
      </c>
      <c r="D142" s="160" t="s">
        <v>129</v>
      </c>
      <c r="E142" s="90" t="str">
        <f>VLOOKUP($F142,Admin!$A$16:$E$19,4,FALSE)</f>
        <v>54. Bérköltség - Kutató-fejlesztő munkatárs</v>
      </c>
      <c r="F142" s="90" t="s">
        <v>171</v>
      </c>
      <c r="G142" s="160" t="s">
        <v>174</v>
      </c>
      <c r="H142" s="160" t="s">
        <v>194</v>
      </c>
      <c r="I142" s="90" t="str">
        <f>VLOOKUP($F142,Admin!$A$16:$E$19,5,FALSE)</f>
        <v>K+F munkatárs</v>
      </c>
      <c r="J142" s="160" t="s">
        <v>69</v>
      </c>
      <c r="K142" s="160" t="str">
        <f t="shared" si="429"/>
        <v>2023.06</v>
      </c>
      <c r="L142" s="91" t="s">
        <v>8</v>
      </c>
      <c r="M142" s="92" t="s">
        <v>78</v>
      </c>
      <c r="N142" s="161">
        <v>1575000</v>
      </c>
      <c r="O142" s="162">
        <f t="shared" si="430"/>
        <v>204750</v>
      </c>
      <c r="P142" s="160">
        <v>174</v>
      </c>
      <c r="Q142" s="236">
        <v>50</v>
      </c>
      <c r="R142" s="229">
        <f t="shared" si="431"/>
        <v>0.28735632183908044</v>
      </c>
      <c r="S142" s="163">
        <f t="shared" si="432"/>
        <v>452586</v>
      </c>
      <c r="T142" s="164">
        <f t="shared" si="433"/>
        <v>58836</v>
      </c>
      <c r="U142" s="165">
        <f t="shared" si="434"/>
        <v>1.3136288995463374E-7</v>
      </c>
      <c r="V142" s="87">
        <v>0.13</v>
      </c>
      <c r="W142" s="223" t="s">
        <v>224</v>
      </c>
      <c r="X142" s="23">
        <v>44980</v>
      </c>
      <c r="Y142" s="20" t="s">
        <v>197</v>
      </c>
      <c r="Z142" s="20"/>
      <c r="AA142" s="20"/>
      <c r="AB142" s="167"/>
      <c r="AC142" s="8" t="s">
        <v>246</v>
      </c>
      <c r="AD142" s="233">
        <v>1</v>
      </c>
      <c r="AE142" s="8">
        <v>0</v>
      </c>
      <c r="AF142" s="8">
        <v>176</v>
      </c>
      <c r="AG142" s="8">
        <f t="shared" si="410"/>
        <v>50.58</v>
      </c>
      <c r="AH142" s="235">
        <v>45112</v>
      </c>
      <c r="AI142" s="8" t="str">
        <f t="shared" si="411"/>
        <v>2023.06.01</v>
      </c>
      <c r="AJ142" s="235">
        <f t="shared" si="412"/>
        <v>45107</v>
      </c>
    </row>
    <row r="143" spans="1:36" s="8" customFormat="1" x14ac:dyDescent="0.25">
      <c r="A143" s="207">
        <v>2</v>
      </c>
      <c r="B143" s="92" t="s">
        <v>190</v>
      </c>
      <c r="C143" s="90" t="str">
        <f>VLOOKUP($F143,Admin!$A$16:$E$19,2,FALSE)</f>
        <v>Alkalmazott (ipari) kutatás – Működési költség</v>
      </c>
      <c r="D143" s="160" t="s">
        <v>129</v>
      </c>
      <c r="E143" s="90" t="str">
        <f>VLOOKUP($F143,Admin!$A$16:$E$19,4,FALSE)</f>
        <v>54. Bérköltség - Kutató-fejlesztő munkatárs</v>
      </c>
      <c r="F143" s="90" t="s">
        <v>171</v>
      </c>
      <c r="G143" s="160" t="s">
        <v>174</v>
      </c>
      <c r="H143" s="160" t="s">
        <v>194</v>
      </c>
      <c r="I143" s="90" t="str">
        <f>VLOOKUP($F143,Admin!$A$16:$E$19,5,FALSE)</f>
        <v>K+F munkatárs</v>
      </c>
      <c r="J143" s="160" t="s">
        <v>70</v>
      </c>
      <c r="K143" s="160" t="str">
        <f t="shared" si="429"/>
        <v>2023.07</v>
      </c>
      <c r="L143" s="91" t="s">
        <v>8</v>
      </c>
      <c r="M143" s="92" t="s">
        <v>78</v>
      </c>
      <c r="N143" s="161">
        <v>1574999</v>
      </c>
      <c r="O143" s="162">
        <f t="shared" si="430"/>
        <v>204750</v>
      </c>
      <c r="P143" s="160">
        <v>174</v>
      </c>
      <c r="Q143" s="236">
        <v>50</v>
      </c>
      <c r="R143" s="229">
        <f t="shared" si="431"/>
        <v>0.28735632183908044</v>
      </c>
      <c r="S143" s="163">
        <f t="shared" si="432"/>
        <v>452586</v>
      </c>
      <c r="T143" s="164">
        <f t="shared" si="433"/>
        <v>58836</v>
      </c>
      <c r="U143" s="165">
        <f t="shared" si="434"/>
        <v>-5.1085600805134135E-8</v>
      </c>
      <c r="V143" s="87">
        <v>0.13</v>
      </c>
      <c r="W143" s="223" t="s">
        <v>224</v>
      </c>
      <c r="X143" s="23">
        <v>44980</v>
      </c>
      <c r="Y143" s="20" t="s">
        <v>197</v>
      </c>
      <c r="Z143" s="20"/>
      <c r="AA143" s="20"/>
      <c r="AB143" s="167"/>
      <c r="AC143" s="8" t="s">
        <v>246</v>
      </c>
      <c r="AD143" s="8">
        <v>0</v>
      </c>
      <c r="AE143" s="8">
        <v>0</v>
      </c>
      <c r="AF143" s="8">
        <v>168</v>
      </c>
      <c r="AG143" s="8">
        <f t="shared" si="410"/>
        <v>48.28</v>
      </c>
      <c r="AH143" s="235">
        <v>45142</v>
      </c>
      <c r="AI143" s="8" t="str">
        <f t="shared" si="411"/>
        <v>2023.07.01</v>
      </c>
      <c r="AJ143" s="235">
        <f t="shared" si="412"/>
        <v>45138</v>
      </c>
    </row>
    <row r="144" spans="1:36" s="8" customFormat="1" x14ac:dyDescent="0.25">
      <c r="A144" s="207">
        <v>2</v>
      </c>
      <c r="B144" s="92" t="s">
        <v>190</v>
      </c>
      <c r="C144" s="90" t="str">
        <f>VLOOKUP($F144,Admin!$A$16:$E$19,2,FALSE)</f>
        <v>Alkalmazott (ipari) kutatás – Működési költség</v>
      </c>
      <c r="D144" s="160" t="s">
        <v>129</v>
      </c>
      <c r="E144" s="90" t="str">
        <f>VLOOKUP($F144,Admin!$A$16:$E$19,4,FALSE)</f>
        <v>54. Bérköltség - Kutató-fejlesztő munkatárs</v>
      </c>
      <c r="F144" s="90" t="s">
        <v>171</v>
      </c>
      <c r="G144" s="160" t="s">
        <v>174</v>
      </c>
      <c r="H144" s="160" t="s">
        <v>194</v>
      </c>
      <c r="I144" s="90" t="str">
        <f>VLOOKUP($F144,Admin!$A$16:$E$19,5,FALSE)</f>
        <v>K+F munkatárs</v>
      </c>
      <c r="J144" s="160" t="s">
        <v>71</v>
      </c>
      <c r="K144" s="160" t="str">
        <f t="shared" si="429"/>
        <v>2023.08</v>
      </c>
      <c r="L144" s="91" t="s">
        <v>8</v>
      </c>
      <c r="M144" s="92" t="s">
        <v>78</v>
      </c>
      <c r="N144" s="161">
        <v>1574999</v>
      </c>
      <c r="O144" s="162">
        <f t="shared" si="430"/>
        <v>204750</v>
      </c>
      <c r="P144" s="160">
        <v>174</v>
      </c>
      <c r="Q144" s="236">
        <v>50</v>
      </c>
      <c r="R144" s="229">
        <f t="shared" si="431"/>
        <v>0.28735632183908044</v>
      </c>
      <c r="S144" s="163">
        <f t="shared" si="432"/>
        <v>452586</v>
      </c>
      <c r="T144" s="164">
        <f t="shared" si="433"/>
        <v>58836</v>
      </c>
      <c r="U144" s="165">
        <f t="shared" si="434"/>
        <v>-5.1085600805134135E-8</v>
      </c>
      <c r="V144" s="87">
        <v>0.13</v>
      </c>
      <c r="W144" s="223" t="s">
        <v>224</v>
      </c>
      <c r="X144" s="23">
        <v>44980</v>
      </c>
      <c r="Y144" s="20" t="s">
        <v>197</v>
      </c>
      <c r="Z144" s="20"/>
      <c r="AA144" s="20"/>
      <c r="AB144" s="167"/>
      <c r="AC144" s="8" t="s">
        <v>246</v>
      </c>
      <c r="AD144" s="8">
        <v>0</v>
      </c>
      <c r="AE144" s="8">
        <v>0</v>
      </c>
      <c r="AF144" s="8">
        <v>184</v>
      </c>
      <c r="AG144" s="8">
        <f t="shared" si="410"/>
        <v>52.879999999999995</v>
      </c>
      <c r="AH144" s="235">
        <v>45174</v>
      </c>
      <c r="AI144" s="8" t="str">
        <f t="shared" si="411"/>
        <v>2023.08.01</v>
      </c>
      <c r="AJ144" s="235">
        <f t="shared" si="412"/>
        <v>45169</v>
      </c>
    </row>
    <row r="145" spans="1:36" s="8" customFormat="1" x14ac:dyDescent="0.25">
      <c r="A145" s="207">
        <v>2</v>
      </c>
      <c r="B145" s="92" t="s">
        <v>190</v>
      </c>
      <c r="C145" s="90" t="str">
        <f>VLOOKUP($F145,Admin!$A$16:$E$19,2,FALSE)</f>
        <v>Alkalmazott (ipari) kutatás – Működési költség</v>
      </c>
      <c r="D145" s="160" t="s">
        <v>129</v>
      </c>
      <c r="E145" s="90" t="str">
        <f>VLOOKUP($F145,Admin!$A$16:$E$19,4,FALSE)</f>
        <v>54. Bérköltség - Kutató-fejlesztő munkatárs</v>
      </c>
      <c r="F145" s="90" t="s">
        <v>171</v>
      </c>
      <c r="G145" s="160" t="s">
        <v>174</v>
      </c>
      <c r="H145" s="160" t="s">
        <v>194</v>
      </c>
      <c r="I145" s="90" t="str">
        <f>VLOOKUP($F145,Admin!$A$16:$E$19,5,FALSE)</f>
        <v>K+F munkatárs</v>
      </c>
      <c r="J145" s="160" t="s">
        <v>72</v>
      </c>
      <c r="K145" s="160" t="str">
        <f t="shared" ref="K145" si="435">J145</f>
        <v>2023.09</v>
      </c>
      <c r="L145" s="91" t="s">
        <v>8</v>
      </c>
      <c r="M145" s="92" t="s">
        <v>78</v>
      </c>
      <c r="N145" s="161">
        <v>1574999</v>
      </c>
      <c r="O145" s="162">
        <f t="shared" ref="O145" si="436">ROUND(N145*V145,0)</f>
        <v>204750</v>
      </c>
      <c r="P145" s="160">
        <v>174</v>
      </c>
      <c r="Q145" s="236">
        <v>50</v>
      </c>
      <c r="R145" s="229">
        <f t="shared" ref="R145" si="437">Q145/P145</f>
        <v>0.28735632183908044</v>
      </c>
      <c r="S145" s="163">
        <f t="shared" ref="S145" si="438">ROUND(N145*Q145/P145,0)</f>
        <v>452586</v>
      </c>
      <c r="T145" s="164">
        <f t="shared" ref="T145" si="439">ROUND(S145*V145,0)</f>
        <v>58836</v>
      </c>
      <c r="U145" s="165">
        <f t="shared" ref="U145" si="440">Q145/P145-S145/N145</f>
        <v>-5.1085600805134135E-8</v>
      </c>
      <c r="V145" s="87">
        <v>0.13</v>
      </c>
      <c r="W145" s="223" t="s">
        <v>224</v>
      </c>
      <c r="X145" s="23">
        <v>45155</v>
      </c>
      <c r="Y145" s="20" t="s">
        <v>197</v>
      </c>
      <c r="Z145" s="20"/>
      <c r="AA145" s="20"/>
      <c r="AB145" s="167"/>
      <c r="AC145" s="8" t="s">
        <v>246</v>
      </c>
      <c r="AD145" s="8">
        <v>0</v>
      </c>
      <c r="AE145" s="8">
        <v>0</v>
      </c>
      <c r="AF145" s="8">
        <v>168</v>
      </c>
      <c r="AG145" s="8">
        <f t="shared" si="410"/>
        <v>48.28</v>
      </c>
      <c r="AH145" s="235">
        <v>45204</v>
      </c>
      <c r="AI145" s="8" t="str">
        <f t="shared" si="411"/>
        <v>2023.09.01</v>
      </c>
      <c r="AJ145" s="235">
        <f t="shared" si="412"/>
        <v>45199</v>
      </c>
    </row>
    <row r="146" spans="1:36" s="8" customFormat="1" x14ac:dyDescent="0.25">
      <c r="A146" s="188"/>
      <c r="B146" s="92" t="s">
        <v>190</v>
      </c>
      <c r="C146" s="90" t="str">
        <f>VLOOKUP($F146,Admin!$A$16:$E$19,2,FALSE)</f>
        <v>Alkalmazott (ipari) kutatás – Működési költség</v>
      </c>
      <c r="D146" s="160" t="s">
        <v>129</v>
      </c>
      <c r="E146" s="90" t="str">
        <f>VLOOKUP($F146,Admin!$A$16:$E$19,4,FALSE)</f>
        <v>54. Bérköltség - Kutató-fejlesztő munkatárs</v>
      </c>
      <c r="F146" s="90" t="s">
        <v>171</v>
      </c>
      <c r="G146" s="160" t="s">
        <v>174</v>
      </c>
      <c r="H146" s="160" t="s">
        <v>194</v>
      </c>
      <c r="I146" s="90" t="str">
        <f>VLOOKUP($F146,Admin!$A$16:$E$19,5,FALSE)</f>
        <v>K+F munkatárs</v>
      </c>
      <c r="J146" s="160" t="s">
        <v>73</v>
      </c>
      <c r="K146" s="160" t="str">
        <f t="shared" ref="K146:K148" si="441">J146</f>
        <v>2023.10</v>
      </c>
      <c r="L146" s="91" t="s">
        <v>8</v>
      </c>
      <c r="M146" s="92" t="s">
        <v>78</v>
      </c>
      <c r="N146" s="161">
        <v>1575000</v>
      </c>
      <c r="O146" s="162">
        <f t="shared" ref="O146" si="442">ROUND(N146*V146,0)</f>
        <v>204750</v>
      </c>
      <c r="P146" s="160">
        <v>174</v>
      </c>
      <c r="Q146" s="236">
        <v>50</v>
      </c>
      <c r="R146" s="229">
        <f t="shared" ref="R146" si="443">Q146/P146</f>
        <v>0.28735632183908044</v>
      </c>
      <c r="S146" s="163">
        <f t="shared" ref="S146" si="444">ROUND(N146*Q146/P146,0)</f>
        <v>452586</v>
      </c>
      <c r="T146" s="164">
        <f t="shared" ref="T146" si="445">ROUND(S146*V146,0)</f>
        <v>58836</v>
      </c>
      <c r="U146" s="165">
        <f t="shared" ref="U146" si="446">Q146/P146-S146/N146</f>
        <v>1.3136288995463374E-7</v>
      </c>
      <c r="V146" s="87">
        <v>0.13</v>
      </c>
      <c r="W146" s="223" t="s">
        <v>224</v>
      </c>
      <c r="X146" s="23">
        <v>45194</v>
      </c>
      <c r="Y146" s="20" t="s">
        <v>197</v>
      </c>
      <c r="Z146" s="20"/>
      <c r="AA146" s="20"/>
      <c r="AB146" s="167"/>
      <c r="AC146" s="8" t="s">
        <v>246</v>
      </c>
      <c r="AD146" s="8">
        <v>0</v>
      </c>
      <c r="AE146" s="8">
        <v>0</v>
      </c>
    </row>
    <row r="147" spans="1:36" s="8" customFormat="1" x14ac:dyDescent="0.25">
      <c r="A147" s="188"/>
      <c r="B147" s="92" t="s">
        <v>190</v>
      </c>
      <c r="C147" s="90" t="str">
        <f>VLOOKUP($F147,Admin!$A$16:$E$19,2,FALSE)</f>
        <v>Alkalmazott (ipari) kutatás – Működési költség</v>
      </c>
      <c r="D147" s="160" t="s">
        <v>129</v>
      </c>
      <c r="E147" s="90" t="str">
        <f>VLOOKUP($F147,Admin!$A$16:$E$19,4,FALSE)</f>
        <v>54. Bérköltség - Kutató-fejlesztő munkatárs</v>
      </c>
      <c r="F147" s="90" t="s">
        <v>171</v>
      </c>
      <c r="G147" s="160" t="s">
        <v>174</v>
      </c>
      <c r="H147" s="160" t="s">
        <v>194</v>
      </c>
      <c r="I147" s="90" t="str">
        <f>VLOOKUP($F147,Admin!$A$16:$E$19,5,FALSE)</f>
        <v>K+F munkatárs</v>
      </c>
      <c r="J147" s="160" t="s">
        <v>74</v>
      </c>
      <c r="K147" s="160" t="str">
        <f t="shared" si="441"/>
        <v>2023.11</v>
      </c>
      <c r="L147" s="91" t="s">
        <v>8</v>
      </c>
      <c r="M147" s="92" t="s">
        <v>78</v>
      </c>
      <c r="N147" s="161">
        <v>1575000</v>
      </c>
      <c r="O147" s="162">
        <f t="shared" ref="O147:O148" si="447">ROUND(N147*V147,0)</f>
        <v>204750</v>
      </c>
      <c r="P147" s="160">
        <v>174</v>
      </c>
      <c r="Q147" s="236">
        <v>50</v>
      </c>
      <c r="R147" s="229">
        <f t="shared" ref="R147:R148" si="448">Q147/P147</f>
        <v>0.28735632183908044</v>
      </c>
      <c r="S147" s="163">
        <f t="shared" ref="S147:S148" si="449">ROUND(N147*Q147/P147,0)</f>
        <v>452586</v>
      </c>
      <c r="T147" s="164">
        <f t="shared" ref="T147:T148" si="450">ROUND(S147*V147,0)</f>
        <v>58836</v>
      </c>
      <c r="U147" s="165">
        <f t="shared" ref="U147:U148" si="451">Q147/P147-S147/N147</f>
        <v>1.3136288995463374E-7</v>
      </c>
      <c r="V147" s="87">
        <v>0.13</v>
      </c>
      <c r="W147" s="223" t="s">
        <v>224</v>
      </c>
      <c r="X147" s="23">
        <v>45194</v>
      </c>
      <c r="Y147" s="20" t="s">
        <v>197</v>
      </c>
      <c r="Z147" s="20"/>
      <c r="AA147" s="20"/>
      <c r="AB147" s="167"/>
      <c r="AC147" s="8" t="s">
        <v>246</v>
      </c>
      <c r="AD147" s="233">
        <v>1</v>
      </c>
      <c r="AE147" s="8">
        <v>0</v>
      </c>
    </row>
    <row r="148" spans="1:36" s="8" customFormat="1" x14ac:dyDescent="0.25">
      <c r="A148" s="188"/>
      <c r="B148" s="92" t="s">
        <v>190</v>
      </c>
      <c r="C148" s="90" t="str">
        <f>VLOOKUP($F148,Admin!$A$16:$E$19,2,FALSE)</f>
        <v>Alkalmazott (ipari) kutatás – Működési költség</v>
      </c>
      <c r="D148" s="160" t="s">
        <v>129</v>
      </c>
      <c r="E148" s="90" t="str">
        <f>VLOOKUP($F148,Admin!$A$16:$E$19,4,FALSE)</f>
        <v>54. Bérköltség - Kutató-fejlesztő munkatárs</v>
      </c>
      <c r="F148" s="90" t="s">
        <v>171</v>
      </c>
      <c r="G148" s="160" t="s">
        <v>174</v>
      </c>
      <c r="H148" s="160" t="s">
        <v>194</v>
      </c>
      <c r="I148" s="90" t="str">
        <f>VLOOKUP($F148,Admin!$A$16:$E$19,5,FALSE)</f>
        <v>K+F munkatárs</v>
      </c>
      <c r="J148" s="160" t="s">
        <v>139</v>
      </c>
      <c r="K148" s="160" t="str">
        <f t="shared" si="441"/>
        <v>2023.12</v>
      </c>
      <c r="L148" s="91" t="s">
        <v>8</v>
      </c>
      <c r="M148" s="92" t="s">
        <v>78</v>
      </c>
      <c r="N148" s="161">
        <v>1575000</v>
      </c>
      <c r="O148" s="162">
        <f t="shared" si="447"/>
        <v>204750</v>
      </c>
      <c r="P148" s="160">
        <v>174</v>
      </c>
      <c r="Q148" s="236">
        <v>50</v>
      </c>
      <c r="R148" s="229">
        <f t="shared" si="448"/>
        <v>0.28735632183908044</v>
      </c>
      <c r="S148" s="163">
        <f t="shared" si="449"/>
        <v>452586</v>
      </c>
      <c r="T148" s="164">
        <f t="shared" si="450"/>
        <v>58836</v>
      </c>
      <c r="U148" s="165">
        <f t="shared" si="451"/>
        <v>1.3136288995463374E-7</v>
      </c>
      <c r="V148" s="87">
        <v>0.13</v>
      </c>
      <c r="W148" s="223" t="s">
        <v>224</v>
      </c>
      <c r="X148" s="23">
        <v>45194</v>
      </c>
      <c r="Y148" s="20" t="s">
        <v>197</v>
      </c>
      <c r="Z148" s="20"/>
      <c r="AA148" s="20"/>
      <c r="AB148" s="167"/>
      <c r="AC148" s="8" t="s">
        <v>246</v>
      </c>
      <c r="AD148" s="8">
        <v>0</v>
      </c>
      <c r="AE148" s="233">
        <v>19500</v>
      </c>
    </row>
    <row r="149" spans="1:36" s="8" customFormat="1" x14ac:dyDescent="0.25">
      <c r="A149" s="188"/>
      <c r="B149" s="92" t="s">
        <v>190</v>
      </c>
      <c r="C149" s="90" t="str">
        <f>VLOOKUP($F149,Admin!$A$16:$E$19,2,FALSE)</f>
        <v>Alkalmazott (ipari) kutatás – Működési költség</v>
      </c>
      <c r="D149" s="160" t="s">
        <v>129</v>
      </c>
      <c r="E149" s="90" t="str">
        <f>VLOOKUP($F149,Admin!$A$16:$E$19,4,FALSE)</f>
        <v>54. Bérköltség - Kutató-fejlesztő munkatárs</v>
      </c>
      <c r="F149" s="90" t="s">
        <v>171</v>
      </c>
      <c r="G149" s="160" t="s">
        <v>174</v>
      </c>
      <c r="H149" s="160" t="s">
        <v>194</v>
      </c>
      <c r="I149" s="90" t="str">
        <f>VLOOKUP($F149,Admin!$A$16:$E$19,5,FALSE)</f>
        <v>K+F munkatárs</v>
      </c>
      <c r="J149" s="160" t="s">
        <v>140</v>
      </c>
      <c r="K149" s="160" t="str">
        <f t="shared" ref="K149:K154" si="452">J149</f>
        <v>2024.01</v>
      </c>
      <c r="L149" s="91" t="s">
        <v>8</v>
      </c>
      <c r="M149" s="92" t="s">
        <v>78</v>
      </c>
      <c r="N149" s="161">
        <v>1654000</v>
      </c>
      <c r="O149" s="162">
        <f t="shared" ref="O149" si="453">ROUND(N149*V149,0)</f>
        <v>215020</v>
      </c>
      <c r="P149" s="160">
        <v>174</v>
      </c>
      <c r="Q149" s="236">
        <v>46.98</v>
      </c>
      <c r="R149" s="229">
        <f t="shared" ref="R149" si="454">Q149/P149</f>
        <v>0.26999999999999996</v>
      </c>
      <c r="S149" s="163">
        <f t="shared" ref="S149" si="455">ROUND(N149*Q149/P149,0)</f>
        <v>446580</v>
      </c>
      <c r="T149" s="164">
        <f t="shared" ref="T149" si="456">ROUND(S149*V149,0)</f>
        <v>58055</v>
      </c>
      <c r="U149" s="165">
        <f t="shared" ref="U149" si="457">Q149/P149-S149/N149</f>
        <v>0</v>
      </c>
      <c r="V149" s="87">
        <v>0.13</v>
      </c>
      <c r="W149" s="223" t="s">
        <v>224</v>
      </c>
      <c r="X149" s="23">
        <v>45306</v>
      </c>
      <c r="Y149" s="20" t="s">
        <v>197</v>
      </c>
      <c r="Z149" s="20"/>
      <c r="AA149" s="20"/>
      <c r="AB149" s="167"/>
      <c r="AC149" s="8" t="s">
        <v>246</v>
      </c>
      <c r="AD149" s="243">
        <v>0</v>
      </c>
      <c r="AE149" s="243">
        <v>0</v>
      </c>
    </row>
    <row r="150" spans="1:36" s="8" customFormat="1" x14ac:dyDescent="0.25">
      <c r="A150" s="188"/>
      <c r="B150" s="92" t="s">
        <v>190</v>
      </c>
      <c r="C150" s="90" t="str">
        <f>VLOOKUP($F150,Admin!$A$16:$E$19,2,FALSE)</f>
        <v>Alkalmazott (ipari) kutatás – Működési költség</v>
      </c>
      <c r="D150" s="160" t="s">
        <v>129</v>
      </c>
      <c r="E150" s="90" t="str">
        <f>VLOOKUP($F150,Admin!$A$16:$E$19,4,FALSE)</f>
        <v>54. Bérköltség - Kutató-fejlesztő munkatárs</v>
      </c>
      <c r="F150" s="90" t="s">
        <v>171</v>
      </c>
      <c r="G150" s="160" t="s">
        <v>174</v>
      </c>
      <c r="H150" s="160" t="s">
        <v>194</v>
      </c>
      <c r="I150" s="90" t="str">
        <f>VLOOKUP($F150,Admin!$A$16:$E$19,5,FALSE)</f>
        <v>K+F munkatárs</v>
      </c>
      <c r="J150" s="160" t="s">
        <v>141</v>
      </c>
      <c r="K150" s="160" t="str">
        <f t="shared" si="452"/>
        <v>2024.02</v>
      </c>
      <c r="L150" s="91" t="s">
        <v>8</v>
      </c>
      <c r="M150" s="92" t="s">
        <v>78</v>
      </c>
      <c r="N150" s="161">
        <v>1714000</v>
      </c>
      <c r="O150" s="162">
        <f t="shared" ref="O150" si="458">ROUND(N150*V150,0)</f>
        <v>222820</v>
      </c>
      <c r="P150" s="160">
        <v>174</v>
      </c>
      <c r="Q150" s="236">
        <v>45.24</v>
      </c>
      <c r="R150" s="229">
        <f t="shared" ref="R150" si="459">Q150/P150</f>
        <v>0.26</v>
      </c>
      <c r="S150" s="163">
        <f t="shared" ref="S150" si="460">ROUND(N150*Q150/P150,0)</f>
        <v>445640</v>
      </c>
      <c r="T150" s="164">
        <f t="shared" ref="T150" si="461">ROUND(S150*V150,0)</f>
        <v>57933</v>
      </c>
      <c r="U150" s="165">
        <f t="shared" ref="U150" si="462">Q150/P150-S150/N150</f>
        <v>0</v>
      </c>
      <c r="V150" s="87">
        <v>0.13</v>
      </c>
      <c r="W150" s="223" t="s">
        <v>224</v>
      </c>
      <c r="X150" s="23">
        <v>45330</v>
      </c>
      <c r="Y150" s="20" t="s">
        <v>197</v>
      </c>
      <c r="Z150" s="20"/>
      <c r="AA150" s="20"/>
      <c r="AB150" s="167"/>
      <c r="AC150" s="8" t="s">
        <v>246</v>
      </c>
      <c r="AD150" s="243">
        <v>0</v>
      </c>
      <c r="AE150" s="243">
        <v>0</v>
      </c>
    </row>
    <row r="151" spans="1:36" s="8" customFormat="1" x14ac:dyDescent="0.25">
      <c r="A151" s="188"/>
      <c r="B151" s="92" t="s">
        <v>190</v>
      </c>
      <c r="C151" s="90" t="str">
        <f>VLOOKUP($F151,Admin!$A$16:$E$19,2,FALSE)</f>
        <v>Alkalmazott (ipari) kutatás – Működési költség</v>
      </c>
      <c r="D151" s="160" t="s">
        <v>129</v>
      </c>
      <c r="E151" s="90" t="str">
        <f>VLOOKUP($F151,Admin!$A$16:$E$19,4,FALSE)</f>
        <v>54. Bérköltség - Kutató-fejlesztő munkatárs</v>
      </c>
      <c r="F151" s="90" t="s">
        <v>171</v>
      </c>
      <c r="G151" s="160" t="s">
        <v>174</v>
      </c>
      <c r="H151" s="160" t="s">
        <v>194</v>
      </c>
      <c r="I151" s="90" t="str">
        <f>VLOOKUP($F151,Admin!$A$16:$E$19,5,FALSE)</f>
        <v>K+F munkatárs</v>
      </c>
      <c r="J151" s="160" t="s">
        <v>142</v>
      </c>
      <c r="K151" s="160" t="str">
        <f t="shared" si="452"/>
        <v>2024.03</v>
      </c>
      <c r="L151" s="91" t="s">
        <v>8</v>
      </c>
      <c r="M151" s="92" t="s">
        <v>78</v>
      </c>
      <c r="N151" s="161">
        <v>1714000</v>
      </c>
      <c r="O151" s="162">
        <f t="shared" ref="O151:O152" si="463">ROUND(N151*V151,0)</f>
        <v>222820</v>
      </c>
      <c r="P151" s="160">
        <v>174</v>
      </c>
      <c r="Q151" s="236">
        <v>45.24</v>
      </c>
      <c r="R151" s="229">
        <f t="shared" ref="R151:R152" si="464">Q151/P151</f>
        <v>0.26</v>
      </c>
      <c r="S151" s="163">
        <f t="shared" ref="S151:S152" si="465">ROUND(N151*Q151/P151,0)</f>
        <v>445640</v>
      </c>
      <c r="T151" s="164">
        <f t="shared" ref="T151:T152" si="466">ROUND(S151*V151,0)</f>
        <v>57933</v>
      </c>
      <c r="U151" s="165">
        <f t="shared" ref="U151:U152" si="467">Q151/P151-S151/N151</f>
        <v>0</v>
      </c>
      <c r="V151" s="87">
        <v>0.13</v>
      </c>
      <c r="W151" s="223" t="s">
        <v>224</v>
      </c>
      <c r="X151" s="23">
        <v>45330</v>
      </c>
      <c r="Y151" s="20" t="s">
        <v>197</v>
      </c>
      <c r="Z151" s="20"/>
      <c r="AA151" s="20"/>
      <c r="AB151" s="167"/>
      <c r="AC151" s="243" t="s">
        <v>246</v>
      </c>
      <c r="AD151" s="243">
        <v>0</v>
      </c>
      <c r="AE151" s="243">
        <v>0</v>
      </c>
    </row>
    <row r="152" spans="1:36" s="8" customFormat="1" x14ac:dyDescent="0.25">
      <c r="A152" s="188"/>
      <c r="B152" s="92" t="s">
        <v>190</v>
      </c>
      <c r="C152" s="90" t="str">
        <f>VLOOKUP($F152,Admin!$A$16:$E$19,2,FALSE)</f>
        <v>Alkalmazott (ipari) kutatás – Működési költség</v>
      </c>
      <c r="D152" s="160" t="s">
        <v>129</v>
      </c>
      <c r="E152" s="90" t="str">
        <f>VLOOKUP($F152,Admin!$A$16:$E$19,4,FALSE)</f>
        <v>54. Bérköltség - Kutató-fejlesztő munkatárs</v>
      </c>
      <c r="F152" s="90" t="s">
        <v>171</v>
      </c>
      <c r="G152" s="160" t="s">
        <v>174</v>
      </c>
      <c r="H152" s="160" t="s">
        <v>194</v>
      </c>
      <c r="I152" s="90" t="str">
        <f>VLOOKUP($F152,Admin!$A$16:$E$19,5,FALSE)</f>
        <v>K+F munkatárs</v>
      </c>
      <c r="J152" s="160" t="s">
        <v>143</v>
      </c>
      <c r="K152" s="160" t="str">
        <f t="shared" si="452"/>
        <v>2024.04</v>
      </c>
      <c r="L152" s="91" t="s">
        <v>8</v>
      </c>
      <c r="M152" s="92" t="s">
        <v>78</v>
      </c>
      <c r="N152" s="161">
        <v>1714000</v>
      </c>
      <c r="O152" s="162">
        <f t="shared" si="463"/>
        <v>222820</v>
      </c>
      <c r="P152" s="160">
        <v>174</v>
      </c>
      <c r="Q152" s="236">
        <v>27.84</v>
      </c>
      <c r="R152" s="229">
        <f t="shared" si="464"/>
        <v>0.16</v>
      </c>
      <c r="S152" s="163">
        <f t="shared" si="465"/>
        <v>274240</v>
      </c>
      <c r="T152" s="164">
        <f t="shared" si="466"/>
        <v>35651</v>
      </c>
      <c r="U152" s="165">
        <f t="shared" si="467"/>
        <v>0</v>
      </c>
      <c r="V152" s="87">
        <v>0.13</v>
      </c>
      <c r="W152" s="223" t="s">
        <v>224</v>
      </c>
      <c r="X152" s="23">
        <v>45391</v>
      </c>
      <c r="Y152" s="20" t="s">
        <v>197</v>
      </c>
      <c r="Z152" s="20"/>
      <c r="AA152" s="20"/>
      <c r="AB152" s="167"/>
      <c r="AC152" s="8" t="s">
        <v>246</v>
      </c>
      <c r="AD152" s="243">
        <v>0</v>
      </c>
      <c r="AE152" s="233">
        <v>183198</v>
      </c>
    </row>
    <row r="153" spans="1:36" s="8" customFormat="1" x14ac:dyDescent="0.25">
      <c r="A153" s="188"/>
      <c r="B153" s="92" t="s">
        <v>190</v>
      </c>
      <c r="C153" s="90" t="str">
        <f>VLOOKUP($F153,Admin!$A$16:$E$19,2,FALSE)</f>
        <v>Alkalmazott (ipari) kutatás – Működési költség</v>
      </c>
      <c r="D153" s="160" t="s">
        <v>129</v>
      </c>
      <c r="E153" s="90" t="str">
        <f>VLOOKUP($F153,Admin!$A$16:$E$19,4,FALSE)</f>
        <v>54. Bérköltség - Kutató-fejlesztő munkatárs</v>
      </c>
      <c r="F153" s="90" t="s">
        <v>171</v>
      </c>
      <c r="G153" s="160" t="s">
        <v>174</v>
      </c>
      <c r="H153" s="160" t="s">
        <v>194</v>
      </c>
      <c r="I153" s="90" t="str">
        <f>VLOOKUP($F153,Admin!$A$16:$E$19,5,FALSE)</f>
        <v>K+F munkatárs</v>
      </c>
      <c r="J153" s="160" t="s">
        <v>144</v>
      </c>
      <c r="K153" s="160" t="str">
        <f t="shared" si="452"/>
        <v>2024.05</v>
      </c>
      <c r="L153" s="91" t="s">
        <v>8</v>
      </c>
      <c r="M153" s="92" t="s">
        <v>78</v>
      </c>
      <c r="N153" s="161">
        <v>1714000</v>
      </c>
      <c r="O153" s="162">
        <f t="shared" ref="O153:O154" si="468">ROUND(N153*V153,0)</f>
        <v>222820</v>
      </c>
      <c r="P153" s="160">
        <v>174</v>
      </c>
      <c r="Q153" s="236">
        <v>27.84</v>
      </c>
      <c r="R153" s="229">
        <f t="shared" ref="R153:R154" si="469">Q153/P153</f>
        <v>0.16</v>
      </c>
      <c r="S153" s="163">
        <f t="shared" ref="S153:S154" si="470">ROUND(N153*Q153/P153,0)</f>
        <v>274240</v>
      </c>
      <c r="T153" s="164">
        <f t="shared" ref="T153:T154" si="471">ROUND(S153*V153,0)</f>
        <v>35651</v>
      </c>
      <c r="U153" s="165">
        <f t="shared" ref="U153:U154" si="472">Q153/P153-S153/N153</f>
        <v>0</v>
      </c>
      <c r="V153" s="87">
        <v>0.13</v>
      </c>
      <c r="W153" s="223" t="s">
        <v>224</v>
      </c>
      <c r="X153" s="23">
        <v>45391</v>
      </c>
      <c r="Y153" s="20" t="s">
        <v>197</v>
      </c>
      <c r="Z153" s="20"/>
      <c r="AA153" s="20"/>
      <c r="AB153" s="167"/>
      <c r="AC153" s="8" t="s">
        <v>246</v>
      </c>
      <c r="AD153" s="243">
        <v>0</v>
      </c>
      <c r="AE153" s="243">
        <v>0</v>
      </c>
    </row>
    <row r="154" spans="1:36" s="8" customFormat="1" x14ac:dyDescent="0.25">
      <c r="A154" s="188"/>
      <c r="B154" s="92" t="s">
        <v>190</v>
      </c>
      <c r="C154" s="90" t="str">
        <f>VLOOKUP($F154,Admin!$A$16:$E$19,2,FALSE)</f>
        <v>Alkalmazott (ipari) kutatás – Működési költség</v>
      </c>
      <c r="D154" s="160" t="s">
        <v>129</v>
      </c>
      <c r="E154" s="90" t="str">
        <f>VLOOKUP($F154,Admin!$A$16:$E$19,4,FALSE)</f>
        <v>54. Bérköltség - Kutató-fejlesztő munkatárs</v>
      </c>
      <c r="F154" s="90" t="s">
        <v>171</v>
      </c>
      <c r="G154" s="160" t="s">
        <v>174</v>
      </c>
      <c r="H154" s="160" t="s">
        <v>194</v>
      </c>
      <c r="I154" s="90" t="str">
        <f>VLOOKUP($F154,Admin!$A$16:$E$19,5,FALSE)</f>
        <v>K+F munkatárs</v>
      </c>
      <c r="J154" s="160" t="s">
        <v>211</v>
      </c>
      <c r="K154" s="160" t="str">
        <f t="shared" si="452"/>
        <v>2024.06</v>
      </c>
      <c r="L154" s="91" t="s">
        <v>9</v>
      </c>
      <c r="M154" s="92" t="s">
        <v>78</v>
      </c>
      <c r="N154" s="161">
        <v>1761000</v>
      </c>
      <c r="O154" s="162">
        <f t="shared" si="468"/>
        <v>228930</v>
      </c>
      <c r="P154" s="160">
        <v>174</v>
      </c>
      <c r="Q154" s="236">
        <v>27.84</v>
      </c>
      <c r="R154" s="229">
        <f t="shared" si="469"/>
        <v>0.16</v>
      </c>
      <c r="S154" s="163">
        <f t="shared" si="470"/>
        <v>281760</v>
      </c>
      <c r="T154" s="164">
        <f t="shared" si="471"/>
        <v>36629</v>
      </c>
      <c r="U154" s="165">
        <f t="shared" si="472"/>
        <v>0</v>
      </c>
      <c r="V154" s="87">
        <v>0.13</v>
      </c>
      <c r="W154" s="223" t="s">
        <v>224</v>
      </c>
      <c r="X154" s="23">
        <v>45442</v>
      </c>
      <c r="Y154" s="20" t="s">
        <v>197</v>
      </c>
      <c r="Z154" s="20"/>
      <c r="AA154" s="20"/>
      <c r="AB154" s="167"/>
      <c r="AE154" s="233"/>
    </row>
    <row r="155" spans="1:36" s="8" customFormat="1" x14ac:dyDescent="0.25">
      <c r="A155" s="188"/>
      <c r="B155" s="92" t="s">
        <v>190</v>
      </c>
      <c r="C155" s="90" t="str">
        <f>VLOOKUP($F155,Admin!$A$16:$E$19,2,FALSE)</f>
        <v>Alkalmazott (ipari) kutatás – Működési költség</v>
      </c>
      <c r="D155" s="160" t="s">
        <v>129</v>
      </c>
      <c r="E155" s="90" t="str">
        <f>VLOOKUP($F155,Admin!$A$16:$E$19,4,FALSE)</f>
        <v>54. Bérköltség - Kutató-fejlesztő munkatárs</v>
      </c>
      <c r="F155" s="90" t="s">
        <v>171</v>
      </c>
      <c r="G155" s="160" t="s">
        <v>174</v>
      </c>
      <c r="H155" s="160" t="s">
        <v>194</v>
      </c>
      <c r="I155" s="90" t="str">
        <f>VLOOKUP($F155,Admin!$A$16:$E$19,5,FALSE)</f>
        <v>K+F munkatárs</v>
      </c>
      <c r="J155" s="160" t="s">
        <v>212</v>
      </c>
      <c r="K155" s="160" t="str">
        <f t="shared" ref="K155:K157" si="473">J155</f>
        <v>2024.07</v>
      </c>
      <c r="L155" s="91" t="s">
        <v>9</v>
      </c>
      <c r="M155" s="92" t="s">
        <v>78</v>
      </c>
      <c r="N155" s="161">
        <v>1761000</v>
      </c>
      <c r="O155" s="162">
        <f t="shared" ref="O155:O157" si="474">ROUND(N155*V155,0)</f>
        <v>228930</v>
      </c>
      <c r="P155" s="160">
        <v>174</v>
      </c>
      <c r="Q155" s="236">
        <v>27.84</v>
      </c>
      <c r="R155" s="229">
        <f t="shared" ref="R155:R157" si="475">Q155/P155</f>
        <v>0.16</v>
      </c>
      <c r="S155" s="163">
        <f t="shared" ref="S155:S157" si="476">ROUND(N155*Q155/P155,0)</f>
        <v>281760</v>
      </c>
      <c r="T155" s="164">
        <f t="shared" ref="T155:T157" si="477">ROUND(S155*V155,0)</f>
        <v>36629</v>
      </c>
      <c r="U155" s="165">
        <f t="shared" ref="U155:U157" si="478">Q155/P155-S155/N155</f>
        <v>0</v>
      </c>
      <c r="V155" s="87">
        <v>0.13</v>
      </c>
      <c r="W155" s="223" t="s">
        <v>224</v>
      </c>
      <c r="X155" s="23">
        <v>45476</v>
      </c>
      <c r="Y155" s="20"/>
      <c r="Z155" s="20"/>
      <c r="AA155" s="20"/>
      <c r="AB155" s="167"/>
      <c r="AE155" s="233"/>
    </row>
    <row r="156" spans="1:36" s="8" customFormat="1" x14ac:dyDescent="0.25">
      <c r="A156" s="188"/>
      <c r="B156" s="92" t="s">
        <v>190</v>
      </c>
      <c r="C156" s="90" t="str">
        <f>VLOOKUP($F156,Admin!$A$16:$E$19,2,FALSE)</f>
        <v>Alkalmazott (ipari) kutatás – Működési költség</v>
      </c>
      <c r="D156" s="160" t="s">
        <v>129</v>
      </c>
      <c r="E156" s="90" t="str">
        <f>VLOOKUP($F156,Admin!$A$16:$E$19,4,FALSE)</f>
        <v>54. Bérköltség - Kutató-fejlesztő munkatárs</v>
      </c>
      <c r="F156" s="90" t="s">
        <v>171</v>
      </c>
      <c r="G156" s="160" t="s">
        <v>174</v>
      </c>
      <c r="H156" s="160" t="s">
        <v>194</v>
      </c>
      <c r="I156" s="90" t="str">
        <f>VLOOKUP($F156,Admin!$A$16:$E$19,5,FALSE)</f>
        <v>K+F munkatárs</v>
      </c>
      <c r="J156" s="160" t="s">
        <v>213</v>
      </c>
      <c r="K156" s="160" t="str">
        <f t="shared" si="473"/>
        <v>2024.08</v>
      </c>
      <c r="L156" s="91" t="s">
        <v>9</v>
      </c>
      <c r="M156" s="92" t="s">
        <v>78</v>
      </c>
      <c r="N156" s="161">
        <v>1761000</v>
      </c>
      <c r="O156" s="162">
        <f t="shared" ref="O156:O157" si="479">ROUND(N156*V156,0)</f>
        <v>228930</v>
      </c>
      <c r="P156" s="160">
        <v>174</v>
      </c>
      <c r="Q156" s="236">
        <v>27.84</v>
      </c>
      <c r="R156" s="229">
        <f t="shared" ref="R156:R157" si="480">Q156/P156</f>
        <v>0.16</v>
      </c>
      <c r="S156" s="163">
        <f t="shared" ref="S156:S157" si="481">ROUND(N156*Q156/P156,0)</f>
        <v>281760</v>
      </c>
      <c r="T156" s="164">
        <f t="shared" ref="T156:T157" si="482">ROUND(S156*V156,0)</f>
        <v>36629</v>
      </c>
      <c r="U156" s="165">
        <f t="shared" ref="U156:U157" si="483">Q156/P156-S156/N156</f>
        <v>0</v>
      </c>
      <c r="V156" s="87">
        <v>0.13</v>
      </c>
      <c r="W156" s="223" t="s">
        <v>224</v>
      </c>
      <c r="X156" s="23">
        <v>45476</v>
      </c>
      <c r="Y156" s="20"/>
      <c r="Z156" s="20"/>
      <c r="AA156" s="20"/>
      <c r="AB156" s="167"/>
      <c r="AE156" s="233"/>
    </row>
    <row r="157" spans="1:36" s="8" customFormat="1" x14ac:dyDescent="0.25">
      <c r="A157" s="188"/>
      <c r="B157" s="92" t="s">
        <v>190</v>
      </c>
      <c r="C157" s="90" t="str">
        <f>VLOOKUP($F157,Admin!$A$16:$E$19,2,FALSE)</f>
        <v>Alkalmazott (ipari) kutatás – Működési költség</v>
      </c>
      <c r="D157" s="160" t="s">
        <v>129</v>
      </c>
      <c r="E157" s="90" t="str">
        <f>VLOOKUP($F157,Admin!$A$16:$E$19,4,FALSE)</f>
        <v>54. Bérköltség - Kutató-fejlesztő munkatárs</v>
      </c>
      <c r="F157" s="90" t="s">
        <v>171</v>
      </c>
      <c r="G157" s="160" t="s">
        <v>174</v>
      </c>
      <c r="H157" s="160" t="s">
        <v>194</v>
      </c>
      <c r="I157" s="90" t="str">
        <f>VLOOKUP($F157,Admin!$A$16:$E$19,5,FALSE)</f>
        <v>K+F munkatárs</v>
      </c>
      <c r="J157" s="160" t="s">
        <v>214</v>
      </c>
      <c r="K157" s="160" t="str">
        <f t="shared" si="473"/>
        <v>2024.09</v>
      </c>
      <c r="L157" s="91" t="s">
        <v>9</v>
      </c>
      <c r="M157" s="92" t="s">
        <v>78</v>
      </c>
      <c r="N157" s="161">
        <v>1761000</v>
      </c>
      <c r="O157" s="162">
        <f t="shared" si="479"/>
        <v>228930</v>
      </c>
      <c r="P157" s="160">
        <v>174</v>
      </c>
      <c r="Q157" s="236">
        <v>27.84</v>
      </c>
      <c r="R157" s="229">
        <f t="shared" si="480"/>
        <v>0.16</v>
      </c>
      <c r="S157" s="163">
        <f t="shared" si="481"/>
        <v>281760</v>
      </c>
      <c r="T157" s="164">
        <f t="shared" si="482"/>
        <v>36629</v>
      </c>
      <c r="U157" s="165">
        <f t="shared" si="483"/>
        <v>0</v>
      </c>
      <c r="V157" s="87">
        <v>0.13</v>
      </c>
      <c r="W157" s="223" t="s">
        <v>224</v>
      </c>
      <c r="X157" s="23">
        <v>45476</v>
      </c>
      <c r="Y157" s="20"/>
      <c r="Z157" s="20"/>
      <c r="AA157" s="20"/>
      <c r="AB157" s="167"/>
      <c r="AE157" s="233"/>
    </row>
    <row r="158" spans="1:36" s="8" customFormat="1" x14ac:dyDescent="0.25">
      <c r="A158" s="207">
        <v>1</v>
      </c>
      <c r="B158" s="92" t="s">
        <v>207</v>
      </c>
      <c r="C158" s="90" t="str">
        <f>VLOOKUP($F158,Admin!$A$16:$E$19,2,FALSE)</f>
        <v>Alkalmazott (ipari) kutatás – Működési költség</v>
      </c>
      <c r="D158" s="160" t="s">
        <v>129</v>
      </c>
      <c r="E158" s="90" t="str">
        <f>VLOOKUP($F158,Admin!$A$16:$E$19,4,FALSE)</f>
        <v>54. Bérköltség - Kutató-fejlesztő munkatárs</v>
      </c>
      <c r="F158" s="90" t="s">
        <v>171</v>
      </c>
      <c r="G158" s="160" t="s">
        <v>174</v>
      </c>
      <c r="H158" s="160" t="s">
        <v>206</v>
      </c>
      <c r="I158" s="90" t="str">
        <f>VLOOKUP($F158,Admin!$A$16:$E$19,5,FALSE)</f>
        <v>K+F munkatárs</v>
      </c>
      <c r="J158" s="160" t="s">
        <v>43</v>
      </c>
      <c r="K158" s="160" t="str">
        <f t="shared" ref="K158" si="484">J158</f>
        <v>2022.04</v>
      </c>
      <c r="L158" s="91" t="s">
        <v>8</v>
      </c>
      <c r="M158" s="92" t="s">
        <v>78</v>
      </c>
      <c r="N158" s="161">
        <v>610000</v>
      </c>
      <c r="O158" s="162">
        <f t="shared" ref="O158" si="485">ROUND(N158*V158,0)</f>
        <v>79300</v>
      </c>
      <c r="P158" s="160">
        <v>174</v>
      </c>
      <c r="Q158" s="236">
        <v>60</v>
      </c>
      <c r="R158" s="229">
        <f t="shared" ref="R158" si="486">Q158/P158</f>
        <v>0.34482758620689657</v>
      </c>
      <c r="S158" s="163">
        <v>210172</v>
      </c>
      <c r="T158" s="164">
        <f t="shared" ref="T158" si="487">ROUND(S158*V158,0)</f>
        <v>27322</v>
      </c>
      <c r="U158" s="165">
        <f t="shared" ref="U158" si="488">Q158/P158-S158/N158</f>
        <v>2.833239118146258E-4</v>
      </c>
      <c r="V158" s="87">
        <v>0.13</v>
      </c>
      <c r="W158" s="223"/>
      <c r="X158" s="23">
        <v>44650</v>
      </c>
      <c r="Y158" s="20" t="s">
        <v>197</v>
      </c>
      <c r="Z158" s="20"/>
      <c r="AA158" s="20"/>
      <c r="AB158" s="167"/>
    </row>
    <row r="159" spans="1:36" s="8" customFormat="1" x14ac:dyDescent="0.25">
      <c r="A159" s="207">
        <v>1</v>
      </c>
      <c r="B159" s="92" t="s">
        <v>207</v>
      </c>
      <c r="C159" s="90" t="str">
        <f>VLOOKUP($F159,Admin!$A$16:$E$19,2,FALSE)</f>
        <v>Alkalmazott (ipari) kutatás – Működési költség</v>
      </c>
      <c r="D159" s="160" t="s">
        <v>129</v>
      </c>
      <c r="E159" s="90" t="str">
        <f>VLOOKUP($F159,Admin!$A$16:$E$19,4,FALSE)</f>
        <v>54. Bérköltség - Kutató-fejlesztő munkatárs</v>
      </c>
      <c r="F159" s="90" t="s">
        <v>171</v>
      </c>
      <c r="G159" s="160" t="s">
        <v>174</v>
      </c>
      <c r="H159" s="160" t="s">
        <v>206</v>
      </c>
      <c r="I159" s="90" t="str">
        <f>VLOOKUP($F159,Admin!$A$16:$E$19,5,FALSE)</f>
        <v>K+F munkatárs</v>
      </c>
      <c r="J159" s="160" t="s">
        <v>44</v>
      </c>
      <c r="K159" s="160" t="str">
        <f t="shared" ref="K159:K160" si="489">J159</f>
        <v>2022.05</v>
      </c>
      <c r="L159" s="91" t="s">
        <v>8</v>
      </c>
      <c r="M159" s="92" t="s">
        <v>78</v>
      </c>
      <c r="N159" s="161">
        <v>610000</v>
      </c>
      <c r="O159" s="162">
        <f t="shared" ref="O159:O160" si="490">ROUND(N159*V159,0)</f>
        <v>79300</v>
      </c>
      <c r="P159" s="160">
        <v>174</v>
      </c>
      <c r="Q159" s="236">
        <v>60</v>
      </c>
      <c r="R159" s="229">
        <f t="shared" ref="R159:R160" si="491">Q159/P159</f>
        <v>0.34482758620689657</v>
      </c>
      <c r="S159" s="163">
        <v>210172</v>
      </c>
      <c r="T159" s="164">
        <f t="shared" ref="T159:T160" si="492">ROUND(S159*V159,0)</f>
        <v>27322</v>
      </c>
      <c r="U159" s="165">
        <f t="shared" ref="U159:U160" si="493">Q159/P159-S159/N159</f>
        <v>2.833239118146258E-4</v>
      </c>
      <c r="V159" s="87">
        <v>0.13</v>
      </c>
      <c r="W159" s="223"/>
      <c r="X159" s="23">
        <v>44650</v>
      </c>
      <c r="Y159" s="20" t="s">
        <v>197</v>
      </c>
      <c r="Z159" s="20"/>
      <c r="AA159" s="20"/>
      <c r="AB159" s="167"/>
    </row>
    <row r="160" spans="1:36" s="8" customFormat="1" x14ac:dyDescent="0.25">
      <c r="A160" s="207">
        <v>1</v>
      </c>
      <c r="B160" s="92" t="s">
        <v>207</v>
      </c>
      <c r="C160" s="90" t="str">
        <f>VLOOKUP($F160,Admin!$A$16:$E$19,2,FALSE)</f>
        <v>Alkalmazott (ipari) kutatás – Működési költség</v>
      </c>
      <c r="D160" s="160" t="s">
        <v>129</v>
      </c>
      <c r="E160" s="90" t="str">
        <f>VLOOKUP($F160,Admin!$A$16:$E$19,4,FALSE)</f>
        <v>54. Bérköltség - Kutató-fejlesztő munkatárs</v>
      </c>
      <c r="F160" s="90" t="s">
        <v>171</v>
      </c>
      <c r="G160" s="160" t="s">
        <v>174</v>
      </c>
      <c r="H160" s="160" t="s">
        <v>206</v>
      </c>
      <c r="I160" s="90" t="str">
        <f>VLOOKUP($F160,Admin!$A$16:$E$19,5,FALSE)</f>
        <v>K+F munkatárs</v>
      </c>
      <c r="J160" s="160" t="s">
        <v>45</v>
      </c>
      <c r="K160" s="160" t="str">
        <f t="shared" si="489"/>
        <v>2022.06</v>
      </c>
      <c r="L160" s="91" t="s">
        <v>8</v>
      </c>
      <c r="M160" s="92" t="s">
        <v>78</v>
      </c>
      <c r="N160" s="161">
        <v>610000</v>
      </c>
      <c r="O160" s="162">
        <f t="shared" si="490"/>
        <v>79300</v>
      </c>
      <c r="P160" s="160">
        <v>174</v>
      </c>
      <c r="Q160" s="236">
        <v>57</v>
      </c>
      <c r="R160" s="229">
        <f t="shared" si="491"/>
        <v>0.32758620689655171</v>
      </c>
      <c r="S160" s="163">
        <f t="shared" ref="S160" si="494">ROUND(N160*Q160/P160,0)</f>
        <v>199828</v>
      </c>
      <c r="T160" s="164">
        <f t="shared" si="492"/>
        <v>25978</v>
      </c>
      <c r="U160" s="165">
        <f t="shared" si="493"/>
        <v>-6.783493499140647E-7</v>
      </c>
      <c r="V160" s="87">
        <v>0.13</v>
      </c>
      <c r="W160" s="223"/>
      <c r="X160" s="23">
        <v>44712</v>
      </c>
      <c r="Y160" s="20" t="s">
        <v>197</v>
      </c>
      <c r="Z160" s="20"/>
      <c r="AA160" s="20"/>
      <c r="AB160" s="167"/>
    </row>
    <row r="161" spans="1:36" s="8" customFormat="1" x14ac:dyDescent="0.25">
      <c r="A161" s="207">
        <v>1</v>
      </c>
      <c r="B161" s="92" t="s">
        <v>207</v>
      </c>
      <c r="C161" s="90" t="str">
        <f>VLOOKUP($F161,Admin!$A$16:$E$19,2,FALSE)</f>
        <v>Alkalmazott (ipari) kutatás – Működési költség</v>
      </c>
      <c r="D161" s="160" t="s">
        <v>129</v>
      </c>
      <c r="E161" s="90" t="str">
        <f>VLOOKUP($F161,Admin!$A$16:$E$19,4,FALSE)</f>
        <v>54. Bérköltség - Kutató-fejlesztő munkatárs</v>
      </c>
      <c r="F161" s="90" t="s">
        <v>171</v>
      </c>
      <c r="G161" s="160" t="s">
        <v>174</v>
      </c>
      <c r="H161" s="160" t="s">
        <v>206</v>
      </c>
      <c r="I161" s="90" t="str">
        <f>VLOOKUP($F161,Admin!$A$16:$E$19,5,FALSE)</f>
        <v>K+F munkatárs</v>
      </c>
      <c r="J161" s="160" t="s">
        <v>46</v>
      </c>
      <c r="K161" s="160" t="str">
        <f t="shared" ref="K161:K163" si="495">J161</f>
        <v>2022.07</v>
      </c>
      <c r="L161" s="91" t="s">
        <v>8</v>
      </c>
      <c r="M161" s="92" t="s">
        <v>78</v>
      </c>
      <c r="N161" s="161">
        <v>610000</v>
      </c>
      <c r="O161" s="162">
        <f t="shared" ref="O161" si="496">ROUND(N161*V161,0)</f>
        <v>79300</v>
      </c>
      <c r="P161" s="160">
        <v>174</v>
      </c>
      <c r="Q161" s="236">
        <v>57</v>
      </c>
      <c r="R161" s="229">
        <f t="shared" ref="R161" si="497">Q161/P161</f>
        <v>0.32758620689655171</v>
      </c>
      <c r="S161" s="163">
        <f t="shared" ref="S161" si="498">ROUND(N161*Q161/P161,0)</f>
        <v>199828</v>
      </c>
      <c r="T161" s="164">
        <f t="shared" ref="T161" si="499">ROUND(S161*V161,0)</f>
        <v>25978</v>
      </c>
      <c r="U161" s="165">
        <f t="shared" ref="U161" si="500">Q161/P161-S161/N161</f>
        <v>-6.783493499140647E-7</v>
      </c>
      <c r="V161" s="87">
        <v>0.13</v>
      </c>
      <c r="W161" s="223"/>
      <c r="X161" s="23">
        <v>44734</v>
      </c>
      <c r="Y161" s="20" t="s">
        <v>197</v>
      </c>
      <c r="Z161" s="20"/>
      <c r="AA161" s="20"/>
      <c r="AB161" s="167"/>
    </row>
    <row r="162" spans="1:36" s="8" customFormat="1" x14ac:dyDescent="0.25">
      <c r="A162" s="207">
        <v>1</v>
      </c>
      <c r="B162" s="92" t="s">
        <v>207</v>
      </c>
      <c r="C162" s="90" t="str">
        <f>VLOOKUP($F162,Admin!$A$16:$E$19,2,FALSE)</f>
        <v>Alkalmazott (ipari) kutatás – Működési költség</v>
      </c>
      <c r="D162" s="160" t="s">
        <v>129</v>
      </c>
      <c r="E162" s="90" t="str">
        <f>VLOOKUP($F162,Admin!$A$16:$E$19,4,FALSE)</f>
        <v>54. Bérköltség - Kutató-fejlesztő munkatárs</v>
      </c>
      <c r="F162" s="90" t="s">
        <v>171</v>
      </c>
      <c r="G162" s="160" t="s">
        <v>174</v>
      </c>
      <c r="H162" s="160" t="s">
        <v>206</v>
      </c>
      <c r="I162" s="90" t="str">
        <f>VLOOKUP($F162,Admin!$A$16:$E$19,5,FALSE)</f>
        <v>K+F munkatárs</v>
      </c>
      <c r="J162" s="160" t="s">
        <v>47</v>
      </c>
      <c r="K162" s="160" t="str">
        <f t="shared" si="495"/>
        <v>2022.08</v>
      </c>
      <c r="L162" s="91" t="s">
        <v>8</v>
      </c>
      <c r="M162" s="92" t="s">
        <v>78</v>
      </c>
      <c r="N162" s="161">
        <v>477391</v>
      </c>
      <c r="O162" s="162">
        <f t="shared" ref="O162:O163" si="501">ROUND(N162*V162,0)</f>
        <v>62061</v>
      </c>
      <c r="P162" s="160">
        <v>174</v>
      </c>
      <c r="Q162" s="236">
        <v>57</v>
      </c>
      <c r="R162" s="229">
        <f t="shared" ref="R162:R163" si="502">Q162/P162</f>
        <v>0.32758620689655171</v>
      </c>
      <c r="S162" s="163">
        <f t="shared" ref="S162:S163" si="503">ROUND(N162*Q162/P162,0)</f>
        <v>156387</v>
      </c>
      <c r="T162" s="164">
        <f t="shared" ref="T162:T163" si="504">ROUND(S162*V162,0)</f>
        <v>20330</v>
      </c>
      <c r="U162" s="165">
        <f t="shared" ref="U162:U163" si="505">Q162/P162-S162/N162</f>
        <v>-6.1396936323898643E-7</v>
      </c>
      <c r="V162" s="87">
        <v>0.13</v>
      </c>
      <c r="W162" s="223"/>
      <c r="X162" s="23">
        <v>44734</v>
      </c>
      <c r="Y162" s="20" t="s">
        <v>197</v>
      </c>
      <c r="Z162" s="20"/>
      <c r="AA162" s="20"/>
      <c r="AB162" s="167"/>
    </row>
    <row r="163" spans="1:36" s="8" customFormat="1" x14ac:dyDescent="0.25">
      <c r="A163" s="207">
        <v>1</v>
      </c>
      <c r="B163" s="92" t="s">
        <v>207</v>
      </c>
      <c r="C163" s="90" t="str">
        <f>VLOOKUP($F163,Admin!$A$16:$E$19,2,FALSE)</f>
        <v>Alkalmazott (ipari) kutatás – Működési költség</v>
      </c>
      <c r="D163" s="160" t="s">
        <v>129</v>
      </c>
      <c r="E163" s="90" t="str">
        <f>VLOOKUP($F163,Admin!$A$16:$E$19,4,FALSE)</f>
        <v>54. Bérköltség - Kutató-fejlesztő munkatárs</v>
      </c>
      <c r="F163" s="90" t="s">
        <v>171</v>
      </c>
      <c r="G163" s="160" t="s">
        <v>174</v>
      </c>
      <c r="H163" s="160" t="s">
        <v>206</v>
      </c>
      <c r="I163" s="90" t="str">
        <f>VLOOKUP($F163,Admin!$A$16:$E$19,5,FALSE)</f>
        <v>K+F munkatárs</v>
      </c>
      <c r="J163" s="160" t="s">
        <v>48</v>
      </c>
      <c r="K163" s="160" t="str">
        <f t="shared" si="495"/>
        <v>2022.09</v>
      </c>
      <c r="L163" s="91" t="s">
        <v>8</v>
      </c>
      <c r="M163" s="92" t="s">
        <v>78</v>
      </c>
      <c r="N163" s="161">
        <v>610000</v>
      </c>
      <c r="O163" s="162">
        <f t="shared" si="501"/>
        <v>79300</v>
      </c>
      <c r="P163" s="160">
        <v>174</v>
      </c>
      <c r="Q163" s="236">
        <v>57</v>
      </c>
      <c r="R163" s="229">
        <f t="shared" si="502"/>
        <v>0.32758620689655171</v>
      </c>
      <c r="S163" s="163">
        <f t="shared" si="503"/>
        <v>199828</v>
      </c>
      <c r="T163" s="164">
        <f t="shared" si="504"/>
        <v>25978</v>
      </c>
      <c r="U163" s="165">
        <f t="shared" si="505"/>
        <v>-6.783493499140647E-7</v>
      </c>
      <c r="V163" s="87">
        <v>0.13</v>
      </c>
      <c r="W163" s="223"/>
      <c r="X163" s="23">
        <v>44734</v>
      </c>
      <c r="Y163" s="20" t="s">
        <v>197</v>
      </c>
      <c r="Z163" s="20"/>
      <c r="AA163" s="20"/>
      <c r="AB163" s="167"/>
    </row>
    <row r="164" spans="1:36" s="8" customFormat="1" x14ac:dyDescent="0.25">
      <c r="A164" s="207">
        <v>2</v>
      </c>
      <c r="B164" s="92" t="s">
        <v>207</v>
      </c>
      <c r="C164" s="90" t="str">
        <f>VLOOKUP($F164,Admin!$A$16:$E$19,2,FALSE)</f>
        <v>Kísérleti fejlesztés – Működési költség</v>
      </c>
      <c r="D164" s="160" t="s">
        <v>129</v>
      </c>
      <c r="E164" s="90" t="str">
        <f>VLOOKUP($F164,Admin!$A$16:$E$19,4,FALSE)</f>
        <v>54. Bérköltség - Kutató-fejlesztő munkatárs</v>
      </c>
      <c r="F164" s="90" t="s">
        <v>170</v>
      </c>
      <c r="G164" s="160" t="s">
        <v>174</v>
      </c>
      <c r="H164" s="160" t="s">
        <v>206</v>
      </c>
      <c r="I164" s="90" t="str">
        <f>VLOOKUP($F164,Admin!$A$16:$E$19,5,FALSE)</f>
        <v>K+F munkatárs</v>
      </c>
      <c r="J164" s="160" t="s">
        <v>49</v>
      </c>
      <c r="K164" s="160" t="str">
        <f t="shared" ref="K164:K166" si="506">J164</f>
        <v>2022.10</v>
      </c>
      <c r="L164" s="91" t="s">
        <v>8</v>
      </c>
      <c r="M164" s="92" t="s">
        <v>78</v>
      </c>
      <c r="N164" s="161">
        <v>660000</v>
      </c>
      <c r="O164" s="162">
        <f t="shared" ref="O164" si="507">ROUND(N164*V164,0)</f>
        <v>85800</v>
      </c>
      <c r="P164" s="160">
        <v>174</v>
      </c>
      <c r="Q164" s="236">
        <v>53</v>
      </c>
      <c r="R164" s="229">
        <f t="shared" ref="R164" si="508">Q164/P164</f>
        <v>0.3045977011494253</v>
      </c>
      <c r="S164" s="163">
        <f t="shared" ref="S164" si="509">ROUND(N164*Q164/P164,0)</f>
        <v>201034</v>
      </c>
      <c r="T164" s="164">
        <f t="shared" ref="T164" si="510">ROUND(S164*V164,0)</f>
        <v>26134</v>
      </c>
      <c r="U164" s="165">
        <f t="shared" ref="U164" si="511">Q164/P164-S164/N164</f>
        <v>7.3145245560457539E-7</v>
      </c>
      <c r="V164" s="87">
        <v>0.13</v>
      </c>
      <c r="W164" s="223"/>
      <c r="X164" s="23">
        <v>44832</v>
      </c>
      <c r="Y164" s="20" t="s">
        <v>197</v>
      </c>
      <c r="Z164" s="20"/>
      <c r="AA164" s="20"/>
      <c r="AB164" s="167"/>
      <c r="AF164" s="8">
        <v>168</v>
      </c>
      <c r="AG164" s="8">
        <f t="shared" ref="AG164:AG175" si="512">ROUNDUP(AF164*R164,2)</f>
        <v>51.18</v>
      </c>
      <c r="AH164" s="235">
        <v>44869</v>
      </c>
      <c r="AI164" s="8" t="str">
        <f t="shared" ref="AI164:AI175" si="513">CONCATENATE(J164,".01")</f>
        <v>2022.10.01</v>
      </c>
      <c r="AJ164" s="235">
        <f t="shared" ref="AJ164:AJ175" si="514">EOMONTH(AI164,0)</f>
        <v>44865</v>
      </c>
    </row>
    <row r="165" spans="1:36" s="8" customFormat="1" x14ac:dyDescent="0.25">
      <c r="A165" s="207">
        <v>2</v>
      </c>
      <c r="B165" s="92" t="s">
        <v>207</v>
      </c>
      <c r="C165" s="90" t="str">
        <f>VLOOKUP($F165,Admin!$A$16:$E$19,2,FALSE)</f>
        <v>Kísérleti fejlesztés – Működési költség</v>
      </c>
      <c r="D165" s="160" t="s">
        <v>129</v>
      </c>
      <c r="E165" s="90" t="str">
        <f>VLOOKUP($F165,Admin!$A$16:$E$19,4,FALSE)</f>
        <v>54. Bérköltség - Kutató-fejlesztő munkatárs</v>
      </c>
      <c r="F165" s="90" t="s">
        <v>170</v>
      </c>
      <c r="G165" s="160" t="s">
        <v>174</v>
      </c>
      <c r="H165" s="160" t="s">
        <v>206</v>
      </c>
      <c r="I165" s="90" t="str">
        <f>VLOOKUP($F165,Admin!$A$16:$E$19,5,FALSE)</f>
        <v>K+F munkatárs</v>
      </c>
      <c r="J165" s="160" t="s">
        <v>50</v>
      </c>
      <c r="K165" s="160" t="str">
        <f t="shared" si="506"/>
        <v>2022.11</v>
      </c>
      <c r="L165" s="91" t="s">
        <v>8</v>
      </c>
      <c r="M165" s="92" t="s">
        <v>78</v>
      </c>
      <c r="N165" s="161">
        <v>660000</v>
      </c>
      <c r="O165" s="162">
        <f t="shared" ref="O165" si="515">ROUND(N165*V165,0)</f>
        <v>85800</v>
      </c>
      <c r="P165" s="160">
        <v>174</v>
      </c>
      <c r="Q165" s="236">
        <v>53</v>
      </c>
      <c r="R165" s="229">
        <f t="shared" ref="R165" si="516">Q165/P165</f>
        <v>0.3045977011494253</v>
      </c>
      <c r="S165" s="163">
        <f t="shared" ref="S165" si="517">ROUND(N165*Q165/P165,0)</f>
        <v>201034</v>
      </c>
      <c r="T165" s="164">
        <f t="shared" ref="T165" si="518">ROUND(S165*V165,0)</f>
        <v>26134</v>
      </c>
      <c r="U165" s="165">
        <f t="shared" ref="U165" si="519">Q165/P165-S165/N165</f>
        <v>7.3145245560457539E-7</v>
      </c>
      <c r="V165" s="87">
        <v>0.13</v>
      </c>
      <c r="W165" s="223" t="s">
        <v>225</v>
      </c>
      <c r="X165" s="23">
        <v>44875</v>
      </c>
      <c r="Y165" s="20" t="s">
        <v>197</v>
      </c>
      <c r="Z165" s="20"/>
      <c r="AA165" s="20"/>
      <c r="AB165" s="167"/>
      <c r="AC165" s="210" t="e">
        <v>#N/A</v>
      </c>
      <c r="AD165" s="211" t="e">
        <v>#N/A</v>
      </c>
      <c r="AE165" s="210" t="e">
        <v>#N/A</v>
      </c>
      <c r="AF165" s="8">
        <v>168</v>
      </c>
      <c r="AG165" s="8">
        <f t="shared" si="512"/>
        <v>51.18</v>
      </c>
      <c r="AH165" s="235">
        <v>44900</v>
      </c>
      <c r="AI165" s="8" t="str">
        <f t="shared" si="513"/>
        <v>2022.11.01</v>
      </c>
      <c r="AJ165" s="235">
        <f t="shared" si="514"/>
        <v>44895</v>
      </c>
    </row>
    <row r="166" spans="1:36" s="8" customFormat="1" x14ac:dyDescent="0.25">
      <c r="A166" s="207">
        <v>2</v>
      </c>
      <c r="B166" s="92" t="s">
        <v>207</v>
      </c>
      <c r="C166" s="90" t="str">
        <f>VLOOKUP($F166,Admin!$A$16:$E$19,2,FALSE)</f>
        <v>Kísérleti fejlesztés – Működési költség</v>
      </c>
      <c r="D166" s="160" t="s">
        <v>129</v>
      </c>
      <c r="E166" s="90" t="str">
        <f>VLOOKUP($F166,Admin!$A$16:$E$19,4,FALSE)</f>
        <v>54. Bérköltség - Kutató-fejlesztő munkatárs</v>
      </c>
      <c r="F166" s="90" t="s">
        <v>170</v>
      </c>
      <c r="G166" s="160" t="s">
        <v>174</v>
      </c>
      <c r="H166" s="160" t="s">
        <v>206</v>
      </c>
      <c r="I166" s="90" t="str">
        <f>VLOOKUP($F166,Admin!$A$16:$E$19,5,FALSE)</f>
        <v>K+F munkatárs</v>
      </c>
      <c r="J166" s="160" t="s">
        <v>51</v>
      </c>
      <c r="K166" s="160" t="str">
        <f t="shared" si="506"/>
        <v>2022.12</v>
      </c>
      <c r="L166" s="91" t="s">
        <v>8</v>
      </c>
      <c r="M166" s="92" t="s">
        <v>78</v>
      </c>
      <c r="N166" s="161">
        <v>660000</v>
      </c>
      <c r="O166" s="162">
        <f t="shared" ref="O166" si="520">ROUND(N166*V166,0)</f>
        <v>85800</v>
      </c>
      <c r="P166" s="160">
        <v>174</v>
      </c>
      <c r="Q166" s="236">
        <v>53</v>
      </c>
      <c r="R166" s="229">
        <f t="shared" ref="R166" si="521">Q166/P166</f>
        <v>0.3045977011494253</v>
      </c>
      <c r="S166" s="163">
        <f t="shared" ref="S166" si="522">ROUND(N166*Q166/P166,0)</f>
        <v>201034</v>
      </c>
      <c r="T166" s="164">
        <f t="shared" ref="T166" si="523">ROUND(S166*V166,0)</f>
        <v>26134</v>
      </c>
      <c r="U166" s="165">
        <f t="shared" ref="U166" si="524">Q166/P166-S166/N166</f>
        <v>7.3145245560457539E-7</v>
      </c>
      <c r="V166" s="87">
        <v>0.13</v>
      </c>
      <c r="W166" s="223" t="s">
        <v>225</v>
      </c>
      <c r="X166" s="23">
        <v>44875</v>
      </c>
      <c r="Y166" s="20" t="s">
        <v>197</v>
      </c>
      <c r="Z166" s="20"/>
      <c r="AA166" s="20"/>
      <c r="AB166" s="167"/>
      <c r="AC166" s="210" t="s">
        <v>246</v>
      </c>
      <c r="AD166" s="210" t="s">
        <v>247</v>
      </c>
      <c r="AE166" s="210" t="s">
        <v>247</v>
      </c>
      <c r="AF166" s="8">
        <v>168</v>
      </c>
      <c r="AG166" s="8">
        <f t="shared" si="512"/>
        <v>51.18</v>
      </c>
      <c r="AH166" s="235">
        <v>44931</v>
      </c>
      <c r="AI166" s="8" t="str">
        <f t="shared" si="513"/>
        <v>2022.12.01</v>
      </c>
      <c r="AJ166" s="235">
        <f t="shared" si="514"/>
        <v>44926</v>
      </c>
    </row>
    <row r="167" spans="1:36" s="8" customFormat="1" x14ac:dyDescent="0.25">
      <c r="A167" s="207">
        <v>2</v>
      </c>
      <c r="B167" s="92" t="s">
        <v>207</v>
      </c>
      <c r="C167" s="90" t="str">
        <f>VLOOKUP($F167,Admin!$A$16:$E$19,2,FALSE)</f>
        <v>Kísérleti fejlesztés – Működési költség</v>
      </c>
      <c r="D167" s="160" t="s">
        <v>129</v>
      </c>
      <c r="E167" s="90" t="str">
        <f>VLOOKUP($F167,Admin!$A$16:$E$19,4,FALSE)</f>
        <v>54. Bérköltség - Kutató-fejlesztő munkatárs</v>
      </c>
      <c r="F167" s="90" t="s">
        <v>170</v>
      </c>
      <c r="G167" s="160" t="s">
        <v>174</v>
      </c>
      <c r="H167" s="160" t="s">
        <v>206</v>
      </c>
      <c r="I167" s="90" t="str">
        <f>VLOOKUP($F167,Admin!$A$16:$E$19,5,FALSE)</f>
        <v>K+F munkatárs</v>
      </c>
      <c r="J167" s="160" t="s">
        <v>64</v>
      </c>
      <c r="K167" s="160" t="str">
        <f t="shared" ref="K167:K168" si="525">J167</f>
        <v>2023.01</v>
      </c>
      <c r="L167" s="91" t="s">
        <v>8</v>
      </c>
      <c r="M167" s="92" t="s">
        <v>78</v>
      </c>
      <c r="N167" s="161">
        <v>700000</v>
      </c>
      <c r="O167" s="162">
        <f t="shared" ref="O167" si="526">ROUND(N167*V167,0)</f>
        <v>91000</v>
      </c>
      <c r="P167" s="160">
        <v>174</v>
      </c>
      <c r="Q167" s="236">
        <v>50</v>
      </c>
      <c r="R167" s="229">
        <f t="shared" ref="R167" si="527">Q167/P167</f>
        <v>0.28735632183908044</v>
      </c>
      <c r="S167" s="163">
        <f t="shared" ref="S167" si="528">ROUND(N167*Q167/P167,0)</f>
        <v>201149</v>
      </c>
      <c r="T167" s="164">
        <f t="shared" ref="T167" si="529">ROUND(S167*V167,0)</f>
        <v>26149</v>
      </c>
      <c r="U167" s="165">
        <f t="shared" ref="U167" si="530">Q167/P167-S167/N167</f>
        <v>6.0755336617202005E-7</v>
      </c>
      <c r="V167" s="87">
        <v>0.13</v>
      </c>
      <c r="W167" s="223" t="s">
        <v>225</v>
      </c>
      <c r="X167" s="23">
        <v>44944</v>
      </c>
      <c r="Y167" s="20" t="s">
        <v>197</v>
      </c>
      <c r="Z167" s="20"/>
      <c r="AA167" s="20"/>
      <c r="AB167" s="167"/>
      <c r="AC167" s="210" t="s">
        <v>246</v>
      </c>
      <c r="AD167" s="210">
        <v>0</v>
      </c>
      <c r="AE167" s="210">
        <v>0</v>
      </c>
      <c r="AF167" s="8">
        <v>176</v>
      </c>
      <c r="AG167" s="8">
        <f t="shared" si="512"/>
        <v>50.58</v>
      </c>
      <c r="AH167" s="235">
        <v>44960</v>
      </c>
      <c r="AI167" s="8" t="str">
        <f t="shared" si="513"/>
        <v>2023.01.01</v>
      </c>
      <c r="AJ167" s="235">
        <f t="shared" si="514"/>
        <v>44957</v>
      </c>
    </row>
    <row r="168" spans="1:36" s="8" customFormat="1" x14ac:dyDescent="0.25">
      <c r="A168" s="207">
        <v>2</v>
      </c>
      <c r="B168" s="92" t="s">
        <v>207</v>
      </c>
      <c r="C168" s="90" t="str">
        <f>VLOOKUP($F168,Admin!$A$16:$E$19,2,FALSE)</f>
        <v>Kísérleti fejlesztés – Működési költség</v>
      </c>
      <c r="D168" s="160" t="s">
        <v>129</v>
      </c>
      <c r="E168" s="90" t="str">
        <f>VLOOKUP($F168,Admin!$A$16:$E$19,4,FALSE)</f>
        <v>54. Bérköltség - Kutató-fejlesztő munkatárs</v>
      </c>
      <c r="F168" s="90" t="s">
        <v>170</v>
      </c>
      <c r="G168" s="160" t="s">
        <v>174</v>
      </c>
      <c r="H168" s="160" t="s">
        <v>206</v>
      </c>
      <c r="I168" s="90" t="str">
        <f>VLOOKUP($F168,Admin!$A$16:$E$19,5,FALSE)</f>
        <v>K+F munkatárs</v>
      </c>
      <c r="J168" s="160" t="s">
        <v>65</v>
      </c>
      <c r="K168" s="160" t="str">
        <f t="shared" si="525"/>
        <v>2023.02</v>
      </c>
      <c r="L168" s="91" t="s">
        <v>8</v>
      </c>
      <c r="M168" s="92" t="s">
        <v>78</v>
      </c>
      <c r="N168" s="161">
        <v>700000</v>
      </c>
      <c r="O168" s="162">
        <f t="shared" ref="O168" si="531">ROUND(N168*V168,0)</f>
        <v>91000</v>
      </c>
      <c r="P168" s="160">
        <v>174</v>
      </c>
      <c r="Q168" s="236">
        <v>50</v>
      </c>
      <c r="R168" s="229">
        <f t="shared" ref="R168" si="532">Q168/P168</f>
        <v>0.28735632183908044</v>
      </c>
      <c r="S168" s="163">
        <f t="shared" ref="S168" si="533">ROUND(N168*Q168/P168,0)</f>
        <v>201149</v>
      </c>
      <c r="T168" s="164">
        <f t="shared" ref="T168" si="534">ROUND(S168*V168,0)</f>
        <v>26149</v>
      </c>
      <c r="U168" s="165">
        <f t="shared" ref="U168" si="535">Q168/P168-S168/N168</f>
        <v>6.0755336617202005E-7</v>
      </c>
      <c r="V168" s="87">
        <v>0.13</v>
      </c>
      <c r="W168" s="223" t="s">
        <v>225</v>
      </c>
      <c r="X168" s="23">
        <v>44944</v>
      </c>
      <c r="Y168" s="20" t="s">
        <v>197</v>
      </c>
      <c r="Z168" s="20"/>
      <c r="AA168" s="20"/>
      <c r="AB168" s="167"/>
      <c r="AC168" s="8" t="s">
        <v>246</v>
      </c>
      <c r="AD168" s="8">
        <v>0</v>
      </c>
      <c r="AE168" s="8">
        <v>68640</v>
      </c>
      <c r="AF168" s="8">
        <v>160</v>
      </c>
      <c r="AG168" s="8">
        <f t="shared" si="512"/>
        <v>45.98</v>
      </c>
      <c r="AH168" s="235">
        <v>44988</v>
      </c>
      <c r="AI168" s="8" t="str">
        <f t="shared" si="513"/>
        <v>2023.02.01</v>
      </c>
      <c r="AJ168" s="235">
        <f t="shared" si="514"/>
        <v>44985</v>
      </c>
    </row>
    <row r="169" spans="1:36" s="8" customFormat="1" x14ac:dyDescent="0.25">
      <c r="A169" s="207">
        <v>2</v>
      </c>
      <c r="B169" s="92" t="s">
        <v>207</v>
      </c>
      <c r="C169" s="90" t="str">
        <f>VLOOKUP($F169,Admin!$A$16:$E$19,2,FALSE)</f>
        <v>Kísérleti fejlesztés – Működési költség</v>
      </c>
      <c r="D169" s="160" t="s">
        <v>129</v>
      </c>
      <c r="E169" s="90" t="str">
        <f>VLOOKUP($F169,Admin!$A$16:$E$19,4,FALSE)</f>
        <v>54. Bérköltség - Kutató-fejlesztő munkatárs</v>
      </c>
      <c r="F169" s="90" t="s">
        <v>170</v>
      </c>
      <c r="G169" s="160" t="s">
        <v>174</v>
      </c>
      <c r="H169" s="160" t="s">
        <v>206</v>
      </c>
      <c r="I169" s="90" t="str">
        <f>VLOOKUP($F169,Admin!$A$16:$E$19,5,FALSE)</f>
        <v>K+F munkatárs</v>
      </c>
      <c r="J169" s="160" t="s">
        <v>66</v>
      </c>
      <c r="K169" s="160" t="str">
        <f t="shared" ref="K169" si="536">J169</f>
        <v>2023.03</v>
      </c>
      <c r="L169" s="91" t="s">
        <v>8</v>
      </c>
      <c r="M169" s="92" t="s">
        <v>78</v>
      </c>
      <c r="N169" s="161">
        <v>700000</v>
      </c>
      <c r="O169" s="162">
        <f t="shared" ref="O169" si="537">ROUND(N169*V169,0)</f>
        <v>91000</v>
      </c>
      <c r="P169" s="160">
        <v>174</v>
      </c>
      <c r="Q169" s="236">
        <v>50</v>
      </c>
      <c r="R169" s="229">
        <f t="shared" ref="R169" si="538">Q169/P169</f>
        <v>0.28735632183908044</v>
      </c>
      <c r="S169" s="163">
        <f t="shared" ref="S169" si="539">ROUND(N169*Q169/P169,0)</f>
        <v>201149</v>
      </c>
      <c r="T169" s="164">
        <f t="shared" ref="T169" si="540">ROUND(S169*V169,0)</f>
        <v>26149</v>
      </c>
      <c r="U169" s="165">
        <f t="shared" ref="U169" si="541">Q169/P169-S169/N169</f>
        <v>6.0755336617202005E-7</v>
      </c>
      <c r="V169" s="87">
        <v>0.13</v>
      </c>
      <c r="W169" s="223" t="s">
        <v>225</v>
      </c>
      <c r="X169" s="23">
        <v>44980</v>
      </c>
      <c r="Y169" s="20" t="s">
        <v>197</v>
      </c>
      <c r="Z169" s="20"/>
      <c r="AA169" s="20"/>
      <c r="AB169" s="167"/>
      <c r="AC169" s="8" t="s">
        <v>246</v>
      </c>
      <c r="AD169" s="8">
        <v>0</v>
      </c>
      <c r="AE169" s="8">
        <v>68640</v>
      </c>
      <c r="AF169" s="8">
        <v>176</v>
      </c>
      <c r="AG169" s="8">
        <f t="shared" si="512"/>
        <v>50.58</v>
      </c>
      <c r="AH169" s="235">
        <v>45021</v>
      </c>
      <c r="AI169" s="8" t="str">
        <f t="shared" si="513"/>
        <v>2023.03.01</v>
      </c>
      <c r="AJ169" s="235">
        <f t="shared" si="514"/>
        <v>45016</v>
      </c>
    </row>
    <row r="170" spans="1:36" s="8" customFormat="1" x14ac:dyDescent="0.25">
      <c r="A170" s="207">
        <v>2</v>
      </c>
      <c r="B170" s="92" t="s">
        <v>207</v>
      </c>
      <c r="C170" s="90" t="str">
        <f>VLOOKUP($F170,Admin!$A$16:$E$19,2,FALSE)</f>
        <v>Kísérleti fejlesztés – Működési költség</v>
      </c>
      <c r="D170" s="160" t="s">
        <v>129</v>
      </c>
      <c r="E170" s="90" t="str">
        <f>VLOOKUP($F170,Admin!$A$16:$E$19,4,FALSE)</f>
        <v>54. Bérköltség - Kutató-fejlesztő munkatárs</v>
      </c>
      <c r="F170" s="90" t="s">
        <v>170</v>
      </c>
      <c r="G170" s="160" t="s">
        <v>174</v>
      </c>
      <c r="H170" s="160" t="s">
        <v>206</v>
      </c>
      <c r="I170" s="90" t="str">
        <f>VLOOKUP($F170,Admin!$A$16:$E$19,5,FALSE)</f>
        <v>K+F munkatárs</v>
      </c>
      <c r="J170" s="160" t="s">
        <v>67</v>
      </c>
      <c r="K170" s="160" t="str">
        <f t="shared" ref="K170:K172" si="542">J170</f>
        <v>2023.04</v>
      </c>
      <c r="L170" s="91" t="s">
        <v>8</v>
      </c>
      <c r="M170" s="92" t="s">
        <v>78</v>
      </c>
      <c r="N170" s="161">
        <v>700000</v>
      </c>
      <c r="O170" s="162">
        <f t="shared" ref="O170" si="543">ROUND(N170*V170,0)</f>
        <v>91000</v>
      </c>
      <c r="P170" s="160">
        <v>174</v>
      </c>
      <c r="Q170" s="236">
        <v>50</v>
      </c>
      <c r="R170" s="229">
        <f t="shared" ref="R170" si="544">Q170/P170</f>
        <v>0.28735632183908044</v>
      </c>
      <c r="S170" s="163">
        <f t="shared" ref="S170" si="545">ROUND(N170*Q170/P170,0)</f>
        <v>201149</v>
      </c>
      <c r="T170" s="164">
        <f t="shared" ref="T170" si="546">ROUND(S170*V170,0)</f>
        <v>26149</v>
      </c>
      <c r="U170" s="165">
        <f t="shared" ref="U170" si="547">Q170/P170-S170/N170</f>
        <v>6.0755336617202005E-7</v>
      </c>
      <c r="V170" s="87">
        <v>0.13</v>
      </c>
      <c r="W170" s="223" t="s">
        <v>225</v>
      </c>
      <c r="X170" s="23">
        <v>45002</v>
      </c>
      <c r="Y170" s="20" t="s">
        <v>197</v>
      </c>
      <c r="Z170" s="20"/>
      <c r="AA170" s="20"/>
      <c r="AB170" s="167"/>
      <c r="AC170" s="8" t="s">
        <v>246</v>
      </c>
      <c r="AD170" s="8">
        <v>0</v>
      </c>
      <c r="AE170" s="233">
        <v>68640</v>
      </c>
      <c r="AF170" s="8">
        <v>144</v>
      </c>
      <c r="AG170" s="8">
        <f t="shared" si="512"/>
        <v>41.379999999999995</v>
      </c>
      <c r="AH170" s="235">
        <v>45051</v>
      </c>
      <c r="AI170" s="8" t="str">
        <f t="shared" si="513"/>
        <v>2023.04.01</v>
      </c>
      <c r="AJ170" s="235">
        <f t="shared" si="514"/>
        <v>45046</v>
      </c>
    </row>
    <row r="171" spans="1:36" s="8" customFormat="1" x14ac:dyDescent="0.25">
      <c r="A171" s="207">
        <v>2</v>
      </c>
      <c r="B171" s="92" t="s">
        <v>207</v>
      </c>
      <c r="C171" s="90" t="str">
        <f>VLOOKUP($F171,Admin!$A$16:$E$19,2,FALSE)</f>
        <v>Kísérleti fejlesztés – Működési költség</v>
      </c>
      <c r="D171" s="160" t="s">
        <v>129</v>
      </c>
      <c r="E171" s="90" t="str">
        <f>VLOOKUP($F171,Admin!$A$16:$E$19,4,FALSE)</f>
        <v>54. Bérköltség - Kutató-fejlesztő munkatárs</v>
      </c>
      <c r="F171" s="90" t="s">
        <v>170</v>
      </c>
      <c r="G171" s="160" t="s">
        <v>174</v>
      </c>
      <c r="H171" s="160" t="s">
        <v>206</v>
      </c>
      <c r="I171" s="90" t="str">
        <f>VLOOKUP($F171,Admin!$A$16:$E$19,5,FALSE)</f>
        <v>K+F munkatárs</v>
      </c>
      <c r="J171" s="160" t="s">
        <v>68</v>
      </c>
      <c r="K171" s="160" t="str">
        <f t="shared" si="542"/>
        <v>2023.05</v>
      </c>
      <c r="L171" s="91" t="s">
        <v>8</v>
      </c>
      <c r="M171" s="92" t="s">
        <v>78</v>
      </c>
      <c r="N171" s="161">
        <v>700000</v>
      </c>
      <c r="O171" s="162">
        <f t="shared" ref="O171:O172" si="548">ROUND(N171*V171,0)</f>
        <v>91000</v>
      </c>
      <c r="P171" s="160">
        <v>174</v>
      </c>
      <c r="Q171" s="236">
        <v>50</v>
      </c>
      <c r="R171" s="229">
        <f t="shared" ref="R171:R172" si="549">Q171/P171</f>
        <v>0.28735632183908044</v>
      </c>
      <c r="S171" s="163">
        <f t="shared" ref="S171:S172" si="550">ROUND(N171*Q171/P171,0)</f>
        <v>201149</v>
      </c>
      <c r="T171" s="164">
        <f t="shared" ref="T171:T172" si="551">ROUND(S171*V171,0)</f>
        <v>26149</v>
      </c>
      <c r="U171" s="165">
        <f t="shared" ref="U171:U172" si="552">Q171/P171-S171/N171</f>
        <v>6.0755336617202005E-7</v>
      </c>
      <c r="V171" s="87">
        <v>0.13</v>
      </c>
      <c r="W171" s="223" t="s">
        <v>225</v>
      </c>
      <c r="X171" s="23">
        <v>45002</v>
      </c>
      <c r="Y171" s="20" t="s">
        <v>197</v>
      </c>
      <c r="Z171" s="20"/>
      <c r="AA171" s="20"/>
      <c r="AB171" s="167"/>
      <c r="AC171" s="8" t="s">
        <v>246</v>
      </c>
      <c r="AD171" s="8">
        <v>0</v>
      </c>
      <c r="AE171" s="8">
        <v>0</v>
      </c>
      <c r="AF171" s="8">
        <v>168</v>
      </c>
      <c r="AG171" s="8">
        <f t="shared" si="512"/>
        <v>48.28</v>
      </c>
      <c r="AH171" s="235">
        <v>45082</v>
      </c>
      <c r="AI171" s="8" t="str">
        <f t="shared" si="513"/>
        <v>2023.05.01</v>
      </c>
      <c r="AJ171" s="235">
        <f t="shared" si="514"/>
        <v>45077</v>
      </c>
    </row>
    <row r="172" spans="1:36" s="8" customFormat="1" x14ac:dyDescent="0.25">
      <c r="A172" s="207">
        <v>2</v>
      </c>
      <c r="B172" s="92" t="s">
        <v>207</v>
      </c>
      <c r="C172" s="90" t="str">
        <f>VLOOKUP($F172,Admin!$A$16:$E$19,2,FALSE)</f>
        <v>Kísérleti fejlesztés – Működési költség</v>
      </c>
      <c r="D172" s="160" t="s">
        <v>129</v>
      </c>
      <c r="E172" s="90" t="str">
        <f>VLOOKUP($F172,Admin!$A$16:$E$19,4,FALSE)</f>
        <v>54. Bérköltség - Kutató-fejlesztő munkatárs</v>
      </c>
      <c r="F172" s="90" t="s">
        <v>170</v>
      </c>
      <c r="G172" s="160" t="s">
        <v>174</v>
      </c>
      <c r="H172" s="160" t="s">
        <v>206</v>
      </c>
      <c r="I172" s="90" t="str">
        <f>VLOOKUP($F172,Admin!$A$16:$E$19,5,FALSE)</f>
        <v>K+F munkatárs</v>
      </c>
      <c r="J172" s="160" t="s">
        <v>69</v>
      </c>
      <c r="K172" s="160" t="str">
        <f t="shared" si="542"/>
        <v>2023.06</v>
      </c>
      <c r="L172" s="91" t="s">
        <v>8</v>
      </c>
      <c r="M172" s="92" t="s">
        <v>78</v>
      </c>
      <c r="N172" s="161">
        <v>700000</v>
      </c>
      <c r="O172" s="162">
        <f t="shared" si="548"/>
        <v>91000</v>
      </c>
      <c r="P172" s="160">
        <v>174</v>
      </c>
      <c r="Q172" s="236">
        <v>50</v>
      </c>
      <c r="R172" s="229">
        <f t="shared" si="549"/>
        <v>0.28735632183908044</v>
      </c>
      <c r="S172" s="163">
        <f t="shared" si="550"/>
        <v>201149</v>
      </c>
      <c r="T172" s="164">
        <f t="shared" si="551"/>
        <v>26149</v>
      </c>
      <c r="U172" s="165">
        <f t="shared" si="552"/>
        <v>6.0755336617202005E-7</v>
      </c>
      <c r="V172" s="87">
        <v>0.13</v>
      </c>
      <c r="W172" s="223" t="s">
        <v>225</v>
      </c>
      <c r="X172" s="23">
        <v>45002</v>
      </c>
      <c r="Y172" s="20" t="s">
        <v>197</v>
      </c>
      <c r="Z172" s="20"/>
      <c r="AA172" s="20"/>
      <c r="AB172" s="167"/>
      <c r="AC172" s="8" t="s">
        <v>246</v>
      </c>
      <c r="AD172" s="8">
        <v>0</v>
      </c>
      <c r="AE172" s="8">
        <v>0</v>
      </c>
      <c r="AF172" s="8">
        <v>176</v>
      </c>
      <c r="AG172" s="8">
        <f t="shared" si="512"/>
        <v>50.58</v>
      </c>
      <c r="AH172" s="235">
        <v>45112</v>
      </c>
      <c r="AI172" s="8" t="str">
        <f t="shared" si="513"/>
        <v>2023.06.01</v>
      </c>
      <c r="AJ172" s="235">
        <f t="shared" si="514"/>
        <v>45107</v>
      </c>
    </row>
    <row r="173" spans="1:36" s="8" customFormat="1" x14ac:dyDescent="0.25">
      <c r="A173" s="207">
        <v>2</v>
      </c>
      <c r="B173" s="92" t="s">
        <v>207</v>
      </c>
      <c r="C173" s="90" t="str">
        <f>VLOOKUP($F173,Admin!$A$16:$E$19,2,FALSE)</f>
        <v>Kísérleti fejlesztés – Működési költség</v>
      </c>
      <c r="D173" s="160" t="s">
        <v>129</v>
      </c>
      <c r="E173" s="90" t="str">
        <f>VLOOKUP($F173,Admin!$A$16:$E$19,4,FALSE)</f>
        <v>54. Bérköltség - Kutató-fejlesztő munkatárs</v>
      </c>
      <c r="F173" s="90" t="s">
        <v>170</v>
      </c>
      <c r="G173" s="160" t="s">
        <v>174</v>
      </c>
      <c r="H173" s="160" t="s">
        <v>206</v>
      </c>
      <c r="I173" s="90" t="str">
        <f>VLOOKUP($F173,Admin!$A$16:$E$19,5,FALSE)</f>
        <v>K+F munkatárs</v>
      </c>
      <c r="J173" s="160" t="s">
        <v>70</v>
      </c>
      <c r="K173" s="160" t="str">
        <f t="shared" ref="K173:K174" si="553">J173</f>
        <v>2023.07</v>
      </c>
      <c r="L173" s="91" t="s">
        <v>8</v>
      </c>
      <c r="M173" s="92" t="s">
        <v>78</v>
      </c>
      <c r="N173" s="161">
        <v>800000</v>
      </c>
      <c r="O173" s="162">
        <f t="shared" ref="O173" si="554">ROUND(N173*V173,0)</f>
        <v>104000</v>
      </c>
      <c r="P173" s="160">
        <v>174</v>
      </c>
      <c r="Q173" s="236">
        <v>44</v>
      </c>
      <c r="R173" s="229">
        <f t="shared" ref="R173" si="555">Q173/P173</f>
        <v>0.25287356321839083</v>
      </c>
      <c r="S173" s="163">
        <f t="shared" ref="S173" si="556">ROUND(N173*Q173/P173,0)</f>
        <v>202299</v>
      </c>
      <c r="T173" s="164">
        <f t="shared" ref="T173" si="557">ROUND(S173*V173,0)</f>
        <v>26299</v>
      </c>
      <c r="U173" s="165">
        <f t="shared" ref="U173" si="558">Q173/P173-S173/N173</f>
        <v>-1.8678160917939834E-7</v>
      </c>
      <c r="V173" s="87">
        <v>0.13</v>
      </c>
      <c r="W173" s="223" t="s">
        <v>225</v>
      </c>
      <c r="X173" s="23">
        <v>45096</v>
      </c>
      <c r="Y173" s="20" t="s">
        <v>197</v>
      </c>
      <c r="Z173" s="20"/>
      <c r="AA173" s="20"/>
      <c r="AB173" s="167"/>
      <c r="AC173" s="8" t="s">
        <v>246</v>
      </c>
      <c r="AD173" s="8">
        <v>0</v>
      </c>
      <c r="AE173" s="8">
        <v>0</v>
      </c>
      <c r="AF173" s="8">
        <v>168</v>
      </c>
      <c r="AG173" s="8">
        <f t="shared" si="512"/>
        <v>42.489999999999995</v>
      </c>
      <c r="AH173" s="235">
        <v>45142</v>
      </c>
      <c r="AI173" s="8" t="str">
        <f t="shared" si="513"/>
        <v>2023.07.01</v>
      </c>
      <c r="AJ173" s="235">
        <f t="shared" si="514"/>
        <v>45138</v>
      </c>
    </row>
    <row r="174" spans="1:36" s="8" customFormat="1" x14ac:dyDescent="0.25">
      <c r="A174" s="207">
        <v>2</v>
      </c>
      <c r="B174" s="92" t="s">
        <v>207</v>
      </c>
      <c r="C174" s="90" t="str">
        <f>VLOOKUP($F174,Admin!$A$16:$E$19,2,FALSE)</f>
        <v>Kísérleti fejlesztés – Működési költség</v>
      </c>
      <c r="D174" s="160" t="s">
        <v>129</v>
      </c>
      <c r="E174" s="90" t="str">
        <f>VLOOKUP($F174,Admin!$A$16:$E$19,4,FALSE)</f>
        <v>54. Bérköltség - Kutató-fejlesztő munkatárs</v>
      </c>
      <c r="F174" s="90" t="s">
        <v>170</v>
      </c>
      <c r="G174" s="160" t="s">
        <v>174</v>
      </c>
      <c r="H174" s="160" t="s">
        <v>206</v>
      </c>
      <c r="I174" s="90" t="str">
        <f>VLOOKUP($F174,Admin!$A$16:$E$19,5,FALSE)</f>
        <v>K+F munkatárs</v>
      </c>
      <c r="J174" s="160" t="s">
        <v>71</v>
      </c>
      <c r="K174" s="160" t="str">
        <f t="shared" si="553"/>
        <v>2023.08</v>
      </c>
      <c r="L174" s="91" t="s">
        <v>8</v>
      </c>
      <c r="M174" s="92" t="s">
        <v>78</v>
      </c>
      <c r="N174" s="161">
        <v>800000</v>
      </c>
      <c r="O174" s="162">
        <f t="shared" ref="O174" si="559">ROUND(N174*V174,0)</f>
        <v>104000</v>
      </c>
      <c r="P174" s="160">
        <v>174</v>
      </c>
      <c r="Q174" s="236">
        <v>44</v>
      </c>
      <c r="R174" s="229">
        <f t="shared" ref="R174" si="560">Q174/P174</f>
        <v>0.25287356321839083</v>
      </c>
      <c r="S174" s="163">
        <f t="shared" ref="S174" si="561">ROUND(N174*Q174/P174,0)</f>
        <v>202299</v>
      </c>
      <c r="T174" s="164">
        <f t="shared" ref="T174" si="562">ROUND(S174*V174,0)</f>
        <v>26299</v>
      </c>
      <c r="U174" s="165">
        <f t="shared" ref="U174" si="563">Q174/P174-S174/N174</f>
        <v>-1.8678160917939834E-7</v>
      </c>
      <c r="V174" s="87">
        <v>0.13</v>
      </c>
      <c r="W174" s="223" t="s">
        <v>225</v>
      </c>
      <c r="X174" s="23">
        <v>45096</v>
      </c>
      <c r="Y174" s="20" t="s">
        <v>197</v>
      </c>
      <c r="Z174" s="20"/>
      <c r="AA174" s="20"/>
      <c r="AB174" s="167"/>
      <c r="AC174" s="8" t="s">
        <v>246</v>
      </c>
      <c r="AD174" s="8">
        <v>0</v>
      </c>
      <c r="AE174" s="8">
        <v>0</v>
      </c>
      <c r="AF174" s="8">
        <v>184</v>
      </c>
      <c r="AG174" s="8">
        <f t="shared" si="512"/>
        <v>46.53</v>
      </c>
      <c r="AH174" s="235">
        <v>45174</v>
      </c>
      <c r="AI174" s="8" t="str">
        <f t="shared" si="513"/>
        <v>2023.08.01</v>
      </c>
      <c r="AJ174" s="235">
        <f t="shared" si="514"/>
        <v>45169</v>
      </c>
    </row>
    <row r="175" spans="1:36" s="8" customFormat="1" x14ac:dyDescent="0.25">
      <c r="A175" s="207">
        <v>2</v>
      </c>
      <c r="B175" s="92" t="s">
        <v>207</v>
      </c>
      <c r="C175" s="90" t="str">
        <f>VLOOKUP($F175,Admin!$A$16:$E$19,2,FALSE)</f>
        <v>Kísérleti fejlesztés – Működési költség</v>
      </c>
      <c r="D175" s="160" t="s">
        <v>129</v>
      </c>
      <c r="E175" s="90" t="str">
        <f>VLOOKUP($F175,Admin!$A$16:$E$19,4,FALSE)</f>
        <v>54. Bérköltség - Kutató-fejlesztő munkatárs</v>
      </c>
      <c r="F175" s="90" t="s">
        <v>170</v>
      </c>
      <c r="G175" s="160" t="s">
        <v>174</v>
      </c>
      <c r="H175" s="160" t="s">
        <v>206</v>
      </c>
      <c r="I175" s="90" t="str">
        <f>VLOOKUP($F175,Admin!$A$16:$E$19,5,FALSE)</f>
        <v>K+F munkatárs</v>
      </c>
      <c r="J175" s="160" t="s">
        <v>72</v>
      </c>
      <c r="K175" s="160" t="str">
        <f t="shared" ref="K175" si="564">J175</f>
        <v>2023.09</v>
      </c>
      <c r="L175" s="91" t="s">
        <v>8</v>
      </c>
      <c r="M175" s="92" t="s">
        <v>78</v>
      </c>
      <c r="N175" s="161">
        <v>800000</v>
      </c>
      <c r="O175" s="162">
        <f t="shared" ref="O175" si="565">ROUND(N175*V175,0)</f>
        <v>104000</v>
      </c>
      <c r="P175" s="160">
        <v>174</v>
      </c>
      <c r="Q175" s="236">
        <v>44</v>
      </c>
      <c r="R175" s="229">
        <f t="shared" ref="R175" si="566">Q175/P175</f>
        <v>0.25287356321839083</v>
      </c>
      <c r="S175" s="163">
        <f t="shared" ref="S175" si="567">ROUND(N175*Q175/P175,0)</f>
        <v>202299</v>
      </c>
      <c r="T175" s="164">
        <f t="shared" ref="T175" si="568">ROUND(S175*V175,0)</f>
        <v>26299</v>
      </c>
      <c r="U175" s="165">
        <f t="shared" ref="U175" si="569">Q175/P175-S175/N175</f>
        <v>-1.8678160917939834E-7</v>
      </c>
      <c r="V175" s="87">
        <v>0.13</v>
      </c>
      <c r="W175" s="223" t="s">
        <v>225</v>
      </c>
      <c r="X175" s="23">
        <v>45154</v>
      </c>
      <c r="Y175" s="20" t="s">
        <v>197</v>
      </c>
      <c r="Z175" s="20"/>
      <c r="AA175" s="20"/>
      <c r="AB175" s="167"/>
      <c r="AC175" s="8" t="s">
        <v>246</v>
      </c>
      <c r="AD175" s="8">
        <v>0</v>
      </c>
      <c r="AE175" s="8">
        <v>0</v>
      </c>
      <c r="AF175" s="8">
        <v>168</v>
      </c>
      <c r="AG175" s="8">
        <f t="shared" si="512"/>
        <v>42.489999999999995</v>
      </c>
      <c r="AH175" s="235">
        <v>45204</v>
      </c>
      <c r="AI175" s="8" t="str">
        <f t="shared" si="513"/>
        <v>2023.09.01</v>
      </c>
      <c r="AJ175" s="235">
        <f t="shared" si="514"/>
        <v>45199</v>
      </c>
    </row>
    <row r="176" spans="1:36" s="8" customFormat="1" x14ac:dyDescent="0.25">
      <c r="A176" s="188"/>
      <c r="B176" s="92" t="s">
        <v>207</v>
      </c>
      <c r="C176" s="90" t="str">
        <f>VLOOKUP($F176,Admin!$A$16:$E$19,2,FALSE)</f>
        <v>Kísérleti fejlesztés – Működési költség</v>
      </c>
      <c r="D176" s="160" t="s">
        <v>129</v>
      </c>
      <c r="E176" s="90" t="str">
        <f>VLOOKUP($F176,Admin!$A$16:$E$19,4,FALSE)</f>
        <v>54. Bérköltség - Kutató-fejlesztő munkatárs</v>
      </c>
      <c r="F176" s="90" t="s">
        <v>170</v>
      </c>
      <c r="G176" s="160" t="s">
        <v>174</v>
      </c>
      <c r="H176" s="160" t="s">
        <v>206</v>
      </c>
      <c r="I176" s="90" t="str">
        <f>VLOOKUP($F176,Admin!$A$16:$E$19,5,FALSE)</f>
        <v>K+F munkatárs</v>
      </c>
      <c r="J176" s="160" t="s">
        <v>73</v>
      </c>
      <c r="K176" s="160" t="str">
        <f t="shared" ref="K176" si="570">J176</f>
        <v>2023.10</v>
      </c>
      <c r="L176" s="91" t="s">
        <v>8</v>
      </c>
      <c r="M176" s="92" t="s">
        <v>78</v>
      </c>
      <c r="N176" s="161">
        <v>800000</v>
      </c>
      <c r="O176" s="162">
        <f t="shared" ref="O176" si="571">ROUND(N176*V176,0)</f>
        <v>104000</v>
      </c>
      <c r="P176" s="160">
        <v>174</v>
      </c>
      <c r="Q176" s="236">
        <v>44</v>
      </c>
      <c r="R176" s="229">
        <f t="shared" ref="R176" si="572">Q176/P176</f>
        <v>0.25287356321839083</v>
      </c>
      <c r="S176" s="163">
        <f t="shared" ref="S176" si="573">ROUND(N176*Q176/P176,0)</f>
        <v>202299</v>
      </c>
      <c r="T176" s="164">
        <f t="shared" ref="T176" si="574">ROUND(S176*V176,0)</f>
        <v>26299</v>
      </c>
      <c r="U176" s="165">
        <f t="shared" ref="U176" si="575">Q176/P176-S176/N176</f>
        <v>-1.8678160917939834E-7</v>
      </c>
      <c r="V176" s="87">
        <v>0.13</v>
      </c>
      <c r="W176" s="223" t="s">
        <v>225</v>
      </c>
      <c r="X176" s="23">
        <v>45190</v>
      </c>
      <c r="Y176" s="20" t="s">
        <v>197</v>
      </c>
      <c r="Z176" s="20"/>
      <c r="AA176" s="20"/>
      <c r="AB176" s="167"/>
      <c r="AC176" s="8" t="s">
        <v>246</v>
      </c>
      <c r="AD176" s="8">
        <v>0</v>
      </c>
      <c r="AE176" s="8">
        <v>0</v>
      </c>
    </row>
    <row r="177" spans="1:36" s="8" customFormat="1" x14ac:dyDescent="0.25">
      <c r="A177" s="188"/>
      <c r="B177" s="92" t="s">
        <v>207</v>
      </c>
      <c r="C177" s="90" t="str">
        <f>VLOOKUP($F177,Admin!$A$16:$E$19,2,FALSE)</f>
        <v>Kísérleti fejlesztés – Működési költség</v>
      </c>
      <c r="D177" s="160" t="s">
        <v>129</v>
      </c>
      <c r="E177" s="90" t="str">
        <f>VLOOKUP($F177,Admin!$A$16:$E$19,4,FALSE)</f>
        <v>54. Bérköltség - Kutató-fejlesztő munkatárs</v>
      </c>
      <c r="F177" s="90" t="s">
        <v>170</v>
      </c>
      <c r="G177" s="160" t="s">
        <v>174</v>
      </c>
      <c r="H177" s="160" t="s">
        <v>206</v>
      </c>
      <c r="I177" s="90" t="str">
        <f>VLOOKUP($F177,Admin!$A$16:$E$19,5,FALSE)</f>
        <v>K+F munkatárs</v>
      </c>
      <c r="J177" s="160" t="s">
        <v>74</v>
      </c>
      <c r="K177" s="160" t="str">
        <f t="shared" ref="K177:K178" si="576">J177</f>
        <v>2023.11</v>
      </c>
      <c r="L177" s="91" t="s">
        <v>8</v>
      </c>
      <c r="M177" s="92" t="s">
        <v>78</v>
      </c>
      <c r="N177" s="161">
        <v>799999</v>
      </c>
      <c r="O177" s="162">
        <f t="shared" ref="O177" si="577">ROUND(N177*V177,0)</f>
        <v>104000</v>
      </c>
      <c r="P177" s="160">
        <v>174</v>
      </c>
      <c r="Q177" s="236">
        <v>44</v>
      </c>
      <c r="R177" s="229">
        <f t="shared" ref="R177" si="578">Q177/P177</f>
        <v>0.25287356321839083</v>
      </c>
      <c r="S177" s="163">
        <f t="shared" ref="S177" si="579">ROUND(N177*Q177/P177,0)</f>
        <v>202299</v>
      </c>
      <c r="T177" s="164">
        <f t="shared" ref="T177" si="580">ROUND(S177*V177,0)</f>
        <v>26299</v>
      </c>
      <c r="U177" s="165">
        <f t="shared" ref="U177" si="581">Q177/P177-S177/N177</f>
        <v>-5.0287419178784987E-7</v>
      </c>
      <c r="V177" s="87">
        <v>0.13</v>
      </c>
      <c r="W177" s="223" t="s">
        <v>225</v>
      </c>
      <c r="X177" s="23">
        <v>45217</v>
      </c>
      <c r="Y177" s="20" t="s">
        <v>197</v>
      </c>
      <c r="Z177" s="20"/>
      <c r="AA177" s="20"/>
      <c r="AB177" s="167"/>
      <c r="AC177" s="8" t="s">
        <v>246</v>
      </c>
      <c r="AD177" s="8">
        <v>0</v>
      </c>
      <c r="AE177" s="8">
        <v>0</v>
      </c>
    </row>
    <row r="178" spans="1:36" s="8" customFormat="1" x14ac:dyDescent="0.25">
      <c r="A178" s="188"/>
      <c r="B178" s="92" t="s">
        <v>207</v>
      </c>
      <c r="C178" s="90" t="str">
        <f>VLOOKUP($F178,Admin!$A$16:$E$19,2,FALSE)</f>
        <v>Kísérleti fejlesztés – Működési költség</v>
      </c>
      <c r="D178" s="160" t="s">
        <v>129</v>
      </c>
      <c r="E178" s="90" t="str">
        <f>VLOOKUP($F178,Admin!$A$16:$E$19,4,FALSE)</f>
        <v>54. Bérköltség - Kutató-fejlesztő munkatárs</v>
      </c>
      <c r="F178" s="90" t="s">
        <v>170</v>
      </c>
      <c r="G178" s="160" t="s">
        <v>174</v>
      </c>
      <c r="H178" s="160" t="s">
        <v>206</v>
      </c>
      <c r="I178" s="90" t="str">
        <f>VLOOKUP($F178,Admin!$A$16:$E$19,5,FALSE)</f>
        <v>K+F munkatárs</v>
      </c>
      <c r="J178" s="160" t="s">
        <v>139</v>
      </c>
      <c r="K178" s="160" t="str">
        <f t="shared" si="576"/>
        <v>2023.12</v>
      </c>
      <c r="L178" s="91" t="s">
        <v>8</v>
      </c>
      <c r="M178" s="92" t="s">
        <v>78</v>
      </c>
      <c r="N178" s="161">
        <v>799999</v>
      </c>
      <c r="O178" s="162">
        <f t="shared" ref="O178" si="582">ROUND(N178*V178,0)</f>
        <v>104000</v>
      </c>
      <c r="P178" s="160">
        <v>174</v>
      </c>
      <c r="Q178" s="236">
        <v>44</v>
      </c>
      <c r="R178" s="229">
        <f t="shared" ref="R178" si="583">Q178/P178</f>
        <v>0.25287356321839083</v>
      </c>
      <c r="S178" s="163">
        <f t="shared" ref="S178" si="584">ROUND(N178*Q178/P178,0)</f>
        <v>202299</v>
      </c>
      <c r="T178" s="164">
        <f t="shared" ref="T178" si="585">ROUND(S178*V178,0)</f>
        <v>26299</v>
      </c>
      <c r="U178" s="165">
        <f t="shared" ref="U178" si="586">Q178/P178-S178/N178</f>
        <v>-5.0287419178784987E-7</v>
      </c>
      <c r="V178" s="87">
        <v>0.13</v>
      </c>
      <c r="W178" s="223" t="s">
        <v>225</v>
      </c>
      <c r="X178" s="23">
        <v>45217</v>
      </c>
      <c r="Y178" s="20" t="s">
        <v>197</v>
      </c>
      <c r="Z178" s="20"/>
      <c r="AA178" s="20"/>
      <c r="AB178" s="167"/>
      <c r="AC178" s="8" t="s">
        <v>246</v>
      </c>
      <c r="AD178" s="8">
        <v>0</v>
      </c>
      <c r="AE178" s="233">
        <v>19500</v>
      </c>
    </row>
    <row r="179" spans="1:36" s="8" customFormat="1" x14ac:dyDescent="0.25">
      <c r="A179" s="188"/>
      <c r="B179" s="92" t="s">
        <v>207</v>
      </c>
      <c r="C179" s="90" t="str">
        <f>VLOOKUP($F179,Admin!$A$16:$E$19,2,FALSE)</f>
        <v>Kísérleti fejlesztés – Működési költség</v>
      </c>
      <c r="D179" s="160" t="s">
        <v>129</v>
      </c>
      <c r="E179" s="90" t="str">
        <f>VLOOKUP($F179,Admin!$A$16:$E$19,4,FALSE)</f>
        <v>54. Bérköltség - Kutató-fejlesztő munkatárs</v>
      </c>
      <c r="F179" s="90" t="s">
        <v>170</v>
      </c>
      <c r="G179" s="160" t="s">
        <v>174</v>
      </c>
      <c r="H179" s="160" t="s">
        <v>206</v>
      </c>
      <c r="I179" s="90" t="str">
        <f>VLOOKUP($F179,Admin!$A$16:$E$19,5,FALSE)</f>
        <v>K+F munkatárs</v>
      </c>
      <c r="J179" s="160" t="s">
        <v>211</v>
      </c>
      <c r="K179" s="160" t="str">
        <f t="shared" ref="K179:K182" si="587">J179</f>
        <v>2024.06</v>
      </c>
      <c r="L179" s="91" t="s">
        <v>9</v>
      </c>
      <c r="M179" s="92" t="s">
        <v>78</v>
      </c>
      <c r="N179" s="161">
        <v>950000</v>
      </c>
      <c r="O179" s="162">
        <f t="shared" ref="O179" si="588">ROUND(N179*V179,0)</f>
        <v>123500</v>
      </c>
      <c r="P179" s="160">
        <v>174</v>
      </c>
      <c r="Q179" s="236">
        <v>19.14</v>
      </c>
      <c r="R179" s="229">
        <f t="shared" ref="R179" si="589">Q179/P179</f>
        <v>0.11</v>
      </c>
      <c r="S179" s="163">
        <f t="shared" ref="S179" si="590">ROUND(N179*Q179/P179,0)</f>
        <v>104500</v>
      </c>
      <c r="T179" s="164">
        <f t="shared" ref="T179" si="591">ROUND(S179*V179,0)</f>
        <v>13585</v>
      </c>
      <c r="U179" s="165">
        <f t="shared" ref="U179" si="592">Q179/P179-S179/N179</f>
        <v>0</v>
      </c>
      <c r="V179" s="87">
        <v>0.13</v>
      </c>
      <c r="W179" s="223" t="s">
        <v>225</v>
      </c>
      <c r="X179" s="23">
        <v>45442</v>
      </c>
      <c r="Y179" s="20"/>
      <c r="Z179" s="20"/>
      <c r="AA179" s="20"/>
      <c r="AB179" s="167"/>
      <c r="AE179" s="233"/>
    </row>
    <row r="180" spans="1:36" s="8" customFormat="1" x14ac:dyDescent="0.25">
      <c r="A180" s="188"/>
      <c r="B180" s="92" t="s">
        <v>207</v>
      </c>
      <c r="C180" s="90" t="str">
        <f>VLOOKUP($F180,Admin!$A$16:$E$19,2,FALSE)</f>
        <v>Kísérleti fejlesztés – Működési költség</v>
      </c>
      <c r="D180" s="160" t="s">
        <v>129</v>
      </c>
      <c r="E180" s="90" t="str">
        <f>VLOOKUP($F180,Admin!$A$16:$E$19,4,FALSE)</f>
        <v>54. Bérköltség - Kutató-fejlesztő munkatárs</v>
      </c>
      <c r="F180" s="90" t="s">
        <v>170</v>
      </c>
      <c r="G180" s="160" t="s">
        <v>174</v>
      </c>
      <c r="H180" s="160" t="s">
        <v>206</v>
      </c>
      <c r="I180" s="90" t="str">
        <f>VLOOKUP($F180,Admin!$A$16:$E$19,5,FALSE)</f>
        <v>K+F munkatárs</v>
      </c>
      <c r="J180" s="160" t="s">
        <v>212</v>
      </c>
      <c r="K180" s="160" t="str">
        <f t="shared" si="587"/>
        <v>2024.07</v>
      </c>
      <c r="L180" s="91" t="s">
        <v>9</v>
      </c>
      <c r="M180" s="92" t="s">
        <v>78</v>
      </c>
      <c r="N180" s="161">
        <v>950000</v>
      </c>
      <c r="O180" s="162">
        <f t="shared" ref="O180:O182" si="593">ROUND(N180*V180,0)</f>
        <v>123500</v>
      </c>
      <c r="P180" s="160">
        <v>174</v>
      </c>
      <c r="Q180" s="236">
        <v>19.14</v>
      </c>
      <c r="R180" s="229">
        <f t="shared" ref="R180:R182" si="594">Q180/P180</f>
        <v>0.11</v>
      </c>
      <c r="S180" s="163">
        <f t="shared" ref="S180:S182" si="595">ROUND(N180*Q180/P180,0)</f>
        <v>104500</v>
      </c>
      <c r="T180" s="164">
        <f t="shared" ref="T180:T182" si="596">ROUND(S180*V180,0)</f>
        <v>13585</v>
      </c>
      <c r="U180" s="165">
        <f t="shared" ref="U180:U182" si="597">Q180/P180-S180/N180</f>
        <v>0</v>
      </c>
      <c r="V180" s="87">
        <v>0.13</v>
      </c>
      <c r="W180" s="223" t="s">
        <v>225</v>
      </c>
      <c r="X180" s="23">
        <v>45442</v>
      </c>
      <c r="Y180" s="20"/>
      <c r="Z180" s="20"/>
      <c r="AA180" s="20"/>
      <c r="AB180" s="167"/>
      <c r="AE180" s="233"/>
    </row>
    <row r="181" spans="1:36" s="8" customFormat="1" x14ac:dyDescent="0.25">
      <c r="A181" s="188"/>
      <c r="B181" s="92" t="s">
        <v>207</v>
      </c>
      <c r="C181" s="90" t="str">
        <f>VLOOKUP($F181,Admin!$A$16:$E$19,2,FALSE)</f>
        <v>Kísérleti fejlesztés – Működési költség</v>
      </c>
      <c r="D181" s="160" t="s">
        <v>129</v>
      </c>
      <c r="E181" s="90" t="str">
        <f>VLOOKUP($F181,Admin!$A$16:$E$19,4,FALSE)</f>
        <v>54. Bérköltség - Kutató-fejlesztő munkatárs</v>
      </c>
      <c r="F181" s="90" t="s">
        <v>170</v>
      </c>
      <c r="G181" s="160" t="s">
        <v>174</v>
      </c>
      <c r="H181" s="160" t="s">
        <v>206</v>
      </c>
      <c r="I181" s="90" t="str">
        <f>VLOOKUP($F181,Admin!$A$16:$E$19,5,FALSE)</f>
        <v>K+F munkatárs</v>
      </c>
      <c r="J181" s="160" t="s">
        <v>213</v>
      </c>
      <c r="K181" s="160" t="str">
        <f t="shared" si="587"/>
        <v>2024.08</v>
      </c>
      <c r="L181" s="91" t="s">
        <v>9</v>
      </c>
      <c r="M181" s="92" t="s">
        <v>78</v>
      </c>
      <c r="N181" s="161">
        <v>950000</v>
      </c>
      <c r="O181" s="162">
        <f t="shared" si="593"/>
        <v>123500</v>
      </c>
      <c r="P181" s="160">
        <v>174</v>
      </c>
      <c r="Q181" s="236">
        <v>19.14</v>
      </c>
      <c r="R181" s="229">
        <f t="shared" si="594"/>
        <v>0.11</v>
      </c>
      <c r="S181" s="163">
        <f t="shared" si="595"/>
        <v>104500</v>
      </c>
      <c r="T181" s="164">
        <f t="shared" si="596"/>
        <v>13585</v>
      </c>
      <c r="U181" s="165">
        <f t="shared" si="597"/>
        <v>0</v>
      </c>
      <c r="V181" s="87">
        <v>0.13</v>
      </c>
      <c r="W181" s="223" t="s">
        <v>225</v>
      </c>
      <c r="X181" s="23">
        <v>45442</v>
      </c>
      <c r="Y181" s="20"/>
      <c r="Z181" s="20"/>
      <c r="AA181" s="20"/>
      <c r="AB181" s="167"/>
      <c r="AE181" s="233"/>
    </row>
    <row r="182" spans="1:36" s="8" customFormat="1" x14ac:dyDescent="0.25">
      <c r="A182" s="188"/>
      <c r="B182" s="92" t="s">
        <v>207</v>
      </c>
      <c r="C182" s="90" t="str">
        <f>VLOOKUP($F182,Admin!$A$16:$E$19,2,FALSE)</f>
        <v>Kísérleti fejlesztés – Működési költség</v>
      </c>
      <c r="D182" s="160" t="s">
        <v>129</v>
      </c>
      <c r="E182" s="90" t="str">
        <f>VLOOKUP($F182,Admin!$A$16:$E$19,4,FALSE)</f>
        <v>54. Bérköltség - Kutató-fejlesztő munkatárs</v>
      </c>
      <c r="F182" s="90" t="s">
        <v>170</v>
      </c>
      <c r="G182" s="160" t="s">
        <v>174</v>
      </c>
      <c r="H182" s="160" t="s">
        <v>206</v>
      </c>
      <c r="I182" s="90" t="str">
        <f>VLOOKUP($F182,Admin!$A$16:$E$19,5,FALSE)</f>
        <v>K+F munkatárs</v>
      </c>
      <c r="J182" s="160" t="s">
        <v>214</v>
      </c>
      <c r="K182" s="160" t="str">
        <f t="shared" si="587"/>
        <v>2024.09</v>
      </c>
      <c r="L182" s="91" t="s">
        <v>9</v>
      </c>
      <c r="M182" s="92" t="s">
        <v>78</v>
      </c>
      <c r="N182" s="161">
        <v>950000</v>
      </c>
      <c r="O182" s="162">
        <f t="shared" si="593"/>
        <v>123500</v>
      </c>
      <c r="P182" s="160">
        <v>174</v>
      </c>
      <c r="Q182" s="236">
        <v>19.14</v>
      </c>
      <c r="R182" s="229">
        <f t="shared" si="594"/>
        <v>0.11</v>
      </c>
      <c r="S182" s="163">
        <f t="shared" si="595"/>
        <v>104500</v>
      </c>
      <c r="T182" s="164">
        <f t="shared" si="596"/>
        <v>13585</v>
      </c>
      <c r="U182" s="165">
        <f t="shared" si="597"/>
        <v>0</v>
      </c>
      <c r="V182" s="87">
        <v>0.13</v>
      </c>
      <c r="W182" s="223" t="s">
        <v>225</v>
      </c>
      <c r="X182" s="23">
        <v>45442</v>
      </c>
      <c r="Y182" s="20"/>
      <c r="Z182" s="20"/>
      <c r="AA182" s="20"/>
      <c r="AB182" s="167"/>
      <c r="AE182" s="233"/>
    </row>
    <row r="183" spans="1:36" s="8" customFormat="1" x14ac:dyDescent="0.25">
      <c r="A183" s="207">
        <v>1</v>
      </c>
      <c r="B183" s="92" t="s">
        <v>202</v>
      </c>
      <c r="C183" s="90" t="str">
        <f>VLOOKUP($F183,Admin!$A$16:$E$19,2,FALSE)</f>
        <v>Alkalmazott (ipari) kutatás – Működési költség</v>
      </c>
      <c r="D183" s="160" t="s">
        <v>129</v>
      </c>
      <c r="E183" s="90" t="str">
        <f>VLOOKUP($F183,Admin!$A$16:$E$19,4,FALSE)</f>
        <v>54. Bérköltség - technikus segédszemélyzet</v>
      </c>
      <c r="F183" s="90" t="s">
        <v>173</v>
      </c>
      <c r="G183" s="160" t="s">
        <v>174</v>
      </c>
      <c r="H183" s="160" t="s">
        <v>203</v>
      </c>
      <c r="I183" s="90" t="str">
        <f>VLOOKUP($F183,Admin!$A$16:$E$19,5,FALSE)</f>
        <v>Technikus</v>
      </c>
      <c r="J183" s="160" t="s">
        <v>43</v>
      </c>
      <c r="K183" s="160" t="str">
        <f t="shared" si="267"/>
        <v>2022.04</v>
      </c>
      <c r="L183" s="91" t="s">
        <v>8</v>
      </c>
      <c r="M183" s="92" t="s">
        <v>78</v>
      </c>
      <c r="N183" s="161">
        <v>505000</v>
      </c>
      <c r="O183" s="162">
        <f t="shared" si="268"/>
        <v>65650</v>
      </c>
      <c r="P183" s="160">
        <v>174</v>
      </c>
      <c r="Q183" s="236">
        <v>69</v>
      </c>
      <c r="R183" s="229">
        <f t="shared" si="269"/>
        <v>0.39655172413793105</v>
      </c>
      <c r="S183" s="163">
        <f t="shared" si="270"/>
        <v>200259</v>
      </c>
      <c r="T183" s="164">
        <f t="shared" si="271"/>
        <v>26034</v>
      </c>
      <c r="U183" s="165">
        <f t="shared" si="272"/>
        <v>-7.5110959368851482E-7</v>
      </c>
      <c r="V183" s="87">
        <v>0.13</v>
      </c>
      <c r="W183" s="223"/>
      <c r="X183" s="23">
        <v>44648</v>
      </c>
      <c r="Y183" s="20" t="s">
        <v>197</v>
      </c>
      <c r="Z183" s="20"/>
      <c r="AA183" s="20"/>
      <c r="AB183" s="167"/>
    </row>
    <row r="184" spans="1:36" s="8" customFormat="1" x14ac:dyDescent="0.25">
      <c r="A184" s="207">
        <v>1</v>
      </c>
      <c r="B184" s="92" t="s">
        <v>202</v>
      </c>
      <c r="C184" s="90" t="str">
        <f>VLOOKUP($F184,Admin!$A$16:$E$19,2,FALSE)</f>
        <v>Alkalmazott (ipari) kutatás – Működési költség</v>
      </c>
      <c r="D184" s="160" t="s">
        <v>129</v>
      </c>
      <c r="E184" s="90" t="str">
        <f>VLOOKUP($F184,Admin!$A$16:$E$19,4,FALSE)</f>
        <v>54. Bérköltség - technikus segédszemélyzet</v>
      </c>
      <c r="F184" s="90" t="s">
        <v>173</v>
      </c>
      <c r="G184" s="160" t="s">
        <v>174</v>
      </c>
      <c r="H184" s="160" t="s">
        <v>203</v>
      </c>
      <c r="I184" s="90" t="str">
        <f>VLOOKUP($F184,Admin!$A$16:$E$19,5,FALSE)</f>
        <v>Technikus</v>
      </c>
      <c r="J184" s="160" t="s">
        <v>44</v>
      </c>
      <c r="K184" s="160" t="str">
        <f t="shared" si="267"/>
        <v>2022.05</v>
      </c>
      <c r="L184" s="91" t="s">
        <v>8</v>
      </c>
      <c r="M184" s="92" t="s">
        <v>78</v>
      </c>
      <c r="N184" s="161">
        <v>505000</v>
      </c>
      <c r="O184" s="162">
        <f t="shared" ref="O184:O185" si="598">ROUND(N184*V184,0)</f>
        <v>65650</v>
      </c>
      <c r="P184" s="160">
        <v>174</v>
      </c>
      <c r="Q184" s="236">
        <v>69</v>
      </c>
      <c r="R184" s="229">
        <f t="shared" ref="R184:R185" si="599">Q184/P184</f>
        <v>0.39655172413793105</v>
      </c>
      <c r="S184" s="163">
        <f t="shared" ref="S184:S185" si="600">ROUND(N184*Q184/P184,0)</f>
        <v>200259</v>
      </c>
      <c r="T184" s="164">
        <f t="shared" ref="T184:T185" si="601">ROUND(S184*V184,0)</f>
        <v>26034</v>
      </c>
      <c r="U184" s="165">
        <f t="shared" ref="U184:U185" si="602">Q184/P184-S184/N184</f>
        <v>-7.5110959368851482E-7</v>
      </c>
      <c r="V184" s="87">
        <v>0.13</v>
      </c>
      <c r="W184" s="223"/>
      <c r="X184" s="23">
        <v>44648</v>
      </c>
      <c r="Y184" s="20" t="s">
        <v>197</v>
      </c>
      <c r="Z184" s="20"/>
      <c r="AA184" s="20"/>
      <c r="AB184" s="167"/>
    </row>
    <row r="185" spans="1:36" s="8" customFormat="1" x14ac:dyDescent="0.25">
      <c r="A185" s="207">
        <v>1</v>
      </c>
      <c r="B185" s="92" t="s">
        <v>202</v>
      </c>
      <c r="C185" s="90" t="str">
        <f>VLOOKUP($F185,Admin!$A$16:$E$19,2,FALSE)</f>
        <v>Alkalmazott (ipari) kutatás – Működési költség</v>
      </c>
      <c r="D185" s="160" t="s">
        <v>129</v>
      </c>
      <c r="E185" s="90" t="str">
        <f>VLOOKUP($F185,Admin!$A$16:$E$19,4,FALSE)</f>
        <v>54. Bérköltség - technikus segédszemélyzet</v>
      </c>
      <c r="F185" s="90" t="s">
        <v>173</v>
      </c>
      <c r="G185" s="160" t="s">
        <v>174</v>
      </c>
      <c r="H185" s="160" t="s">
        <v>203</v>
      </c>
      <c r="I185" s="90" t="str">
        <f>VLOOKUP($F185,Admin!$A$16:$E$19,5,FALSE)</f>
        <v>Technikus</v>
      </c>
      <c r="J185" s="160" t="s">
        <v>45</v>
      </c>
      <c r="K185" s="160" t="str">
        <f t="shared" si="267"/>
        <v>2022.06</v>
      </c>
      <c r="L185" s="91" t="s">
        <v>8</v>
      </c>
      <c r="M185" s="92" t="s">
        <v>78</v>
      </c>
      <c r="N185" s="161">
        <v>505000</v>
      </c>
      <c r="O185" s="162">
        <f t="shared" si="598"/>
        <v>65650</v>
      </c>
      <c r="P185" s="160">
        <v>174</v>
      </c>
      <c r="Q185" s="236">
        <v>69</v>
      </c>
      <c r="R185" s="229">
        <f t="shared" si="599"/>
        <v>0.39655172413793105</v>
      </c>
      <c r="S185" s="163">
        <f t="shared" si="600"/>
        <v>200259</v>
      </c>
      <c r="T185" s="164">
        <f t="shared" si="601"/>
        <v>26034</v>
      </c>
      <c r="U185" s="165">
        <f t="shared" si="602"/>
        <v>-7.5110959368851482E-7</v>
      </c>
      <c r="V185" s="87">
        <v>0.13</v>
      </c>
      <c r="W185" s="223"/>
      <c r="X185" s="23">
        <v>44648</v>
      </c>
      <c r="Y185" s="20" t="s">
        <v>197</v>
      </c>
      <c r="Z185" s="20"/>
      <c r="AA185" s="20"/>
      <c r="AB185" s="167"/>
    </row>
    <row r="186" spans="1:36" s="8" customFormat="1" x14ac:dyDescent="0.25">
      <c r="A186" s="207">
        <v>1</v>
      </c>
      <c r="B186" s="92" t="s">
        <v>202</v>
      </c>
      <c r="C186" s="90" t="str">
        <f>VLOOKUP($F186,Admin!$A$16:$E$19,2,FALSE)</f>
        <v>Alkalmazott (ipari) kutatás – Működési költség</v>
      </c>
      <c r="D186" s="160" t="s">
        <v>129</v>
      </c>
      <c r="E186" s="90" t="str">
        <f>VLOOKUP($F186,Admin!$A$16:$E$19,4,FALSE)</f>
        <v>54. Bérköltség - technikus segédszemélyzet</v>
      </c>
      <c r="F186" s="90" t="s">
        <v>173</v>
      </c>
      <c r="G186" s="160" t="s">
        <v>174</v>
      </c>
      <c r="H186" s="160" t="s">
        <v>203</v>
      </c>
      <c r="I186" s="90" t="str">
        <f>VLOOKUP($F186,Admin!$A$16:$E$19,5,FALSE)</f>
        <v>Technikus</v>
      </c>
      <c r="J186" s="160" t="s">
        <v>46</v>
      </c>
      <c r="K186" s="160" t="str">
        <f t="shared" ref="K186:K188" si="603">J186</f>
        <v>2022.07</v>
      </c>
      <c r="L186" s="91" t="s">
        <v>8</v>
      </c>
      <c r="M186" s="92" t="s">
        <v>78</v>
      </c>
      <c r="N186" s="161">
        <v>505000</v>
      </c>
      <c r="O186" s="162">
        <f t="shared" ref="O186" si="604">ROUND(N186*V186,0)</f>
        <v>65650</v>
      </c>
      <c r="P186" s="160">
        <v>174</v>
      </c>
      <c r="Q186" s="236">
        <v>69</v>
      </c>
      <c r="R186" s="229">
        <f t="shared" ref="R186" si="605">Q186/P186</f>
        <v>0.39655172413793105</v>
      </c>
      <c r="S186" s="163">
        <f t="shared" ref="S186" si="606">ROUND(N186*Q186/P186,0)</f>
        <v>200259</v>
      </c>
      <c r="T186" s="164">
        <f t="shared" ref="T186" si="607">ROUND(S186*V186,0)</f>
        <v>26034</v>
      </c>
      <c r="U186" s="165">
        <f t="shared" ref="U186" si="608">Q186/P186-S186/N186</f>
        <v>-7.5110959368851482E-7</v>
      </c>
      <c r="V186" s="87">
        <v>0.13</v>
      </c>
      <c r="W186" s="223"/>
      <c r="X186" s="23">
        <v>44729</v>
      </c>
      <c r="Y186" s="20" t="s">
        <v>197</v>
      </c>
      <c r="Z186" s="20"/>
      <c r="AA186" s="20"/>
      <c r="AB186" s="167"/>
    </row>
    <row r="187" spans="1:36" s="8" customFormat="1" x14ac:dyDescent="0.25">
      <c r="A187" s="207">
        <v>1</v>
      </c>
      <c r="B187" s="92" t="s">
        <v>202</v>
      </c>
      <c r="C187" s="90" t="str">
        <f>VLOOKUP($F187,Admin!$A$16:$E$19,2,FALSE)</f>
        <v>Alkalmazott (ipari) kutatás – Működési költség</v>
      </c>
      <c r="D187" s="160" t="s">
        <v>129</v>
      </c>
      <c r="E187" s="90" t="str">
        <f>VLOOKUP($F187,Admin!$A$16:$E$19,4,FALSE)</f>
        <v>54. Bérköltség - technikus segédszemélyzet</v>
      </c>
      <c r="F187" s="90" t="s">
        <v>173</v>
      </c>
      <c r="G187" s="160" t="s">
        <v>174</v>
      </c>
      <c r="H187" s="160" t="s">
        <v>203</v>
      </c>
      <c r="I187" s="90" t="str">
        <f>VLOOKUP($F187,Admin!$A$16:$E$19,5,FALSE)</f>
        <v>Technikus</v>
      </c>
      <c r="J187" s="160" t="s">
        <v>47</v>
      </c>
      <c r="K187" s="160" t="str">
        <f t="shared" si="603"/>
        <v>2022.08</v>
      </c>
      <c r="L187" s="91" t="s">
        <v>8</v>
      </c>
      <c r="M187" s="92" t="s">
        <v>78</v>
      </c>
      <c r="N187" s="161">
        <v>395217</v>
      </c>
      <c r="O187" s="162">
        <f t="shared" ref="O187:O188" si="609">ROUND(N187*V187,0)</f>
        <v>51378</v>
      </c>
      <c r="P187" s="160">
        <v>174</v>
      </c>
      <c r="Q187" s="236">
        <v>69</v>
      </c>
      <c r="R187" s="229">
        <f t="shared" ref="R187:R188" si="610">Q187/P187</f>
        <v>0.39655172413793105</v>
      </c>
      <c r="S187" s="163">
        <f t="shared" ref="S187:S188" si="611">ROUND(N187*Q187/P187,0)</f>
        <v>156724</v>
      </c>
      <c r="T187" s="164">
        <f t="shared" ref="T187:T188" si="612">ROUND(S187*V187,0)</f>
        <v>20374</v>
      </c>
      <c r="U187" s="165">
        <f t="shared" ref="U187:U188" si="613">Q187/P187-S187/N187</f>
        <v>-4.3625095313970519E-8</v>
      </c>
      <c r="V187" s="87">
        <v>0.13</v>
      </c>
      <c r="W187" s="223"/>
      <c r="X187" s="23">
        <v>44729</v>
      </c>
      <c r="Y187" s="20" t="s">
        <v>197</v>
      </c>
      <c r="Z187" s="20"/>
      <c r="AA187" s="20"/>
      <c r="AB187" s="167"/>
    </row>
    <row r="188" spans="1:36" s="8" customFormat="1" x14ac:dyDescent="0.25">
      <c r="A188" s="207">
        <v>1</v>
      </c>
      <c r="B188" s="92" t="s">
        <v>202</v>
      </c>
      <c r="C188" s="90" t="str">
        <f>VLOOKUP($F188,Admin!$A$16:$E$19,2,FALSE)</f>
        <v>Alkalmazott (ipari) kutatás – Működési költség</v>
      </c>
      <c r="D188" s="160" t="s">
        <v>129</v>
      </c>
      <c r="E188" s="90" t="str">
        <f>VLOOKUP($F188,Admin!$A$16:$E$19,4,FALSE)</f>
        <v>54. Bérköltség - technikus segédszemélyzet</v>
      </c>
      <c r="F188" s="90" t="s">
        <v>173</v>
      </c>
      <c r="G188" s="160" t="s">
        <v>174</v>
      </c>
      <c r="H188" s="160" t="s">
        <v>203</v>
      </c>
      <c r="I188" s="90" t="str">
        <f>VLOOKUP($F188,Admin!$A$16:$E$19,5,FALSE)</f>
        <v>Technikus</v>
      </c>
      <c r="J188" s="160" t="s">
        <v>48</v>
      </c>
      <c r="K188" s="160" t="str">
        <f t="shared" si="603"/>
        <v>2022.09</v>
      </c>
      <c r="L188" s="91" t="s">
        <v>8</v>
      </c>
      <c r="M188" s="92" t="s">
        <v>78</v>
      </c>
      <c r="N188" s="161">
        <v>505000</v>
      </c>
      <c r="O188" s="162">
        <f t="shared" si="609"/>
        <v>65650</v>
      </c>
      <c r="P188" s="160">
        <v>174</v>
      </c>
      <c r="Q188" s="236">
        <v>69</v>
      </c>
      <c r="R188" s="229">
        <f t="shared" si="610"/>
        <v>0.39655172413793105</v>
      </c>
      <c r="S188" s="163">
        <f t="shared" si="611"/>
        <v>200259</v>
      </c>
      <c r="T188" s="164">
        <f t="shared" si="612"/>
        <v>26034</v>
      </c>
      <c r="U188" s="165">
        <f t="shared" si="613"/>
        <v>-7.5110959368851482E-7</v>
      </c>
      <c r="V188" s="87">
        <v>0.13</v>
      </c>
      <c r="W188" s="223"/>
      <c r="X188" s="23">
        <v>44729</v>
      </c>
      <c r="Y188" s="20" t="s">
        <v>197</v>
      </c>
      <c r="Z188" s="20"/>
      <c r="AA188" s="20"/>
      <c r="AB188" s="167"/>
    </row>
    <row r="189" spans="1:36" s="8" customFormat="1" x14ac:dyDescent="0.25">
      <c r="A189" s="207">
        <v>2</v>
      </c>
      <c r="B189" s="92" t="s">
        <v>202</v>
      </c>
      <c r="C189" s="90" t="str">
        <f>VLOOKUP($F189,Admin!$A$16:$E$19,2,FALSE)</f>
        <v>Alkalmazott (ipari) kutatás – Működési költség</v>
      </c>
      <c r="D189" s="160" t="s">
        <v>129</v>
      </c>
      <c r="E189" s="90" t="str">
        <f>VLOOKUP($F189,Admin!$A$16:$E$19,4,FALSE)</f>
        <v>54. Bérköltség - technikus segédszemélyzet</v>
      </c>
      <c r="F189" s="90" t="s">
        <v>173</v>
      </c>
      <c r="G189" s="160" t="s">
        <v>174</v>
      </c>
      <c r="H189" s="160" t="s">
        <v>203</v>
      </c>
      <c r="I189" s="90" t="str">
        <f>VLOOKUP($F189,Admin!$A$16:$E$19,5,FALSE)</f>
        <v>Technikus</v>
      </c>
      <c r="J189" s="160" t="s">
        <v>49</v>
      </c>
      <c r="K189" s="160" t="str">
        <f t="shared" ref="K189:K191" si="614">J189</f>
        <v>2022.10</v>
      </c>
      <c r="L189" s="91" t="s">
        <v>8</v>
      </c>
      <c r="M189" s="92" t="s">
        <v>78</v>
      </c>
      <c r="N189" s="161">
        <v>505000</v>
      </c>
      <c r="O189" s="162">
        <f t="shared" ref="O189" si="615">ROUND(N189*V189,0)</f>
        <v>65650</v>
      </c>
      <c r="P189" s="160">
        <v>174</v>
      </c>
      <c r="Q189" s="236">
        <v>69</v>
      </c>
      <c r="R189" s="229">
        <f t="shared" ref="R189" si="616">Q189/P189</f>
        <v>0.39655172413793105</v>
      </c>
      <c r="S189" s="163">
        <f t="shared" ref="S189" si="617">ROUND(N189*Q189/P189,0)</f>
        <v>200259</v>
      </c>
      <c r="T189" s="164">
        <f t="shared" ref="T189" si="618">ROUND(S189*V189,0)</f>
        <v>26034</v>
      </c>
      <c r="U189" s="165">
        <f t="shared" ref="U189" si="619">Q189/P189-S189/N189</f>
        <v>-7.5110959368851482E-7</v>
      </c>
      <c r="V189" s="87">
        <v>0.13</v>
      </c>
      <c r="W189" s="223"/>
      <c r="X189" s="23">
        <v>44830</v>
      </c>
      <c r="Y189" s="20" t="s">
        <v>197</v>
      </c>
      <c r="Z189" s="20"/>
      <c r="AA189" s="20"/>
      <c r="AB189" s="167"/>
      <c r="AF189" s="8">
        <v>168</v>
      </c>
      <c r="AG189" s="8">
        <f t="shared" ref="AG189:AG200" si="620">ROUNDUP(AF189*R189,2)</f>
        <v>66.63000000000001</v>
      </c>
      <c r="AH189" s="235">
        <v>44869</v>
      </c>
      <c r="AI189" s="8" t="str">
        <f t="shared" ref="AI189:AI200" si="621">CONCATENATE(J189,".01")</f>
        <v>2022.10.01</v>
      </c>
      <c r="AJ189" s="235">
        <f t="shared" ref="AJ189:AJ200" si="622">EOMONTH(AI189,0)</f>
        <v>44865</v>
      </c>
    </row>
    <row r="190" spans="1:36" s="8" customFormat="1" x14ac:dyDescent="0.25">
      <c r="A190" s="207">
        <v>2</v>
      </c>
      <c r="B190" s="92" t="s">
        <v>202</v>
      </c>
      <c r="C190" s="90" t="str">
        <f>VLOOKUP($F190,Admin!$A$16:$E$19,2,FALSE)</f>
        <v>Alkalmazott (ipari) kutatás – Működési költség</v>
      </c>
      <c r="D190" s="160" t="s">
        <v>129</v>
      </c>
      <c r="E190" s="90" t="str">
        <f>VLOOKUP($F190,Admin!$A$16:$E$19,4,FALSE)</f>
        <v>54. Bérköltség - technikus segédszemélyzet</v>
      </c>
      <c r="F190" s="90" t="s">
        <v>173</v>
      </c>
      <c r="G190" s="160" t="s">
        <v>174</v>
      </c>
      <c r="H190" s="160" t="s">
        <v>203</v>
      </c>
      <c r="I190" s="90" t="str">
        <f>VLOOKUP($F190,Admin!$A$16:$E$19,5,FALSE)</f>
        <v>Technikus</v>
      </c>
      <c r="J190" s="160" t="s">
        <v>50</v>
      </c>
      <c r="K190" s="160" t="str">
        <f t="shared" si="614"/>
        <v>2022.11</v>
      </c>
      <c r="L190" s="91" t="s">
        <v>8</v>
      </c>
      <c r="M190" s="92" t="s">
        <v>78</v>
      </c>
      <c r="N190" s="161">
        <v>505000</v>
      </c>
      <c r="O190" s="162">
        <f t="shared" ref="O190:O191" si="623">ROUND(N190*V190,0)</f>
        <v>65650</v>
      </c>
      <c r="P190" s="160">
        <v>174</v>
      </c>
      <c r="Q190" s="236">
        <v>69</v>
      </c>
      <c r="R190" s="229">
        <f t="shared" ref="R190:R191" si="624">Q190/P190</f>
        <v>0.39655172413793105</v>
      </c>
      <c r="S190" s="163">
        <f t="shared" ref="S190:S191" si="625">ROUND(N190*Q190/P190,0)</f>
        <v>200259</v>
      </c>
      <c r="T190" s="164">
        <f t="shared" ref="T190:T191" si="626">ROUND(S190*V190,0)</f>
        <v>26034</v>
      </c>
      <c r="U190" s="165">
        <f t="shared" ref="U190:U191" si="627">Q190/P190-S190/N190</f>
        <v>-7.5110959368851482E-7</v>
      </c>
      <c r="V190" s="87">
        <v>0.13</v>
      </c>
      <c r="W190" s="223" t="s">
        <v>226</v>
      </c>
      <c r="X190" s="23">
        <v>44830</v>
      </c>
      <c r="Y190" s="20" t="s">
        <v>197</v>
      </c>
      <c r="Z190" s="20"/>
      <c r="AA190" s="20"/>
      <c r="AB190" s="167"/>
      <c r="AC190" s="210" t="e">
        <v>#N/A</v>
      </c>
      <c r="AD190" s="210" t="e">
        <v>#N/A</v>
      </c>
      <c r="AE190" s="210" t="e">
        <v>#N/A</v>
      </c>
      <c r="AF190" s="8">
        <v>168</v>
      </c>
      <c r="AG190" s="8">
        <f t="shared" si="620"/>
        <v>66.63000000000001</v>
      </c>
      <c r="AH190" s="235">
        <v>44900</v>
      </c>
      <c r="AI190" s="8" t="str">
        <f t="shared" si="621"/>
        <v>2022.11.01</v>
      </c>
      <c r="AJ190" s="235">
        <f t="shared" si="622"/>
        <v>44895</v>
      </c>
    </row>
    <row r="191" spans="1:36" s="8" customFormat="1" x14ac:dyDescent="0.25">
      <c r="A191" s="207">
        <v>2</v>
      </c>
      <c r="B191" s="92" t="s">
        <v>202</v>
      </c>
      <c r="C191" s="90" t="str">
        <f>VLOOKUP($F191,Admin!$A$16:$E$19,2,FALSE)</f>
        <v>Alkalmazott (ipari) kutatás – Működési költség</v>
      </c>
      <c r="D191" s="160" t="s">
        <v>129</v>
      </c>
      <c r="E191" s="90" t="str">
        <f>VLOOKUP($F191,Admin!$A$16:$E$19,4,FALSE)</f>
        <v>54. Bérköltség - technikus segédszemélyzet</v>
      </c>
      <c r="F191" s="90" t="s">
        <v>173</v>
      </c>
      <c r="G191" s="160" t="s">
        <v>174</v>
      </c>
      <c r="H191" s="160" t="s">
        <v>203</v>
      </c>
      <c r="I191" s="90" t="str">
        <f>VLOOKUP($F191,Admin!$A$16:$E$19,5,FALSE)</f>
        <v>Technikus</v>
      </c>
      <c r="J191" s="160" t="s">
        <v>51</v>
      </c>
      <c r="K191" s="160" t="str">
        <f t="shared" si="614"/>
        <v>2022.12</v>
      </c>
      <c r="L191" s="91" t="s">
        <v>8</v>
      </c>
      <c r="M191" s="92" t="s">
        <v>78</v>
      </c>
      <c r="N191" s="161">
        <v>504999</v>
      </c>
      <c r="O191" s="162">
        <f t="shared" si="623"/>
        <v>65650</v>
      </c>
      <c r="P191" s="160">
        <v>174</v>
      </c>
      <c r="Q191" s="236">
        <v>69</v>
      </c>
      <c r="R191" s="229">
        <f t="shared" si="624"/>
        <v>0.39655172413793105</v>
      </c>
      <c r="S191" s="163">
        <f t="shared" si="625"/>
        <v>200258</v>
      </c>
      <c r="T191" s="164">
        <f t="shared" si="626"/>
        <v>26034</v>
      </c>
      <c r="U191" s="165">
        <f t="shared" si="627"/>
        <v>4.4383836611538996E-7</v>
      </c>
      <c r="V191" s="87">
        <v>0.13</v>
      </c>
      <c r="W191" s="223" t="s">
        <v>226</v>
      </c>
      <c r="X191" s="23">
        <v>44830</v>
      </c>
      <c r="Y191" s="20" t="s">
        <v>197</v>
      </c>
      <c r="Z191" s="20"/>
      <c r="AA191" s="20"/>
      <c r="AB191" s="167"/>
      <c r="AC191" s="210" t="s">
        <v>246</v>
      </c>
      <c r="AD191" s="210" t="s">
        <v>247</v>
      </c>
      <c r="AE191" s="218" t="s">
        <v>247</v>
      </c>
      <c r="AF191" s="8">
        <v>168</v>
      </c>
      <c r="AG191" s="8">
        <f t="shared" si="620"/>
        <v>66.63000000000001</v>
      </c>
      <c r="AH191" s="235">
        <v>44931</v>
      </c>
      <c r="AI191" s="8" t="str">
        <f t="shared" si="621"/>
        <v>2022.12.01</v>
      </c>
      <c r="AJ191" s="235">
        <f t="shared" si="622"/>
        <v>44926</v>
      </c>
    </row>
    <row r="192" spans="1:36" s="8" customFormat="1" x14ac:dyDescent="0.25">
      <c r="A192" s="207">
        <v>2</v>
      </c>
      <c r="B192" s="92" t="s">
        <v>202</v>
      </c>
      <c r="C192" s="90" t="str">
        <f>VLOOKUP($F192,Admin!$A$16:$E$19,2,FALSE)</f>
        <v>Alkalmazott (ipari) kutatás – Működési költség</v>
      </c>
      <c r="D192" s="160" t="s">
        <v>129</v>
      </c>
      <c r="E192" s="90" t="str">
        <f>VLOOKUP($F192,Admin!$A$16:$E$19,4,FALSE)</f>
        <v>54. Bérköltség - technikus segédszemélyzet</v>
      </c>
      <c r="F192" s="90" t="s">
        <v>173</v>
      </c>
      <c r="G192" s="160" t="s">
        <v>174</v>
      </c>
      <c r="H192" s="160" t="s">
        <v>203</v>
      </c>
      <c r="I192" s="90" t="str">
        <f>VLOOKUP($F192,Admin!$A$16:$E$19,5,FALSE)</f>
        <v>Technikus</v>
      </c>
      <c r="J192" s="160" t="s">
        <v>64</v>
      </c>
      <c r="K192" s="160" t="str">
        <f t="shared" ref="K192:K194" si="628">J192</f>
        <v>2023.01</v>
      </c>
      <c r="L192" s="91" t="s">
        <v>8</v>
      </c>
      <c r="M192" s="92" t="s">
        <v>78</v>
      </c>
      <c r="N192" s="161">
        <v>555500</v>
      </c>
      <c r="O192" s="162">
        <f t="shared" ref="O192" si="629">ROUND(N192*V192,0)</f>
        <v>72215</v>
      </c>
      <c r="P192" s="160">
        <v>174</v>
      </c>
      <c r="Q192" s="236">
        <v>62</v>
      </c>
      <c r="R192" s="229">
        <f t="shared" ref="R192" si="630">Q192/P192</f>
        <v>0.35632183908045978</v>
      </c>
      <c r="S192" s="163">
        <f t="shared" ref="S192" si="631">ROUND(N192*Q192/P192,0)</f>
        <v>197937</v>
      </c>
      <c r="T192" s="164">
        <f t="shared" ref="T192" si="632">ROUND(S192*V192,0)</f>
        <v>25732</v>
      </c>
      <c r="U192" s="165">
        <f t="shared" ref="U192" si="633">Q192/P192-S192/N192</f>
        <v>-3.9314276256696701E-7</v>
      </c>
      <c r="V192" s="87">
        <v>0.13</v>
      </c>
      <c r="W192" s="223" t="s">
        <v>226</v>
      </c>
      <c r="X192" s="23">
        <v>44943</v>
      </c>
      <c r="Y192" s="20" t="s">
        <v>197</v>
      </c>
      <c r="Z192" s="20"/>
      <c r="AA192" s="20"/>
      <c r="AB192" s="167"/>
      <c r="AC192" s="210" t="s">
        <v>246</v>
      </c>
      <c r="AD192" s="210">
        <v>0</v>
      </c>
      <c r="AE192" s="210">
        <v>0</v>
      </c>
      <c r="AF192" s="8">
        <v>176</v>
      </c>
      <c r="AG192" s="8">
        <f t="shared" si="620"/>
        <v>62.72</v>
      </c>
      <c r="AH192" s="235">
        <v>44960</v>
      </c>
      <c r="AI192" s="8" t="str">
        <f t="shared" si="621"/>
        <v>2023.01.01</v>
      </c>
      <c r="AJ192" s="235">
        <f t="shared" si="622"/>
        <v>44957</v>
      </c>
    </row>
    <row r="193" spans="1:36" s="8" customFormat="1" x14ac:dyDescent="0.25">
      <c r="A193" s="207">
        <v>2</v>
      </c>
      <c r="B193" s="92" t="s">
        <v>202</v>
      </c>
      <c r="C193" s="90" t="str">
        <f>VLOOKUP($F193,Admin!$A$16:$E$19,2,FALSE)</f>
        <v>Alkalmazott (ipari) kutatás – Működési költség</v>
      </c>
      <c r="D193" s="160" t="s">
        <v>129</v>
      </c>
      <c r="E193" s="90" t="str">
        <f>VLOOKUP($F193,Admin!$A$16:$E$19,4,FALSE)</f>
        <v>54. Bérköltség - technikus segédszemélyzet</v>
      </c>
      <c r="F193" s="90" t="s">
        <v>173</v>
      </c>
      <c r="G193" s="160" t="s">
        <v>174</v>
      </c>
      <c r="H193" s="160" t="s">
        <v>203</v>
      </c>
      <c r="I193" s="90" t="str">
        <f>VLOOKUP($F193,Admin!$A$16:$E$19,5,FALSE)</f>
        <v>Technikus</v>
      </c>
      <c r="J193" s="160" t="s">
        <v>65</v>
      </c>
      <c r="K193" s="160" t="str">
        <f t="shared" si="628"/>
        <v>2023.02</v>
      </c>
      <c r="L193" s="91" t="s">
        <v>8</v>
      </c>
      <c r="M193" s="92" t="s">
        <v>78</v>
      </c>
      <c r="N193" s="161">
        <v>555500</v>
      </c>
      <c r="O193" s="162">
        <f t="shared" ref="O193:O194" si="634">ROUND(N193*V193,0)</f>
        <v>72215</v>
      </c>
      <c r="P193" s="160">
        <v>174</v>
      </c>
      <c r="Q193" s="236">
        <v>62</v>
      </c>
      <c r="R193" s="229">
        <f t="shared" ref="R193:R194" si="635">Q193/P193</f>
        <v>0.35632183908045978</v>
      </c>
      <c r="S193" s="163">
        <f t="shared" ref="S193:S194" si="636">ROUND(N193*Q193/P193,0)</f>
        <v>197937</v>
      </c>
      <c r="T193" s="164">
        <f t="shared" ref="T193:T194" si="637">ROUND(S193*V193,0)</f>
        <v>25732</v>
      </c>
      <c r="U193" s="165">
        <f t="shared" ref="U193:U194" si="638">Q193/P193-S193/N193</f>
        <v>-3.9314276256696701E-7</v>
      </c>
      <c r="V193" s="87">
        <v>0.13</v>
      </c>
      <c r="W193" s="223" t="s">
        <v>226</v>
      </c>
      <c r="X193" s="23">
        <v>44943</v>
      </c>
      <c r="Y193" s="20" t="s">
        <v>197</v>
      </c>
      <c r="Z193" s="20"/>
      <c r="AA193" s="20"/>
      <c r="AB193" s="167"/>
      <c r="AC193" s="8" t="s">
        <v>246</v>
      </c>
      <c r="AD193" s="8">
        <v>0</v>
      </c>
      <c r="AE193" s="8">
        <v>52520</v>
      </c>
      <c r="AF193" s="8">
        <v>160</v>
      </c>
      <c r="AG193" s="8">
        <f t="shared" si="620"/>
        <v>57.019999999999996</v>
      </c>
      <c r="AH193" s="235">
        <v>44988</v>
      </c>
      <c r="AI193" s="8" t="str">
        <f t="shared" si="621"/>
        <v>2023.02.01</v>
      </c>
      <c r="AJ193" s="235">
        <f t="shared" si="622"/>
        <v>44985</v>
      </c>
    </row>
    <row r="194" spans="1:36" s="8" customFormat="1" x14ac:dyDescent="0.25">
      <c r="A194" s="207">
        <v>2</v>
      </c>
      <c r="B194" s="92" t="s">
        <v>202</v>
      </c>
      <c r="C194" s="90" t="str">
        <f>VLOOKUP($F194,Admin!$A$16:$E$19,2,FALSE)</f>
        <v>Alkalmazott (ipari) kutatás – Működési költség</v>
      </c>
      <c r="D194" s="160" t="s">
        <v>129</v>
      </c>
      <c r="E194" s="90" t="str">
        <f>VLOOKUP($F194,Admin!$A$16:$E$19,4,FALSE)</f>
        <v>54. Bérköltség - technikus segédszemélyzet</v>
      </c>
      <c r="F194" s="90" t="s">
        <v>173</v>
      </c>
      <c r="G194" s="160" t="s">
        <v>174</v>
      </c>
      <c r="H194" s="160" t="s">
        <v>203</v>
      </c>
      <c r="I194" s="90" t="str">
        <f>VLOOKUP($F194,Admin!$A$16:$E$19,5,FALSE)</f>
        <v>Technikus</v>
      </c>
      <c r="J194" s="160" t="s">
        <v>66</v>
      </c>
      <c r="K194" s="160" t="str">
        <f t="shared" si="628"/>
        <v>2023.03</v>
      </c>
      <c r="L194" s="91" t="s">
        <v>8</v>
      </c>
      <c r="M194" s="92" t="s">
        <v>78</v>
      </c>
      <c r="N194" s="161">
        <v>555499</v>
      </c>
      <c r="O194" s="162">
        <f t="shared" si="634"/>
        <v>72215</v>
      </c>
      <c r="P194" s="160">
        <v>174</v>
      </c>
      <c r="Q194" s="236">
        <v>62</v>
      </c>
      <c r="R194" s="229">
        <f t="shared" si="635"/>
        <v>0.35632183908045978</v>
      </c>
      <c r="S194" s="163">
        <f t="shared" si="636"/>
        <v>197936</v>
      </c>
      <c r="T194" s="164">
        <f t="shared" si="637"/>
        <v>25732</v>
      </c>
      <c r="U194" s="165">
        <f t="shared" si="638"/>
        <v>7.6559517897534235E-7</v>
      </c>
      <c r="V194" s="87">
        <v>0.13</v>
      </c>
      <c r="W194" s="223" t="s">
        <v>226</v>
      </c>
      <c r="X194" s="23">
        <v>44943</v>
      </c>
      <c r="Y194" s="20" t="s">
        <v>197</v>
      </c>
      <c r="Z194" s="20"/>
      <c r="AA194" s="20"/>
      <c r="AB194" s="167"/>
      <c r="AC194" s="8" t="s">
        <v>246</v>
      </c>
      <c r="AD194" s="8">
        <v>1</v>
      </c>
      <c r="AE194" s="8">
        <v>52520</v>
      </c>
      <c r="AF194" s="8">
        <v>176</v>
      </c>
      <c r="AG194" s="8">
        <f t="shared" si="620"/>
        <v>62.72</v>
      </c>
      <c r="AH194" s="235">
        <v>45021</v>
      </c>
      <c r="AI194" s="8" t="str">
        <f t="shared" si="621"/>
        <v>2023.03.01</v>
      </c>
      <c r="AJ194" s="235">
        <f t="shared" si="622"/>
        <v>45016</v>
      </c>
    </row>
    <row r="195" spans="1:36" s="8" customFormat="1" x14ac:dyDescent="0.25">
      <c r="A195" s="207">
        <v>2</v>
      </c>
      <c r="B195" s="92" t="s">
        <v>202</v>
      </c>
      <c r="C195" s="90" t="str">
        <f>VLOOKUP($F195,Admin!$A$16:$E$19,2,FALSE)</f>
        <v>Alkalmazott (ipari) kutatás – Működési költség</v>
      </c>
      <c r="D195" s="160" t="s">
        <v>129</v>
      </c>
      <c r="E195" s="90" t="str">
        <f>VLOOKUP($F195,Admin!$A$16:$E$19,4,FALSE)</f>
        <v>54. Bérköltség - technikus segédszemélyzet</v>
      </c>
      <c r="F195" s="90" t="s">
        <v>173</v>
      </c>
      <c r="G195" s="160" t="s">
        <v>174</v>
      </c>
      <c r="H195" s="160" t="s">
        <v>203</v>
      </c>
      <c r="I195" s="90" t="str">
        <f>VLOOKUP($F195,Admin!$A$16:$E$19,5,FALSE)</f>
        <v>Technikus</v>
      </c>
      <c r="J195" s="160" t="s">
        <v>67</v>
      </c>
      <c r="K195" s="160" t="str">
        <f t="shared" ref="K195:K197" si="639">J195</f>
        <v>2023.04</v>
      </c>
      <c r="L195" s="91" t="s">
        <v>8</v>
      </c>
      <c r="M195" s="92" t="s">
        <v>78</v>
      </c>
      <c r="N195" s="161">
        <v>555500</v>
      </c>
      <c r="O195" s="162">
        <f t="shared" ref="O195" si="640">ROUND(N195*V195,0)</f>
        <v>72215</v>
      </c>
      <c r="P195" s="160">
        <v>174</v>
      </c>
      <c r="Q195" s="236">
        <v>62</v>
      </c>
      <c r="R195" s="229">
        <f t="shared" ref="R195" si="641">Q195/P195</f>
        <v>0.35632183908045978</v>
      </c>
      <c r="S195" s="163">
        <f t="shared" ref="S195" si="642">ROUND(N195*Q195/P195,0)</f>
        <v>197937</v>
      </c>
      <c r="T195" s="164">
        <f t="shared" ref="T195" si="643">ROUND(S195*V195,0)</f>
        <v>25732</v>
      </c>
      <c r="U195" s="165">
        <f t="shared" ref="U195" si="644">Q195/P195-S195/N195</f>
        <v>-3.9314276256696701E-7</v>
      </c>
      <c r="V195" s="87">
        <v>0.13</v>
      </c>
      <c r="W195" s="223" t="s">
        <v>226</v>
      </c>
      <c r="X195" s="23">
        <v>44998</v>
      </c>
      <c r="Y195" s="20" t="s">
        <v>197</v>
      </c>
      <c r="Z195" s="20"/>
      <c r="AA195" s="20"/>
      <c r="AB195" s="167"/>
      <c r="AC195" s="8" t="s">
        <v>246</v>
      </c>
      <c r="AD195" s="8">
        <v>0</v>
      </c>
      <c r="AE195" s="233">
        <v>52520</v>
      </c>
      <c r="AF195" s="8">
        <v>144</v>
      </c>
      <c r="AG195" s="8">
        <f t="shared" si="620"/>
        <v>51.32</v>
      </c>
      <c r="AH195" s="235">
        <v>45051</v>
      </c>
      <c r="AI195" s="8" t="str">
        <f t="shared" si="621"/>
        <v>2023.04.01</v>
      </c>
      <c r="AJ195" s="235">
        <f t="shared" si="622"/>
        <v>45046</v>
      </c>
    </row>
    <row r="196" spans="1:36" s="8" customFormat="1" x14ac:dyDescent="0.25">
      <c r="A196" s="207">
        <v>2</v>
      </c>
      <c r="B196" s="92" t="s">
        <v>202</v>
      </c>
      <c r="C196" s="90" t="str">
        <f>VLOOKUP($F196,Admin!$A$16:$E$19,2,FALSE)</f>
        <v>Alkalmazott (ipari) kutatás – Működési költség</v>
      </c>
      <c r="D196" s="160" t="s">
        <v>129</v>
      </c>
      <c r="E196" s="90" t="str">
        <f>VLOOKUP($F196,Admin!$A$16:$E$19,4,FALSE)</f>
        <v>54. Bérköltség - technikus segédszemélyzet</v>
      </c>
      <c r="F196" s="90" t="s">
        <v>173</v>
      </c>
      <c r="G196" s="160" t="s">
        <v>174</v>
      </c>
      <c r="H196" s="160" t="s">
        <v>203</v>
      </c>
      <c r="I196" s="90" t="str">
        <f>VLOOKUP($F196,Admin!$A$16:$E$19,5,FALSE)</f>
        <v>Technikus</v>
      </c>
      <c r="J196" s="160" t="s">
        <v>68</v>
      </c>
      <c r="K196" s="160" t="str">
        <f t="shared" si="639"/>
        <v>2023.05</v>
      </c>
      <c r="L196" s="91" t="s">
        <v>8</v>
      </c>
      <c r="M196" s="92" t="s">
        <v>78</v>
      </c>
      <c r="N196" s="161">
        <v>555500</v>
      </c>
      <c r="O196" s="162">
        <f t="shared" ref="O196:O197" si="645">ROUND(N196*V196,0)</f>
        <v>72215</v>
      </c>
      <c r="P196" s="160">
        <v>174</v>
      </c>
      <c r="Q196" s="236">
        <v>62</v>
      </c>
      <c r="R196" s="229">
        <f t="shared" ref="R196:R197" si="646">Q196/P196</f>
        <v>0.35632183908045978</v>
      </c>
      <c r="S196" s="163">
        <f t="shared" ref="S196:S197" si="647">ROUND(N196*Q196/P196,0)</f>
        <v>197937</v>
      </c>
      <c r="T196" s="164">
        <f t="shared" ref="T196:T197" si="648">ROUND(S196*V196,0)</f>
        <v>25732</v>
      </c>
      <c r="U196" s="165">
        <f t="shared" ref="U196:U197" si="649">Q196/P196-S196/N196</f>
        <v>-3.9314276256696701E-7</v>
      </c>
      <c r="V196" s="87">
        <v>0.13</v>
      </c>
      <c r="W196" s="223" t="s">
        <v>226</v>
      </c>
      <c r="X196" s="23">
        <v>44998</v>
      </c>
      <c r="Y196" s="20" t="s">
        <v>197</v>
      </c>
      <c r="Z196" s="20"/>
      <c r="AA196" s="20"/>
      <c r="AB196" s="167"/>
      <c r="AC196" s="8" t="s">
        <v>246</v>
      </c>
      <c r="AD196" s="8">
        <v>0</v>
      </c>
      <c r="AE196" s="8">
        <v>0</v>
      </c>
      <c r="AF196" s="8">
        <v>168</v>
      </c>
      <c r="AG196" s="8">
        <f t="shared" si="620"/>
        <v>59.87</v>
      </c>
      <c r="AH196" s="235">
        <v>45082</v>
      </c>
      <c r="AI196" s="8" t="str">
        <f t="shared" si="621"/>
        <v>2023.05.01</v>
      </c>
      <c r="AJ196" s="235">
        <f t="shared" si="622"/>
        <v>45077</v>
      </c>
    </row>
    <row r="197" spans="1:36" s="8" customFormat="1" x14ac:dyDescent="0.25">
      <c r="A197" s="207">
        <v>2</v>
      </c>
      <c r="B197" s="92" t="s">
        <v>202</v>
      </c>
      <c r="C197" s="90" t="str">
        <f>VLOOKUP($F197,Admin!$A$16:$E$19,2,FALSE)</f>
        <v>Alkalmazott (ipari) kutatás – Működési költség</v>
      </c>
      <c r="D197" s="160" t="s">
        <v>129</v>
      </c>
      <c r="E197" s="90" t="str">
        <f>VLOOKUP($F197,Admin!$A$16:$E$19,4,FALSE)</f>
        <v>54. Bérköltség - technikus segédszemélyzet</v>
      </c>
      <c r="F197" s="90" t="s">
        <v>173</v>
      </c>
      <c r="G197" s="160" t="s">
        <v>174</v>
      </c>
      <c r="H197" s="160" t="s">
        <v>203</v>
      </c>
      <c r="I197" s="90" t="str">
        <f>VLOOKUP($F197,Admin!$A$16:$E$19,5,FALSE)</f>
        <v>Technikus</v>
      </c>
      <c r="J197" s="160" t="s">
        <v>69</v>
      </c>
      <c r="K197" s="160" t="str">
        <f t="shared" si="639"/>
        <v>2023.06</v>
      </c>
      <c r="L197" s="91" t="s">
        <v>8</v>
      </c>
      <c r="M197" s="92" t="s">
        <v>78</v>
      </c>
      <c r="N197" s="161">
        <v>555499</v>
      </c>
      <c r="O197" s="162">
        <f t="shared" si="645"/>
        <v>72215</v>
      </c>
      <c r="P197" s="160">
        <v>174</v>
      </c>
      <c r="Q197" s="236">
        <v>62</v>
      </c>
      <c r="R197" s="229">
        <f t="shared" si="646"/>
        <v>0.35632183908045978</v>
      </c>
      <c r="S197" s="163">
        <f t="shared" si="647"/>
        <v>197936</v>
      </c>
      <c r="T197" s="164">
        <f t="shared" si="648"/>
        <v>25732</v>
      </c>
      <c r="U197" s="165">
        <f t="shared" si="649"/>
        <v>7.6559517897534235E-7</v>
      </c>
      <c r="V197" s="87">
        <v>0.13</v>
      </c>
      <c r="W197" s="223" t="s">
        <v>226</v>
      </c>
      <c r="X197" s="23">
        <v>44998</v>
      </c>
      <c r="Y197" s="20" t="s">
        <v>197</v>
      </c>
      <c r="Z197" s="20"/>
      <c r="AA197" s="20"/>
      <c r="AB197" s="167"/>
      <c r="AC197" s="8" t="s">
        <v>246</v>
      </c>
      <c r="AD197" s="8">
        <v>0</v>
      </c>
      <c r="AE197" s="8">
        <v>0</v>
      </c>
      <c r="AF197" s="8">
        <v>176</v>
      </c>
      <c r="AG197" s="8">
        <f t="shared" si="620"/>
        <v>62.72</v>
      </c>
      <c r="AH197" s="235">
        <v>45112</v>
      </c>
      <c r="AI197" s="8" t="str">
        <f t="shared" si="621"/>
        <v>2023.06.01</v>
      </c>
      <c r="AJ197" s="235">
        <f t="shared" si="622"/>
        <v>45107</v>
      </c>
    </row>
    <row r="198" spans="1:36" s="8" customFormat="1" x14ac:dyDescent="0.25">
      <c r="A198" s="207">
        <v>2</v>
      </c>
      <c r="B198" s="92" t="s">
        <v>202</v>
      </c>
      <c r="C198" s="90" t="str">
        <f>VLOOKUP($F198,Admin!$A$16:$E$19,2,FALSE)</f>
        <v>Alkalmazott (ipari) kutatás – Működési költség</v>
      </c>
      <c r="D198" s="160" t="s">
        <v>129</v>
      </c>
      <c r="E198" s="90" t="str">
        <f>VLOOKUP($F198,Admin!$A$16:$E$19,4,FALSE)</f>
        <v>54. Bérköltség - technikus segédszemélyzet</v>
      </c>
      <c r="F198" s="90" t="s">
        <v>173</v>
      </c>
      <c r="G198" s="160" t="s">
        <v>174</v>
      </c>
      <c r="H198" s="160" t="s">
        <v>203</v>
      </c>
      <c r="I198" s="90" t="str">
        <f>VLOOKUP($F198,Admin!$A$16:$E$19,5,FALSE)</f>
        <v>Technikus</v>
      </c>
      <c r="J198" s="160" t="s">
        <v>70</v>
      </c>
      <c r="K198" s="160" t="str">
        <f t="shared" ref="K198:K200" si="650">J198</f>
        <v>2023.07</v>
      </c>
      <c r="L198" s="91" t="s">
        <v>8</v>
      </c>
      <c r="M198" s="92" t="s">
        <v>78</v>
      </c>
      <c r="N198" s="161">
        <v>555500</v>
      </c>
      <c r="O198" s="162">
        <f t="shared" ref="O198" si="651">ROUND(N198*V198,0)</f>
        <v>72215</v>
      </c>
      <c r="P198" s="160">
        <v>174</v>
      </c>
      <c r="Q198" s="236">
        <v>62</v>
      </c>
      <c r="R198" s="229">
        <f t="shared" ref="R198" si="652">Q198/P198</f>
        <v>0.35632183908045978</v>
      </c>
      <c r="S198" s="163">
        <f t="shared" ref="S198" si="653">ROUND(N198*Q198/P198,0)</f>
        <v>197937</v>
      </c>
      <c r="T198" s="164">
        <f t="shared" ref="T198" si="654">ROUND(S198*V198,0)</f>
        <v>25732</v>
      </c>
      <c r="U198" s="165">
        <f t="shared" ref="U198" si="655">Q198/P198-S198/N198</f>
        <v>-3.9314276256696701E-7</v>
      </c>
      <c r="V198" s="87">
        <v>0.13</v>
      </c>
      <c r="W198" s="223" t="s">
        <v>226</v>
      </c>
      <c r="X198" s="23">
        <v>45096</v>
      </c>
      <c r="Y198" s="20" t="s">
        <v>197</v>
      </c>
      <c r="Z198" s="20"/>
      <c r="AA198" s="20"/>
      <c r="AB198" s="167"/>
      <c r="AC198" s="8" t="s">
        <v>246</v>
      </c>
      <c r="AD198" s="8">
        <v>0</v>
      </c>
      <c r="AE198" s="8">
        <v>0</v>
      </c>
      <c r="AF198" s="8">
        <v>168</v>
      </c>
      <c r="AG198" s="8">
        <f t="shared" si="620"/>
        <v>59.87</v>
      </c>
      <c r="AH198" s="235">
        <v>45142</v>
      </c>
      <c r="AI198" s="8" t="str">
        <f t="shared" si="621"/>
        <v>2023.07.01</v>
      </c>
      <c r="AJ198" s="235">
        <f t="shared" si="622"/>
        <v>45138</v>
      </c>
    </row>
    <row r="199" spans="1:36" s="8" customFormat="1" x14ac:dyDescent="0.25">
      <c r="A199" s="207">
        <v>2</v>
      </c>
      <c r="B199" s="92" t="s">
        <v>202</v>
      </c>
      <c r="C199" s="90" t="str">
        <f>VLOOKUP($F199,Admin!$A$16:$E$19,2,FALSE)</f>
        <v>Alkalmazott (ipari) kutatás – Működési költség</v>
      </c>
      <c r="D199" s="160" t="s">
        <v>129</v>
      </c>
      <c r="E199" s="90" t="str">
        <f>VLOOKUP($F199,Admin!$A$16:$E$19,4,FALSE)</f>
        <v>54. Bérköltség - technikus segédszemélyzet</v>
      </c>
      <c r="F199" s="90" t="s">
        <v>173</v>
      </c>
      <c r="G199" s="160" t="s">
        <v>174</v>
      </c>
      <c r="H199" s="160" t="s">
        <v>203</v>
      </c>
      <c r="I199" s="90" t="str">
        <f>VLOOKUP($F199,Admin!$A$16:$E$19,5,FALSE)</f>
        <v>Technikus</v>
      </c>
      <c r="J199" s="160" t="s">
        <v>71</v>
      </c>
      <c r="K199" s="160" t="str">
        <f t="shared" si="650"/>
        <v>2023.08</v>
      </c>
      <c r="L199" s="91" t="s">
        <v>8</v>
      </c>
      <c r="M199" s="92" t="s">
        <v>78</v>
      </c>
      <c r="N199" s="161">
        <v>555500</v>
      </c>
      <c r="O199" s="162">
        <f t="shared" ref="O199:O200" si="656">ROUND(N199*V199,0)</f>
        <v>72215</v>
      </c>
      <c r="P199" s="160">
        <v>174</v>
      </c>
      <c r="Q199" s="236">
        <v>62</v>
      </c>
      <c r="R199" s="229">
        <f t="shared" ref="R199:R200" si="657">Q199/P199</f>
        <v>0.35632183908045978</v>
      </c>
      <c r="S199" s="163">
        <f t="shared" ref="S199:S200" si="658">ROUND(N199*Q199/P199,0)</f>
        <v>197937</v>
      </c>
      <c r="T199" s="164">
        <f t="shared" ref="T199:T200" si="659">ROUND(S199*V199,0)</f>
        <v>25732</v>
      </c>
      <c r="U199" s="165">
        <f t="shared" ref="U199:U200" si="660">Q199/P199-S199/N199</f>
        <v>-3.9314276256696701E-7</v>
      </c>
      <c r="V199" s="87">
        <v>0.13</v>
      </c>
      <c r="W199" s="223" t="s">
        <v>226</v>
      </c>
      <c r="X199" s="23">
        <v>45096</v>
      </c>
      <c r="Y199" s="20" t="s">
        <v>197</v>
      </c>
      <c r="Z199" s="20"/>
      <c r="AA199" s="20"/>
      <c r="AB199" s="167"/>
      <c r="AC199" s="8" t="s">
        <v>246</v>
      </c>
      <c r="AD199" s="8">
        <v>0</v>
      </c>
      <c r="AE199" s="8">
        <v>0</v>
      </c>
      <c r="AF199" s="8">
        <v>184</v>
      </c>
      <c r="AG199" s="8">
        <f t="shared" si="620"/>
        <v>65.570000000000007</v>
      </c>
      <c r="AH199" s="235">
        <v>45174</v>
      </c>
      <c r="AI199" s="8" t="str">
        <f t="shared" si="621"/>
        <v>2023.08.01</v>
      </c>
      <c r="AJ199" s="235">
        <f t="shared" si="622"/>
        <v>45169</v>
      </c>
    </row>
    <row r="200" spans="1:36" s="8" customFormat="1" x14ac:dyDescent="0.25">
      <c r="A200" s="207">
        <v>2</v>
      </c>
      <c r="B200" s="92" t="s">
        <v>202</v>
      </c>
      <c r="C200" s="90" t="str">
        <f>VLOOKUP($F200,Admin!$A$16:$E$19,2,FALSE)</f>
        <v>Alkalmazott (ipari) kutatás – Működési költség</v>
      </c>
      <c r="D200" s="160" t="s">
        <v>129</v>
      </c>
      <c r="E200" s="90" t="str">
        <f>VLOOKUP($F200,Admin!$A$16:$E$19,4,FALSE)</f>
        <v>54. Bérköltség - technikus segédszemélyzet</v>
      </c>
      <c r="F200" s="90" t="s">
        <v>173</v>
      </c>
      <c r="G200" s="160" t="s">
        <v>174</v>
      </c>
      <c r="H200" s="160" t="s">
        <v>203</v>
      </c>
      <c r="I200" s="90" t="str">
        <f>VLOOKUP($F200,Admin!$A$16:$E$19,5,FALSE)</f>
        <v>Technikus</v>
      </c>
      <c r="J200" s="160" t="s">
        <v>72</v>
      </c>
      <c r="K200" s="160" t="str">
        <f t="shared" si="650"/>
        <v>2023.09</v>
      </c>
      <c r="L200" s="91" t="s">
        <v>8</v>
      </c>
      <c r="M200" s="92" t="s">
        <v>78</v>
      </c>
      <c r="N200" s="161">
        <v>555500</v>
      </c>
      <c r="O200" s="162">
        <f t="shared" si="656"/>
        <v>72215</v>
      </c>
      <c r="P200" s="160">
        <v>174</v>
      </c>
      <c r="Q200" s="236">
        <v>62</v>
      </c>
      <c r="R200" s="229">
        <f t="shared" si="657"/>
        <v>0.35632183908045978</v>
      </c>
      <c r="S200" s="163">
        <f t="shared" si="658"/>
        <v>197937</v>
      </c>
      <c r="T200" s="164">
        <f t="shared" si="659"/>
        <v>25732</v>
      </c>
      <c r="U200" s="165">
        <f t="shared" si="660"/>
        <v>-3.9314276256696701E-7</v>
      </c>
      <c r="V200" s="87">
        <v>0.13</v>
      </c>
      <c r="W200" s="223" t="s">
        <v>226</v>
      </c>
      <c r="X200" s="23">
        <v>45096</v>
      </c>
      <c r="Y200" s="20" t="s">
        <v>197</v>
      </c>
      <c r="Z200" s="20"/>
      <c r="AA200" s="20"/>
      <c r="AB200" s="167"/>
      <c r="AC200" s="8" t="s">
        <v>246</v>
      </c>
      <c r="AD200" s="8">
        <v>0</v>
      </c>
      <c r="AE200" s="8">
        <v>0</v>
      </c>
      <c r="AF200" s="8">
        <v>168</v>
      </c>
      <c r="AG200" s="8">
        <f t="shared" si="620"/>
        <v>59.87</v>
      </c>
      <c r="AH200" s="235">
        <v>45204</v>
      </c>
      <c r="AI200" s="8" t="str">
        <f t="shared" si="621"/>
        <v>2023.09.01</v>
      </c>
      <c r="AJ200" s="235">
        <f t="shared" si="622"/>
        <v>45199</v>
      </c>
    </row>
    <row r="201" spans="1:36" s="8" customFormat="1" x14ac:dyDescent="0.25">
      <c r="A201" s="188"/>
      <c r="B201" s="92" t="s">
        <v>202</v>
      </c>
      <c r="C201" s="90" t="str">
        <f>VLOOKUP($F201,Admin!$A$16:$E$19,2,FALSE)</f>
        <v>Alkalmazott (ipari) kutatás – Működési költség</v>
      </c>
      <c r="D201" s="160" t="s">
        <v>129</v>
      </c>
      <c r="E201" s="90" t="str">
        <f>VLOOKUP($F201,Admin!$A$16:$E$19,4,FALSE)</f>
        <v>54. Bérköltség - technikus segédszemélyzet</v>
      </c>
      <c r="F201" s="90" t="s">
        <v>173</v>
      </c>
      <c r="G201" s="160" t="s">
        <v>174</v>
      </c>
      <c r="H201" s="160" t="s">
        <v>203</v>
      </c>
      <c r="I201" s="90" t="str">
        <f>VLOOKUP($F201,Admin!$A$16:$E$19,5,FALSE)</f>
        <v>Technikus</v>
      </c>
      <c r="J201" s="160" t="s">
        <v>73</v>
      </c>
      <c r="K201" s="160" t="str">
        <f t="shared" ref="K201:K203" si="661">J201</f>
        <v>2023.10</v>
      </c>
      <c r="L201" s="91" t="s">
        <v>8</v>
      </c>
      <c r="M201" s="92" t="s">
        <v>78</v>
      </c>
      <c r="N201" s="161">
        <v>602199</v>
      </c>
      <c r="O201" s="162">
        <f t="shared" ref="O201" si="662">ROUND(N201*V201,0)</f>
        <v>78286</v>
      </c>
      <c r="P201" s="160">
        <v>174</v>
      </c>
      <c r="Q201" s="236">
        <v>62</v>
      </c>
      <c r="R201" s="229">
        <f t="shared" ref="R201" si="663">Q201/P201</f>
        <v>0.35632183908045978</v>
      </c>
      <c r="S201" s="163">
        <f t="shared" ref="S201" si="664">ROUND(N201*Q201/P201,0)</f>
        <v>214577</v>
      </c>
      <c r="T201" s="164">
        <f t="shared" ref="T201" si="665">ROUND(S201*V201,0)</f>
        <v>27895</v>
      </c>
      <c r="U201" s="165">
        <f t="shared" ref="U201" si="666">Q201/P201-S201/N201</f>
        <v>-5.726140133166524E-7</v>
      </c>
      <c r="V201" s="87">
        <v>0.13</v>
      </c>
      <c r="W201" s="223" t="s">
        <v>226</v>
      </c>
      <c r="X201" s="23">
        <v>45194</v>
      </c>
      <c r="Y201" s="20" t="s">
        <v>197</v>
      </c>
      <c r="Z201" s="20"/>
      <c r="AA201" s="20"/>
      <c r="AB201" s="167"/>
      <c r="AC201" s="8" t="s">
        <v>246</v>
      </c>
      <c r="AD201" s="8">
        <v>0</v>
      </c>
      <c r="AE201" s="8">
        <v>0</v>
      </c>
    </row>
    <row r="202" spans="1:36" s="8" customFormat="1" x14ac:dyDescent="0.25">
      <c r="A202" s="188"/>
      <c r="B202" s="92" t="s">
        <v>202</v>
      </c>
      <c r="C202" s="90" t="str">
        <f>VLOOKUP($F202,Admin!$A$16:$E$19,2,FALSE)</f>
        <v>Alkalmazott (ipari) kutatás – Működési költség</v>
      </c>
      <c r="D202" s="160" t="s">
        <v>129</v>
      </c>
      <c r="E202" s="90" t="str">
        <f>VLOOKUP($F202,Admin!$A$16:$E$19,4,FALSE)</f>
        <v>54. Bérköltség - technikus segédszemélyzet</v>
      </c>
      <c r="F202" s="90" t="s">
        <v>173</v>
      </c>
      <c r="G202" s="160" t="s">
        <v>174</v>
      </c>
      <c r="H202" s="160" t="s">
        <v>203</v>
      </c>
      <c r="I202" s="90" t="str">
        <f>VLOOKUP($F202,Admin!$A$16:$E$19,5,FALSE)</f>
        <v>Technikus</v>
      </c>
      <c r="J202" s="160" t="s">
        <v>74</v>
      </c>
      <c r="K202" s="160" t="str">
        <f t="shared" si="661"/>
        <v>2023.11</v>
      </c>
      <c r="L202" s="91" t="s">
        <v>8</v>
      </c>
      <c r="M202" s="92" t="s">
        <v>78</v>
      </c>
      <c r="N202" s="161">
        <v>602200</v>
      </c>
      <c r="O202" s="162">
        <f t="shared" ref="O202:O203" si="667">ROUND(N202*V202,0)</f>
        <v>78286</v>
      </c>
      <c r="P202" s="160">
        <v>174</v>
      </c>
      <c r="Q202" s="236">
        <v>62</v>
      </c>
      <c r="R202" s="229">
        <f t="shared" ref="R202:R203" si="668">Q202/P202</f>
        <v>0.35632183908045978</v>
      </c>
      <c r="S202" s="163">
        <f t="shared" ref="S202:S203" si="669">ROUND(N202*Q202/P202,0)</f>
        <v>214577</v>
      </c>
      <c r="T202" s="164">
        <f t="shared" ref="T202:T203" si="670">ROUND(S202*V202,0)</f>
        <v>27895</v>
      </c>
      <c r="U202" s="165">
        <f t="shared" ref="U202:U203" si="671">Q202/P202-S202/N202</f>
        <v>1.908710206555142E-8</v>
      </c>
      <c r="V202" s="87">
        <v>0.13</v>
      </c>
      <c r="W202" s="223" t="s">
        <v>226</v>
      </c>
      <c r="X202" s="23">
        <v>45194</v>
      </c>
      <c r="Y202" s="20" t="s">
        <v>197</v>
      </c>
      <c r="Z202" s="20"/>
      <c r="AA202" s="20"/>
      <c r="AB202" s="167"/>
      <c r="AC202" s="8" t="s">
        <v>246</v>
      </c>
      <c r="AD202" s="8">
        <v>0</v>
      </c>
      <c r="AE202" s="233">
        <v>78286</v>
      </c>
    </row>
    <row r="203" spans="1:36" s="8" customFormat="1" x14ac:dyDescent="0.25">
      <c r="A203" s="188"/>
      <c r="B203" s="92" t="s">
        <v>202</v>
      </c>
      <c r="C203" s="90" t="str">
        <f>VLOOKUP($F203,Admin!$A$16:$E$19,2,FALSE)</f>
        <v>Alkalmazott (ipari) kutatás – Működési költség</v>
      </c>
      <c r="D203" s="160" t="s">
        <v>129</v>
      </c>
      <c r="E203" s="90" t="str">
        <f>VLOOKUP($F203,Admin!$A$16:$E$19,4,FALSE)</f>
        <v>54. Bérköltség - technikus segédszemélyzet</v>
      </c>
      <c r="F203" s="90" t="s">
        <v>173</v>
      </c>
      <c r="G203" s="160" t="s">
        <v>174</v>
      </c>
      <c r="H203" s="160" t="s">
        <v>203</v>
      </c>
      <c r="I203" s="90" t="str">
        <f>VLOOKUP($F203,Admin!$A$16:$E$19,5,FALSE)</f>
        <v>Technikus</v>
      </c>
      <c r="J203" s="160" t="s">
        <v>139</v>
      </c>
      <c r="K203" s="160" t="str">
        <f t="shared" si="661"/>
        <v>2023.12</v>
      </c>
      <c r="L203" s="91" t="s">
        <v>8</v>
      </c>
      <c r="M203" s="92" t="s">
        <v>78</v>
      </c>
      <c r="N203" s="161">
        <v>602200</v>
      </c>
      <c r="O203" s="162">
        <f t="shared" si="667"/>
        <v>78286</v>
      </c>
      <c r="P203" s="160">
        <v>174</v>
      </c>
      <c r="Q203" s="236">
        <v>62</v>
      </c>
      <c r="R203" s="229">
        <f t="shared" si="668"/>
        <v>0.35632183908045978</v>
      </c>
      <c r="S203" s="163">
        <f t="shared" si="669"/>
        <v>214577</v>
      </c>
      <c r="T203" s="164">
        <f t="shared" si="670"/>
        <v>27895</v>
      </c>
      <c r="U203" s="165">
        <f t="shared" si="671"/>
        <v>1.908710206555142E-8</v>
      </c>
      <c r="V203" s="87">
        <v>0.13</v>
      </c>
      <c r="W203" s="223" t="s">
        <v>226</v>
      </c>
      <c r="X203" s="23">
        <v>45194</v>
      </c>
      <c r="Y203" s="20" t="s">
        <v>197</v>
      </c>
      <c r="Z203" s="20"/>
      <c r="AA203" s="20"/>
      <c r="AB203" s="167"/>
      <c r="AC203" s="8" t="s">
        <v>246</v>
      </c>
      <c r="AD203" s="8">
        <v>0</v>
      </c>
      <c r="AE203" s="233">
        <v>23400</v>
      </c>
    </row>
    <row r="204" spans="1:36" s="8" customFormat="1" x14ac:dyDescent="0.25">
      <c r="A204" s="188"/>
      <c r="B204" s="92" t="s">
        <v>202</v>
      </c>
      <c r="C204" s="90" t="str">
        <f>VLOOKUP($F204,Admin!$A$16:$E$19,2,FALSE)</f>
        <v>Alkalmazott (ipari) kutatás – Működési költség</v>
      </c>
      <c r="D204" s="160" t="s">
        <v>129</v>
      </c>
      <c r="E204" s="90" t="str">
        <f>VLOOKUP($F204,Admin!$A$16:$E$19,4,FALSE)</f>
        <v>54. Bérköltség - technikus segédszemélyzet</v>
      </c>
      <c r="F204" s="90" t="s">
        <v>173</v>
      </c>
      <c r="G204" s="160" t="s">
        <v>174</v>
      </c>
      <c r="H204" s="160" t="s">
        <v>203</v>
      </c>
      <c r="I204" s="90" t="str">
        <f>VLOOKUP($F204,Admin!$A$16:$E$19,5,FALSE)</f>
        <v>Technikus</v>
      </c>
      <c r="J204" s="160" t="s">
        <v>140</v>
      </c>
      <c r="K204" s="160" t="str">
        <f t="shared" ref="K204:K209" si="672">J204</f>
        <v>2024.01</v>
      </c>
      <c r="L204" s="91" t="s">
        <v>8</v>
      </c>
      <c r="M204" s="92" t="s">
        <v>78</v>
      </c>
      <c r="N204" s="161">
        <v>584000</v>
      </c>
      <c r="O204" s="162">
        <f t="shared" ref="O204" si="673">ROUND(N204*V204,0)</f>
        <v>75920</v>
      </c>
      <c r="P204" s="160">
        <v>174</v>
      </c>
      <c r="Q204" s="236">
        <v>59.16</v>
      </c>
      <c r="R204" s="229">
        <f t="shared" ref="R204" si="674">Q204/P204</f>
        <v>0.33999999999999997</v>
      </c>
      <c r="S204" s="163">
        <f t="shared" ref="S204" si="675">ROUND(N204*Q204/P204,0)</f>
        <v>198560</v>
      </c>
      <c r="T204" s="164">
        <f t="shared" ref="T204" si="676">ROUND(S204*V204,0)</f>
        <v>25813</v>
      </c>
      <c r="U204" s="165">
        <f t="shared" ref="U204" si="677">Q204/P204-S204/N204</f>
        <v>0</v>
      </c>
      <c r="V204" s="87">
        <v>0.13</v>
      </c>
      <c r="W204" s="223" t="s">
        <v>226</v>
      </c>
      <c r="X204" s="23">
        <v>45307</v>
      </c>
      <c r="Y204" s="20" t="s">
        <v>197</v>
      </c>
      <c r="Z204" s="20"/>
      <c r="AA204" s="20"/>
      <c r="AB204" s="167"/>
      <c r="AC204" s="8" t="s">
        <v>246</v>
      </c>
      <c r="AD204" s="243">
        <v>0</v>
      </c>
      <c r="AE204" s="243">
        <v>0</v>
      </c>
    </row>
    <row r="205" spans="1:36" s="8" customFormat="1" x14ac:dyDescent="0.25">
      <c r="A205" s="188"/>
      <c r="B205" s="92" t="s">
        <v>202</v>
      </c>
      <c r="C205" s="90" t="str">
        <f>VLOOKUP($F205,Admin!$A$16:$E$19,2,FALSE)</f>
        <v>Alkalmazott (ipari) kutatás – Működési költség</v>
      </c>
      <c r="D205" s="160" t="s">
        <v>129</v>
      </c>
      <c r="E205" s="90" t="str">
        <f>VLOOKUP($F205,Admin!$A$16:$E$19,4,FALSE)</f>
        <v>54. Bérköltség - technikus segédszemélyzet</v>
      </c>
      <c r="F205" s="90" t="s">
        <v>173</v>
      </c>
      <c r="G205" s="160" t="s">
        <v>174</v>
      </c>
      <c r="H205" s="160" t="s">
        <v>203</v>
      </c>
      <c r="I205" s="90" t="str">
        <f>VLOOKUP($F205,Admin!$A$16:$E$19,5,FALSE)</f>
        <v>Technikus</v>
      </c>
      <c r="J205" s="160" t="s">
        <v>141</v>
      </c>
      <c r="K205" s="160" t="str">
        <f t="shared" si="672"/>
        <v>2024.02</v>
      </c>
      <c r="L205" s="91" t="s">
        <v>8</v>
      </c>
      <c r="M205" s="92" t="s">
        <v>78</v>
      </c>
      <c r="N205" s="161">
        <v>584000</v>
      </c>
      <c r="O205" s="162">
        <f t="shared" ref="O205:O209" si="678">ROUND(N205*V205,0)</f>
        <v>75920</v>
      </c>
      <c r="P205" s="160">
        <v>174</v>
      </c>
      <c r="Q205" s="236">
        <v>59.16</v>
      </c>
      <c r="R205" s="229">
        <f t="shared" ref="R205:R209" si="679">Q205/P205</f>
        <v>0.33999999999999997</v>
      </c>
      <c r="S205" s="163">
        <f t="shared" ref="S205:S209" si="680">ROUND(N205*Q205/P205,0)</f>
        <v>198560</v>
      </c>
      <c r="T205" s="164">
        <f t="shared" ref="T205:T209" si="681">ROUND(S205*V205,0)</f>
        <v>25813</v>
      </c>
      <c r="U205" s="165">
        <f t="shared" ref="U205:U209" si="682">Q205/P205-S205/N205</f>
        <v>0</v>
      </c>
      <c r="V205" s="87">
        <v>0.13</v>
      </c>
      <c r="W205" s="223" t="s">
        <v>226</v>
      </c>
      <c r="X205" s="23">
        <v>45307</v>
      </c>
      <c r="Y205" s="20" t="s">
        <v>197</v>
      </c>
      <c r="Z205" s="20"/>
      <c r="AA205" s="20"/>
      <c r="AB205" s="167"/>
      <c r="AC205" s="8" t="s">
        <v>246</v>
      </c>
      <c r="AD205" s="243">
        <v>0</v>
      </c>
      <c r="AE205" s="243">
        <v>0</v>
      </c>
    </row>
    <row r="206" spans="1:36" s="8" customFormat="1" x14ac:dyDescent="0.25">
      <c r="A206" s="188"/>
      <c r="B206" s="92" t="s">
        <v>202</v>
      </c>
      <c r="C206" s="90" t="str">
        <f>VLOOKUP($F206,Admin!$A$16:$E$19,2,FALSE)</f>
        <v>Alkalmazott (ipari) kutatás – Működési költség</v>
      </c>
      <c r="D206" s="160" t="s">
        <v>129</v>
      </c>
      <c r="E206" s="90" t="str">
        <f>VLOOKUP($F206,Admin!$A$16:$E$19,4,FALSE)</f>
        <v>54. Bérköltség - technikus segédszemélyzet</v>
      </c>
      <c r="F206" s="90" t="s">
        <v>173</v>
      </c>
      <c r="G206" s="160" t="s">
        <v>174</v>
      </c>
      <c r="H206" s="160" t="s">
        <v>203</v>
      </c>
      <c r="I206" s="90" t="str">
        <f>VLOOKUP($F206,Admin!$A$16:$E$19,5,FALSE)</f>
        <v>Technikus</v>
      </c>
      <c r="J206" s="160" t="s">
        <v>142</v>
      </c>
      <c r="K206" s="160" t="str">
        <f t="shared" si="672"/>
        <v>2024.03</v>
      </c>
      <c r="L206" s="91" t="s">
        <v>8</v>
      </c>
      <c r="M206" s="92" t="s">
        <v>78</v>
      </c>
      <c r="N206" s="161">
        <v>584000</v>
      </c>
      <c r="O206" s="162">
        <f t="shared" si="678"/>
        <v>75920</v>
      </c>
      <c r="P206" s="160">
        <v>174</v>
      </c>
      <c r="Q206" s="236">
        <v>59.16</v>
      </c>
      <c r="R206" s="229">
        <f t="shared" si="679"/>
        <v>0.33999999999999997</v>
      </c>
      <c r="S206" s="163">
        <f t="shared" si="680"/>
        <v>198560</v>
      </c>
      <c r="T206" s="164">
        <f t="shared" si="681"/>
        <v>25813</v>
      </c>
      <c r="U206" s="165">
        <f t="shared" si="682"/>
        <v>0</v>
      </c>
      <c r="V206" s="87">
        <v>0.13</v>
      </c>
      <c r="W206" s="223" t="s">
        <v>226</v>
      </c>
      <c r="X206" s="23">
        <v>45307</v>
      </c>
      <c r="Y206" s="20" t="s">
        <v>197</v>
      </c>
      <c r="Z206" s="20"/>
      <c r="AA206" s="20"/>
      <c r="AB206" s="167"/>
      <c r="AC206" s="243" t="s">
        <v>246</v>
      </c>
      <c r="AD206" s="233">
        <v>1</v>
      </c>
      <c r="AE206" s="243">
        <v>0</v>
      </c>
    </row>
    <row r="207" spans="1:36" s="8" customFormat="1" x14ac:dyDescent="0.25">
      <c r="A207" s="188"/>
      <c r="B207" s="92" t="s">
        <v>202</v>
      </c>
      <c r="C207" s="90" t="str">
        <f>VLOOKUP($F207,Admin!$A$16:$E$19,2,FALSE)</f>
        <v>Alkalmazott (ipari) kutatás – Működési költség</v>
      </c>
      <c r="D207" s="160" t="s">
        <v>129</v>
      </c>
      <c r="E207" s="90" t="str">
        <f>VLOOKUP($F207,Admin!$A$16:$E$19,4,FALSE)</f>
        <v>54. Bérköltség - technikus segédszemélyzet</v>
      </c>
      <c r="F207" s="90" t="s">
        <v>173</v>
      </c>
      <c r="G207" s="160" t="s">
        <v>174</v>
      </c>
      <c r="H207" s="160" t="s">
        <v>203</v>
      </c>
      <c r="I207" s="90" t="str">
        <f>VLOOKUP($F207,Admin!$A$16:$E$19,5,FALSE)</f>
        <v>Technikus</v>
      </c>
      <c r="J207" s="160" t="s">
        <v>143</v>
      </c>
      <c r="K207" s="160" t="str">
        <f t="shared" si="672"/>
        <v>2024.04</v>
      </c>
      <c r="L207" s="91" t="s">
        <v>8</v>
      </c>
      <c r="M207" s="92" t="s">
        <v>78</v>
      </c>
      <c r="N207" s="161">
        <v>584000</v>
      </c>
      <c r="O207" s="162">
        <f t="shared" si="678"/>
        <v>75920</v>
      </c>
      <c r="P207" s="160">
        <v>174</v>
      </c>
      <c r="Q207" s="236">
        <v>59.16</v>
      </c>
      <c r="R207" s="229">
        <f t="shared" si="679"/>
        <v>0.33999999999999997</v>
      </c>
      <c r="S207" s="163">
        <f t="shared" si="680"/>
        <v>198560</v>
      </c>
      <c r="T207" s="164">
        <f t="shared" si="681"/>
        <v>25813</v>
      </c>
      <c r="U207" s="165">
        <f t="shared" si="682"/>
        <v>0</v>
      </c>
      <c r="V207" s="87">
        <v>0.13</v>
      </c>
      <c r="W207" s="223" t="s">
        <v>226</v>
      </c>
      <c r="X207" s="23">
        <v>45307</v>
      </c>
      <c r="Y207" s="20" t="s">
        <v>197</v>
      </c>
      <c r="Z207" s="20"/>
      <c r="AA207" s="20"/>
      <c r="AB207" s="167"/>
      <c r="AC207" s="8" t="s">
        <v>246</v>
      </c>
      <c r="AD207" s="243">
        <v>0</v>
      </c>
      <c r="AE207" s="233">
        <v>63678</v>
      </c>
    </row>
    <row r="208" spans="1:36" s="8" customFormat="1" x14ac:dyDescent="0.25">
      <c r="A208" s="188"/>
      <c r="B208" s="92" t="s">
        <v>202</v>
      </c>
      <c r="C208" s="90" t="str">
        <f>VLOOKUP($F208,Admin!$A$16:$E$19,2,FALSE)</f>
        <v>Alkalmazott (ipari) kutatás – Működési költség</v>
      </c>
      <c r="D208" s="160" t="s">
        <v>129</v>
      </c>
      <c r="E208" s="90" t="str">
        <f>VLOOKUP($F208,Admin!$A$16:$E$19,4,FALSE)</f>
        <v>54. Bérköltség - technikus segédszemélyzet</v>
      </c>
      <c r="F208" s="90" t="s">
        <v>173</v>
      </c>
      <c r="G208" s="160" t="s">
        <v>174</v>
      </c>
      <c r="H208" s="160" t="s">
        <v>203</v>
      </c>
      <c r="I208" s="90" t="str">
        <f>VLOOKUP($F208,Admin!$A$16:$E$19,5,FALSE)</f>
        <v>Technikus</v>
      </c>
      <c r="J208" s="160" t="s">
        <v>144</v>
      </c>
      <c r="K208" s="160" t="str">
        <f t="shared" si="672"/>
        <v>2024.05</v>
      </c>
      <c r="L208" s="91" t="s">
        <v>8</v>
      </c>
      <c r="M208" s="92" t="s">
        <v>78</v>
      </c>
      <c r="N208" s="161">
        <v>567315</v>
      </c>
      <c r="O208" s="162">
        <f t="shared" si="678"/>
        <v>73751</v>
      </c>
      <c r="P208" s="160">
        <v>174</v>
      </c>
      <c r="Q208" s="236">
        <v>59.16</v>
      </c>
      <c r="R208" s="229">
        <f t="shared" si="679"/>
        <v>0.33999999999999997</v>
      </c>
      <c r="S208" s="163">
        <f t="shared" si="680"/>
        <v>192887</v>
      </c>
      <c r="T208" s="164">
        <f t="shared" si="681"/>
        <v>25075</v>
      </c>
      <c r="U208" s="165">
        <f t="shared" si="682"/>
        <v>1.7626891585242888E-7</v>
      </c>
      <c r="V208" s="87">
        <v>0.13</v>
      </c>
      <c r="W208" s="223" t="s">
        <v>226</v>
      </c>
      <c r="X208" s="23">
        <v>45307</v>
      </c>
      <c r="Y208" s="20" t="s">
        <v>197</v>
      </c>
      <c r="Z208" s="20"/>
      <c r="AA208" s="20"/>
      <c r="AB208" s="167"/>
      <c r="AC208" s="8" t="s">
        <v>246</v>
      </c>
      <c r="AD208" s="243">
        <v>0</v>
      </c>
      <c r="AE208" s="243">
        <v>0</v>
      </c>
    </row>
    <row r="209" spans="1:36" s="8" customFormat="1" x14ac:dyDescent="0.25">
      <c r="A209" s="188"/>
      <c r="B209" s="92" t="s">
        <v>202</v>
      </c>
      <c r="C209" s="90" t="str">
        <f>VLOOKUP($F209,Admin!$A$16:$E$19,2,FALSE)</f>
        <v>Alkalmazott (ipari) kutatás – Működési költség</v>
      </c>
      <c r="D209" s="160" t="s">
        <v>129</v>
      </c>
      <c r="E209" s="90" t="str">
        <f>VLOOKUP($F209,Admin!$A$16:$E$19,4,FALSE)</f>
        <v>54. Bérköltség - technikus segédszemélyzet</v>
      </c>
      <c r="F209" s="90" t="s">
        <v>173</v>
      </c>
      <c r="G209" s="160" t="s">
        <v>174</v>
      </c>
      <c r="H209" s="160" t="s">
        <v>203</v>
      </c>
      <c r="I209" s="90" t="str">
        <f>VLOOKUP($F209,Admin!$A$16:$E$19,5,FALSE)</f>
        <v>Technikus</v>
      </c>
      <c r="J209" s="160" t="s">
        <v>211</v>
      </c>
      <c r="K209" s="160" t="str">
        <f t="shared" si="672"/>
        <v>2024.06</v>
      </c>
      <c r="L209" s="91" t="s">
        <v>9</v>
      </c>
      <c r="M209" s="92" t="s">
        <v>78</v>
      </c>
      <c r="N209" s="161">
        <v>600000</v>
      </c>
      <c r="O209" s="162">
        <f t="shared" si="678"/>
        <v>78000</v>
      </c>
      <c r="P209" s="160">
        <v>174</v>
      </c>
      <c r="Q209" s="236">
        <v>57.42</v>
      </c>
      <c r="R209" s="229">
        <f t="shared" si="679"/>
        <v>0.33</v>
      </c>
      <c r="S209" s="163">
        <f t="shared" si="680"/>
        <v>198000</v>
      </c>
      <c r="T209" s="164">
        <f t="shared" si="681"/>
        <v>25740</v>
      </c>
      <c r="U209" s="165">
        <f t="shared" si="682"/>
        <v>0</v>
      </c>
      <c r="V209" s="87">
        <v>0.13</v>
      </c>
      <c r="W209" s="223" t="s">
        <v>226</v>
      </c>
      <c r="X209" s="23">
        <v>45440</v>
      </c>
      <c r="Y209" s="20" t="s">
        <v>197</v>
      </c>
      <c r="Z209" s="20"/>
      <c r="AA209" s="20"/>
      <c r="AB209" s="167"/>
      <c r="AE209" s="233"/>
    </row>
    <row r="210" spans="1:36" s="8" customFormat="1" x14ac:dyDescent="0.25">
      <c r="A210" s="188"/>
      <c r="B210" s="92" t="s">
        <v>202</v>
      </c>
      <c r="C210" s="90" t="str">
        <f>VLOOKUP($F210,Admin!$A$16:$E$19,2,FALSE)</f>
        <v>Alkalmazott (ipari) kutatás – Működési költség</v>
      </c>
      <c r="D210" s="160" t="s">
        <v>129</v>
      </c>
      <c r="E210" s="90" t="str">
        <f>VLOOKUP($F210,Admin!$A$16:$E$19,4,FALSE)</f>
        <v>54. Bérköltség - technikus segédszemélyzet</v>
      </c>
      <c r="F210" s="90" t="s">
        <v>173</v>
      </c>
      <c r="G210" s="160" t="s">
        <v>174</v>
      </c>
      <c r="H210" s="160" t="s">
        <v>203</v>
      </c>
      <c r="I210" s="90" t="str">
        <f>VLOOKUP($F210,Admin!$A$16:$E$19,5,FALSE)</f>
        <v>Technikus</v>
      </c>
      <c r="J210" s="160" t="s">
        <v>212</v>
      </c>
      <c r="K210" s="160" t="str">
        <f t="shared" ref="K210:K212" si="683">J210</f>
        <v>2024.07</v>
      </c>
      <c r="L210" s="91" t="s">
        <v>9</v>
      </c>
      <c r="M210" s="92" t="s">
        <v>78</v>
      </c>
      <c r="N210" s="161">
        <v>600000</v>
      </c>
      <c r="O210" s="162">
        <f t="shared" ref="O210" si="684">ROUND(N210*V210,0)</f>
        <v>78000</v>
      </c>
      <c r="P210" s="160">
        <v>174</v>
      </c>
      <c r="Q210" s="236">
        <v>57.42</v>
      </c>
      <c r="R210" s="229">
        <f t="shared" ref="R210" si="685">Q210/P210</f>
        <v>0.33</v>
      </c>
      <c r="S210" s="163">
        <f t="shared" ref="S210" si="686">ROUND(N210*Q210/P210,0)</f>
        <v>198000</v>
      </c>
      <c r="T210" s="164">
        <f t="shared" ref="T210" si="687">ROUND(S210*V210,0)</f>
        <v>25740</v>
      </c>
      <c r="U210" s="165">
        <f t="shared" ref="U210" si="688">Q210/P210-S210/N210</f>
        <v>0</v>
      </c>
      <c r="V210" s="87">
        <v>0.13</v>
      </c>
      <c r="W210" s="223" t="s">
        <v>226</v>
      </c>
      <c r="X210" s="23">
        <v>45440</v>
      </c>
      <c r="Y210" s="20" t="s">
        <v>197</v>
      </c>
      <c r="Z210" s="20"/>
      <c r="AA210" s="20"/>
      <c r="AB210" s="167"/>
      <c r="AE210" s="233"/>
    </row>
    <row r="211" spans="1:36" s="8" customFormat="1" x14ac:dyDescent="0.25">
      <c r="A211" s="188"/>
      <c r="B211" s="92" t="s">
        <v>202</v>
      </c>
      <c r="C211" s="90" t="str">
        <f>VLOOKUP($F211,Admin!$A$16:$E$19,2,FALSE)</f>
        <v>Alkalmazott (ipari) kutatás – Működési költség</v>
      </c>
      <c r="D211" s="160" t="s">
        <v>129</v>
      </c>
      <c r="E211" s="90" t="str">
        <f>VLOOKUP($F211,Admin!$A$16:$E$19,4,FALSE)</f>
        <v>54. Bérköltség - technikus segédszemélyzet</v>
      </c>
      <c r="F211" s="90" t="s">
        <v>173</v>
      </c>
      <c r="G211" s="160" t="s">
        <v>174</v>
      </c>
      <c r="H211" s="160" t="s">
        <v>203</v>
      </c>
      <c r="I211" s="90" t="str">
        <f>VLOOKUP($F211,Admin!$A$16:$E$19,5,FALSE)</f>
        <v>Technikus</v>
      </c>
      <c r="J211" s="160" t="s">
        <v>213</v>
      </c>
      <c r="K211" s="160" t="str">
        <f t="shared" si="683"/>
        <v>2024.08</v>
      </c>
      <c r="L211" s="91" t="s">
        <v>9</v>
      </c>
      <c r="M211" s="92" t="s">
        <v>78</v>
      </c>
      <c r="N211" s="161">
        <v>600000</v>
      </c>
      <c r="O211" s="162">
        <f t="shared" ref="O211:O212" si="689">ROUND(N211*V211,0)</f>
        <v>78000</v>
      </c>
      <c r="P211" s="160">
        <v>174</v>
      </c>
      <c r="Q211" s="236">
        <v>57.42</v>
      </c>
      <c r="R211" s="229">
        <f t="shared" ref="R211:R212" si="690">Q211/P211</f>
        <v>0.33</v>
      </c>
      <c r="S211" s="163">
        <f t="shared" ref="S211:S212" si="691">ROUND(N211*Q211/P211,0)</f>
        <v>198000</v>
      </c>
      <c r="T211" s="164">
        <f t="shared" ref="T211:T212" si="692">ROUND(S211*V211,0)</f>
        <v>25740</v>
      </c>
      <c r="U211" s="165">
        <f t="shared" ref="U211:U212" si="693">Q211/P211-S211/N211</f>
        <v>0</v>
      </c>
      <c r="V211" s="87">
        <v>0.13</v>
      </c>
      <c r="W211" s="223" t="s">
        <v>226</v>
      </c>
      <c r="X211" s="23">
        <v>45440</v>
      </c>
      <c r="Y211" s="20" t="s">
        <v>197</v>
      </c>
      <c r="Z211" s="20"/>
      <c r="AA211" s="20"/>
      <c r="AB211" s="167"/>
      <c r="AE211" s="233"/>
    </row>
    <row r="212" spans="1:36" s="8" customFormat="1" x14ac:dyDescent="0.25">
      <c r="A212" s="188"/>
      <c r="B212" s="92" t="s">
        <v>202</v>
      </c>
      <c r="C212" s="90" t="str">
        <f>VLOOKUP($F212,Admin!$A$16:$E$19,2,FALSE)</f>
        <v>Alkalmazott (ipari) kutatás – Működési költség</v>
      </c>
      <c r="D212" s="160" t="s">
        <v>129</v>
      </c>
      <c r="E212" s="90" t="str">
        <f>VLOOKUP($F212,Admin!$A$16:$E$19,4,FALSE)</f>
        <v>54. Bérköltség - technikus segédszemélyzet</v>
      </c>
      <c r="F212" s="90" t="s">
        <v>173</v>
      </c>
      <c r="G212" s="160" t="s">
        <v>174</v>
      </c>
      <c r="H212" s="160" t="s">
        <v>203</v>
      </c>
      <c r="I212" s="90" t="str">
        <f>VLOOKUP($F212,Admin!$A$16:$E$19,5,FALSE)</f>
        <v>Technikus</v>
      </c>
      <c r="J212" s="160" t="s">
        <v>214</v>
      </c>
      <c r="K212" s="160" t="str">
        <f t="shared" si="683"/>
        <v>2024.09</v>
      </c>
      <c r="L212" s="91" t="s">
        <v>9</v>
      </c>
      <c r="M212" s="92" t="s">
        <v>78</v>
      </c>
      <c r="N212" s="161">
        <v>600000</v>
      </c>
      <c r="O212" s="162">
        <f t="shared" si="689"/>
        <v>78000</v>
      </c>
      <c r="P212" s="160">
        <v>174</v>
      </c>
      <c r="Q212" s="236">
        <v>57.42</v>
      </c>
      <c r="R212" s="229">
        <f t="shared" si="690"/>
        <v>0.33</v>
      </c>
      <c r="S212" s="163">
        <f t="shared" si="691"/>
        <v>198000</v>
      </c>
      <c r="T212" s="164">
        <f t="shared" si="692"/>
        <v>25740</v>
      </c>
      <c r="U212" s="165">
        <f t="shared" si="693"/>
        <v>0</v>
      </c>
      <c r="V212" s="87">
        <v>0.13</v>
      </c>
      <c r="W212" s="223" t="s">
        <v>226</v>
      </c>
      <c r="X212" s="23">
        <v>45440</v>
      </c>
      <c r="Y212" s="20" t="s">
        <v>197</v>
      </c>
      <c r="Z212" s="20"/>
      <c r="AA212" s="20"/>
      <c r="AB212" s="167"/>
      <c r="AE212" s="233"/>
    </row>
    <row r="213" spans="1:36" s="8" customFormat="1" x14ac:dyDescent="0.25">
      <c r="A213" s="207">
        <v>1</v>
      </c>
      <c r="B213" s="92" t="s">
        <v>191</v>
      </c>
      <c r="C213" s="90" t="str">
        <f>VLOOKUP($F213,Admin!$A$16:$E$19,2,FALSE)</f>
        <v>Alkalmazott (ipari) kutatás – Működési költség</v>
      </c>
      <c r="D213" s="160" t="s">
        <v>129</v>
      </c>
      <c r="E213" s="90" t="str">
        <f>VLOOKUP($F213,Admin!$A$16:$E$19,4,FALSE)</f>
        <v>54. Bérköltség - Kutató-fejlesztő munkatárs</v>
      </c>
      <c r="F213" s="90" t="s">
        <v>171</v>
      </c>
      <c r="G213" s="160" t="s">
        <v>174</v>
      </c>
      <c r="H213" s="160" t="s">
        <v>195</v>
      </c>
      <c r="I213" s="90" t="str">
        <f>VLOOKUP($F213,Admin!$A$16:$E$19,5,FALSE)</f>
        <v>K+F munkatárs</v>
      </c>
      <c r="J213" s="193">
        <v>44578</v>
      </c>
      <c r="K213" s="193">
        <v>44592</v>
      </c>
      <c r="L213" s="91" t="s">
        <v>8</v>
      </c>
      <c r="M213" s="92" t="s">
        <v>78</v>
      </c>
      <c r="N213" s="161">
        <v>261905</v>
      </c>
      <c r="O213" s="162">
        <f t="shared" si="268"/>
        <v>34048</v>
      </c>
      <c r="P213" s="160">
        <v>87</v>
      </c>
      <c r="Q213" s="236">
        <v>87</v>
      </c>
      <c r="R213" s="229">
        <f t="shared" si="269"/>
        <v>1</v>
      </c>
      <c r="S213" s="163">
        <f t="shared" si="270"/>
        <v>261905</v>
      </c>
      <c r="T213" s="164">
        <f t="shared" si="271"/>
        <v>34048</v>
      </c>
      <c r="U213" s="165">
        <f t="shared" si="272"/>
        <v>0</v>
      </c>
      <c r="V213" s="87">
        <v>0.13</v>
      </c>
      <c r="W213" s="223"/>
      <c r="X213" s="23">
        <v>44564</v>
      </c>
      <c r="Y213" s="20" t="s">
        <v>197</v>
      </c>
      <c r="Z213" s="20"/>
      <c r="AA213" s="20"/>
      <c r="AB213" s="167"/>
    </row>
    <row r="214" spans="1:36" s="8" customFormat="1" x14ac:dyDescent="0.25">
      <c r="A214" s="207">
        <v>1</v>
      </c>
      <c r="B214" s="92" t="s">
        <v>191</v>
      </c>
      <c r="C214" s="90" t="str">
        <f>VLOOKUP($F214,Admin!$A$16:$E$19,2,FALSE)</f>
        <v>Alkalmazott (ipari) kutatás – Működési költség</v>
      </c>
      <c r="D214" s="160" t="s">
        <v>129</v>
      </c>
      <c r="E214" s="90" t="str">
        <f>VLOOKUP($F214,Admin!$A$16:$E$19,4,FALSE)</f>
        <v>54. Bérköltség - Kutató-fejlesztő munkatárs</v>
      </c>
      <c r="F214" s="90" t="s">
        <v>171</v>
      </c>
      <c r="G214" s="160" t="s">
        <v>174</v>
      </c>
      <c r="H214" s="160" t="s">
        <v>195</v>
      </c>
      <c r="I214" s="90" t="str">
        <f>VLOOKUP($F214,Admin!$A$16:$E$19,5,FALSE)</f>
        <v>K+F munkatárs</v>
      </c>
      <c r="J214" s="160" t="s">
        <v>41</v>
      </c>
      <c r="K214" s="160" t="str">
        <f t="shared" si="267"/>
        <v>2022.02</v>
      </c>
      <c r="L214" s="91" t="s">
        <v>8</v>
      </c>
      <c r="M214" s="92" t="s">
        <v>78</v>
      </c>
      <c r="N214" s="161">
        <v>500000</v>
      </c>
      <c r="O214" s="162">
        <f t="shared" si="268"/>
        <v>65000</v>
      </c>
      <c r="P214" s="160">
        <v>87</v>
      </c>
      <c r="Q214" s="236">
        <v>87</v>
      </c>
      <c r="R214" s="229">
        <f t="shared" si="269"/>
        <v>1</v>
      </c>
      <c r="S214" s="163">
        <f t="shared" si="270"/>
        <v>500000</v>
      </c>
      <c r="T214" s="164">
        <f t="shared" si="271"/>
        <v>65000</v>
      </c>
      <c r="U214" s="165">
        <f t="shared" si="272"/>
        <v>0</v>
      </c>
      <c r="V214" s="87">
        <v>0.13</v>
      </c>
      <c r="W214" s="223"/>
      <c r="X214" s="23">
        <v>44564</v>
      </c>
      <c r="Y214" s="20" t="s">
        <v>197</v>
      </c>
      <c r="Z214" s="20"/>
      <c r="AA214" s="20"/>
      <c r="AB214" s="167"/>
    </row>
    <row r="215" spans="1:36" s="8" customFormat="1" x14ac:dyDescent="0.25">
      <c r="A215" s="207">
        <v>1</v>
      </c>
      <c r="B215" s="92" t="s">
        <v>191</v>
      </c>
      <c r="C215" s="90" t="str">
        <f>VLOOKUP($F215,Admin!$A$16:$E$19,2,FALSE)</f>
        <v>Alkalmazott (ipari) kutatás – Működési költség</v>
      </c>
      <c r="D215" s="160" t="s">
        <v>129</v>
      </c>
      <c r="E215" s="90" t="str">
        <f>VLOOKUP($F215,Admin!$A$16:$E$19,4,FALSE)</f>
        <v>54. Bérköltség - Kutató-fejlesztő munkatárs</v>
      </c>
      <c r="F215" s="90" t="s">
        <v>171</v>
      </c>
      <c r="G215" s="160" t="s">
        <v>174</v>
      </c>
      <c r="H215" s="160" t="s">
        <v>195</v>
      </c>
      <c r="I215" s="90" t="str">
        <f>VLOOKUP($F215,Admin!$A$16:$E$19,5,FALSE)</f>
        <v>K+F munkatárs</v>
      </c>
      <c r="J215" s="160" t="s">
        <v>42</v>
      </c>
      <c r="K215" s="160" t="str">
        <f t="shared" si="267"/>
        <v>2022.03</v>
      </c>
      <c r="L215" s="91" t="s">
        <v>8</v>
      </c>
      <c r="M215" s="92" t="s">
        <v>78</v>
      </c>
      <c r="N215" s="161">
        <v>500000</v>
      </c>
      <c r="O215" s="162">
        <f t="shared" si="268"/>
        <v>65000</v>
      </c>
      <c r="P215" s="160">
        <v>87</v>
      </c>
      <c r="Q215" s="236">
        <v>87</v>
      </c>
      <c r="R215" s="229">
        <f t="shared" si="269"/>
        <v>1</v>
      </c>
      <c r="S215" s="163">
        <f t="shared" si="270"/>
        <v>500000</v>
      </c>
      <c r="T215" s="164">
        <f t="shared" si="271"/>
        <v>65000</v>
      </c>
      <c r="U215" s="165">
        <f t="shared" si="272"/>
        <v>0</v>
      </c>
      <c r="V215" s="87">
        <v>0.13</v>
      </c>
      <c r="W215" s="223"/>
      <c r="X215" s="23">
        <v>44564</v>
      </c>
      <c r="Y215" s="20" t="s">
        <v>197</v>
      </c>
      <c r="Z215" s="20"/>
      <c r="AA215" s="20"/>
      <c r="AB215" s="167"/>
    </row>
    <row r="216" spans="1:36" s="8" customFormat="1" x14ac:dyDescent="0.25">
      <c r="A216" s="207">
        <v>1</v>
      </c>
      <c r="B216" s="92" t="s">
        <v>191</v>
      </c>
      <c r="C216" s="90" t="str">
        <f>VLOOKUP($F216,Admin!$A$16:$E$19,2,FALSE)</f>
        <v>Alkalmazott (ipari) kutatás – Működési költség</v>
      </c>
      <c r="D216" s="160" t="s">
        <v>129</v>
      </c>
      <c r="E216" s="90" t="str">
        <f>VLOOKUP($F216,Admin!$A$16:$E$19,4,FALSE)</f>
        <v>54. Bérköltség - Kutató-fejlesztő munkatárs</v>
      </c>
      <c r="F216" s="90" t="s">
        <v>171</v>
      </c>
      <c r="G216" s="160" t="s">
        <v>174</v>
      </c>
      <c r="H216" s="160" t="s">
        <v>195</v>
      </c>
      <c r="I216" s="90" t="str">
        <f>VLOOKUP($F216,Admin!$A$16:$E$19,5,FALSE)</f>
        <v>K+F munkatárs</v>
      </c>
      <c r="J216" s="160" t="s">
        <v>43</v>
      </c>
      <c r="K216" s="160" t="str">
        <f t="shared" si="267"/>
        <v>2022.04</v>
      </c>
      <c r="L216" s="91" t="s">
        <v>8</v>
      </c>
      <c r="M216" s="92" t="s">
        <v>78</v>
      </c>
      <c r="N216" s="161">
        <v>500000</v>
      </c>
      <c r="O216" s="162">
        <f t="shared" si="268"/>
        <v>65000</v>
      </c>
      <c r="P216" s="160">
        <v>87</v>
      </c>
      <c r="Q216" s="236">
        <v>87</v>
      </c>
      <c r="R216" s="229">
        <f t="shared" si="269"/>
        <v>1</v>
      </c>
      <c r="S216" s="163">
        <f t="shared" si="270"/>
        <v>500000</v>
      </c>
      <c r="T216" s="164">
        <f t="shared" si="271"/>
        <v>65000</v>
      </c>
      <c r="U216" s="165">
        <f t="shared" si="272"/>
        <v>0</v>
      </c>
      <c r="V216" s="87">
        <v>0.13</v>
      </c>
      <c r="W216" s="223"/>
      <c r="X216" s="23">
        <v>44564</v>
      </c>
      <c r="Y216" s="20" t="s">
        <v>197</v>
      </c>
      <c r="Z216" s="20"/>
      <c r="AA216" s="20"/>
      <c r="AB216" s="167"/>
    </row>
    <row r="217" spans="1:36" s="8" customFormat="1" x14ac:dyDescent="0.25">
      <c r="A217" s="207">
        <v>1</v>
      </c>
      <c r="B217" s="92" t="s">
        <v>191</v>
      </c>
      <c r="C217" s="90" t="str">
        <f>VLOOKUP($F217,Admin!$A$16:$E$19,2,FALSE)</f>
        <v>Alkalmazott (ipari) kutatás – Működési költség</v>
      </c>
      <c r="D217" s="160" t="s">
        <v>129</v>
      </c>
      <c r="E217" s="90" t="str">
        <f>VLOOKUP($F217,Admin!$A$16:$E$19,4,FALSE)</f>
        <v>54. Bérköltség - Kutató-fejlesztő munkatárs</v>
      </c>
      <c r="F217" s="90" t="s">
        <v>171</v>
      </c>
      <c r="G217" s="160" t="s">
        <v>174</v>
      </c>
      <c r="H217" s="160" t="s">
        <v>195</v>
      </c>
      <c r="I217" s="90" t="str">
        <f>VLOOKUP($F217,Admin!$A$16:$E$19,5,FALSE)</f>
        <v>K+F munkatárs</v>
      </c>
      <c r="J217" s="160" t="s">
        <v>44</v>
      </c>
      <c r="K217" s="160" t="str">
        <f t="shared" si="267"/>
        <v>2022.05</v>
      </c>
      <c r="L217" s="91" t="s">
        <v>8</v>
      </c>
      <c r="M217" s="92" t="s">
        <v>78</v>
      </c>
      <c r="N217" s="161">
        <v>500000</v>
      </c>
      <c r="O217" s="162">
        <f t="shared" si="268"/>
        <v>65000</v>
      </c>
      <c r="P217" s="160">
        <v>87</v>
      </c>
      <c r="Q217" s="236">
        <v>87</v>
      </c>
      <c r="R217" s="229">
        <f t="shared" si="269"/>
        <v>1</v>
      </c>
      <c r="S217" s="163">
        <f t="shared" si="270"/>
        <v>500000</v>
      </c>
      <c r="T217" s="164">
        <f t="shared" si="271"/>
        <v>65000</v>
      </c>
      <c r="U217" s="165">
        <f t="shared" si="272"/>
        <v>0</v>
      </c>
      <c r="V217" s="87">
        <v>0.13</v>
      </c>
      <c r="W217" s="223"/>
      <c r="X217" s="23">
        <v>44564</v>
      </c>
      <c r="Y217" s="20" t="s">
        <v>197</v>
      </c>
      <c r="Z217" s="20"/>
      <c r="AA217" s="20"/>
      <c r="AB217" s="167"/>
    </row>
    <row r="218" spans="1:36" s="8" customFormat="1" x14ac:dyDescent="0.25">
      <c r="A218" s="207">
        <v>1</v>
      </c>
      <c r="B218" s="92" t="s">
        <v>191</v>
      </c>
      <c r="C218" s="90" t="str">
        <f>VLOOKUP($F218,Admin!$A$16:$E$19,2,FALSE)</f>
        <v>Alkalmazott (ipari) kutatás – Működési költség</v>
      </c>
      <c r="D218" s="160" t="s">
        <v>129</v>
      </c>
      <c r="E218" s="90" t="str">
        <f>VLOOKUP($F218,Admin!$A$16:$E$19,4,FALSE)</f>
        <v>54. Bérköltség - Kutató-fejlesztő munkatárs</v>
      </c>
      <c r="F218" s="90" t="s">
        <v>171</v>
      </c>
      <c r="G218" s="160" t="s">
        <v>174</v>
      </c>
      <c r="H218" s="160" t="s">
        <v>195</v>
      </c>
      <c r="I218" s="90" t="str">
        <f>VLOOKUP($F218,Admin!$A$16:$E$19,5,FALSE)</f>
        <v>K+F munkatárs</v>
      </c>
      <c r="J218" s="160" t="s">
        <v>45</v>
      </c>
      <c r="K218" s="160" t="str">
        <f t="shared" si="267"/>
        <v>2022.06</v>
      </c>
      <c r="L218" s="91" t="s">
        <v>8</v>
      </c>
      <c r="M218" s="92" t="s">
        <v>78</v>
      </c>
      <c r="N218" s="161">
        <v>500000</v>
      </c>
      <c r="O218" s="162">
        <f t="shared" si="268"/>
        <v>65000</v>
      </c>
      <c r="P218" s="160">
        <v>87</v>
      </c>
      <c r="Q218" s="236">
        <v>87</v>
      </c>
      <c r="R218" s="229">
        <f t="shared" si="269"/>
        <v>1</v>
      </c>
      <c r="S218" s="163">
        <f t="shared" si="270"/>
        <v>500000</v>
      </c>
      <c r="T218" s="164">
        <f t="shared" si="271"/>
        <v>65000</v>
      </c>
      <c r="U218" s="165">
        <f t="shared" si="272"/>
        <v>0</v>
      </c>
      <c r="V218" s="87">
        <v>0.13</v>
      </c>
      <c r="W218" s="223"/>
      <c r="X218" s="23">
        <v>44564</v>
      </c>
      <c r="Y218" s="20" t="s">
        <v>197</v>
      </c>
      <c r="Z218" s="20"/>
      <c r="AA218" s="20"/>
      <c r="AB218" s="167"/>
    </row>
    <row r="219" spans="1:36" s="8" customFormat="1" x14ac:dyDescent="0.25">
      <c r="A219" s="207">
        <v>1</v>
      </c>
      <c r="B219" s="92" t="s">
        <v>191</v>
      </c>
      <c r="C219" s="90" t="str">
        <f>VLOOKUP($F219,Admin!$A$16:$E$19,2,FALSE)</f>
        <v>Alkalmazott (ipari) kutatás – Működési költség</v>
      </c>
      <c r="D219" s="160" t="s">
        <v>129</v>
      </c>
      <c r="E219" s="90" t="str">
        <f>VLOOKUP($F219,Admin!$A$16:$E$19,4,FALSE)</f>
        <v>54. Bérköltség - Kutató-fejlesztő munkatárs</v>
      </c>
      <c r="F219" s="90" t="s">
        <v>171</v>
      </c>
      <c r="G219" s="160" t="s">
        <v>174</v>
      </c>
      <c r="H219" s="160" t="s">
        <v>195</v>
      </c>
      <c r="I219" s="90" t="str">
        <f>VLOOKUP($F219,Admin!$A$16:$E$19,5,FALSE)</f>
        <v>K+F munkatárs</v>
      </c>
      <c r="J219" s="160" t="s">
        <v>46</v>
      </c>
      <c r="K219" s="160" t="str">
        <f t="shared" ref="K219:K221" si="694">J219</f>
        <v>2022.07</v>
      </c>
      <c r="L219" s="91" t="s">
        <v>8</v>
      </c>
      <c r="M219" s="92" t="s">
        <v>78</v>
      </c>
      <c r="N219" s="161">
        <v>500000</v>
      </c>
      <c r="O219" s="162">
        <f t="shared" ref="O219" si="695">ROUND(N219*V219,0)</f>
        <v>65000</v>
      </c>
      <c r="P219" s="160">
        <v>87</v>
      </c>
      <c r="Q219" s="236">
        <v>87</v>
      </c>
      <c r="R219" s="229">
        <f t="shared" ref="R219" si="696">Q219/P219</f>
        <v>1</v>
      </c>
      <c r="S219" s="163">
        <f t="shared" ref="S219" si="697">ROUND(N219*Q219/P219,0)</f>
        <v>500000</v>
      </c>
      <c r="T219" s="164">
        <f t="shared" ref="T219" si="698">ROUND(S219*V219,0)</f>
        <v>65000</v>
      </c>
      <c r="U219" s="165">
        <f t="shared" ref="U219" si="699">Q219/P219-S219/N219</f>
        <v>0</v>
      </c>
      <c r="V219" s="87">
        <v>0.13</v>
      </c>
      <c r="W219" s="223"/>
      <c r="X219" s="23">
        <v>44726</v>
      </c>
      <c r="Y219" s="20" t="s">
        <v>197</v>
      </c>
      <c r="Z219" s="20"/>
      <c r="AA219" s="20"/>
      <c r="AB219" s="167"/>
    </row>
    <row r="220" spans="1:36" s="8" customFormat="1" x14ac:dyDescent="0.25">
      <c r="A220" s="207">
        <v>1</v>
      </c>
      <c r="B220" s="92" t="s">
        <v>191</v>
      </c>
      <c r="C220" s="90" t="str">
        <f>VLOOKUP($F220,Admin!$A$16:$E$19,2,FALSE)</f>
        <v>Alkalmazott (ipari) kutatás – Működési költség</v>
      </c>
      <c r="D220" s="160" t="s">
        <v>129</v>
      </c>
      <c r="E220" s="90" t="str">
        <f>VLOOKUP($F220,Admin!$A$16:$E$19,4,FALSE)</f>
        <v>54. Bérköltség - Kutató-fejlesztő munkatárs</v>
      </c>
      <c r="F220" s="90" t="s">
        <v>171</v>
      </c>
      <c r="G220" s="160" t="s">
        <v>174</v>
      </c>
      <c r="H220" s="160" t="s">
        <v>195</v>
      </c>
      <c r="I220" s="90" t="str">
        <f>VLOOKUP($F220,Admin!$A$16:$E$19,5,FALSE)</f>
        <v>K+F munkatárs</v>
      </c>
      <c r="J220" s="160" t="s">
        <v>47</v>
      </c>
      <c r="K220" s="160" t="str">
        <f t="shared" si="694"/>
        <v>2022.08</v>
      </c>
      <c r="L220" s="91" t="s">
        <v>8</v>
      </c>
      <c r="M220" s="92" t="s">
        <v>78</v>
      </c>
      <c r="N220" s="161">
        <v>391304</v>
      </c>
      <c r="O220" s="162">
        <f t="shared" ref="O220:O221" si="700">ROUND(N220*V220,0)</f>
        <v>50870</v>
      </c>
      <c r="P220" s="160">
        <v>87</v>
      </c>
      <c r="Q220" s="236">
        <v>87</v>
      </c>
      <c r="R220" s="229">
        <f t="shared" ref="R220:R221" si="701">Q220/P220</f>
        <v>1</v>
      </c>
      <c r="S220" s="163">
        <f t="shared" ref="S220:S221" si="702">ROUND(N220*Q220/P220,0)</f>
        <v>391304</v>
      </c>
      <c r="T220" s="164">
        <f t="shared" ref="T220:T221" si="703">ROUND(S220*V220,0)</f>
        <v>50870</v>
      </c>
      <c r="U220" s="165">
        <f t="shared" ref="U220:U221" si="704">Q220/P220-S220/N220</f>
        <v>0</v>
      </c>
      <c r="V220" s="87">
        <v>0.13</v>
      </c>
      <c r="W220" s="223"/>
      <c r="X220" s="23">
        <v>44726</v>
      </c>
      <c r="Y220" s="20" t="s">
        <v>197</v>
      </c>
      <c r="Z220" s="20"/>
      <c r="AA220" s="20"/>
      <c r="AB220" s="167"/>
    </row>
    <row r="221" spans="1:36" s="8" customFormat="1" x14ac:dyDescent="0.25">
      <c r="A221" s="207">
        <v>1</v>
      </c>
      <c r="B221" s="92" t="s">
        <v>191</v>
      </c>
      <c r="C221" s="90" t="str">
        <f>VLOOKUP($F221,Admin!$A$16:$E$19,2,FALSE)</f>
        <v>Alkalmazott (ipari) kutatás – Működési költség</v>
      </c>
      <c r="D221" s="160" t="s">
        <v>129</v>
      </c>
      <c r="E221" s="90" t="str">
        <f>VLOOKUP($F221,Admin!$A$16:$E$19,4,FALSE)</f>
        <v>54. Bérköltség - Kutató-fejlesztő munkatárs</v>
      </c>
      <c r="F221" s="90" t="s">
        <v>171</v>
      </c>
      <c r="G221" s="160" t="s">
        <v>174</v>
      </c>
      <c r="H221" s="160" t="s">
        <v>195</v>
      </c>
      <c r="I221" s="90" t="str">
        <f>VLOOKUP($F221,Admin!$A$16:$E$19,5,FALSE)</f>
        <v>K+F munkatárs</v>
      </c>
      <c r="J221" s="160" t="s">
        <v>48</v>
      </c>
      <c r="K221" s="160" t="str">
        <f t="shared" si="694"/>
        <v>2022.09</v>
      </c>
      <c r="L221" s="91" t="s">
        <v>8</v>
      </c>
      <c r="M221" s="92" t="s">
        <v>78</v>
      </c>
      <c r="N221" s="161">
        <v>500000</v>
      </c>
      <c r="O221" s="162">
        <f t="shared" si="700"/>
        <v>65000</v>
      </c>
      <c r="P221" s="160">
        <v>87</v>
      </c>
      <c r="Q221" s="236">
        <v>87</v>
      </c>
      <c r="R221" s="229">
        <f t="shared" si="701"/>
        <v>1</v>
      </c>
      <c r="S221" s="163">
        <f t="shared" si="702"/>
        <v>500000</v>
      </c>
      <c r="T221" s="164">
        <f t="shared" si="703"/>
        <v>65000</v>
      </c>
      <c r="U221" s="165">
        <f t="shared" si="704"/>
        <v>0</v>
      </c>
      <c r="V221" s="87">
        <v>0.13</v>
      </c>
      <c r="W221" s="223"/>
      <c r="X221" s="23">
        <v>44726</v>
      </c>
      <c r="Y221" s="20" t="s">
        <v>197</v>
      </c>
      <c r="Z221" s="20"/>
      <c r="AA221" s="20"/>
      <c r="AB221" s="167"/>
    </row>
    <row r="222" spans="1:36" s="8" customFormat="1" x14ac:dyDescent="0.25">
      <c r="A222" s="207">
        <v>2</v>
      </c>
      <c r="B222" s="92" t="s">
        <v>191</v>
      </c>
      <c r="C222" s="90" t="str">
        <f>VLOOKUP($F222,Admin!$A$16:$E$19,2,FALSE)</f>
        <v>Alkalmazott (ipari) kutatás – Működési költség</v>
      </c>
      <c r="D222" s="160" t="s">
        <v>129</v>
      </c>
      <c r="E222" s="90" t="str">
        <f>VLOOKUP($F222,Admin!$A$16:$E$19,4,FALSE)</f>
        <v>54. Bérköltség - Kutató-fejlesztő munkatárs</v>
      </c>
      <c r="F222" s="90" t="s">
        <v>171</v>
      </c>
      <c r="G222" s="160" t="s">
        <v>174</v>
      </c>
      <c r="H222" s="160" t="s">
        <v>195</v>
      </c>
      <c r="I222" s="90" t="str">
        <f>VLOOKUP($F222,Admin!$A$16:$E$19,5,FALSE)</f>
        <v>K+F munkatárs</v>
      </c>
      <c r="J222" s="160" t="s">
        <v>49</v>
      </c>
      <c r="K222" s="160" t="str">
        <f t="shared" ref="K222:K224" si="705">J222</f>
        <v>2022.10</v>
      </c>
      <c r="L222" s="91" t="s">
        <v>8</v>
      </c>
      <c r="M222" s="92" t="s">
        <v>78</v>
      </c>
      <c r="N222" s="161">
        <v>500000</v>
      </c>
      <c r="O222" s="162">
        <f t="shared" ref="O222" si="706">ROUND(N222*V222,0)</f>
        <v>65000</v>
      </c>
      <c r="P222" s="160">
        <v>87</v>
      </c>
      <c r="Q222" s="236">
        <v>87</v>
      </c>
      <c r="R222" s="229">
        <f t="shared" ref="R222" si="707">Q222/P222</f>
        <v>1</v>
      </c>
      <c r="S222" s="163">
        <f t="shared" ref="S222" si="708">ROUND(N222*Q222/P222,0)</f>
        <v>500000</v>
      </c>
      <c r="T222" s="164">
        <f t="shared" ref="T222" si="709">ROUND(S222*V222,0)</f>
        <v>65000</v>
      </c>
      <c r="U222" s="165">
        <f t="shared" ref="U222" si="710">Q222/P222-S222/N222</f>
        <v>0</v>
      </c>
      <c r="V222" s="87">
        <v>0.13</v>
      </c>
      <c r="W222" s="223"/>
      <c r="X222" s="23">
        <v>44826</v>
      </c>
      <c r="Y222" s="20" t="s">
        <v>197</v>
      </c>
      <c r="Z222" s="20"/>
      <c r="AA222" s="20"/>
      <c r="AB222" s="167"/>
      <c r="AF222" s="8">
        <v>168</v>
      </c>
      <c r="AG222" s="8">
        <f t="shared" ref="AG222:AG225" si="711">ROUNDUP(AF222*R222,2)</f>
        <v>168</v>
      </c>
      <c r="AH222" s="235">
        <v>44869</v>
      </c>
      <c r="AI222" s="8" t="str">
        <f t="shared" ref="AI222:AI225" si="712">CONCATENATE(J222,".01")</f>
        <v>2022.10.01</v>
      </c>
      <c r="AJ222" s="235">
        <f t="shared" ref="AJ222:AJ225" si="713">EOMONTH(AI222,0)</f>
        <v>44865</v>
      </c>
    </row>
    <row r="223" spans="1:36" s="8" customFormat="1" x14ac:dyDescent="0.25">
      <c r="A223" s="207">
        <v>2</v>
      </c>
      <c r="B223" s="92" t="s">
        <v>191</v>
      </c>
      <c r="C223" s="90" t="str">
        <f>VLOOKUP($F223,Admin!$A$16:$E$19,2,FALSE)</f>
        <v>Alkalmazott (ipari) kutatás – Működési költség</v>
      </c>
      <c r="D223" s="160" t="s">
        <v>129</v>
      </c>
      <c r="E223" s="90" t="str">
        <f>VLOOKUP($F223,Admin!$A$16:$E$19,4,FALSE)</f>
        <v>54. Bérköltség - Kutató-fejlesztő munkatárs</v>
      </c>
      <c r="F223" s="90" t="s">
        <v>171</v>
      </c>
      <c r="G223" s="160" t="s">
        <v>174</v>
      </c>
      <c r="H223" s="160" t="s">
        <v>195</v>
      </c>
      <c r="I223" s="90" t="str">
        <f>VLOOKUP($F223,Admin!$A$16:$E$19,5,FALSE)</f>
        <v>K+F munkatárs</v>
      </c>
      <c r="J223" s="160" t="s">
        <v>50</v>
      </c>
      <c r="K223" s="160" t="str">
        <f t="shared" si="705"/>
        <v>2022.11</v>
      </c>
      <c r="L223" s="91" t="s">
        <v>8</v>
      </c>
      <c r="M223" s="92" t="s">
        <v>78</v>
      </c>
      <c r="N223" s="161">
        <v>500000</v>
      </c>
      <c r="O223" s="162">
        <f t="shared" ref="O223:O224" si="714">ROUND(N223*V223,0)</f>
        <v>65000</v>
      </c>
      <c r="P223" s="160">
        <v>87</v>
      </c>
      <c r="Q223" s="236">
        <v>87</v>
      </c>
      <c r="R223" s="229">
        <f t="shared" ref="R223:R224" si="715">Q223/P223</f>
        <v>1</v>
      </c>
      <c r="S223" s="163">
        <f t="shared" ref="S223:S224" si="716">ROUND(N223*Q223/P223,0)</f>
        <v>500000</v>
      </c>
      <c r="T223" s="164">
        <f t="shared" ref="T223:T224" si="717">ROUND(S223*V223,0)</f>
        <v>65000</v>
      </c>
      <c r="U223" s="165">
        <f t="shared" ref="U223:U224" si="718">Q223/P223-S223/N223</f>
        <v>0</v>
      </c>
      <c r="V223" s="87">
        <v>0.13</v>
      </c>
      <c r="W223" s="223" t="s">
        <v>227</v>
      </c>
      <c r="X223" s="23">
        <v>44826</v>
      </c>
      <c r="Y223" s="20" t="s">
        <v>197</v>
      </c>
      <c r="Z223" s="20"/>
      <c r="AA223" s="20"/>
      <c r="AB223" s="167"/>
      <c r="AC223" s="210" t="e">
        <v>#N/A</v>
      </c>
      <c r="AD223" s="210" t="e">
        <v>#N/A</v>
      </c>
      <c r="AE223" s="210" t="e">
        <v>#N/A</v>
      </c>
      <c r="AF223" s="8">
        <v>168</v>
      </c>
      <c r="AG223" s="8">
        <f t="shared" si="711"/>
        <v>168</v>
      </c>
      <c r="AH223" s="235">
        <v>44900</v>
      </c>
      <c r="AI223" s="8" t="str">
        <f t="shared" si="712"/>
        <v>2022.11.01</v>
      </c>
      <c r="AJ223" s="235">
        <f t="shared" si="713"/>
        <v>44895</v>
      </c>
    </row>
    <row r="224" spans="1:36" s="8" customFormat="1" x14ac:dyDescent="0.25">
      <c r="A224" s="207">
        <v>2</v>
      </c>
      <c r="B224" s="92" t="s">
        <v>191</v>
      </c>
      <c r="C224" s="90" t="str">
        <f>VLOOKUP($F224,Admin!$A$16:$E$19,2,FALSE)</f>
        <v>Alkalmazott (ipari) kutatás – Működési költség</v>
      </c>
      <c r="D224" s="160" t="s">
        <v>129</v>
      </c>
      <c r="E224" s="90" t="str">
        <f>VLOOKUP($F224,Admin!$A$16:$E$19,4,FALSE)</f>
        <v>54. Bérköltség - Kutató-fejlesztő munkatárs</v>
      </c>
      <c r="F224" s="90" t="s">
        <v>171</v>
      </c>
      <c r="G224" s="160" t="s">
        <v>174</v>
      </c>
      <c r="H224" s="160" t="s">
        <v>195</v>
      </c>
      <c r="I224" s="90" t="str">
        <f>VLOOKUP($F224,Admin!$A$16:$E$19,5,FALSE)</f>
        <v>K+F munkatárs</v>
      </c>
      <c r="J224" s="160" t="s">
        <v>51</v>
      </c>
      <c r="K224" s="160" t="str">
        <f t="shared" si="705"/>
        <v>2022.12</v>
      </c>
      <c r="L224" s="91" t="s">
        <v>8</v>
      </c>
      <c r="M224" s="92" t="s">
        <v>78</v>
      </c>
      <c r="N224" s="161">
        <v>500000</v>
      </c>
      <c r="O224" s="162">
        <f t="shared" si="714"/>
        <v>65000</v>
      </c>
      <c r="P224" s="160">
        <v>87</v>
      </c>
      <c r="Q224" s="236">
        <v>87</v>
      </c>
      <c r="R224" s="229">
        <f t="shared" si="715"/>
        <v>1</v>
      </c>
      <c r="S224" s="163">
        <f t="shared" si="716"/>
        <v>500000</v>
      </c>
      <c r="T224" s="164">
        <f t="shared" si="717"/>
        <v>65000</v>
      </c>
      <c r="U224" s="165">
        <f t="shared" si="718"/>
        <v>0</v>
      </c>
      <c r="V224" s="87">
        <v>0.13</v>
      </c>
      <c r="W224" s="223" t="s">
        <v>227</v>
      </c>
      <c r="X224" s="23">
        <v>44826</v>
      </c>
      <c r="Y224" s="20" t="s">
        <v>197</v>
      </c>
      <c r="Z224" s="20"/>
      <c r="AA224" s="20"/>
      <c r="AB224" s="167"/>
      <c r="AC224" s="210" t="s">
        <v>246</v>
      </c>
      <c r="AD224" s="210" t="s">
        <v>246</v>
      </c>
      <c r="AE224" s="210" t="s">
        <v>246</v>
      </c>
      <c r="AF224" s="8">
        <v>168</v>
      </c>
      <c r="AG224" s="8">
        <f t="shared" si="711"/>
        <v>168</v>
      </c>
      <c r="AH224" s="235">
        <v>44931</v>
      </c>
      <c r="AI224" s="8" t="str">
        <f t="shared" si="712"/>
        <v>2022.12.01</v>
      </c>
      <c r="AJ224" s="235">
        <f t="shared" si="713"/>
        <v>44926</v>
      </c>
    </row>
    <row r="225" spans="1:36" s="8" customFormat="1" x14ac:dyDescent="0.25">
      <c r="A225" s="207">
        <v>2</v>
      </c>
      <c r="B225" s="92" t="s">
        <v>191</v>
      </c>
      <c r="C225" s="90" t="str">
        <f>VLOOKUP($F225,Admin!$A$16:$E$19,2,FALSE)</f>
        <v>Alkalmazott (ipari) kutatás – Működési költség</v>
      </c>
      <c r="D225" s="160" t="s">
        <v>129</v>
      </c>
      <c r="E225" s="90" t="str">
        <f>VLOOKUP($F225,Admin!$A$16:$E$19,4,FALSE)</f>
        <v>54. Bérköltség - Kutató-fejlesztő munkatárs</v>
      </c>
      <c r="F225" s="90" t="s">
        <v>171</v>
      </c>
      <c r="G225" s="160" t="s">
        <v>174</v>
      </c>
      <c r="H225" s="160" t="s">
        <v>195</v>
      </c>
      <c r="I225" s="90" t="str">
        <f>VLOOKUP($F225,Admin!$A$16:$E$19,5,FALSE)</f>
        <v>K+F munkatárs</v>
      </c>
      <c r="J225" s="160" t="s">
        <v>64</v>
      </c>
      <c r="K225" s="160" t="str">
        <f t="shared" ref="K225" si="719">J225</f>
        <v>2023.01</v>
      </c>
      <c r="L225" s="91" t="s">
        <v>8</v>
      </c>
      <c r="M225" s="92" t="s">
        <v>78</v>
      </c>
      <c r="N225" s="161">
        <v>500000</v>
      </c>
      <c r="O225" s="162">
        <f t="shared" ref="O225" si="720">ROUND(N225*V225,0)</f>
        <v>65000</v>
      </c>
      <c r="P225" s="160">
        <v>87</v>
      </c>
      <c r="Q225" s="236">
        <v>87</v>
      </c>
      <c r="R225" s="229">
        <f t="shared" ref="R225" si="721">Q225/P225</f>
        <v>1</v>
      </c>
      <c r="S225" s="163">
        <f t="shared" ref="S225" si="722">ROUND(N225*Q225/P225,0)</f>
        <v>500000</v>
      </c>
      <c r="T225" s="164">
        <f t="shared" ref="T225" si="723">ROUND(S225*V225,0)</f>
        <v>65000</v>
      </c>
      <c r="U225" s="165">
        <f t="shared" ref="U225" si="724">Q225/P225-S225/N225</f>
        <v>0</v>
      </c>
      <c r="V225" s="87">
        <v>0.13</v>
      </c>
      <c r="W225" s="223" t="s">
        <v>227</v>
      </c>
      <c r="X225" s="23">
        <v>44908</v>
      </c>
      <c r="Y225" s="20" t="s">
        <v>197</v>
      </c>
      <c r="Z225" s="20"/>
      <c r="AA225" s="20"/>
      <c r="AB225" s="167"/>
      <c r="AC225" s="210" t="s">
        <v>246</v>
      </c>
      <c r="AD225" s="210">
        <v>0</v>
      </c>
      <c r="AE225" s="210">
        <v>0</v>
      </c>
      <c r="AF225" s="8">
        <v>176</v>
      </c>
      <c r="AG225" s="8">
        <f t="shared" si="711"/>
        <v>176</v>
      </c>
      <c r="AH225" s="235">
        <v>44960</v>
      </c>
      <c r="AI225" s="8" t="str">
        <f t="shared" si="712"/>
        <v>2023.01.01</v>
      </c>
      <c r="AJ225" s="235">
        <f t="shared" si="713"/>
        <v>44957</v>
      </c>
    </row>
    <row r="226" spans="1:36" s="8" customFormat="1" x14ac:dyDescent="0.25">
      <c r="A226" s="207">
        <v>1</v>
      </c>
      <c r="B226" s="92" t="s">
        <v>208</v>
      </c>
      <c r="C226" s="90" t="str">
        <f>VLOOKUP($F226,Admin!$A$16:$E$19,2,FALSE)</f>
        <v>Alkalmazott (ipari) kutatás – Működési költség</v>
      </c>
      <c r="D226" s="160" t="s">
        <v>129</v>
      </c>
      <c r="E226" s="90" t="str">
        <f>VLOOKUP($F226,Admin!$A$16:$E$19,4,FALSE)</f>
        <v>54. Bérköltség - technikus segédszemélyzet</v>
      </c>
      <c r="F226" s="90" t="s">
        <v>173</v>
      </c>
      <c r="G226" s="160" t="s">
        <v>174</v>
      </c>
      <c r="H226" s="160" t="s">
        <v>206</v>
      </c>
      <c r="I226" s="90" t="str">
        <f>VLOOKUP($F226,Admin!$A$16:$E$19,5,FALSE)</f>
        <v>Technikus</v>
      </c>
      <c r="J226" s="160" t="s">
        <v>45</v>
      </c>
      <c r="K226" s="160" t="str">
        <f t="shared" ref="K226:K228" si="725">J226</f>
        <v>2022.06</v>
      </c>
      <c r="L226" s="91" t="s">
        <v>8</v>
      </c>
      <c r="M226" s="92" t="s">
        <v>78</v>
      </c>
      <c r="N226" s="161">
        <v>220000</v>
      </c>
      <c r="O226" s="162">
        <f t="shared" si="268"/>
        <v>28600</v>
      </c>
      <c r="P226" s="160">
        <v>87</v>
      </c>
      <c r="Q226" s="236">
        <v>87</v>
      </c>
      <c r="R226" s="229">
        <f t="shared" si="269"/>
        <v>1</v>
      </c>
      <c r="S226" s="163">
        <f t="shared" si="270"/>
        <v>220000</v>
      </c>
      <c r="T226" s="164">
        <f t="shared" si="271"/>
        <v>28600</v>
      </c>
      <c r="U226" s="165">
        <f t="shared" si="272"/>
        <v>0</v>
      </c>
      <c r="V226" s="87">
        <v>0.13</v>
      </c>
      <c r="W226" s="223"/>
      <c r="X226" s="23">
        <v>44712</v>
      </c>
      <c r="Y226" s="20" t="s">
        <v>197</v>
      </c>
      <c r="Z226" s="20"/>
      <c r="AA226" s="20"/>
      <c r="AB226" s="167"/>
    </row>
    <row r="227" spans="1:36" s="8" customFormat="1" x14ac:dyDescent="0.25">
      <c r="A227" s="207">
        <v>1</v>
      </c>
      <c r="B227" s="92" t="s">
        <v>208</v>
      </c>
      <c r="C227" s="90" t="str">
        <f>VLOOKUP($F227,Admin!$A$16:$E$19,2,FALSE)</f>
        <v>Alkalmazott (ipari) kutatás – Működési költség</v>
      </c>
      <c r="D227" s="160" t="s">
        <v>129</v>
      </c>
      <c r="E227" s="90" t="str">
        <f>VLOOKUP($F227,Admin!$A$16:$E$19,4,FALSE)</f>
        <v>54. Bérköltség - technikus segédszemélyzet</v>
      </c>
      <c r="F227" s="90" t="s">
        <v>173</v>
      </c>
      <c r="G227" s="160" t="s">
        <v>174</v>
      </c>
      <c r="H227" s="160" t="s">
        <v>206</v>
      </c>
      <c r="I227" s="90" t="str">
        <f>VLOOKUP($F227,Admin!$A$16:$E$19,5,FALSE)</f>
        <v>Technikus</v>
      </c>
      <c r="J227" s="160" t="s">
        <v>46</v>
      </c>
      <c r="K227" s="160" t="str">
        <f t="shared" si="725"/>
        <v>2022.07</v>
      </c>
      <c r="L227" s="91" t="s">
        <v>8</v>
      </c>
      <c r="M227" s="92" t="s">
        <v>78</v>
      </c>
      <c r="N227" s="161">
        <v>220000</v>
      </c>
      <c r="O227" s="162">
        <f t="shared" ref="O227" si="726">ROUND(N227*V227,0)</f>
        <v>28600</v>
      </c>
      <c r="P227" s="160">
        <v>87</v>
      </c>
      <c r="Q227" s="236">
        <v>87</v>
      </c>
      <c r="R227" s="229">
        <f t="shared" ref="R227:R228" si="727">Q227/P227</f>
        <v>1</v>
      </c>
      <c r="S227" s="163">
        <f t="shared" ref="S227:S228" si="728">ROUND(N227*Q227/P227,0)</f>
        <v>220000</v>
      </c>
      <c r="T227" s="164">
        <f t="shared" ref="T227" si="729">ROUND(S227*V227,0)</f>
        <v>28600</v>
      </c>
      <c r="U227" s="165">
        <f t="shared" ref="U227:U228" si="730">Q227/P227-S227/N227</f>
        <v>0</v>
      </c>
      <c r="V227" s="87">
        <v>0.13</v>
      </c>
      <c r="W227" s="223"/>
      <c r="X227" s="23">
        <v>44712</v>
      </c>
      <c r="Y227" s="20" t="s">
        <v>197</v>
      </c>
      <c r="Z227" s="20"/>
      <c r="AA227" s="20"/>
      <c r="AB227" s="167"/>
    </row>
    <row r="228" spans="1:36" s="8" customFormat="1" x14ac:dyDescent="0.25">
      <c r="A228" s="207">
        <v>1</v>
      </c>
      <c r="B228" s="92" t="s">
        <v>208</v>
      </c>
      <c r="C228" s="90" t="str">
        <f>VLOOKUP($F228,Admin!$A$16:$E$19,2,FALSE)</f>
        <v>Alkalmazott (ipari) kutatás – Működési költség</v>
      </c>
      <c r="D228" s="160" t="s">
        <v>129</v>
      </c>
      <c r="E228" s="90" t="str">
        <f>VLOOKUP($F228,Admin!$A$16:$E$19,4,FALSE)</f>
        <v>54. Bérköltség - technikus segédszemélyzet</v>
      </c>
      <c r="F228" s="90" t="s">
        <v>173</v>
      </c>
      <c r="G228" s="160" t="s">
        <v>174</v>
      </c>
      <c r="H228" s="160" t="s">
        <v>206</v>
      </c>
      <c r="I228" s="90" t="str">
        <f>VLOOKUP($F228,Admin!$A$16:$E$19,5,FALSE)</f>
        <v>Technikus</v>
      </c>
      <c r="J228" s="160" t="s">
        <v>47</v>
      </c>
      <c r="K228" s="160" t="str">
        <f t="shared" si="725"/>
        <v>2022.08</v>
      </c>
      <c r="L228" s="91" t="s">
        <v>8</v>
      </c>
      <c r="M228" s="92" t="s">
        <v>78</v>
      </c>
      <c r="N228" s="161">
        <v>172174</v>
      </c>
      <c r="O228" s="162">
        <v>2035</v>
      </c>
      <c r="P228" s="160">
        <v>87</v>
      </c>
      <c r="Q228" s="236">
        <v>87</v>
      </c>
      <c r="R228" s="229">
        <f t="shared" si="727"/>
        <v>1</v>
      </c>
      <c r="S228" s="163">
        <f t="shared" si="728"/>
        <v>172174</v>
      </c>
      <c r="T228" s="164">
        <v>2035</v>
      </c>
      <c r="U228" s="165">
        <f t="shared" si="730"/>
        <v>0</v>
      </c>
      <c r="V228" s="87">
        <v>0.13</v>
      </c>
      <c r="W228" s="223"/>
      <c r="X228" s="23">
        <v>44712</v>
      </c>
      <c r="Y228" s="20" t="s">
        <v>197</v>
      </c>
      <c r="Z228" s="20"/>
      <c r="AA228" s="20"/>
      <c r="AB228" s="167"/>
    </row>
    <row r="229" spans="1:36" s="8" customFormat="1" x14ac:dyDescent="0.25">
      <c r="A229" s="207">
        <v>1</v>
      </c>
      <c r="B229" s="92" t="s">
        <v>208</v>
      </c>
      <c r="C229" s="90" t="str">
        <f>VLOOKUP($F229,Admin!$A$16:$E$19,2,FALSE)</f>
        <v>Alkalmazott (ipari) kutatás – Működési költség</v>
      </c>
      <c r="D229" s="160" t="s">
        <v>129</v>
      </c>
      <c r="E229" s="90" t="str">
        <f>VLOOKUP($F229,Admin!$A$16:$E$19,4,FALSE)</f>
        <v>54. Bérköltség - technikus segédszemélyzet</v>
      </c>
      <c r="F229" s="90" t="s">
        <v>173</v>
      </c>
      <c r="G229" s="160" t="s">
        <v>174</v>
      </c>
      <c r="H229" s="160" t="s">
        <v>206</v>
      </c>
      <c r="I229" s="90" t="str">
        <f>VLOOKUP($F229,Admin!$A$16:$E$19,5,FALSE)</f>
        <v>Technikus</v>
      </c>
      <c r="J229" s="160" t="s">
        <v>48</v>
      </c>
      <c r="K229" s="160" t="str">
        <f t="shared" ref="K229" si="731">J229</f>
        <v>2022.09</v>
      </c>
      <c r="L229" s="91" t="s">
        <v>8</v>
      </c>
      <c r="M229" s="92" t="s">
        <v>78</v>
      </c>
      <c r="N229" s="161">
        <v>375000</v>
      </c>
      <c r="O229" s="162">
        <f t="shared" ref="O229" si="732">ROUND(N229*V229,0)</f>
        <v>48750</v>
      </c>
      <c r="P229" s="160">
        <v>130</v>
      </c>
      <c r="Q229" s="236">
        <v>130</v>
      </c>
      <c r="R229" s="229">
        <f t="shared" ref="R229" si="733">Q229/P229</f>
        <v>1</v>
      </c>
      <c r="S229" s="163">
        <f t="shared" ref="S229" si="734">ROUND(N229*Q229/P229,0)</f>
        <v>375000</v>
      </c>
      <c r="T229" s="164">
        <f t="shared" ref="T229" si="735">ROUND(S229*V229,0)</f>
        <v>48750</v>
      </c>
      <c r="U229" s="165">
        <f t="shared" ref="U229" si="736">Q229/P229-S229/N229</f>
        <v>0</v>
      </c>
      <c r="V229" s="87">
        <v>0.13</v>
      </c>
      <c r="W229" s="223"/>
      <c r="X229" s="23">
        <v>44791</v>
      </c>
      <c r="Y229" s="20" t="s">
        <v>197</v>
      </c>
      <c r="Z229" s="20"/>
      <c r="AA229" s="20"/>
      <c r="AB229" s="167"/>
    </row>
    <row r="230" spans="1:36" s="8" customFormat="1" x14ac:dyDescent="0.25">
      <c r="A230" s="207">
        <v>2</v>
      </c>
      <c r="B230" s="92" t="s">
        <v>208</v>
      </c>
      <c r="C230" s="90" t="str">
        <f>VLOOKUP($F230,Admin!$A$16:$E$19,2,FALSE)</f>
        <v>Alkalmazott (ipari) kutatás – Működési költség</v>
      </c>
      <c r="D230" s="160" t="s">
        <v>129</v>
      </c>
      <c r="E230" s="90" t="str">
        <f>VLOOKUP($F230,Admin!$A$16:$E$19,4,FALSE)</f>
        <v>54. Bérköltség - technikus segédszemélyzet</v>
      </c>
      <c r="F230" s="90" t="s">
        <v>173</v>
      </c>
      <c r="G230" s="160" t="s">
        <v>174</v>
      </c>
      <c r="H230" s="160" t="s">
        <v>206</v>
      </c>
      <c r="I230" s="90" t="str">
        <f>VLOOKUP($F230,Admin!$A$16:$E$19,5,FALSE)</f>
        <v>Technikus</v>
      </c>
      <c r="J230" s="160" t="s">
        <v>49</v>
      </c>
      <c r="K230" s="160" t="str">
        <f t="shared" ref="K230:K232" si="737">J230</f>
        <v>2022.10</v>
      </c>
      <c r="L230" s="91" t="s">
        <v>8</v>
      </c>
      <c r="M230" s="92" t="s">
        <v>78</v>
      </c>
      <c r="N230" s="161">
        <v>375000</v>
      </c>
      <c r="O230" s="162">
        <f t="shared" ref="O230" si="738">ROUND(N230*V230,0)</f>
        <v>48750</v>
      </c>
      <c r="P230" s="160">
        <v>130</v>
      </c>
      <c r="Q230" s="236">
        <v>43</v>
      </c>
      <c r="R230" s="229">
        <f t="shared" ref="R230" si="739">Q230/P230</f>
        <v>0.33076923076923076</v>
      </c>
      <c r="S230" s="163">
        <f t="shared" ref="S230" si="740">ROUND(N230*Q230/P230,0)</f>
        <v>124038</v>
      </c>
      <c r="T230" s="164">
        <f t="shared" ref="T230" si="741">ROUND(S230*V230,0)</f>
        <v>16125</v>
      </c>
      <c r="U230" s="165">
        <f t="shared" ref="U230" si="742">Q230/P230-S230/N230</f>
        <v>1.2307692307533813E-6</v>
      </c>
      <c r="V230" s="87">
        <v>0.13</v>
      </c>
      <c r="W230" s="223"/>
      <c r="X230" s="23">
        <v>44832</v>
      </c>
      <c r="Y230" s="20" t="s">
        <v>197</v>
      </c>
      <c r="Z230" s="20"/>
      <c r="AA230" s="20"/>
      <c r="AB230" s="167"/>
      <c r="AF230" s="8">
        <v>168</v>
      </c>
      <c r="AG230" s="8">
        <f t="shared" ref="AG230:AG235" si="743">ROUNDUP(AF230*R230,2)</f>
        <v>55.57</v>
      </c>
      <c r="AH230" s="235">
        <v>44869</v>
      </c>
      <c r="AI230" s="8" t="str">
        <f t="shared" ref="AI230:AI234" si="744">CONCATENATE(J230,".01")</f>
        <v>2022.10.01</v>
      </c>
      <c r="AJ230" s="235">
        <f t="shared" ref="AJ230:AJ234" si="745">EOMONTH(AI230,0)</f>
        <v>44865</v>
      </c>
    </row>
    <row r="231" spans="1:36" s="8" customFormat="1" x14ac:dyDescent="0.25">
      <c r="A231" s="207">
        <v>2</v>
      </c>
      <c r="B231" s="92" t="s">
        <v>208</v>
      </c>
      <c r="C231" s="90" t="str">
        <f>VLOOKUP($F231,Admin!$A$16:$E$19,2,FALSE)</f>
        <v>Alkalmazott (ipari) kutatás – Működési költség</v>
      </c>
      <c r="D231" s="160" t="s">
        <v>129</v>
      </c>
      <c r="E231" s="90" t="str">
        <f>VLOOKUP($F231,Admin!$A$16:$E$19,4,FALSE)</f>
        <v>54. Bérköltség - technikus segédszemélyzet</v>
      </c>
      <c r="F231" s="90" t="s">
        <v>173</v>
      </c>
      <c r="G231" s="160" t="s">
        <v>174</v>
      </c>
      <c r="H231" s="160" t="s">
        <v>206</v>
      </c>
      <c r="I231" s="90" t="str">
        <f>VLOOKUP($F231,Admin!$A$16:$E$19,5,FALSE)</f>
        <v>Technikus</v>
      </c>
      <c r="J231" s="160" t="s">
        <v>50</v>
      </c>
      <c r="K231" s="160" t="str">
        <f t="shared" si="737"/>
        <v>2022.11</v>
      </c>
      <c r="L231" s="91" t="s">
        <v>8</v>
      </c>
      <c r="M231" s="92" t="s">
        <v>78</v>
      </c>
      <c r="N231" s="161">
        <v>374999</v>
      </c>
      <c r="O231" s="162">
        <v>22750</v>
      </c>
      <c r="P231" s="160">
        <v>130</v>
      </c>
      <c r="Q231" s="236">
        <v>87</v>
      </c>
      <c r="R231" s="229">
        <f t="shared" ref="R231" si="746">Q231/P231</f>
        <v>0.66923076923076918</v>
      </c>
      <c r="S231" s="163">
        <f t="shared" ref="S231" si="747">ROUND(N231*Q231/P231,0)</f>
        <v>250961</v>
      </c>
      <c r="T231" s="164">
        <v>15225</v>
      </c>
      <c r="U231" s="165">
        <f t="shared" ref="U231" si="748">Q231/P231-S231/N231</f>
        <v>-3.4871887866216866E-7</v>
      </c>
      <c r="V231" s="87">
        <v>0.13</v>
      </c>
      <c r="W231" s="223" t="s">
        <v>228</v>
      </c>
      <c r="X231" s="23">
        <v>44875</v>
      </c>
      <c r="Y231" s="20" t="s">
        <v>197</v>
      </c>
      <c r="Z231" s="20"/>
      <c r="AA231" s="20"/>
      <c r="AB231" s="167"/>
      <c r="AC231" s="210" t="e">
        <v>#N/A</v>
      </c>
      <c r="AD231" s="210" t="e">
        <v>#N/A</v>
      </c>
      <c r="AE231" s="210" t="e">
        <v>#N/A</v>
      </c>
      <c r="AF231" s="8">
        <v>168</v>
      </c>
      <c r="AG231" s="8">
        <f t="shared" si="743"/>
        <v>112.44000000000001</v>
      </c>
      <c r="AH231" s="235">
        <v>44900</v>
      </c>
      <c r="AI231" s="8" t="str">
        <f t="shared" si="744"/>
        <v>2022.11.01</v>
      </c>
      <c r="AJ231" s="235">
        <f t="shared" si="745"/>
        <v>44895</v>
      </c>
    </row>
    <row r="232" spans="1:36" s="8" customFormat="1" x14ac:dyDescent="0.25">
      <c r="A232" s="207">
        <v>2</v>
      </c>
      <c r="B232" s="92" t="s">
        <v>208</v>
      </c>
      <c r="C232" s="90" t="str">
        <f>VLOOKUP($F232,Admin!$A$16:$E$19,2,FALSE)</f>
        <v>Alkalmazott (ipari) kutatás – Működési költség</v>
      </c>
      <c r="D232" s="160" t="s">
        <v>129</v>
      </c>
      <c r="E232" s="90" t="str">
        <f>VLOOKUP($F232,Admin!$A$16:$E$19,4,FALSE)</f>
        <v>54. Bérköltség - technikus segédszemélyzet</v>
      </c>
      <c r="F232" s="90" t="s">
        <v>173</v>
      </c>
      <c r="G232" s="160" t="s">
        <v>174</v>
      </c>
      <c r="H232" s="160" t="s">
        <v>206</v>
      </c>
      <c r="I232" s="90" t="str">
        <f>VLOOKUP($F232,Admin!$A$16:$E$19,5,FALSE)</f>
        <v>Technikus</v>
      </c>
      <c r="J232" s="160" t="s">
        <v>51</v>
      </c>
      <c r="K232" s="160" t="str">
        <f t="shared" si="737"/>
        <v>2022.12</v>
      </c>
      <c r="L232" s="91" t="s">
        <v>8</v>
      </c>
      <c r="M232" s="92" t="s">
        <v>78</v>
      </c>
      <c r="N232" s="161">
        <v>375000</v>
      </c>
      <c r="O232" s="162">
        <v>23024</v>
      </c>
      <c r="P232" s="160">
        <v>130</v>
      </c>
      <c r="Q232" s="236">
        <v>87</v>
      </c>
      <c r="R232" s="229">
        <f t="shared" ref="R232" si="749">Q232/P232</f>
        <v>0.66923076923076918</v>
      </c>
      <c r="S232" s="163">
        <f t="shared" ref="S232" si="750">ROUND(N232*Q232/P232,0)</f>
        <v>250962</v>
      </c>
      <c r="T232" s="164">
        <f>ROUND(O232*Q232/P232,0)</f>
        <v>15408</v>
      </c>
      <c r="U232" s="165">
        <f t="shared" ref="U232" si="751">Q232/P232-S232/N232</f>
        <v>-1.2307692308644036E-6</v>
      </c>
      <c r="V232" s="87">
        <v>0.13</v>
      </c>
      <c r="W232" s="223" t="s">
        <v>228</v>
      </c>
      <c r="X232" s="23">
        <v>44875</v>
      </c>
      <c r="Y232" s="20" t="s">
        <v>197</v>
      </c>
      <c r="Z232" s="20"/>
      <c r="AA232" s="20"/>
      <c r="AB232" s="167"/>
      <c r="AC232" s="210" t="s">
        <v>246</v>
      </c>
      <c r="AD232" s="210" t="s">
        <v>247</v>
      </c>
      <c r="AE232" s="210" t="s">
        <v>247</v>
      </c>
      <c r="AF232" s="8">
        <v>168</v>
      </c>
      <c r="AG232" s="8">
        <f t="shared" si="743"/>
        <v>112.44000000000001</v>
      </c>
      <c r="AH232" s="235">
        <v>44931</v>
      </c>
      <c r="AI232" s="8" t="str">
        <f t="shared" si="744"/>
        <v>2022.12.01</v>
      </c>
      <c r="AJ232" s="235">
        <f t="shared" si="745"/>
        <v>44926</v>
      </c>
    </row>
    <row r="233" spans="1:36" s="8" customFormat="1" x14ac:dyDescent="0.25">
      <c r="A233" s="207">
        <v>2</v>
      </c>
      <c r="B233" s="92" t="s">
        <v>208</v>
      </c>
      <c r="C233" s="90" t="str">
        <f>VLOOKUP($F233,Admin!$A$16:$E$19,2,FALSE)</f>
        <v>Alkalmazott (ipari) kutatás – Működési költség</v>
      </c>
      <c r="D233" s="160" t="s">
        <v>129</v>
      </c>
      <c r="E233" s="90" t="str">
        <f>VLOOKUP($F233,Admin!$A$16:$E$19,4,FALSE)</f>
        <v>54. Bérköltség - technikus segédszemélyzet</v>
      </c>
      <c r="F233" s="90" t="s">
        <v>173</v>
      </c>
      <c r="G233" s="160" t="s">
        <v>174</v>
      </c>
      <c r="H233" s="160" t="s">
        <v>206</v>
      </c>
      <c r="I233" s="90" t="str">
        <f>VLOOKUP($F233,Admin!$A$16:$E$19,5,FALSE)</f>
        <v>Technikus</v>
      </c>
      <c r="J233" s="160" t="s">
        <v>64</v>
      </c>
      <c r="K233" s="160" t="str">
        <f t="shared" ref="K233:K234" si="752">J233</f>
        <v>2023.01</v>
      </c>
      <c r="L233" s="91" t="s">
        <v>8</v>
      </c>
      <c r="M233" s="92" t="s">
        <v>78</v>
      </c>
      <c r="N233" s="161">
        <v>550000</v>
      </c>
      <c r="O233" s="162">
        <v>41340</v>
      </c>
      <c r="P233" s="160">
        <v>174</v>
      </c>
      <c r="Q233" s="236">
        <v>95</v>
      </c>
      <c r="R233" s="229">
        <f t="shared" ref="R233" si="753">Q233/P233</f>
        <v>0.54597701149425293</v>
      </c>
      <c r="S233" s="163">
        <f t="shared" ref="S233" si="754">ROUND(N233*Q233/P233,0)</f>
        <v>300287</v>
      </c>
      <c r="T233" s="164">
        <v>22571</v>
      </c>
      <c r="U233" s="165">
        <f t="shared" ref="U233" si="755">Q233/P233-S233/N233</f>
        <v>6.4785788933541255E-7</v>
      </c>
      <c r="V233" s="87">
        <v>0.13</v>
      </c>
      <c r="W233" s="223" t="s">
        <v>228</v>
      </c>
      <c r="X233" s="23">
        <v>44936</v>
      </c>
      <c r="Y233" s="20" t="s">
        <v>197</v>
      </c>
      <c r="Z233" s="20"/>
      <c r="AA233" s="20"/>
      <c r="AB233" s="167"/>
      <c r="AC233" s="210" t="s">
        <v>246</v>
      </c>
      <c r="AD233" s="210">
        <v>0</v>
      </c>
      <c r="AE233" s="210">
        <v>0</v>
      </c>
      <c r="AF233" s="8">
        <v>176</v>
      </c>
      <c r="AG233" s="8">
        <f t="shared" si="743"/>
        <v>96.100000000000009</v>
      </c>
      <c r="AH233" s="235">
        <v>44960</v>
      </c>
      <c r="AI233" s="8" t="str">
        <f t="shared" si="744"/>
        <v>2023.01.01</v>
      </c>
      <c r="AJ233" s="235">
        <f t="shared" si="745"/>
        <v>44957</v>
      </c>
    </row>
    <row r="234" spans="1:36" s="8" customFormat="1" x14ac:dyDescent="0.25">
      <c r="A234" s="207">
        <v>2</v>
      </c>
      <c r="B234" s="92" t="s">
        <v>208</v>
      </c>
      <c r="C234" s="90" t="str">
        <f>VLOOKUP($F234,Admin!$A$16:$E$19,2,FALSE)</f>
        <v>Alkalmazott (ipari) kutatás – Működési költség</v>
      </c>
      <c r="D234" s="160" t="s">
        <v>129</v>
      </c>
      <c r="E234" s="90" t="str">
        <f>VLOOKUP($F234,Admin!$A$16:$E$19,4,FALSE)</f>
        <v>54. Bérköltség - technikus segédszemélyzet</v>
      </c>
      <c r="F234" s="90" t="s">
        <v>173</v>
      </c>
      <c r="G234" s="160" t="s">
        <v>174</v>
      </c>
      <c r="H234" s="160" t="s">
        <v>206</v>
      </c>
      <c r="I234" s="90" t="str">
        <f>VLOOKUP($F234,Admin!$A$16:$E$19,5,FALSE)</f>
        <v>Technikus</v>
      </c>
      <c r="J234" s="160" t="s">
        <v>65</v>
      </c>
      <c r="K234" s="160" t="str">
        <f t="shared" si="752"/>
        <v>2023.02</v>
      </c>
      <c r="L234" s="91" t="s">
        <v>8</v>
      </c>
      <c r="M234" s="92" t="s">
        <v>78</v>
      </c>
      <c r="N234" s="161">
        <v>550000</v>
      </c>
      <c r="O234" s="162">
        <v>41340</v>
      </c>
      <c r="P234" s="160">
        <v>174</v>
      </c>
      <c r="Q234" s="236">
        <v>95</v>
      </c>
      <c r="R234" s="229">
        <f t="shared" ref="R234" si="756">Q234/P234</f>
        <v>0.54597701149425293</v>
      </c>
      <c r="S234" s="163">
        <f t="shared" ref="S234" si="757">ROUND(N234*Q234/P234,0)</f>
        <v>300287</v>
      </c>
      <c r="T234" s="164">
        <f t="shared" ref="T234" si="758">ROUND(S234*V234,0)</f>
        <v>39037</v>
      </c>
      <c r="U234" s="165">
        <f t="shared" ref="U234" si="759">Q234/P234-S234/N234</f>
        <v>6.4785788933541255E-7</v>
      </c>
      <c r="V234" s="87">
        <v>0.13</v>
      </c>
      <c r="W234" s="223" t="s">
        <v>228</v>
      </c>
      <c r="X234" s="23">
        <v>44936</v>
      </c>
      <c r="Y234" s="20" t="s">
        <v>197</v>
      </c>
      <c r="Z234" s="20"/>
      <c r="AA234" s="20"/>
      <c r="AB234" s="167"/>
      <c r="AC234" s="8" t="e">
        <v>#N/A</v>
      </c>
      <c r="AD234" s="8" t="e">
        <v>#N/A</v>
      </c>
      <c r="AE234" s="8" t="e">
        <v>#N/A</v>
      </c>
      <c r="AF234" s="8">
        <v>160</v>
      </c>
      <c r="AG234" s="8">
        <f t="shared" si="743"/>
        <v>87.36</v>
      </c>
      <c r="AH234" s="235">
        <v>44988</v>
      </c>
      <c r="AI234" s="8" t="str">
        <f t="shared" si="744"/>
        <v>2023.02.01</v>
      </c>
      <c r="AJ234" s="235">
        <f t="shared" si="745"/>
        <v>44985</v>
      </c>
    </row>
    <row r="235" spans="1:36" s="8" customFormat="1" x14ac:dyDescent="0.25">
      <c r="A235" s="207">
        <v>2</v>
      </c>
      <c r="B235" s="92" t="s">
        <v>208</v>
      </c>
      <c r="C235" s="90" t="str">
        <f>VLOOKUP($F235,Admin!$A$16:$E$19,2,FALSE)</f>
        <v>Alkalmazott (ipari) kutatás – Működési költség</v>
      </c>
      <c r="D235" s="160" t="s">
        <v>129</v>
      </c>
      <c r="E235" s="90" t="str">
        <f>VLOOKUP($F235,Admin!$A$16:$E$19,4,FALSE)</f>
        <v>54. Bérköltség - technikus segédszemélyzet</v>
      </c>
      <c r="F235" s="90" t="s">
        <v>173</v>
      </c>
      <c r="G235" s="160" t="s">
        <v>174</v>
      </c>
      <c r="H235" s="160" t="s">
        <v>206</v>
      </c>
      <c r="I235" s="90" t="s">
        <v>90</v>
      </c>
      <c r="J235" s="193">
        <v>44986</v>
      </c>
      <c r="K235" s="193">
        <v>45007</v>
      </c>
      <c r="L235" s="91" t="s">
        <v>8</v>
      </c>
      <c r="M235" s="92" t="s">
        <v>78</v>
      </c>
      <c r="N235" s="161">
        <v>375000</v>
      </c>
      <c r="O235" s="162">
        <v>18590</v>
      </c>
      <c r="P235" s="160">
        <v>174</v>
      </c>
      <c r="Q235" s="236">
        <v>95</v>
      </c>
      <c r="R235" s="229">
        <f t="shared" ref="R235" si="760">Q235/P235</f>
        <v>0.54597701149425293</v>
      </c>
      <c r="S235" s="163">
        <f t="shared" ref="S235" si="761">ROUND(N235*Q235/P235,0)</f>
        <v>204741</v>
      </c>
      <c r="T235" s="164">
        <v>10150</v>
      </c>
      <c r="U235" s="165">
        <f t="shared" ref="U235" si="762">Q235/P235-S235/N235</f>
        <v>1.0114942529115822E-6</v>
      </c>
      <c r="V235" s="87">
        <v>0.13</v>
      </c>
      <c r="W235" s="223" t="s">
        <v>228</v>
      </c>
      <c r="X235" s="23">
        <v>44977</v>
      </c>
      <c r="Y235" s="20" t="s">
        <v>197</v>
      </c>
      <c r="Z235" s="20"/>
      <c r="AA235" s="20"/>
      <c r="AB235" s="167"/>
      <c r="AC235" s="8" t="e">
        <v>#N/A</v>
      </c>
      <c r="AD235" s="8" t="e">
        <v>#N/A</v>
      </c>
      <c r="AE235" s="8" t="e">
        <v>#N/A</v>
      </c>
      <c r="AF235" s="8">
        <v>120</v>
      </c>
      <c r="AG235" s="8">
        <f t="shared" si="743"/>
        <v>65.52000000000001</v>
      </c>
      <c r="AH235" s="235">
        <v>45021</v>
      </c>
      <c r="AI235" s="235">
        <f>J235</f>
        <v>44986</v>
      </c>
      <c r="AJ235" s="235">
        <f>K235</f>
        <v>45007</v>
      </c>
    </row>
    <row r="236" spans="1:36" s="8" customFormat="1" x14ac:dyDescent="0.25">
      <c r="A236" s="207">
        <v>1</v>
      </c>
      <c r="B236" s="92" t="s">
        <v>199</v>
      </c>
      <c r="C236" s="90" t="str">
        <f>VLOOKUP($F236,Admin!$A$16:$E$19,2,FALSE)</f>
        <v>Alkalmazott (ipari) kutatás – Működési költség</v>
      </c>
      <c r="D236" s="160" t="s">
        <v>129</v>
      </c>
      <c r="E236" s="90" t="str">
        <f>VLOOKUP($F236,Admin!$A$16:$E$19,4,FALSE)</f>
        <v>54. Bérköltség - technikus segédszemélyzet</v>
      </c>
      <c r="F236" s="90" t="s">
        <v>173</v>
      </c>
      <c r="G236" s="160" t="s">
        <v>174</v>
      </c>
      <c r="H236" s="160" t="s">
        <v>196</v>
      </c>
      <c r="I236" s="90" t="str">
        <f>VLOOKUP($F236,Admin!$A$16:$E$19,5,FALSE)</f>
        <v>Technikus</v>
      </c>
      <c r="J236" s="160" t="s">
        <v>43</v>
      </c>
      <c r="K236" s="160" t="str">
        <f t="shared" si="267"/>
        <v>2022.04</v>
      </c>
      <c r="L236" s="91" t="s">
        <v>8</v>
      </c>
      <c r="M236" s="92" t="s">
        <v>78</v>
      </c>
      <c r="N236" s="161">
        <v>175999</v>
      </c>
      <c r="O236" s="162">
        <f t="shared" ref="O236" si="763">ROUND(N236*V236,0)</f>
        <v>22880</v>
      </c>
      <c r="P236" s="160">
        <v>87</v>
      </c>
      <c r="Q236" s="236">
        <v>47</v>
      </c>
      <c r="R236" s="229">
        <f t="shared" ref="R236" si="764">Q236/P236</f>
        <v>0.54022988505747127</v>
      </c>
      <c r="S236" s="163">
        <f t="shared" ref="S236" si="765">ROUND(N236*Q236/P236,0)</f>
        <v>95080</v>
      </c>
      <c r="T236" s="164">
        <f t="shared" ref="T236" si="766">ROUND(S236*V236,0)</f>
        <v>12360</v>
      </c>
      <c r="U236" s="165">
        <f t="shared" ref="U236" si="767">Q236/P236-S236/N236</f>
        <v>-4.5716038221677024E-7</v>
      </c>
      <c r="V236" s="87">
        <v>0.13</v>
      </c>
      <c r="W236" s="223"/>
      <c r="X236" s="23">
        <v>44641</v>
      </c>
      <c r="Y236" s="20" t="s">
        <v>197</v>
      </c>
      <c r="Z236" s="20"/>
      <c r="AA236" s="20"/>
      <c r="AB236" s="167"/>
    </row>
    <row r="237" spans="1:36" s="8" customFormat="1" x14ac:dyDescent="0.25">
      <c r="A237" s="207">
        <v>1</v>
      </c>
      <c r="B237" s="92" t="s">
        <v>199</v>
      </c>
      <c r="C237" s="90" t="str">
        <f>VLOOKUP($F237,Admin!$A$16:$E$19,2,FALSE)</f>
        <v>Alkalmazott (ipari) kutatás – Működési költség</v>
      </c>
      <c r="D237" s="160" t="s">
        <v>129</v>
      </c>
      <c r="E237" s="90" t="str">
        <f>VLOOKUP($F237,Admin!$A$16:$E$19,4,FALSE)</f>
        <v>54. Bérköltség - technikus segédszemélyzet</v>
      </c>
      <c r="F237" s="90" t="s">
        <v>173</v>
      </c>
      <c r="G237" s="160" t="s">
        <v>174</v>
      </c>
      <c r="H237" s="160" t="s">
        <v>196</v>
      </c>
      <c r="I237" s="90" t="str">
        <f>VLOOKUP($F237,Admin!$A$16:$E$19,5,FALSE)</f>
        <v>Technikus</v>
      </c>
      <c r="J237" s="160" t="s">
        <v>44</v>
      </c>
      <c r="K237" s="160" t="str">
        <f t="shared" si="267"/>
        <v>2022.05</v>
      </c>
      <c r="L237" s="91" t="s">
        <v>8</v>
      </c>
      <c r="M237" s="92" t="s">
        <v>78</v>
      </c>
      <c r="N237" s="161">
        <v>176000</v>
      </c>
      <c r="O237" s="162">
        <f t="shared" ref="O237:O240" si="768">ROUND(N237*V237,0)</f>
        <v>22880</v>
      </c>
      <c r="P237" s="160">
        <v>87</v>
      </c>
      <c r="Q237" s="236">
        <v>47</v>
      </c>
      <c r="R237" s="229">
        <f t="shared" ref="R237:R240" si="769">Q237/P237</f>
        <v>0.54022988505747127</v>
      </c>
      <c r="S237" s="163">
        <f t="shared" ref="S237:S240" si="770">ROUND(N237*Q237/P237,0)</f>
        <v>95080</v>
      </c>
      <c r="T237" s="164">
        <f t="shared" ref="T237:T240" si="771">ROUND(S237*V237,0)</f>
        <v>12360</v>
      </c>
      <c r="U237" s="165">
        <f t="shared" ref="U237:U240" si="772">Q237/P237-S237/N237</f>
        <v>2.6123301984926073E-6</v>
      </c>
      <c r="V237" s="87">
        <v>0.13</v>
      </c>
      <c r="W237" s="223"/>
      <c r="X237" s="23">
        <v>44641</v>
      </c>
      <c r="Y237" s="20" t="s">
        <v>197</v>
      </c>
      <c r="Z237" s="20"/>
      <c r="AA237" s="20"/>
      <c r="AB237" s="167"/>
    </row>
    <row r="238" spans="1:36" s="8" customFormat="1" x14ac:dyDescent="0.25">
      <c r="A238" s="207">
        <v>1</v>
      </c>
      <c r="B238" s="92" t="s">
        <v>199</v>
      </c>
      <c r="C238" s="90" t="str">
        <f>VLOOKUP($F238,Admin!$A$16:$E$19,2,FALSE)</f>
        <v>Alkalmazott (ipari) kutatás – Működési költség</v>
      </c>
      <c r="D238" s="160" t="s">
        <v>129</v>
      </c>
      <c r="E238" s="90" t="str">
        <f>VLOOKUP($F238,Admin!$A$16:$E$19,4,FALSE)</f>
        <v>54. Bérköltség - technikus segédszemélyzet</v>
      </c>
      <c r="F238" s="90" t="s">
        <v>173</v>
      </c>
      <c r="G238" s="160" t="s">
        <v>174</v>
      </c>
      <c r="H238" s="160" t="s">
        <v>196</v>
      </c>
      <c r="I238" s="90" t="str">
        <f>VLOOKUP($F238,Admin!$A$16:$E$19,5,FALSE)</f>
        <v>Technikus</v>
      </c>
      <c r="J238" s="160" t="s">
        <v>45</v>
      </c>
      <c r="K238" s="160" t="str">
        <f t="shared" si="267"/>
        <v>2022.06</v>
      </c>
      <c r="L238" s="91" t="s">
        <v>8</v>
      </c>
      <c r="M238" s="92" t="s">
        <v>78</v>
      </c>
      <c r="N238" s="161">
        <v>176000</v>
      </c>
      <c r="O238" s="162">
        <f t="shared" si="768"/>
        <v>22880</v>
      </c>
      <c r="P238" s="160">
        <v>87</v>
      </c>
      <c r="Q238" s="236">
        <v>47</v>
      </c>
      <c r="R238" s="229">
        <f t="shared" si="769"/>
        <v>0.54022988505747127</v>
      </c>
      <c r="S238" s="163">
        <f t="shared" si="770"/>
        <v>95080</v>
      </c>
      <c r="T238" s="164">
        <f t="shared" si="771"/>
        <v>12360</v>
      </c>
      <c r="U238" s="165">
        <f t="shared" si="772"/>
        <v>2.6123301984926073E-6</v>
      </c>
      <c r="V238" s="87">
        <v>0.13</v>
      </c>
      <c r="W238" s="223"/>
      <c r="X238" s="23">
        <v>44641</v>
      </c>
      <c r="Y238" s="20" t="s">
        <v>197</v>
      </c>
      <c r="Z238" s="20"/>
      <c r="AA238" s="20"/>
      <c r="AB238" s="167"/>
    </row>
    <row r="239" spans="1:36" s="8" customFormat="1" x14ac:dyDescent="0.25">
      <c r="A239" s="207">
        <v>1</v>
      </c>
      <c r="B239" s="92" t="s">
        <v>199</v>
      </c>
      <c r="C239" s="90" t="str">
        <f>VLOOKUP($F239,Admin!$A$16:$E$19,2,FALSE)</f>
        <v>Alkalmazott (ipari) kutatás – Működési költség</v>
      </c>
      <c r="D239" s="160" t="s">
        <v>129</v>
      </c>
      <c r="E239" s="90" t="str">
        <f>VLOOKUP($F239,Admin!$A$16:$E$19,4,FALSE)</f>
        <v>54. Bérköltség - technikus segédszemélyzet</v>
      </c>
      <c r="F239" s="90" t="s">
        <v>173</v>
      </c>
      <c r="G239" s="160" t="s">
        <v>174</v>
      </c>
      <c r="H239" s="160" t="s">
        <v>196</v>
      </c>
      <c r="I239" s="90" t="str">
        <f>VLOOKUP($F239,Admin!$A$16:$E$19,5,FALSE)</f>
        <v>Technikus</v>
      </c>
      <c r="J239" s="160" t="s">
        <v>46</v>
      </c>
      <c r="K239" s="160" t="str">
        <f t="shared" si="267"/>
        <v>2022.07</v>
      </c>
      <c r="L239" s="91" t="s">
        <v>8</v>
      </c>
      <c r="M239" s="92" t="s">
        <v>78</v>
      </c>
      <c r="N239" s="161">
        <v>176000</v>
      </c>
      <c r="O239" s="162">
        <f t="shared" si="768"/>
        <v>22880</v>
      </c>
      <c r="P239" s="160">
        <v>87</v>
      </c>
      <c r="Q239" s="236">
        <v>47</v>
      </c>
      <c r="R239" s="229">
        <f t="shared" si="769"/>
        <v>0.54022988505747127</v>
      </c>
      <c r="S239" s="163">
        <f t="shared" si="770"/>
        <v>95080</v>
      </c>
      <c r="T239" s="164">
        <f t="shared" si="771"/>
        <v>12360</v>
      </c>
      <c r="U239" s="165">
        <f t="shared" si="772"/>
        <v>2.6123301984926073E-6</v>
      </c>
      <c r="V239" s="87">
        <v>0.13</v>
      </c>
      <c r="W239" s="223"/>
      <c r="X239" s="23">
        <v>44641</v>
      </c>
      <c r="Y239" s="20" t="s">
        <v>197</v>
      </c>
      <c r="Z239" s="20"/>
      <c r="AA239" s="20"/>
      <c r="AB239" s="167"/>
    </row>
    <row r="240" spans="1:36" s="8" customFormat="1" x14ac:dyDescent="0.25">
      <c r="A240" s="207">
        <v>1</v>
      </c>
      <c r="B240" s="92" t="s">
        <v>199</v>
      </c>
      <c r="C240" s="90" t="str">
        <f>VLOOKUP($F240,Admin!$A$16:$E$19,2,FALSE)</f>
        <v>Alkalmazott (ipari) kutatás – Működési költség</v>
      </c>
      <c r="D240" s="160" t="s">
        <v>129</v>
      </c>
      <c r="E240" s="90" t="str">
        <f>VLOOKUP($F240,Admin!$A$16:$E$19,4,FALSE)</f>
        <v>54. Bérköltség - technikus segédszemélyzet</v>
      </c>
      <c r="F240" s="90" t="s">
        <v>173</v>
      </c>
      <c r="G240" s="160" t="s">
        <v>174</v>
      </c>
      <c r="H240" s="160" t="s">
        <v>196</v>
      </c>
      <c r="I240" s="90" t="str">
        <f>VLOOKUP($F240,Admin!$A$16:$E$19,5,FALSE)</f>
        <v>Technikus</v>
      </c>
      <c r="J240" s="160" t="s">
        <v>47</v>
      </c>
      <c r="K240" s="160" t="str">
        <f t="shared" si="267"/>
        <v>2022.08</v>
      </c>
      <c r="L240" s="91" t="s">
        <v>8</v>
      </c>
      <c r="M240" s="92" t="s">
        <v>78</v>
      </c>
      <c r="N240" s="161">
        <v>137738</v>
      </c>
      <c r="O240" s="162">
        <f t="shared" si="768"/>
        <v>17906</v>
      </c>
      <c r="P240" s="160">
        <v>87</v>
      </c>
      <c r="Q240" s="236">
        <v>47</v>
      </c>
      <c r="R240" s="229">
        <f t="shared" si="769"/>
        <v>0.54022988505747127</v>
      </c>
      <c r="S240" s="163">
        <f t="shared" si="770"/>
        <v>74410</v>
      </c>
      <c r="T240" s="164">
        <f t="shared" si="771"/>
        <v>9673</v>
      </c>
      <c r="U240" s="165">
        <f t="shared" si="772"/>
        <v>1.3352019484491606E-6</v>
      </c>
      <c r="V240" s="87">
        <v>0.13</v>
      </c>
      <c r="W240" s="223"/>
      <c r="X240" s="23">
        <v>44641</v>
      </c>
      <c r="Y240" s="20" t="s">
        <v>197</v>
      </c>
      <c r="Z240" s="20"/>
      <c r="AA240" s="20"/>
      <c r="AB240" s="167"/>
    </row>
    <row r="241" spans="1:36" s="8" customFormat="1" x14ac:dyDescent="0.25">
      <c r="A241" s="207">
        <v>1</v>
      </c>
      <c r="B241" s="92" t="s">
        <v>199</v>
      </c>
      <c r="C241" s="90" t="str">
        <f>VLOOKUP($F241,Admin!$A$16:$E$19,2,FALSE)</f>
        <v>Alkalmazott (ipari) kutatás – Működési költség</v>
      </c>
      <c r="D241" s="160" t="s">
        <v>129</v>
      </c>
      <c r="E241" s="90" t="str">
        <f>VLOOKUP($F241,Admin!$A$16:$E$19,4,FALSE)</f>
        <v>54. Bérköltség - technikus segédszemélyzet</v>
      </c>
      <c r="F241" s="90" t="s">
        <v>173</v>
      </c>
      <c r="G241" s="160" t="s">
        <v>174</v>
      </c>
      <c r="H241" s="160" t="s">
        <v>196</v>
      </c>
      <c r="I241" s="90" t="str">
        <f>VLOOKUP($F241,Admin!$A$16:$E$19,5,FALSE)</f>
        <v>Technikus</v>
      </c>
      <c r="J241" s="160" t="s">
        <v>48</v>
      </c>
      <c r="K241" s="160" t="str">
        <f t="shared" ref="K241:K244" si="773">J241</f>
        <v>2022.09</v>
      </c>
      <c r="L241" s="91" t="s">
        <v>8</v>
      </c>
      <c r="M241" s="92" t="s">
        <v>78</v>
      </c>
      <c r="N241" s="161">
        <v>176000</v>
      </c>
      <c r="O241" s="162">
        <f t="shared" ref="O241" si="774">ROUND(N241*V241,0)</f>
        <v>22880</v>
      </c>
      <c r="P241" s="160">
        <v>87</v>
      </c>
      <c r="Q241" s="236">
        <v>47</v>
      </c>
      <c r="R241" s="229">
        <f t="shared" ref="R241" si="775">Q241/P241</f>
        <v>0.54022988505747127</v>
      </c>
      <c r="S241" s="163">
        <f t="shared" ref="S241" si="776">ROUND(N241*Q241/P241,0)</f>
        <v>95080</v>
      </c>
      <c r="T241" s="164">
        <f t="shared" ref="T241" si="777">ROUND(S241*V241,0)</f>
        <v>12360</v>
      </c>
      <c r="U241" s="165">
        <f t="shared" ref="U241" si="778">Q241/P241-S241/N241</f>
        <v>2.6123301984926073E-6</v>
      </c>
      <c r="V241" s="87">
        <v>0.13</v>
      </c>
      <c r="W241" s="223"/>
      <c r="X241" s="23">
        <v>44799</v>
      </c>
      <c r="Y241" s="20" t="s">
        <v>197</v>
      </c>
      <c r="Z241" s="20"/>
      <c r="AA241" s="20"/>
      <c r="AB241" s="167"/>
    </row>
    <row r="242" spans="1:36" s="8" customFormat="1" x14ac:dyDescent="0.25">
      <c r="A242" s="207">
        <v>2</v>
      </c>
      <c r="B242" s="92" t="s">
        <v>199</v>
      </c>
      <c r="C242" s="90" t="str">
        <f>VLOOKUP($F242,Admin!$A$16:$E$19,2,FALSE)</f>
        <v>Alkalmazott (ipari) kutatás – Működési költség</v>
      </c>
      <c r="D242" s="160" t="s">
        <v>129</v>
      </c>
      <c r="E242" s="90" t="str">
        <f>VLOOKUP($F242,Admin!$A$16:$E$19,4,FALSE)</f>
        <v>54. Bérköltség - technikus segédszemélyzet</v>
      </c>
      <c r="F242" s="90" t="s">
        <v>173</v>
      </c>
      <c r="G242" s="160" t="s">
        <v>174</v>
      </c>
      <c r="H242" s="160" t="s">
        <v>196</v>
      </c>
      <c r="I242" s="90" t="str">
        <f>VLOOKUP($F242,Admin!$A$16:$E$19,5,FALSE)</f>
        <v>Technikus</v>
      </c>
      <c r="J242" s="160" t="s">
        <v>49</v>
      </c>
      <c r="K242" s="160" t="str">
        <f t="shared" si="773"/>
        <v>2022.10</v>
      </c>
      <c r="L242" s="91" t="s">
        <v>8</v>
      </c>
      <c r="M242" s="92" t="s">
        <v>78</v>
      </c>
      <c r="N242" s="161">
        <v>176000</v>
      </c>
      <c r="O242" s="162">
        <f t="shared" ref="O242:O244" si="779">ROUND(N242*V242,0)</f>
        <v>22880</v>
      </c>
      <c r="P242" s="160">
        <v>87</v>
      </c>
      <c r="Q242" s="236">
        <v>47</v>
      </c>
      <c r="R242" s="229">
        <f t="shared" ref="R242:R244" si="780">Q242/P242</f>
        <v>0.54022988505747127</v>
      </c>
      <c r="S242" s="163">
        <f t="shared" ref="S242:S244" si="781">ROUND(N242*Q242/P242,0)</f>
        <v>95080</v>
      </c>
      <c r="T242" s="164">
        <f t="shared" ref="T242:T244" si="782">ROUND(S242*V242,0)</f>
        <v>12360</v>
      </c>
      <c r="U242" s="165">
        <f t="shared" ref="U242:U244" si="783">Q242/P242-S242/N242</f>
        <v>2.6123301984926073E-6</v>
      </c>
      <c r="V242" s="87">
        <v>0.13</v>
      </c>
      <c r="W242" s="223"/>
      <c r="X242" s="23">
        <v>44799</v>
      </c>
      <c r="Y242" s="20" t="s">
        <v>197</v>
      </c>
      <c r="Z242" s="20"/>
      <c r="AA242" s="20"/>
      <c r="AB242" s="167"/>
      <c r="AF242" s="8">
        <v>168</v>
      </c>
      <c r="AG242" s="8">
        <f t="shared" ref="AG242:AG257" si="784">ROUNDUP(AF242*R242,2)</f>
        <v>90.76</v>
      </c>
      <c r="AH242" s="235">
        <v>44869</v>
      </c>
      <c r="AI242" s="8" t="str">
        <f t="shared" ref="AI242:AI257" si="785">CONCATENATE(J242,".01")</f>
        <v>2022.10.01</v>
      </c>
      <c r="AJ242" s="235">
        <f t="shared" ref="AJ242:AJ257" si="786">EOMONTH(AI242,0)</f>
        <v>44865</v>
      </c>
    </row>
    <row r="243" spans="1:36" s="8" customFormat="1" x14ac:dyDescent="0.25">
      <c r="A243" s="207">
        <v>2</v>
      </c>
      <c r="B243" s="92" t="s">
        <v>199</v>
      </c>
      <c r="C243" s="90" t="str">
        <f>VLOOKUP($F243,Admin!$A$16:$E$19,2,FALSE)</f>
        <v>Alkalmazott (ipari) kutatás – Működési költség</v>
      </c>
      <c r="D243" s="160" t="s">
        <v>129</v>
      </c>
      <c r="E243" s="90" t="str">
        <f>VLOOKUP($F243,Admin!$A$16:$E$19,4,FALSE)</f>
        <v>54. Bérköltség - technikus segédszemélyzet</v>
      </c>
      <c r="F243" s="90" t="s">
        <v>173</v>
      </c>
      <c r="G243" s="160" t="s">
        <v>174</v>
      </c>
      <c r="H243" s="160" t="s">
        <v>196</v>
      </c>
      <c r="I243" s="90" t="str">
        <f>VLOOKUP($F243,Admin!$A$16:$E$19,5,FALSE)</f>
        <v>Technikus</v>
      </c>
      <c r="J243" s="160" t="s">
        <v>50</v>
      </c>
      <c r="K243" s="160" t="str">
        <f t="shared" si="773"/>
        <v>2022.11</v>
      </c>
      <c r="L243" s="91" t="s">
        <v>8</v>
      </c>
      <c r="M243" s="92" t="s">
        <v>78</v>
      </c>
      <c r="N243" s="161">
        <v>176000</v>
      </c>
      <c r="O243" s="162">
        <f t="shared" si="779"/>
        <v>22880</v>
      </c>
      <c r="P243" s="160">
        <v>87</v>
      </c>
      <c r="Q243" s="236">
        <v>47</v>
      </c>
      <c r="R243" s="229">
        <f t="shared" si="780"/>
        <v>0.54022988505747127</v>
      </c>
      <c r="S243" s="163">
        <f t="shared" si="781"/>
        <v>95080</v>
      </c>
      <c r="T243" s="164">
        <f t="shared" si="782"/>
        <v>12360</v>
      </c>
      <c r="U243" s="165">
        <f t="shared" si="783"/>
        <v>2.6123301984926073E-6</v>
      </c>
      <c r="V243" s="87">
        <v>0.13</v>
      </c>
      <c r="W243" s="223" t="s">
        <v>229</v>
      </c>
      <c r="X243" s="23">
        <v>44799</v>
      </c>
      <c r="Y243" s="20" t="s">
        <v>197</v>
      </c>
      <c r="Z243" s="20"/>
      <c r="AA243" s="20"/>
      <c r="AB243" s="167"/>
      <c r="AC243" s="210" t="e">
        <v>#N/A</v>
      </c>
      <c r="AD243" s="210" t="e">
        <v>#N/A</v>
      </c>
      <c r="AE243" s="211" t="e">
        <v>#N/A</v>
      </c>
      <c r="AF243" s="8">
        <v>168</v>
      </c>
      <c r="AG243" s="8">
        <f t="shared" si="784"/>
        <v>90.76</v>
      </c>
      <c r="AH243" s="235">
        <v>44900</v>
      </c>
      <c r="AI243" s="8" t="str">
        <f t="shared" si="785"/>
        <v>2022.11.01</v>
      </c>
      <c r="AJ243" s="235">
        <f t="shared" si="786"/>
        <v>44895</v>
      </c>
    </row>
    <row r="244" spans="1:36" s="8" customFormat="1" x14ac:dyDescent="0.25">
      <c r="A244" s="207">
        <v>2</v>
      </c>
      <c r="B244" s="92" t="s">
        <v>199</v>
      </c>
      <c r="C244" s="90" t="str">
        <f>VLOOKUP($F244,Admin!$A$16:$E$19,2,FALSE)</f>
        <v>Alkalmazott (ipari) kutatás – Működési költség</v>
      </c>
      <c r="D244" s="160" t="s">
        <v>129</v>
      </c>
      <c r="E244" s="90" t="str">
        <f>VLOOKUP($F244,Admin!$A$16:$E$19,4,FALSE)</f>
        <v>54. Bérköltség - technikus segédszemélyzet</v>
      </c>
      <c r="F244" s="90" t="s">
        <v>173</v>
      </c>
      <c r="G244" s="160" t="s">
        <v>174</v>
      </c>
      <c r="H244" s="160" t="s">
        <v>196</v>
      </c>
      <c r="I244" s="90" t="str">
        <f>VLOOKUP($F244,Admin!$A$16:$E$19,5,FALSE)</f>
        <v>Technikus</v>
      </c>
      <c r="J244" s="160" t="s">
        <v>51</v>
      </c>
      <c r="K244" s="160" t="str">
        <f t="shared" si="773"/>
        <v>2022.12</v>
      </c>
      <c r="L244" s="91" t="s">
        <v>8</v>
      </c>
      <c r="M244" s="92" t="s">
        <v>78</v>
      </c>
      <c r="N244" s="161">
        <v>176000</v>
      </c>
      <c r="O244" s="162">
        <f t="shared" si="779"/>
        <v>22880</v>
      </c>
      <c r="P244" s="160">
        <v>87</v>
      </c>
      <c r="Q244" s="236">
        <v>47</v>
      </c>
      <c r="R244" s="229">
        <f t="shared" si="780"/>
        <v>0.54022988505747127</v>
      </c>
      <c r="S244" s="163">
        <f t="shared" si="781"/>
        <v>95080</v>
      </c>
      <c r="T244" s="164">
        <f t="shared" si="782"/>
        <v>12360</v>
      </c>
      <c r="U244" s="165">
        <f t="shared" si="783"/>
        <v>2.6123301984926073E-6</v>
      </c>
      <c r="V244" s="87">
        <v>0.13</v>
      </c>
      <c r="W244" s="223" t="s">
        <v>229</v>
      </c>
      <c r="X244" s="23">
        <v>44799</v>
      </c>
      <c r="Y244" s="20" t="s">
        <v>197</v>
      </c>
      <c r="Z244" s="20"/>
      <c r="AA244" s="20"/>
      <c r="AB244" s="167"/>
      <c r="AC244" s="210" t="s">
        <v>246</v>
      </c>
      <c r="AD244" s="218" t="s">
        <v>247</v>
      </c>
      <c r="AE244" s="210" t="s">
        <v>247</v>
      </c>
      <c r="AF244" s="8">
        <v>168</v>
      </c>
      <c r="AG244" s="8">
        <f t="shared" si="784"/>
        <v>90.76</v>
      </c>
      <c r="AH244" s="235">
        <v>44931</v>
      </c>
      <c r="AI244" s="8" t="str">
        <f t="shared" si="785"/>
        <v>2022.12.01</v>
      </c>
      <c r="AJ244" s="235">
        <f t="shared" si="786"/>
        <v>44926</v>
      </c>
    </row>
    <row r="245" spans="1:36" s="8" customFormat="1" x14ac:dyDescent="0.25">
      <c r="A245" s="207">
        <v>2</v>
      </c>
      <c r="B245" s="92" t="s">
        <v>199</v>
      </c>
      <c r="C245" s="90" t="str">
        <f>VLOOKUP($F245,Admin!$A$16:$E$19,2,FALSE)</f>
        <v>Alkalmazott (ipari) kutatás – Működési költség</v>
      </c>
      <c r="D245" s="160" t="s">
        <v>129</v>
      </c>
      <c r="E245" s="90" t="str">
        <f>VLOOKUP($F245,Admin!$A$16:$E$19,4,FALSE)</f>
        <v>54. Bérköltség - technikus segédszemélyzet</v>
      </c>
      <c r="F245" s="90" t="s">
        <v>173</v>
      </c>
      <c r="G245" s="160" t="s">
        <v>174</v>
      </c>
      <c r="H245" s="160" t="s">
        <v>196</v>
      </c>
      <c r="I245" s="90" t="str">
        <f>VLOOKUP($F245,Admin!$A$16:$E$19,5,FALSE)</f>
        <v>Technikus</v>
      </c>
      <c r="J245" s="160" t="s">
        <v>64</v>
      </c>
      <c r="K245" s="160" t="str">
        <f t="shared" ref="K245:K247" si="787">J245</f>
        <v>2023.01</v>
      </c>
      <c r="L245" s="91" t="s">
        <v>8</v>
      </c>
      <c r="M245" s="92" t="s">
        <v>78</v>
      </c>
      <c r="N245" s="161">
        <v>202399</v>
      </c>
      <c r="O245" s="162">
        <f t="shared" ref="O245" si="788">ROUND(N245*V245,0)</f>
        <v>26312</v>
      </c>
      <c r="P245" s="160">
        <v>87</v>
      </c>
      <c r="Q245" s="236">
        <v>43</v>
      </c>
      <c r="R245" s="229">
        <f t="shared" ref="R245" si="789">Q245/P245</f>
        <v>0.4942528735632184</v>
      </c>
      <c r="S245" s="163">
        <f t="shared" ref="S245" si="790">ROUND(N245*Q245/P245,0)</f>
        <v>100036</v>
      </c>
      <c r="T245" s="164">
        <f t="shared" ref="T245" si="791">ROUND(S245*V245,0)</f>
        <v>13005</v>
      </c>
      <c r="U245" s="165">
        <f t="shared" ref="U245" si="792">Q245/P245-S245/N245</f>
        <v>1.4197516877145766E-6</v>
      </c>
      <c r="V245" s="87">
        <v>0.13</v>
      </c>
      <c r="W245" s="223" t="s">
        <v>229</v>
      </c>
      <c r="X245" s="23">
        <v>44945</v>
      </c>
      <c r="Y245" s="20" t="s">
        <v>197</v>
      </c>
      <c r="Z245" s="20"/>
      <c r="AA245" s="20"/>
      <c r="AB245" s="167"/>
      <c r="AC245" s="210" t="s">
        <v>246</v>
      </c>
      <c r="AD245" s="210">
        <v>0</v>
      </c>
      <c r="AE245" s="210">
        <v>0</v>
      </c>
      <c r="AF245" s="8">
        <v>176</v>
      </c>
      <c r="AG245" s="8">
        <f t="shared" si="784"/>
        <v>86.990000000000009</v>
      </c>
      <c r="AH245" s="235">
        <v>44960</v>
      </c>
      <c r="AI245" s="8" t="str">
        <f t="shared" si="785"/>
        <v>2023.01.01</v>
      </c>
      <c r="AJ245" s="235">
        <f t="shared" si="786"/>
        <v>44957</v>
      </c>
    </row>
    <row r="246" spans="1:36" s="8" customFormat="1" x14ac:dyDescent="0.25">
      <c r="A246" s="207">
        <v>2</v>
      </c>
      <c r="B246" s="92" t="s">
        <v>199</v>
      </c>
      <c r="C246" s="90" t="str">
        <f>VLOOKUP($F246,Admin!$A$16:$E$19,2,FALSE)</f>
        <v>Alkalmazott (ipari) kutatás – Működési költség</v>
      </c>
      <c r="D246" s="160" t="s">
        <v>129</v>
      </c>
      <c r="E246" s="90" t="str">
        <f>VLOOKUP($F246,Admin!$A$16:$E$19,4,FALSE)</f>
        <v>54. Bérköltség - technikus segédszemélyzet</v>
      </c>
      <c r="F246" s="90" t="s">
        <v>173</v>
      </c>
      <c r="G246" s="160" t="s">
        <v>174</v>
      </c>
      <c r="H246" s="160" t="s">
        <v>248</v>
      </c>
      <c r="I246" s="90" t="str">
        <f>VLOOKUP($F246,Admin!$A$16:$E$19,5,FALSE)</f>
        <v>Technikus</v>
      </c>
      <c r="J246" s="160" t="s">
        <v>65</v>
      </c>
      <c r="K246" s="160" t="str">
        <f t="shared" si="787"/>
        <v>2023.02</v>
      </c>
      <c r="L246" s="91" t="s">
        <v>8</v>
      </c>
      <c r="M246" s="92" t="s">
        <v>78</v>
      </c>
      <c r="N246" s="161">
        <v>202400</v>
      </c>
      <c r="O246" s="162">
        <f t="shared" ref="O246:O247" si="793">ROUND(N246*V246,0)</f>
        <v>26312</v>
      </c>
      <c r="P246" s="160">
        <v>87</v>
      </c>
      <c r="Q246" s="236">
        <v>43</v>
      </c>
      <c r="R246" s="229">
        <f t="shared" ref="R246:R247" si="794">Q246/P246</f>
        <v>0.4942528735632184</v>
      </c>
      <c r="S246" s="163">
        <f t="shared" ref="S246:S247" si="795">ROUND(N246*Q246/P246,0)</f>
        <v>100037</v>
      </c>
      <c r="T246" s="164">
        <f t="shared" ref="T246:T247" si="796">ROUND(S246*V246,0)</f>
        <v>13005</v>
      </c>
      <c r="U246" s="165">
        <f t="shared" ref="U246:U247" si="797">Q246/P246-S246/N246</f>
        <v>-1.0790059515874972E-6</v>
      </c>
      <c r="V246" s="87">
        <v>0.13</v>
      </c>
      <c r="W246" s="223" t="s">
        <v>229</v>
      </c>
      <c r="X246" s="23">
        <v>44945</v>
      </c>
      <c r="Y246" s="20" t="s">
        <v>197</v>
      </c>
      <c r="Z246" s="20"/>
      <c r="AA246" s="20"/>
      <c r="AB246" s="167"/>
      <c r="AC246" s="8" t="e">
        <v>#N/A</v>
      </c>
      <c r="AD246" s="8" t="e">
        <v>#N/A</v>
      </c>
      <c r="AE246" s="8" t="e">
        <v>#N/A</v>
      </c>
      <c r="AF246" s="8">
        <v>160</v>
      </c>
      <c r="AG246" s="8">
        <f t="shared" si="784"/>
        <v>79.09</v>
      </c>
      <c r="AH246" s="235">
        <v>44988</v>
      </c>
      <c r="AI246" s="8" t="str">
        <f t="shared" si="785"/>
        <v>2023.02.01</v>
      </c>
      <c r="AJ246" s="235">
        <f t="shared" si="786"/>
        <v>44985</v>
      </c>
    </row>
    <row r="247" spans="1:36" s="8" customFormat="1" x14ac:dyDescent="0.25">
      <c r="A247" s="207">
        <v>2</v>
      </c>
      <c r="B247" s="92" t="s">
        <v>199</v>
      </c>
      <c r="C247" s="90" t="str">
        <f>VLOOKUP($F247,Admin!$A$16:$E$19,2,FALSE)</f>
        <v>Alkalmazott (ipari) kutatás – Működési költség</v>
      </c>
      <c r="D247" s="160" t="s">
        <v>129</v>
      </c>
      <c r="E247" s="90" t="str">
        <f>VLOOKUP($F247,Admin!$A$16:$E$19,4,FALSE)</f>
        <v>54. Bérköltség - technikus segédszemélyzet</v>
      </c>
      <c r="F247" s="90" t="s">
        <v>173</v>
      </c>
      <c r="G247" s="160" t="s">
        <v>174</v>
      </c>
      <c r="H247" s="160" t="s">
        <v>248</v>
      </c>
      <c r="I247" s="90" t="str">
        <f>VLOOKUP($F247,Admin!$A$16:$E$19,5,FALSE)</f>
        <v>Technikus</v>
      </c>
      <c r="J247" s="160" t="s">
        <v>66</v>
      </c>
      <c r="K247" s="160" t="str">
        <f t="shared" si="787"/>
        <v>2023.03</v>
      </c>
      <c r="L247" s="91" t="s">
        <v>8</v>
      </c>
      <c r="M247" s="92" t="s">
        <v>78</v>
      </c>
      <c r="N247" s="161">
        <v>202400</v>
      </c>
      <c r="O247" s="162">
        <f t="shared" si="793"/>
        <v>26312</v>
      </c>
      <c r="P247" s="160">
        <v>87</v>
      </c>
      <c r="Q247" s="236">
        <v>43</v>
      </c>
      <c r="R247" s="229">
        <f t="shared" si="794"/>
        <v>0.4942528735632184</v>
      </c>
      <c r="S247" s="163">
        <f t="shared" si="795"/>
        <v>100037</v>
      </c>
      <c r="T247" s="164">
        <f t="shared" si="796"/>
        <v>13005</v>
      </c>
      <c r="U247" s="165">
        <f t="shared" si="797"/>
        <v>-1.0790059515874972E-6</v>
      </c>
      <c r="V247" s="87">
        <v>0.13</v>
      </c>
      <c r="W247" s="223" t="s">
        <v>229</v>
      </c>
      <c r="X247" s="23">
        <v>44945</v>
      </c>
      <c r="Y247" s="20" t="s">
        <v>197</v>
      </c>
      <c r="Z247" s="20"/>
      <c r="AA247" s="20"/>
      <c r="AB247" s="167"/>
      <c r="AC247" s="8" t="e">
        <v>#N/A</v>
      </c>
      <c r="AD247" s="8" t="e">
        <v>#N/A</v>
      </c>
      <c r="AE247" s="8" t="e">
        <v>#N/A</v>
      </c>
      <c r="AF247" s="8">
        <v>176</v>
      </c>
      <c r="AG247" s="8">
        <f t="shared" si="784"/>
        <v>86.990000000000009</v>
      </c>
      <c r="AH247" s="235">
        <v>45021</v>
      </c>
      <c r="AI247" s="8" t="str">
        <f t="shared" si="785"/>
        <v>2023.03.01</v>
      </c>
      <c r="AJ247" s="235">
        <f t="shared" si="786"/>
        <v>45016</v>
      </c>
    </row>
    <row r="248" spans="1:36" s="8" customFormat="1" x14ac:dyDescent="0.25">
      <c r="A248" s="207"/>
      <c r="B248" s="92" t="s">
        <v>267</v>
      </c>
      <c r="C248" s="90" t="str">
        <f>VLOOKUP($F248,Admin!$A$16:$E$19,2,FALSE)</f>
        <v>Kísérleti fejlesztés – Működési költség</v>
      </c>
      <c r="D248" s="160" t="s">
        <v>129</v>
      </c>
      <c r="E248" s="90" t="str">
        <f>VLOOKUP($F248,Admin!$A$16:$E$19,4,FALSE)</f>
        <v>54. Bérköltség - technikus segédszemélyzet</v>
      </c>
      <c r="F248" s="90" t="s">
        <v>172</v>
      </c>
      <c r="G248" s="160" t="s">
        <v>174</v>
      </c>
      <c r="H248" s="160" t="s">
        <v>255</v>
      </c>
      <c r="I248" s="90" t="str">
        <f>VLOOKUP($F248,Admin!$A$16:$E$19,5,FALSE)</f>
        <v>Technikus</v>
      </c>
      <c r="J248" s="160" t="s">
        <v>143</v>
      </c>
      <c r="K248" s="160" t="str">
        <f t="shared" ref="K248" si="798">J248</f>
        <v>2024.04</v>
      </c>
      <c r="L248" s="91" t="s">
        <v>8</v>
      </c>
      <c r="M248" s="92" t="s">
        <v>78</v>
      </c>
      <c r="N248" s="161">
        <v>470000</v>
      </c>
      <c r="O248" s="162">
        <f t="shared" ref="O248" si="799">ROUND(N248*V248,0)</f>
        <v>61100</v>
      </c>
      <c r="P248" s="160">
        <v>174</v>
      </c>
      <c r="Q248" s="236">
        <v>24.36</v>
      </c>
      <c r="R248" s="229">
        <f t="shared" ref="R248" si="800">Q248/P248</f>
        <v>0.13999999999999999</v>
      </c>
      <c r="S248" s="163">
        <f t="shared" ref="S248" si="801">ROUND(N248*Q248/P248,0)</f>
        <v>65800</v>
      </c>
      <c r="T248" s="164">
        <f t="shared" ref="T248" si="802">ROUND(S248*V248,0)</f>
        <v>8554</v>
      </c>
      <c r="U248" s="165">
        <f t="shared" ref="U248" si="803">Q248/P248-S248/N248</f>
        <v>0</v>
      </c>
      <c r="V248" s="87">
        <v>0.13</v>
      </c>
      <c r="W248" s="223" t="s">
        <v>268</v>
      </c>
      <c r="X248" s="23">
        <v>45357</v>
      </c>
      <c r="Y248" s="20" t="s">
        <v>197</v>
      </c>
      <c r="Z248" s="20"/>
      <c r="AA248" s="20"/>
      <c r="AB248" s="167"/>
      <c r="AC248" s="8" t="s">
        <v>246</v>
      </c>
      <c r="AD248" s="243">
        <v>0</v>
      </c>
      <c r="AE248" s="233">
        <v>47584</v>
      </c>
      <c r="AH248" s="235"/>
      <c r="AJ248" s="235"/>
    </row>
    <row r="249" spans="1:36" s="8" customFormat="1" x14ac:dyDescent="0.25">
      <c r="A249" s="207"/>
      <c r="B249" s="92" t="s">
        <v>267</v>
      </c>
      <c r="C249" s="90" t="str">
        <f>VLOOKUP($F249,Admin!$A$16:$E$19,2,FALSE)</f>
        <v>Kísérleti fejlesztés – Működési költség</v>
      </c>
      <c r="D249" s="160" t="s">
        <v>129</v>
      </c>
      <c r="E249" s="90" t="str">
        <f>VLOOKUP($F249,Admin!$A$16:$E$19,4,FALSE)</f>
        <v>54. Bérköltség - technikus segédszemélyzet</v>
      </c>
      <c r="F249" s="90" t="s">
        <v>172</v>
      </c>
      <c r="G249" s="160" t="s">
        <v>174</v>
      </c>
      <c r="H249" s="160" t="s">
        <v>255</v>
      </c>
      <c r="I249" s="90" t="str">
        <f>VLOOKUP($F249,Admin!$A$16:$E$19,5,FALSE)</f>
        <v>Technikus</v>
      </c>
      <c r="J249" s="160" t="s">
        <v>144</v>
      </c>
      <c r="K249" s="160" t="str">
        <f t="shared" ref="K249:K253" si="804">J249</f>
        <v>2024.05</v>
      </c>
      <c r="L249" s="91" t="s">
        <v>8</v>
      </c>
      <c r="M249" s="92" t="s">
        <v>78</v>
      </c>
      <c r="N249" s="161">
        <v>470000</v>
      </c>
      <c r="O249" s="162">
        <f t="shared" ref="O249:O250" si="805">ROUND(N249*V249,0)</f>
        <v>61100</v>
      </c>
      <c r="P249" s="160">
        <v>174</v>
      </c>
      <c r="Q249" s="236">
        <v>24.36</v>
      </c>
      <c r="R249" s="229">
        <f t="shared" ref="R249:R250" si="806">Q249/P249</f>
        <v>0.13999999999999999</v>
      </c>
      <c r="S249" s="163">
        <f t="shared" ref="S249:S250" si="807">ROUND(N249*Q249/P249,0)</f>
        <v>65800</v>
      </c>
      <c r="T249" s="164">
        <f t="shared" ref="T249:T250" si="808">ROUND(S249*V249,0)</f>
        <v>8554</v>
      </c>
      <c r="U249" s="165">
        <f t="shared" ref="U249:U250" si="809">Q249/P249-S249/N249</f>
        <v>0</v>
      </c>
      <c r="V249" s="87">
        <v>0.13</v>
      </c>
      <c r="W249" s="223" t="s">
        <v>268</v>
      </c>
      <c r="X249" s="23">
        <v>45357</v>
      </c>
      <c r="Y249" s="20" t="s">
        <v>197</v>
      </c>
      <c r="Z249" s="20"/>
      <c r="AA249" s="20"/>
      <c r="AB249" s="167"/>
      <c r="AC249" s="8" t="s">
        <v>246</v>
      </c>
      <c r="AD249" s="243">
        <v>0</v>
      </c>
      <c r="AE249" s="243">
        <v>0</v>
      </c>
      <c r="AH249" s="235"/>
      <c r="AJ249" s="235"/>
    </row>
    <row r="250" spans="1:36" s="8" customFormat="1" x14ac:dyDescent="0.25">
      <c r="A250" s="207"/>
      <c r="B250" s="92" t="s">
        <v>267</v>
      </c>
      <c r="C250" s="90" t="str">
        <f>VLOOKUP($F250,Admin!$A$16:$E$19,2,FALSE)</f>
        <v>Kísérleti fejlesztés – Működési költség</v>
      </c>
      <c r="D250" s="160" t="s">
        <v>129</v>
      </c>
      <c r="E250" s="90" t="str">
        <f>VLOOKUP($F250,Admin!$A$16:$E$19,4,FALSE)</f>
        <v>54. Bérköltség - technikus segédszemélyzet</v>
      </c>
      <c r="F250" s="90" t="s">
        <v>172</v>
      </c>
      <c r="G250" s="160" t="s">
        <v>174</v>
      </c>
      <c r="H250" s="160" t="s">
        <v>255</v>
      </c>
      <c r="I250" s="90" t="str">
        <f>VLOOKUP($F250,Admin!$A$16:$E$19,5,FALSE)</f>
        <v>Technikus</v>
      </c>
      <c r="J250" s="160" t="s">
        <v>211</v>
      </c>
      <c r="K250" s="160" t="str">
        <f t="shared" si="804"/>
        <v>2024.06</v>
      </c>
      <c r="L250" s="91" t="s">
        <v>9</v>
      </c>
      <c r="M250" s="92" t="s">
        <v>78</v>
      </c>
      <c r="N250" s="161">
        <v>479900</v>
      </c>
      <c r="O250" s="162">
        <f t="shared" si="805"/>
        <v>62387</v>
      </c>
      <c r="P250" s="160">
        <v>174</v>
      </c>
      <c r="Q250" s="236">
        <v>24.36</v>
      </c>
      <c r="R250" s="229">
        <f t="shared" si="806"/>
        <v>0.13999999999999999</v>
      </c>
      <c r="S250" s="163">
        <f t="shared" si="807"/>
        <v>67186</v>
      </c>
      <c r="T250" s="164">
        <f t="shared" si="808"/>
        <v>8734</v>
      </c>
      <c r="U250" s="165">
        <f t="shared" si="809"/>
        <v>0</v>
      </c>
      <c r="V250" s="87">
        <v>0.13</v>
      </c>
      <c r="W250" s="223" t="s">
        <v>268</v>
      </c>
      <c r="X250" s="23">
        <v>45433</v>
      </c>
      <c r="Y250" s="20" t="s">
        <v>197</v>
      </c>
      <c r="Z250" s="20"/>
      <c r="AA250" s="20"/>
      <c r="AB250" s="167"/>
      <c r="AH250" s="235"/>
      <c r="AJ250" s="235"/>
    </row>
    <row r="251" spans="1:36" s="8" customFormat="1" x14ac:dyDescent="0.25">
      <c r="A251" s="207"/>
      <c r="B251" s="92" t="s">
        <v>267</v>
      </c>
      <c r="C251" s="90" t="str">
        <f>VLOOKUP($F251,Admin!$A$16:$E$19,2,FALSE)</f>
        <v>Kísérleti fejlesztés – Működési költség</v>
      </c>
      <c r="D251" s="160" t="s">
        <v>129</v>
      </c>
      <c r="E251" s="90" t="str">
        <f>VLOOKUP($F251,Admin!$A$16:$E$19,4,FALSE)</f>
        <v>54. Bérköltség - technikus segédszemélyzet</v>
      </c>
      <c r="F251" s="90" t="s">
        <v>172</v>
      </c>
      <c r="G251" s="160" t="s">
        <v>174</v>
      </c>
      <c r="H251" s="160" t="s">
        <v>255</v>
      </c>
      <c r="I251" s="90" t="str">
        <f>VLOOKUP($F251,Admin!$A$16:$E$19,5,FALSE)</f>
        <v>Technikus</v>
      </c>
      <c r="J251" s="160" t="s">
        <v>212</v>
      </c>
      <c r="K251" s="160" t="str">
        <f t="shared" si="804"/>
        <v>2024.07</v>
      </c>
      <c r="L251" s="91" t="s">
        <v>9</v>
      </c>
      <c r="M251" s="92" t="s">
        <v>78</v>
      </c>
      <c r="N251" s="161">
        <v>579900</v>
      </c>
      <c r="O251" s="162">
        <f t="shared" ref="O251" si="810">ROUND(N251*V251,0)</f>
        <v>75387</v>
      </c>
      <c r="P251" s="160">
        <v>174</v>
      </c>
      <c r="Q251" s="236">
        <v>50.459989999999998</v>
      </c>
      <c r="R251" s="229">
        <f t="shared" ref="R251" si="811">Q251/P251</f>
        <v>0.28999994252873562</v>
      </c>
      <c r="S251" s="163">
        <f t="shared" ref="S251" si="812">ROUND(N251*Q251/P251,0)</f>
        <v>168171</v>
      </c>
      <c r="T251" s="164">
        <f t="shared" ref="T251" si="813">ROUND(S251*V251,0)</f>
        <v>21862</v>
      </c>
      <c r="U251" s="165">
        <f t="shared" ref="U251" si="814">Q251/P251-S251/N251</f>
        <v>-5.747126435862171E-8</v>
      </c>
      <c r="V251" s="87">
        <v>0.13</v>
      </c>
      <c r="W251" s="223" t="s">
        <v>268</v>
      </c>
      <c r="X251" s="23">
        <v>45455</v>
      </c>
      <c r="Y251" s="20" t="s">
        <v>197</v>
      </c>
      <c r="Z251" s="20"/>
      <c r="AA251" s="20"/>
      <c r="AB251" s="167"/>
      <c r="AH251" s="235"/>
      <c r="AJ251" s="235"/>
    </row>
    <row r="252" spans="1:36" s="8" customFormat="1" x14ac:dyDescent="0.25">
      <c r="A252" s="207"/>
      <c r="B252" s="92" t="s">
        <v>267</v>
      </c>
      <c r="C252" s="90" t="str">
        <f>VLOOKUP($F252,Admin!$A$16:$E$19,2,FALSE)</f>
        <v>Kísérleti fejlesztés – Működési költség</v>
      </c>
      <c r="D252" s="160" t="s">
        <v>129</v>
      </c>
      <c r="E252" s="90" t="str">
        <f>VLOOKUP($F252,Admin!$A$16:$E$19,4,FALSE)</f>
        <v>54. Bérköltség - technikus segédszemélyzet</v>
      </c>
      <c r="F252" s="90" t="s">
        <v>172</v>
      </c>
      <c r="G252" s="160" t="s">
        <v>174</v>
      </c>
      <c r="H252" s="160" t="s">
        <v>255</v>
      </c>
      <c r="I252" s="90" t="str">
        <f>VLOOKUP($F252,Admin!$A$16:$E$19,5,FALSE)</f>
        <v>Technikus</v>
      </c>
      <c r="J252" s="160" t="s">
        <v>213</v>
      </c>
      <c r="K252" s="160" t="str">
        <f t="shared" si="804"/>
        <v>2024.08</v>
      </c>
      <c r="L252" s="91" t="s">
        <v>9</v>
      </c>
      <c r="M252" s="92" t="s">
        <v>78</v>
      </c>
      <c r="N252" s="161">
        <v>579900</v>
      </c>
      <c r="O252" s="162">
        <f t="shared" ref="O252:O253" si="815">ROUND(N252*V252,0)</f>
        <v>75387</v>
      </c>
      <c r="P252" s="160">
        <v>174</v>
      </c>
      <c r="Q252" s="236">
        <v>50.459989999999998</v>
      </c>
      <c r="R252" s="229">
        <f t="shared" ref="R252:R253" si="816">Q252/P252</f>
        <v>0.28999994252873562</v>
      </c>
      <c r="S252" s="163">
        <f t="shared" ref="S252:S253" si="817">ROUND(N252*Q252/P252,0)</f>
        <v>168171</v>
      </c>
      <c r="T252" s="164">
        <f t="shared" ref="T252:T253" si="818">ROUND(S252*V252,0)</f>
        <v>21862</v>
      </c>
      <c r="U252" s="165">
        <f t="shared" ref="U252:U253" si="819">Q252/P252-S252/N252</f>
        <v>-5.747126435862171E-8</v>
      </c>
      <c r="V252" s="87">
        <v>0.13</v>
      </c>
      <c r="W252" s="223" t="s">
        <v>268</v>
      </c>
      <c r="X252" s="23">
        <v>45455</v>
      </c>
      <c r="Y252" s="20" t="s">
        <v>197</v>
      </c>
      <c r="Z252" s="20"/>
      <c r="AA252" s="20"/>
      <c r="AB252" s="167"/>
      <c r="AH252" s="235"/>
      <c r="AJ252" s="235"/>
    </row>
    <row r="253" spans="1:36" s="8" customFormat="1" x14ac:dyDescent="0.25">
      <c r="A253" s="207"/>
      <c r="B253" s="92" t="s">
        <v>267</v>
      </c>
      <c r="C253" s="90" t="str">
        <f>VLOOKUP($F253,Admin!$A$16:$E$19,2,FALSE)</f>
        <v>Kísérleti fejlesztés – Működési költség</v>
      </c>
      <c r="D253" s="160" t="s">
        <v>129</v>
      </c>
      <c r="E253" s="90" t="str">
        <f>VLOOKUP($F253,Admin!$A$16:$E$19,4,FALSE)</f>
        <v>54. Bérköltség - technikus segédszemélyzet</v>
      </c>
      <c r="F253" s="90" t="s">
        <v>172</v>
      </c>
      <c r="G253" s="160" t="s">
        <v>174</v>
      </c>
      <c r="H253" s="160" t="s">
        <v>255</v>
      </c>
      <c r="I253" s="90" t="str">
        <f>VLOOKUP($F253,Admin!$A$16:$E$19,5,FALSE)</f>
        <v>Technikus</v>
      </c>
      <c r="J253" s="160" t="s">
        <v>214</v>
      </c>
      <c r="K253" s="160" t="str">
        <f t="shared" si="804"/>
        <v>2024.09</v>
      </c>
      <c r="L253" s="91" t="s">
        <v>9</v>
      </c>
      <c r="M253" s="92" t="s">
        <v>78</v>
      </c>
      <c r="N253" s="161">
        <v>579900</v>
      </c>
      <c r="O253" s="162">
        <f t="shared" si="815"/>
        <v>75387</v>
      </c>
      <c r="P253" s="160">
        <v>174</v>
      </c>
      <c r="Q253" s="236">
        <v>50.459989999999998</v>
      </c>
      <c r="R253" s="229">
        <f t="shared" si="816"/>
        <v>0.28999994252873562</v>
      </c>
      <c r="S253" s="163">
        <f t="shared" si="817"/>
        <v>168171</v>
      </c>
      <c r="T253" s="164">
        <f t="shared" si="818"/>
        <v>21862</v>
      </c>
      <c r="U253" s="165">
        <f t="shared" si="819"/>
        <v>-5.747126435862171E-8</v>
      </c>
      <c r="V253" s="87">
        <v>0.13</v>
      </c>
      <c r="W253" s="223" t="s">
        <v>268</v>
      </c>
      <c r="X253" s="23">
        <v>45455</v>
      </c>
      <c r="Y253" s="20" t="s">
        <v>197</v>
      </c>
      <c r="Z253" s="20"/>
      <c r="AA253" s="20"/>
      <c r="AB253" s="167"/>
      <c r="AH253" s="235"/>
      <c r="AJ253" s="235"/>
    </row>
    <row r="254" spans="1:36" s="8" customFormat="1" x14ac:dyDescent="0.25">
      <c r="A254" s="207">
        <v>2</v>
      </c>
      <c r="B254" s="92" t="s">
        <v>254</v>
      </c>
      <c r="C254" s="90" t="str">
        <f>VLOOKUP($F254,Admin!$A$16:$E$19,2,FALSE)</f>
        <v>Alkalmazott (ipari) kutatás – Működési költség</v>
      </c>
      <c r="D254" s="160" t="s">
        <v>129</v>
      </c>
      <c r="E254" s="90" t="str">
        <f>VLOOKUP($F254,Admin!$A$16:$E$19,4,FALSE)</f>
        <v>54. Bérköltség - Kutató-fejlesztő munkatárs</v>
      </c>
      <c r="F254" s="90" t="s">
        <v>171</v>
      </c>
      <c r="G254" s="160" t="s">
        <v>174</v>
      </c>
      <c r="H254" s="160" t="s">
        <v>255</v>
      </c>
      <c r="I254" s="90" t="str">
        <f>VLOOKUP($F254,Admin!$A$16:$E$19,5,FALSE)</f>
        <v>K+F munkatárs</v>
      </c>
      <c r="J254" s="160" t="s">
        <v>69</v>
      </c>
      <c r="K254" s="160" t="str">
        <f t="shared" ref="K254" si="820">J254</f>
        <v>2023.06</v>
      </c>
      <c r="L254" s="91" t="s">
        <v>8</v>
      </c>
      <c r="M254" s="92" t="s">
        <v>78</v>
      </c>
      <c r="N254" s="161">
        <v>453200</v>
      </c>
      <c r="O254" s="162">
        <f t="shared" ref="O254" si="821">ROUND(N254*V254,0)</f>
        <v>58916</v>
      </c>
      <c r="P254" s="160">
        <v>174</v>
      </c>
      <c r="Q254" s="236">
        <v>68</v>
      </c>
      <c r="R254" s="229">
        <f t="shared" ref="R254" si="822">Q254/P254</f>
        <v>0.39080459770114945</v>
      </c>
      <c r="S254" s="163">
        <f t="shared" ref="S254" si="823">ROUND(N254*Q254/P254,0)</f>
        <v>177113</v>
      </c>
      <c r="T254" s="164">
        <f t="shared" ref="T254" si="824">ROUND(S254*V254,0)</f>
        <v>23025</v>
      </c>
      <c r="U254" s="165">
        <f t="shared" ref="U254" si="825">Q254/P254-S254/N254</f>
        <v>-7.8623530247456941E-7</v>
      </c>
      <c r="V254" s="87">
        <v>0.13</v>
      </c>
      <c r="W254" s="223" t="s">
        <v>256</v>
      </c>
      <c r="X254" s="23">
        <v>45057</v>
      </c>
      <c r="Y254" s="20" t="s">
        <v>197</v>
      </c>
      <c r="Z254" s="20"/>
      <c r="AA254" s="20"/>
      <c r="AB254" s="167"/>
      <c r="AC254" s="8" t="s">
        <v>246</v>
      </c>
      <c r="AD254" s="8">
        <v>0</v>
      </c>
      <c r="AE254" s="8">
        <v>0</v>
      </c>
      <c r="AF254" s="8">
        <v>176</v>
      </c>
      <c r="AG254" s="8">
        <f t="shared" si="784"/>
        <v>68.790000000000006</v>
      </c>
      <c r="AH254" s="235">
        <v>45112</v>
      </c>
      <c r="AI254" s="8" t="str">
        <f t="shared" si="785"/>
        <v>2023.06.01</v>
      </c>
      <c r="AJ254" s="235">
        <f t="shared" si="786"/>
        <v>45107</v>
      </c>
    </row>
    <row r="255" spans="1:36" s="8" customFormat="1" x14ac:dyDescent="0.25">
      <c r="A255" s="207">
        <v>2</v>
      </c>
      <c r="B255" s="92" t="s">
        <v>254</v>
      </c>
      <c r="C255" s="90" t="str">
        <f>VLOOKUP($F255,Admin!$A$16:$E$19,2,FALSE)</f>
        <v>Alkalmazott (ipari) kutatás – Működési költség</v>
      </c>
      <c r="D255" s="160" t="s">
        <v>129</v>
      </c>
      <c r="E255" s="90" t="str">
        <f>VLOOKUP($F255,Admin!$A$16:$E$19,4,FALSE)</f>
        <v>54. Bérköltség - Kutató-fejlesztő munkatárs</v>
      </c>
      <c r="F255" s="90" t="s">
        <v>171</v>
      </c>
      <c r="G255" s="160" t="s">
        <v>174</v>
      </c>
      <c r="H255" s="160" t="s">
        <v>255</v>
      </c>
      <c r="I255" s="90" t="str">
        <f>VLOOKUP($F255,Admin!$A$16:$E$19,5,FALSE)</f>
        <v>K+F munkatárs</v>
      </c>
      <c r="J255" s="160" t="s">
        <v>70</v>
      </c>
      <c r="K255" s="160" t="str">
        <f t="shared" ref="K255:K258" si="826">J255</f>
        <v>2023.07</v>
      </c>
      <c r="L255" s="91" t="s">
        <v>8</v>
      </c>
      <c r="M255" s="92" t="s">
        <v>78</v>
      </c>
      <c r="N255" s="161">
        <v>453200</v>
      </c>
      <c r="O255" s="162">
        <f t="shared" ref="O255:O258" si="827">ROUND(N255*V255,0)</f>
        <v>58916</v>
      </c>
      <c r="P255" s="160">
        <v>174</v>
      </c>
      <c r="Q255" s="236">
        <v>68</v>
      </c>
      <c r="R255" s="229">
        <f t="shared" ref="R255:R258" si="828">Q255/P255</f>
        <v>0.39080459770114945</v>
      </c>
      <c r="S255" s="163">
        <f t="shared" ref="S255:S258" si="829">ROUND(N255*Q255/P255,0)</f>
        <v>177113</v>
      </c>
      <c r="T255" s="164">
        <f t="shared" ref="T255:T258" si="830">ROUND(S255*V255,0)</f>
        <v>23025</v>
      </c>
      <c r="U255" s="165">
        <f t="shared" ref="U255:U258" si="831">Q255/P255-S255/N255</f>
        <v>-7.8623530247456941E-7</v>
      </c>
      <c r="V255" s="87">
        <v>0.13</v>
      </c>
      <c r="W255" s="223" t="s">
        <v>256</v>
      </c>
      <c r="X255" s="23">
        <v>45057</v>
      </c>
      <c r="Y255" s="20" t="s">
        <v>197</v>
      </c>
      <c r="Z255" s="20"/>
      <c r="AA255" s="20"/>
      <c r="AB255" s="167"/>
      <c r="AC255" s="8" t="s">
        <v>246</v>
      </c>
      <c r="AD255" s="8">
        <v>0</v>
      </c>
      <c r="AE255" s="8">
        <v>0</v>
      </c>
      <c r="AF255" s="8">
        <v>168</v>
      </c>
      <c r="AG255" s="8">
        <f t="shared" si="784"/>
        <v>65.660000000000011</v>
      </c>
      <c r="AH255" s="235">
        <v>45142</v>
      </c>
      <c r="AI255" s="8" t="str">
        <f t="shared" si="785"/>
        <v>2023.07.01</v>
      </c>
      <c r="AJ255" s="235">
        <f t="shared" si="786"/>
        <v>45138</v>
      </c>
    </row>
    <row r="256" spans="1:36" s="8" customFormat="1" x14ac:dyDescent="0.25">
      <c r="A256" s="207">
        <v>2</v>
      </c>
      <c r="B256" s="92" t="s">
        <v>254</v>
      </c>
      <c r="C256" s="90" t="str">
        <f>VLOOKUP($F256,Admin!$A$16:$E$19,2,FALSE)</f>
        <v>Alkalmazott (ipari) kutatás – Működési költség</v>
      </c>
      <c r="D256" s="160" t="s">
        <v>129</v>
      </c>
      <c r="E256" s="90" t="str">
        <f>VLOOKUP($F256,Admin!$A$16:$E$19,4,FALSE)</f>
        <v>54. Bérköltség - Kutató-fejlesztő munkatárs</v>
      </c>
      <c r="F256" s="90" t="s">
        <v>171</v>
      </c>
      <c r="G256" s="160" t="s">
        <v>174</v>
      </c>
      <c r="H256" s="160" t="s">
        <v>255</v>
      </c>
      <c r="I256" s="90" t="str">
        <f>VLOOKUP($F256,Admin!$A$16:$E$19,5,FALSE)</f>
        <v>K+F munkatárs</v>
      </c>
      <c r="J256" s="160" t="s">
        <v>71</v>
      </c>
      <c r="K256" s="160" t="str">
        <f t="shared" si="826"/>
        <v>2023.08</v>
      </c>
      <c r="L256" s="91" t="s">
        <v>8</v>
      </c>
      <c r="M256" s="92" t="s">
        <v>78</v>
      </c>
      <c r="N256" s="161">
        <v>453200</v>
      </c>
      <c r="O256" s="162">
        <f t="shared" si="827"/>
        <v>58916</v>
      </c>
      <c r="P256" s="160">
        <v>174</v>
      </c>
      <c r="Q256" s="236">
        <v>68</v>
      </c>
      <c r="R256" s="229">
        <f t="shared" si="828"/>
        <v>0.39080459770114945</v>
      </c>
      <c r="S256" s="163">
        <f t="shared" si="829"/>
        <v>177113</v>
      </c>
      <c r="T256" s="164">
        <f t="shared" si="830"/>
        <v>23025</v>
      </c>
      <c r="U256" s="165">
        <f t="shared" si="831"/>
        <v>-7.8623530247456941E-7</v>
      </c>
      <c r="V256" s="87">
        <v>0.13</v>
      </c>
      <c r="W256" s="223" t="s">
        <v>256</v>
      </c>
      <c r="X256" s="23">
        <v>45057</v>
      </c>
      <c r="Y256" s="20" t="s">
        <v>197</v>
      </c>
      <c r="Z256" s="20"/>
      <c r="AA256" s="20"/>
      <c r="AB256" s="167"/>
      <c r="AC256" s="8" t="s">
        <v>246</v>
      </c>
      <c r="AD256" s="8">
        <v>0</v>
      </c>
      <c r="AE256" s="8">
        <v>0</v>
      </c>
      <c r="AF256" s="8">
        <v>184</v>
      </c>
      <c r="AG256" s="8">
        <f t="shared" si="784"/>
        <v>71.910000000000011</v>
      </c>
      <c r="AH256" s="235">
        <v>45174</v>
      </c>
      <c r="AI256" s="8" t="str">
        <f t="shared" si="785"/>
        <v>2023.08.01</v>
      </c>
      <c r="AJ256" s="235">
        <f t="shared" si="786"/>
        <v>45169</v>
      </c>
    </row>
    <row r="257" spans="1:36" s="8" customFormat="1" x14ac:dyDescent="0.25">
      <c r="A257" s="207">
        <v>2</v>
      </c>
      <c r="B257" s="92" t="s">
        <v>254</v>
      </c>
      <c r="C257" s="90" t="str">
        <f>VLOOKUP($F257,Admin!$A$16:$E$19,2,FALSE)</f>
        <v>Alkalmazott (ipari) kutatás – Működési költség</v>
      </c>
      <c r="D257" s="160" t="s">
        <v>129</v>
      </c>
      <c r="E257" s="90" t="str">
        <f>VLOOKUP($F257,Admin!$A$16:$E$19,4,FALSE)</f>
        <v>54. Bérköltség - Kutató-fejlesztő munkatárs</v>
      </c>
      <c r="F257" s="90" t="s">
        <v>171</v>
      </c>
      <c r="G257" s="160" t="s">
        <v>174</v>
      </c>
      <c r="H257" s="160" t="s">
        <v>255</v>
      </c>
      <c r="I257" s="90" t="str">
        <f>VLOOKUP($F257,Admin!$A$16:$E$19,5,FALSE)</f>
        <v>K+F munkatárs</v>
      </c>
      <c r="J257" s="160" t="s">
        <v>72</v>
      </c>
      <c r="K257" s="160" t="str">
        <f t="shared" si="826"/>
        <v>2023.09</v>
      </c>
      <c r="L257" s="91" t="s">
        <v>8</v>
      </c>
      <c r="M257" s="92" t="s">
        <v>78</v>
      </c>
      <c r="N257" s="161">
        <v>453200</v>
      </c>
      <c r="O257" s="162">
        <f t="shared" si="827"/>
        <v>58916</v>
      </c>
      <c r="P257" s="160">
        <v>174</v>
      </c>
      <c r="Q257" s="236">
        <v>68</v>
      </c>
      <c r="R257" s="229">
        <f t="shared" si="828"/>
        <v>0.39080459770114945</v>
      </c>
      <c r="S257" s="163">
        <f t="shared" si="829"/>
        <v>177113</v>
      </c>
      <c r="T257" s="164">
        <f t="shared" si="830"/>
        <v>23025</v>
      </c>
      <c r="U257" s="165">
        <f t="shared" si="831"/>
        <v>-7.8623530247456941E-7</v>
      </c>
      <c r="V257" s="87">
        <v>0.13</v>
      </c>
      <c r="W257" s="223" t="s">
        <v>256</v>
      </c>
      <c r="X257" s="23">
        <v>45057</v>
      </c>
      <c r="Y257" s="20" t="s">
        <v>197</v>
      </c>
      <c r="Z257" s="20"/>
      <c r="AA257" s="20"/>
      <c r="AB257" s="167"/>
      <c r="AC257" s="8" t="s">
        <v>246</v>
      </c>
      <c r="AD257" s="8">
        <v>0</v>
      </c>
      <c r="AE257" s="8">
        <v>0</v>
      </c>
      <c r="AF257" s="8">
        <v>168</v>
      </c>
      <c r="AG257" s="8">
        <f t="shared" si="784"/>
        <v>65.660000000000011</v>
      </c>
      <c r="AH257" s="235">
        <v>45204</v>
      </c>
      <c r="AI257" s="8" t="str">
        <f t="shared" si="785"/>
        <v>2023.09.01</v>
      </c>
      <c r="AJ257" s="235">
        <f t="shared" si="786"/>
        <v>45199</v>
      </c>
    </row>
    <row r="258" spans="1:36" s="8" customFormat="1" x14ac:dyDescent="0.25">
      <c r="A258" s="188"/>
      <c r="B258" s="92" t="s">
        <v>254</v>
      </c>
      <c r="C258" s="90" t="str">
        <f>VLOOKUP($F258,Admin!$A$16:$E$19,2,FALSE)</f>
        <v>Alkalmazott (ipari) kutatás – Működési költség</v>
      </c>
      <c r="D258" s="160" t="s">
        <v>129</v>
      </c>
      <c r="E258" s="90" t="str">
        <f>VLOOKUP($F258,Admin!$A$16:$E$19,4,FALSE)</f>
        <v>54. Bérköltség - Kutató-fejlesztő munkatárs</v>
      </c>
      <c r="F258" s="90" t="s">
        <v>171</v>
      </c>
      <c r="G258" s="160" t="s">
        <v>174</v>
      </c>
      <c r="H258" s="160" t="s">
        <v>255</v>
      </c>
      <c r="I258" s="90" t="str">
        <f>VLOOKUP($F258,Admin!$A$16:$E$19,5,FALSE)</f>
        <v>K+F munkatárs</v>
      </c>
      <c r="J258" s="160" t="s">
        <v>73</v>
      </c>
      <c r="K258" s="160" t="str">
        <f t="shared" si="826"/>
        <v>2023.10</v>
      </c>
      <c r="L258" s="91" t="s">
        <v>8</v>
      </c>
      <c r="M258" s="92" t="s">
        <v>78</v>
      </c>
      <c r="N258" s="161">
        <v>453200</v>
      </c>
      <c r="O258" s="162">
        <f t="shared" si="827"/>
        <v>58916</v>
      </c>
      <c r="P258" s="160">
        <v>174</v>
      </c>
      <c r="Q258" s="236">
        <v>68</v>
      </c>
      <c r="R258" s="229">
        <f t="shared" si="828"/>
        <v>0.39080459770114945</v>
      </c>
      <c r="S258" s="163">
        <f t="shared" si="829"/>
        <v>177113</v>
      </c>
      <c r="T258" s="164">
        <f t="shared" si="830"/>
        <v>23025</v>
      </c>
      <c r="U258" s="165">
        <f t="shared" si="831"/>
        <v>-7.8623530247456941E-7</v>
      </c>
      <c r="V258" s="87">
        <v>0.13</v>
      </c>
      <c r="W258" s="223" t="s">
        <v>256</v>
      </c>
      <c r="X258" s="23">
        <v>45057</v>
      </c>
      <c r="Y258" s="20" t="s">
        <v>197</v>
      </c>
      <c r="Z258" s="20"/>
      <c r="AA258" s="20"/>
      <c r="AB258" s="167"/>
      <c r="AC258" s="8" t="s">
        <v>246</v>
      </c>
      <c r="AD258" s="8">
        <v>0</v>
      </c>
      <c r="AE258" s="8">
        <v>0</v>
      </c>
    </row>
    <row r="259" spans="1:36" s="8" customFormat="1" x14ac:dyDescent="0.25">
      <c r="A259" s="188"/>
      <c r="B259" s="92" t="s">
        <v>254</v>
      </c>
      <c r="C259" s="90" t="str">
        <f>VLOOKUP($F259,Admin!$A$16:$E$19,2,FALSE)</f>
        <v>Alkalmazott (ipari) kutatás – Működési költség</v>
      </c>
      <c r="D259" s="160" t="s">
        <v>129</v>
      </c>
      <c r="E259" s="90" t="str">
        <f>VLOOKUP($F259,Admin!$A$16:$E$19,4,FALSE)</f>
        <v>54. Bérköltség - Kutató-fejlesztő munkatárs</v>
      </c>
      <c r="F259" s="90" t="s">
        <v>171</v>
      </c>
      <c r="G259" s="160" t="s">
        <v>174</v>
      </c>
      <c r="H259" s="160" t="s">
        <v>255</v>
      </c>
      <c r="I259" s="90" t="str">
        <f>VLOOKUP($F259,Admin!$A$16:$E$19,5,FALSE)</f>
        <v>K+F munkatárs</v>
      </c>
      <c r="J259" s="160" t="s">
        <v>74</v>
      </c>
      <c r="K259" s="160" t="str">
        <f t="shared" ref="K259:K262" si="832">J259</f>
        <v>2023.11</v>
      </c>
      <c r="L259" s="91" t="s">
        <v>8</v>
      </c>
      <c r="M259" s="92" t="s">
        <v>78</v>
      </c>
      <c r="N259" s="161">
        <v>453200</v>
      </c>
      <c r="O259" s="162">
        <f t="shared" ref="O259" si="833">ROUND(N259*V259,0)</f>
        <v>58916</v>
      </c>
      <c r="P259" s="160">
        <v>174</v>
      </c>
      <c r="Q259" s="236">
        <v>68</v>
      </c>
      <c r="R259" s="229">
        <f t="shared" ref="R259" si="834">Q259/P259</f>
        <v>0.39080459770114945</v>
      </c>
      <c r="S259" s="163">
        <f t="shared" ref="S259" si="835">ROUND(N259*Q259/P259,0)</f>
        <v>177113</v>
      </c>
      <c r="T259" s="164">
        <f t="shared" ref="T259" si="836">ROUND(S259*V259,0)</f>
        <v>23025</v>
      </c>
      <c r="U259" s="165">
        <f t="shared" ref="U259" si="837">Q259/P259-S259/N259</f>
        <v>-7.8623530247456941E-7</v>
      </c>
      <c r="V259" s="87">
        <v>0.13</v>
      </c>
      <c r="W259" s="223" t="s">
        <v>256</v>
      </c>
      <c r="X259" s="23">
        <v>45215</v>
      </c>
      <c r="Y259" s="20" t="s">
        <v>197</v>
      </c>
      <c r="Z259" s="20"/>
      <c r="AA259" s="20"/>
      <c r="AB259" s="167"/>
      <c r="AC259" s="8" t="s">
        <v>246</v>
      </c>
      <c r="AD259" s="8">
        <v>0</v>
      </c>
      <c r="AE259" s="8">
        <v>0</v>
      </c>
    </row>
    <row r="260" spans="1:36" s="8" customFormat="1" x14ac:dyDescent="0.25">
      <c r="A260" s="188"/>
      <c r="B260" s="92" t="s">
        <v>254</v>
      </c>
      <c r="C260" s="90" t="str">
        <f>VLOOKUP($F260,Admin!$A$16:$E$19,2,FALSE)</f>
        <v>Alkalmazott (ipari) kutatás – Működési költség</v>
      </c>
      <c r="D260" s="160" t="s">
        <v>129</v>
      </c>
      <c r="E260" s="90" t="str">
        <f>VLOOKUP($F260,Admin!$A$16:$E$19,4,FALSE)</f>
        <v>54. Bérköltség - Kutató-fejlesztő munkatárs</v>
      </c>
      <c r="F260" s="90" t="s">
        <v>171</v>
      </c>
      <c r="G260" s="160" t="s">
        <v>174</v>
      </c>
      <c r="H260" s="160" t="s">
        <v>255</v>
      </c>
      <c r="I260" s="90" t="str">
        <f>VLOOKUP($F260,Admin!$A$16:$E$19,5,FALSE)</f>
        <v>K+F munkatárs</v>
      </c>
      <c r="J260" s="160" t="s">
        <v>139</v>
      </c>
      <c r="K260" s="160" t="str">
        <f t="shared" si="832"/>
        <v>2023.12</v>
      </c>
      <c r="L260" s="91" t="s">
        <v>8</v>
      </c>
      <c r="M260" s="92" t="s">
        <v>78</v>
      </c>
      <c r="N260" s="161">
        <v>453200</v>
      </c>
      <c r="O260" s="162">
        <f t="shared" ref="O260:O261" si="838">ROUND(N260*V260,0)</f>
        <v>58916</v>
      </c>
      <c r="P260" s="160">
        <v>174</v>
      </c>
      <c r="Q260" s="236">
        <v>68</v>
      </c>
      <c r="R260" s="229">
        <f t="shared" ref="R260:R261" si="839">Q260/P260</f>
        <v>0.39080459770114945</v>
      </c>
      <c r="S260" s="163">
        <f t="shared" ref="S260:S261" si="840">ROUND(N260*Q260/P260,0)</f>
        <v>177113</v>
      </c>
      <c r="T260" s="164">
        <f t="shared" ref="T260:T261" si="841">ROUND(S260*V260,0)</f>
        <v>23025</v>
      </c>
      <c r="U260" s="165">
        <f t="shared" ref="U260:U261" si="842">Q260/P260-S260/N260</f>
        <v>-7.8623530247456941E-7</v>
      </c>
      <c r="V260" s="87">
        <v>0.13</v>
      </c>
      <c r="W260" s="223" t="s">
        <v>256</v>
      </c>
      <c r="X260" s="23">
        <v>45215</v>
      </c>
      <c r="Y260" s="20" t="s">
        <v>197</v>
      </c>
      <c r="Z260" s="20"/>
      <c r="AA260" s="20"/>
      <c r="AB260" s="167"/>
      <c r="AC260" s="8" t="s">
        <v>246</v>
      </c>
      <c r="AD260" s="8">
        <v>0</v>
      </c>
      <c r="AE260" s="8">
        <v>0</v>
      </c>
    </row>
    <row r="261" spans="1:36" s="8" customFormat="1" x14ac:dyDescent="0.25">
      <c r="A261" s="188"/>
      <c r="B261" s="92" t="s">
        <v>254</v>
      </c>
      <c r="C261" s="90" t="str">
        <f>VLOOKUP($F261,Admin!$A$16:$E$19,2,FALSE)</f>
        <v>Alkalmazott (ipari) kutatás – Működési költség</v>
      </c>
      <c r="D261" s="160" t="s">
        <v>129</v>
      </c>
      <c r="E261" s="90" t="str">
        <f>VLOOKUP($F261,Admin!$A$16:$E$19,4,FALSE)</f>
        <v>54. Bérköltség - Kutató-fejlesztő munkatárs</v>
      </c>
      <c r="F261" s="90" t="s">
        <v>171</v>
      </c>
      <c r="G261" s="160" t="s">
        <v>174</v>
      </c>
      <c r="H261" s="160" t="s">
        <v>255</v>
      </c>
      <c r="I261" s="90" t="str">
        <f>VLOOKUP($F261,Admin!$A$16:$E$19,5,FALSE)</f>
        <v>K+F munkatárs</v>
      </c>
      <c r="J261" s="160" t="s">
        <v>140</v>
      </c>
      <c r="K261" s="160" t="str">
        <f t="shared" si="832"/>
        <v>2024.01</v>
      </c>
      <c r="L261" s="91" t="s">
        <v>8</v>
      </c>
      <c r="M261" s="92" t="s">
        <v>78</v>
      </c>
      <c r="N261" s="161">
        <v>475000</v>
      </c>
      <c r="O261" s="162">
        <f t="shared" si="838"/>
        <v>61750</v>
      </c>
      <c r="P261" s="160">
        <v>174</v>
      </c>
      <c r="Q261" s="236">
        <v>67.86</v>
      </c>
      <c r="R261" s="229">
        <f t="shared" si="839"/>
        <v>0.39</v>
      </c>
      <c r="S261" s="163">
        <f t="shared" si="840"/>
        <v>185250</v>
      </c>
      <c r="T261" s="164">
        <f t="shared" si="841"/>
        <v>24083</v>
      </c>
      <c r="U261" s="165">
        <f t="shared" si="842"/>
        <v>0</v>
      </c>
      <c r="V261" s="87">
        <v>0.13</v>
      </c>
      <c r="W261" s="223" t="s">
        <v>256</v>
      </c>
      <c r="X261" s="23">
        <v>45309</v>
      </c>
      <c r="Y261" s="20" t="s">
        <v>197</v>
      </c>
      <c r="Z261" s="20"/>
      <c r="AA261" s="20"/>
      <c r="AB261" s="167"/>
      <c r="AC261" s="8" t="s">
        <v>246</v>
      </c>
      <c r="AD261" s="243">
        <v>0</v>
      </c>
      <c r="AE261" s="243">
        <v>0</v>
      </c>
    </row>
    <row r="262" spans="1:36" s="8" customFormat="1" x14ac:dyDescent="0.25">
      <c r="A262" s="188"/>
      <c r="B262" s="92" t="s">
        <v>254</v>
      </c>
      <c r="C262" s="90" t="str">
        <f>VLOOKUP($F262,Admin!$A$16:$E$19,2,FALSE)</f>
        <v>Alkalmazott (ipari) kutatás – Működési költség</v>
      </c>
      <c r="D262" s="160" t="s">
        <v>129</v>
      </c>
      <c r="E262" s="90" t="str">
        <f>VLOOKUP($F262,Admin!$A$16:$E$19,4,FALSE)</f>
        <v>54. Bérköltség - Kutató-fejlesztő munkatárs</v>
      </c>
      <c r="F262" s="90" t="s">
        <v>171</v>
      </c>
      <c r="G262" s="160" t="s">
        <v>174</v>
      </c>
      <c r="H262" s="160" t="s">
        <v>255</v>
      </c>
      <c r="I262" s="90" t="str">
        <f>VLOOKUP($F262,Admin!$A$16:$E$19,5,FALSE)</f>
        <v>K+F munkatárs</v>
      </c>
      <c r="J262" s="160" t="s">
        <v>141</v>
      </c>
      <c r="K262" s="160" t="str">
        <f t="shared" si="832"/>
        <v>2024.02</v>
      </c>
      <c r="L262" s="91" t="s">
        <v>8</v>
      </c>
      <c r="M262" s="92" t="s">
        <v>78</v>
      </c>
      <c r="N262" s="161">
        <v>475000</v>
      </c>
      <c r="O262" s="162">
        <f t="shared" ref="O262" si="843">ROUND(N262*V262,0)</f>
        <v>61750</v>
      </c>
      <c r="P262" s="160">
        <v>174</v>
      </c>
      <c r="Q262" s="236">
        <v>67.86</v>
      </c>
      <c r="R262" s="229">
        <f t="shared" ref="R262" si="844">Q262/P262</f>
        <v>0.39</v>
      </c>
      <c r="S262" s="163">
        <f t="shared" ref="S262" si="845">ROUND(N262*Q262/P262,0)</f>
        <v>185250</v>
      </c>
      <c r="T262" s="164">
        <f t="shared" ref="T262" si="846">ROUND(S262*V262,0)</f>
        <v>24083</v>
      </c>
      <c r="U262" s="165">
        <f t="shared" ref="U262" si="847">Q262/P262-S262/N262</f>
        <v>0</v>
      </c>
      <c r="V262" s="87">
        <v>0.13</v>
      </c>
      <c r="W262" s="223" t="s">
        <v>256</v>
      </c>
      <c r="X262" s="23">
        <v>45309</v>
      </c>
      <c r="Y262" s="20" t="s">
        <v>197</v>
      </c>
      <c r="Z262" s="20"/>
      <c r="AA262" s="20"/>
      <c r="AB262" s="167"/>
      <c r="AC262" s="8" t="s">
        <v>246</v>
      </c>
      <c r="AD262" s="243">
        <v>0</v>
      </c>
      <c r="AE262" s="243">
        <v>0</v>
      </c>
    </row>
    <row r="263" spans="1:36" s="8" customFormat="1" x14ac:dyDescent="0.25">
      <c r="A263" s="188"/>
      <c r="B263" s="92" t="s">
        <v>254</v>
      </c>
      <c r="C263" s="90" t="str">
        <f>VLOOKUP($F263,Admin!$A$16:$E$19,2,FALSE)</f>
        <v>Alkalmazott (ipari) kutatás – Működési költség</v>
      </c>
      <c r="D263" s="160" t="s">
        <v>129</v>
      </c>
      <c r="E263" s="90" t="str">
        <f>VLOOKUP($F263,Admin!$A$16:$E$19,4,FALSE)</f>
        <v>54. Bérköltség - Kutató-fejlesztő munkatárs</v>
      </c>
      <c r="F263" s="90" t="s">
        <v>171</v>
      </c>
      <c r="G263" s="160" t="s">
        <v>174</v>
      </c>
      <c r="H263" s="160" t="s">
        <v>255</v>
      </c>
      <c r="I263" s="90" t="str">
        <f>VLOOKUP($F263,Admin!$A$16:$E$19,5,FALSE)</f>
        <v>K+F munkatárs</v>
      </c>
      <c r="J263" s="160" t="s">
        <v>142</v>
      </c>
      <c r="K263" s="160" t="str">
        <f t="shared" ref="K263:K266" si="848">J263</f>
        <v>2024.03</v>
      </c>
      <c r="L263" s="91" t="s">
        <v>8</v>
      </c>
      <c r="M263" s="92" t="s">
        <v>78</v>
      </c>
      <c r="N263" s="161">
        <v>475000</v>
      </c>
      <c r="O263" s="162">
        <f t="shared" ref="O263" si="849">ROUND(N263*V263,0)</f>
        <v>61750</v>
      </c>
      <c r="P263" s="160">
        <v>174</v>
      </c>
      <c r="Q263" s="236">
        <v>67.86</v>
      </c>
      <c r="R263" s="229">
        <f t="shared" ref="R263" si="850">Q263/P263</f>
        <v>0.39</v>
      </c>
      <c r="S263" s="163">
        <f t="shared" ref="S263" si="851">ROUND(N263*Q263/P263,0)</f>
        <v>185250</v>
      </c>
      <c r="T263" s="164">
        <f t="shared" ref="T263" si="852">ROUND(S263*V263,0)</f>
        <v>24083</v>
      </c>
      <c r="U263" s="165">
        <f t="shared" ref="U263" si="853">Q263/P263-S263/N263</f>
        <v>0</v>
      </c>
      <c r="V263" s="87">
        <v>0.13</v>
      </c>
      <c r="W263" s="223" t="s">
        <v>256</v>
      </c>
      <c r="X263" s="23">
        <v>45341</v>
      </c>
      <c r="Y263" s="20" t="s">
        <v>197</v>
      </c>
      <c r="Z263" s="20"/>
      <c r="AA263" s="20"/>
      <c r="AB263" s="167"/>
      <c r="AC263" s="243" t="s">
        <v>246</v>
      </c>
      <c r="AD263" s="243">
        <v>0</v>
      </c>
      <c r="AE263" s="243">
        <v>0</v>
      </c>
    </row>
    <row r="264" spans="1:36" s="8" customFormat="1" x14ac:dyDescent="0.25">
      <c r="A264" s="188"/>
      <c r="B264" s="92" t="s">
        <v>254</v>
      </c>
      <c r="C264" s="90" t="str">
        <f>VLOOKUP($F264,Admin!$A$16:$E$19,2,FALSE)</f>
        <v>Alkalmazott (ipari) kutatás – Működési költség</v>
      </c>
      <c r="D264" s="160" t="s">
        <v>129</v>
      </c>
      <c r="E264" s="90" t="str">
        <f>VLOOKUP($F264,Admin!$A$16:$E$19,4,FALSE)</f>
        <v>54. Bérköltség - Kutató-fejlesztő munkatárs</v>
      </c>
      <c r="F264" s="90" t="s">
        <v>171</v>
      </c>
      <c r="G264" s="160" t="s">
        <v>174</v>
      </c>
      <c r="H264" s="160" t="s">
        <v>255</v>
      </c>
      <c r="I264" s="90" t="str">
        <f>VLOOKUP($F264,Admin!$A$16:$E$19,5,FALSE)</f>
        <v>K+F munkatárs</v>
      </c>
      <c r="J264" s="160" t="s">
        <v>143</v>
      </c>
      <c r="K264" s="160" t="str">
        <f t="shared" si="848"/>
        <v>2024.04</v>
      </c>
      <c r="L264" s="91" t="s">
        <v>8</v>
      </c>
      <c r="M264" s="92" t="s">
        <v>78</v>
      </c>
      <c r="N264" s="161">
        <v>475000</v>
      </c>
      <c r="O264" s="162">
        <f t="shared" ref="O264:O266" si="854">ROUND(N264*V264,0)</f>
        <v>61750</v>
      </c>
      <c r="P264" s="160">
        <v>174</v>
      </c>
      <c r="Q264" s="236">
        <v>67.86</v>
      </c>
      <c r="R264" s="229">
        <f t="shared" ref="R264:R266" si="855">Q264/P264</f>
        <v>0.39</v>
      </c>
      <c r="S264" s="163">
        <f t="shared" ref="S264:S266" si="856">ROUND(N264*Q264/P264,0)</f>
        <v>185250</v>
      </c>
      <c r="T264" s="164">
        <f t="shared" ref="T264:T266" si="857">ROUND(S264*V264,0)</f>
        <v>24083</v>
      </c>
      <c r="U264" s="165">
        <f t="shared" ref="U264:U266" si="858">Q264/P264-S264/N264</f>
        <v>0</v>
      </c>
      <c r="V264" s="87">
        <v>0.13</v>
      </c>
      <c r="W264" s="223" t="s">
        <v>256</v>
      </c>
      <c r="X264" s="23">
        <v>45341</v>
      </c>
      <c r="Y264" s="20" t="s">
        <v>197</v>
      </c>
      <c r="Z264" s="20"/>
      <c r="AA264" s="20"/>
      <c r="AB264" s="167"/>
      <c r="AC264" s="8" t="s">
        <v>246</v>
      </c>
      <c r="AD264" s="243">
        <v>0</v>
      </c>
      <c r="AE264" s="233">
        <v>11981</v>
      </c>
    </row>
    <row r="265" spans="1:36" s="8" customFormat="1" x14ac:dyDescent="0.25">
      <c r="A265" s="188"/>
      <c r="B265" s="92" t="s">
        <v>254</v>
      </c>
      <c r="C265" s="90" t="str">
        <f>VLOOKUP($F265,Admin!$A$16:$E$19,2,FALSE)</f>
        <v>Alkalmazott (ipari) kutatás – Működési költség</v>
      </c>
      <c r="D265" s="160" t="s">
        <v>129</v>
      </c>
      <c r="E265" s="90" t="str">
        <f>VLOOKUP($F265,Admin!$A$16:$E$19,4,FALSE)</f>
        <v>54. Bérköltség - Kutató-fejlesztő munkatárs</v>
      </c>
      <c r="F265" s="90" t="s">
        <v>171</v>
      </c>
      <c r="G265" s="160" t="s">
        <v>174</v>
      </c>
      <c r="H265" s="160" t="s">
        <v>255</v>
      </c>
      <c r="I265" s="90" t="str">
        <f>VLOOKUP($F265,Admin!$A$16:$E$19,5,FALSE)</f>
        <v>K+F munkatárs</v>
      </c>
      <c r="J265" s="160" t="s">
        <v>144</v>
      </c>
      <c r="K265" s="160" t="str">
        <f t="shared" si="848"/>
        <v>2024.05</v>
      </c>
      <c r="L265" s="91" t="s">
        <v>8</v>
      </c>
      <c r="M265" s="92" t="s">
        <v>78</v>
      </c>
      <c r="N265" s="161">
        <v>475000</v>
      </c>
      <c r="O265" s="162">
        <f t="shared" si="854"/>
        <v>61750</v>
      </c>
      <c r="P265" s="160">
        <v>174</v>
      </c>
      <c r="Q265" s="236">
        <v>67.86</v>
      </c>
      <c r="R265" s="229">
        <f t="shared" si="855"/>
        <v>0.39</v>
      </c>
      <c r="S265" s="163">
        <f t="shared" si="856"/>
        <v>185250</v>
      </c>
      <c r="T265" s="164">
        <f t="shared" si="857"/>
        <v>24083</v>
      </c>
      <c r="U265" s="165">
        <f t="shared" si="858"/>
        <v>0</v>
      </c>
      <c r="V265" s="87">
        <v>0.13</v>
      </c>
      <c r="W265" s="223" t="s">
        <v>256</v>
      </c>
      <c r="X265" s="23">
        <v>45341</v>
      </c>
      <c r="Y265" s="20" t="s">
        <v>197</v>
      </c>
      <c r="Z265" s="20"/>
      <c r="AA265" s="20"/>
      <c r="AB265" s="167"/>
      <c r="AC265" s="8" t="s">
        <v>246</v>
      </c>
      <c r="AD265" s="243">
        <v>0</v>
      </c>
      <c r="AE265" s="243">
        <v>0</v>
      </c>
    </row>
    <row r="266" spans="1:36" s="8" customFormat="1" x14ac:dyDescent="0.25">
      <c r="A266" s="188"/>
      <c r="B266" s="92" t="s">
        <v>254</v>
      </c>
      <c r="C266" s="90" t="str">
        <f>VLOOKUP($F266,Admin!$A$16:$E$19,2,FALSE)</f>
        <v>Alkalmazott (ipari) kutatás – Működési költség</v>
      </c>
      <c r="D266" s="160" t="s">
        <v>129</v>
      </c>
      <c r="E266" s="90" t="str">
        <f>VLOOKUP($F266,Admin!$A$16:$E$19,4,FALSE)</f>
        <v>54. Bérköltség - Kutató-fejlesztő munkatárs</v>
      </c>
      <c r="F266" s="90" t="s">
        <v>171</v>
      </c>
      <c r="G266" s="160" t="s">
        <v>174</v>
      </c>
      <c r="H266" s="160" t="s">
        <v>255</v>
      </c>
      <c r="I266" s="90" t="str">
        <f>VLOOKUP($F266,Admin!$A$16:$E$19,5,FALSE)</f>
        <v>K+F munkatárs</v>
      </c>
      <c r="J266" s="160" t="s">
        <v>211</v>
      </c>
      <c r="K266" s="160" t="str">
        <f t="shared" si="848"/>
        <v>2024.06</v>
      </c>
      <c r="L266" s="91" t="s">
        <v>9</v>
      </c>
      <c r="M266" s="92" t="s">
        <v>78</v>
      </c>
      <c r="N266" s="161">
        <v>539500</v>
      </c>
      <c r="O266" s="162">
        <f t="shared" si="854"/>
        <v>70135</v>
      </c>
      <c r="P266" s="160">
        <v>174</v>
      </c>
      <c r="Q266" s="236">
        <v>59.16</v>
      </c>
      <c r="R266" s="229">
        <f t="shared" si="855"/>
        <v>0.33999999999999997</v>
      </c>
      <c r="S266" s="163">
        <f t="shared" si="856"/>
        <v>183430</v>
      </c>
      <c r="T266" s="164">
        <f t="shared" si="857"/>
        <v>23846</v>
      </c>
      <c r="U266" s="165">
        <f t="shared" si="858"/>
        <v>0</v>
      </c>
      <c r="V266" s="87">
        <v>0.13</v>
      </c>
      <c r="W266" s="223" t="s">
        <v>256</v>
      </c>
      <c r="X266" s="23">
        <v>45441</v>
      </c>
      <c r="Y266" s="20" t="s">
        <v>197</v>
      </c>
      <c r="Z266" s="20"/>
      <c r="AA266" s="20"/>
      <c r="AB266" s="167"/>
    </row>
    <row r="267" spans="1:36" s="8" customFormat="1" x14ac:dyDescent="0.25">
      <c r="A267" s="188"/>
      <c r="B267" s="92" t="s">
        <v>254</v>
      </c>
      <c r="C267" s="90" t="str">
        <f>VLOOKUP($F267,Admin!$A$16:$E$19,2,FALSE)</f>
        <v>Alkalmazott (ipari) kutatás – Működési költség</v>
      </c>
      <c r="D267" s="160" t="s">
        <v>129</v>
      </c>
      <c r="E267" s="90" t="str">
        <f>VLOOKUP($F267,Admin!$A$16:$E$19,4,FALSE)</f>
        <v>54. Bérköltség - Kutató-fejlesztő munkatárs</v>
      </c>
      <c r="F267" s="90" t="s">
        <v>171</v>
      </c>
      <c r="G267" s="160" t="s">
        <v>174</v>
      </c>
      <c r="H267" s="160" t="s">
        <v>255</v>
      </c>
      <c r="I267" s="90" t="str">
        <f>VLOOKUP($F267,Admin!$A$16:$E$19,5,FALSE)</f>
        <v>K+F munkatárs</v>
      </c>
      <c r="J267" s="160" t="s">
        <v>212</v>
      </c>
      <c r="K267" s="160" t="str">
        <f t="shared" ref="K267:K269" si="859">J267</f>
        <v>2024.07</v>
      </c>
      <c r="L267" s="91" t="s">
        <v>9</v>
      </c>
      <c r="M267" s="92" t="s">
        <v>78</v>
      </c>
      <c r="N267" s="161">
        <v>539500</v>
      </c>
      <c r="O267" s="162">
        <f t="shared" ref="O267" si="860">ROUND(N267*V267,0)</f>
        <v>70135</v>
      </c>
      <c r="P267" s="160">
        <v>174</v>
      </c>
      <c r="Q267" s="236">
        <v>59.16</v>
      </c>
      <c r="R267" s="229">
        <f t="shared" ref="R267" si="861">Q267/P267</f>
        <v>0.33999999999999997</v>
      </c>
      <c r="S267" s="163">
        <f t="shared" ref="S267" si="862">ROUND(N267*Q267/P267,0)</f>
        <v>183430</v>
      </c>
      <c r="T267" s="164">
        <f t="shared" ref="T267" si="863">ROUND(S267*V267,0)</f>
        <v>23846</v>
      </c>
      <c r="U267" s="165">
        <f t="shared" ref="U267" si="864">Q267/P267-S267/N267</f>
        <v>0</v>
      </c>
      <c r="V267" s="87">
        <v>0.13</v>
      </c>
      <c r="W267" s="223" t="s">
        <v>256</v>
      </c>
      <c r="X267" s="23">
        <v>45461</v>
      </c>
      <c r="Y267" s="20" t="s">
        <v>197</v>
      </c>
      <c r="Z267" s="20"/>
      <c r="AA267" s="20"/>
      <c r="AB267" s="167"/>
    </row>
    <row r="268" spans="1:36" s="8" customFormat="1" x14ac:dyDescent="0.25">
      <c r="A268" s="188"/>
      <c r="B268" s="92" t="s">
        <v>254</v>
      </c>
      <c r="C268" s="90" t="str">
        <f>VLOOKUP($F268,Admin!$A$16:$E$19,2,FALSE)</f>
        <v>Alkalmazott (ipari) kutatás – Működési költség</v>
      </c>
      <c r="D268" s="160" t="s">
        <v>129</v>
      </c>
      <c r="E268" s="90" t="str">
        <f>VLOOKUP($F268,Admin!$A$16:$E$19,4,FALSE)</f>
        <v>54. Bérköltség - Kutató-fejlesztő munkatárs</v>
      </c>
      <c r="F268" s="90" t="s">
        <v>171</v>
      </c>
      <c r="G268" s="160" t="s">
        <v>174</v>
      </c>
      <c r="H268" s="160" t="s">
        <v>255</v>
      </c>
      <c r="I268" s="90" t="str">
        <f>VLOOKUP($F268,Admin!$A$16:$E$19,5,FALSE)</f>
        <v>K+F munkatárs</v>
      </c>
      <c r="J268" s="160" t="s">
        <v>213</v>
      </c>
      <c r="K268" s="160" t="str">
        <f t="shared" si="859"/>
        <v>2024.08</v>
      </c>
      <c r="L268" s="91" t="s">
        <v>9</v>
      </c>
      <c r="M268" s="92" t="s">
        <v>78</v>
      </c>
      <c r="N268" s="161">
        <v>539500</v>
      </c>
      <c r="O268" s="162">
        <f t="shared" ref="O268:O269" si="865">ROUND(N268*V268,0)</f>
        <v>70135</v>
      </c>
      <c r="P268" s="160">
        <v>174</v>
      </c>
      <c r="Q268" s="236">
        <v>59.16</v>
      </c>
      <c r="R268" s="229">
        <f t="shared" ref="R268:R269" si="866">Q268/P268</f>
        <v>0.33999999999999997</v>
      </c>
      <c r="S268" s="163">
        <f t="shared" ref="S268:S269" si="867">ROUND(N268*Q268/P268,0)</f>
        <v>183430</v>
      </c>
      <c r="T268" s="164">
        <f t="shared" ref="T268:T269" si="868">ROUND(S268*V268,0)</f>
        <v>23846</v>
      </c>
      <c r="U268" s="165">
        <f t="shared" ref="U268:U269" si="869">Q268/P268-S268/N268</f>
        <v>0</v>
      </c>
      <c r="V268" s="87">
        <v>0.13</v>
      </c>
      <c r="W268" s="223" t="s">
        <v>256</v>
      </c>
      <c r="X268" s="23">
        <v>45461</v>
      </c>
      <c r="Y268" s="20" t="s">
        <v>197</v>
      </c>
      <c r="Z268" s="20"/>
      <c r="AA268" s="20"/>
      <c r="AB268" s="167"/>
    </row>
    <row r="269" spans="1:36" s="8" customFormat="1" x14ac:dyDescent="0.25">
      <c r="A269" s="188"/>
      <c r="B269" s="92" t="s">
        <v>254</v>
      </c>
      <c r="C269" s="90" t="str">
        <f>VLOOKUP($F269,Admin!$A$16:$E$19,2,FALSE)</f>
        <v>Alkalmazott (ipari) kutatás – Működési költség</v>
      </c>
      <c r="D269" s="160" t="s">
        <v>129</v>
      </c>
      <c r="E269" s="90" t="str">
        <f>VLOOKUP($F269,Admin!$A$16:$E$19,4,FALSE)</f>
        <v>54. Bérköltség - Kutató-fejlesztő munkatárs</v>
      </c>
      <c r="F269" s="90" t="s">
        <v>171</v>
      </c>
      <c r="G269" s="160" t="s">
        <v>174</v>
      </c>
      <c r="H269" s="160" t="s">
        <v>255</v>
      </c>
      <c r="I269" s="90" t="str">
        <f>VLOOKUP($F269,Admin!$A$16:$E$19,5,FALSE)</f>
        <v>K+F munkatárs</v>
      </c>
      <c r="J269" s="160" t="s">
        <v>214</v>
      </c>
      <c r="K269" s="160" t="str">
        <f t="shared" si="859"/>
        <v>2024.09</v>
      </c>
      <c r="L269" s="91" t="s">
        <v>9</v>
      </c>
      <c r="M269" s="92" t="s">
        <v>78</v>
      </c>
      <c r="N269" s="161">
        <v>539500</v>
      </c>
      <c r="O269" s="162">
        <f t="shared" si="865"/>
        <v>70135</v>
      </c>
      <c r="P269" s="160">
        <v>174</v>
      </c>
      <c r="Q269" s="236">
        <v>59.16</v>
      </c>
      <c r="R269" s="229">
        <f t="shared" si="866"/>
        <v>0.33999999999999997</v>
      </c>
      <c r="S269" s="163">
        <f t="shared" si="867"/>
        <v>183430</v>
      </c>
      <c r="T269" s="164">
        <f t="shared" si="868"/>
        <v>23846</v>
      </c>
      <c r="U269" s="165">
        <f t="shared" si="869"/>
        <v>0</v>
      </c>
      <c r="V269" s="87">
        <v>0.13</v>
      </c>
      <c r="W269" s="223" t="s">
        <v>256</v>
      </c>
      <c r="X269" s="23">
        <v>45461</v>
      </c>
      <c r="Y269" s="20" t="s">
        <v>197</v>
      </c>
      <c r="Z269" s="20"/>
      <c r="AA269" s="20"/>
      <c r="AB269" s="167"/>
    </row>
    <row r="270" spans="1:36" s="8" customFormat="1" x14ac:dyDescent="0.25">
      <c r="A270" s="207">
        <v>1</v>
      </c>
      <c r="B270" s="92" t="s">
        <v>205</v>
      </c>
      <c r="C270" s="90" t="str">
        <f>VLOOKUP($F270,Admin!$A$16:$E$19,2,FALSE)</f>
        <v>Alkalmazott (ipari) kutatás – Működési költség</v>
      </c>
      <c r="D270" s="160" t="s">
        <v>129</v>
      </c>
      <c r="E270" s="90" t="str">
        <f>VLOOKUP($F270,Admin!$A$16:$E$19,4,FALSE)</f>
        <v>54. Bérköltség - Kutató-fejlesztő munkatárs</v>
      </c>
      <c r="F270" s="90" t="s">
        <v>171</v>
      </c>
      <c r="G270" s="160" t="s">
        <v>174</v>
      </c>
      <c r="H270" s="160" t="s">
        <v>206</v>
      </c>
      <c r="I270" s="90" t="str">
        <f>VLOOKUP($F270,Admin!$A$16:$E$19,5,FALSE)</f>
        <v>K+F munkatárs</v>
      </c>
      <c r="J270" s="160" t="s">
        <v>43</v>
      </c>
      <c r="K270" s="160" t="str">
        <f t="shared" si="267"/>
        <v>2022.04</v>
      </c>
      <c r="L270" s="91" t="s">
        <v>8</v>
      </c>
      <c r="M270" s="92" t="s">
        <v>78</v>
      </c>
      <c r="N270" s="161">
        <v>1004800</v>
      </c>
      <c r="O270" s="162">
        <f t="shared" ref="O270" si="870">ROUND(N270*V270,0)</f>
        <v>130624</v>
      </c>
      <c r="P270" s="160">
        <v>174</v>
      </c>
      <c r="Q270" s="236">
        <v>34</v>
      </c>
      <c r="R270" s="229">
        <f t="shared" ref="R270" si="871">Q270/P270</f>
        <v>0.19540229885057472</v>
      </c>
      <c r="S270" s="163">
        <f t="shared" ref="S270" si="872">ROUND(N270*Q270/P270,0)</f>
        <v>196340</v>
      </c>
      <c r="T270" s="164">
        <f t="shared" ref="T270" si="873">ROUND(S270*V270,0)</f>
        <v>25524</v>
      </c>
      <c r="U270" s="165">
        <f t="shared" ref="U270" si="874">Q270/P270-S270/N270</f>
        <v>2.2878688046845674E-7</v>
      </c>
      <c r="V270" s="87">
        <v>0.13</v>
      </c>
      <c r="W270" s="223"/>
      <c r="X270" s="23">
        <v>44649</v>
      </c>
      <c r="Y270" s="20" t="s">
        <v>197</v>
      </c>
      <c r="Z270" s="20"/>
      <c r="AA270" s="20"/>
      <c r="AB270" s="167"/>
    </row>
    <row r="271" spans="1:36" s="8" customFormat="1" x14ac:dyDescent="0.25">
      <c r="A271" s="207">
        <v>1</v>
      </c>
      <c r="B271" s="92" t="s">
        <v>205</v>
      </c>
      <c r="C271" s="90" t="str">
        <f>VLOOKUP($F271,Admin!$A$16:$E$19,2,FALSE)</f>
        <v>Alkalmazott (ipari) kutatás – Működési költség</v>
      </c>
      <c r="D271" s="160" t="s">
        <v>129</v>
      </c>
      <c r="E271" s="90" t="str">
        <f>VLOOKUP($F271,Admin!$A$16:$E$19,4,FALSE)</f>
        <v>54. Bérköltség - Kutató-fejlesztő munkatárs</v>
      </c>
      <c r="F271" s="90" t="s">
        <v>171</v>
      </c>
      <c r="G271" s="160" t="s">
        <v>174</v>
      </c>
      <c r="H271" s="160" t="s">
        <v>206</v>
      </c>
      <c r="I271" s="90" t="str">
        <f>VLOOKUP($F271,Admin!$A$16:$E$19,5,FALSE)</f>
        <v>K+F munkatárs</v>
      </c>
      <c r="J271" s="160" t="s">
        <v>44</v>
      </c>
      <c r="K271" s="160" t="str">
        <f t="shared" ref="K271:K272" si="875">J271</f>
        <v>2022.05</v>
      </c>
      <c r="L271" s="91" t="s">
        <v>8</v>
      </c>
      <c r="M271" s="92" t="s">
        <v>78</v>
      </c>
      <c r="N271" s="161">
        <v>1004800</v>
      </c>
      <c r="O271" s="162">
        <f t="shared" ref="O271:O272" si="876">ROUND(N271*V271,0)</f>
        <v>130624</v>
      </c>
      <c r="P271" s="160">
        <v>174</v>
      </c>
      <c r="Q271" s="236">
        <v>34</v>
      </c>
      <c r="R271" s="229">
        <f t="shared" ref="R271:R272" si="877">Q271/P271</f>
        <v>0.19540229885057472</v>
      </c>
      <c r="S271" s="163">
        <f t="shared" ref="S271:S272" si="878">ROUND(N271*Q271/P271,0)</f>
        <v>196340</v>
      </c>
      <c r="T271" s="164">
        <f t="shared" ref="T271:T272" si="879">ROUND(S271*V271,0)</f>
        <v>25524</v>
      </c>
      <c r="U271" s="165">
        <f t="shared" ref="U271:U272" si="880">Q271/P271-S271/N271</f>
        <v>2.2878688046845674E-7</v>
      </c>
      <c r="V271" s="87">
        <v>0.13</v>
      </c>
      <c r="W271" s="223"/>
      <c r="X271" s="23">
        <v>44649</v>
      </c>
      <c r="Y271" s="20" t="s">
        <v>197</v>
      </c>
      <c r="Z271" s="20"/>
      <c r="AA271" s="20"/>
      <c r="AB271" s="167"/>
    </row>
    <row r="272" spans="1:36" s="8" customFormat="1" x14ac:dyDescent="0.25">
      <c r="A272" s="207">
        <v>1</v>
      </c>
      <c r="B272" s="92" t="s">
        <v>205</v>
      </c>
      <c r="C272" s="90" t="str">
        <f>VLOOKUP($F272,Admin!$A$16:$E$19,2,FALSE)</f>
        <v>Alkalmazott (ipari) kutatás – Működési költség</v>
      </c>
      <c r="D272" s="160" t="s">
        <v>129</v>
      </c>
      <c r="E272" s="90" t="str">
        <f>VLOOKUP($F272,Admin!$A$16:$E$19,4,FALSE)</f>
        <v>54. Bérköltség - Kutató-fejlesztő munkatárs</v>
      </c>
      <c r="F272" s="90" t="s">
        <v>171</v>
      </c>
      <c r="G272" s="160" t="s">
        <v>174</v>
      </c>
      <c r="H272" s="160" t="s">
        <v>206</v>
      </c>
      <c r="I272" s="90" t="str">
        <f>VLOOKUP($F272,Admin!$A$16:$E$19,5,FALSE)</f>
        <v>K+F munkatárs</v>
      </c>
      <c r="J272" s="160" t="s">
        <v>45</v>
      </c>
      <c r="K272" s="160" t="str">
        <f t="shared" si="875"/>
        <v>2022.06</v>
      </c>
      <c r="L272" s="91" t="s">
        <v>8</v>
      </c>
      <c r="M272" s="92" t="s">
        <v>78</v>
      </c>
      <c r="N272" s="161">
        <v>1004800</v>
      </c>
      <c r="O272" s="162">
        <f t="shared" si="876"/>
        <v>130624</v>
      </c>
      <c r="P272" s="160">
        <v>174</v>
      </c>
      <c r="Q272" s="236">
        <v>34</v>
      </c>
      <c r="R272" s="229">
        <f t="shared" si="877"/>
        <v>0.19540229885057472</v>
      </c>
      <c r="S272" s="163">
        <f t="shared" si="878"/>
        <v>196340</v>
      </c>
      <c r="T272" s="164">
        <f t="shared" si="879"/>
        <v>25524</v>
      </c>
      <c r="U272" s="165">
        <f t="shared" si="880"/>
        <v>2.2878688046845674E-7</v>
      </c>
      <c r="V272" s="87">
        <v>0.13</v>
      </c>
      <c r="W272" s="223"/>
      <c r="X272" s="23">
        <v>44713</v>
      </c>
      <c r="Y272" s="20" t="s">
        <v>197</v>
      </c>
      <c r="Z272" s="20"/>
      <c r="AA272" s="20"/>
      <c r="AB272" s="167"/>
    </row>
    <row r="273" spans="1:36" s="8" customFormat="1" x14ac:dyDescent="0.25">
      <c r="A273" s="207">
        <v>1</v>
      </c>
      <c r="B273" s="92" t="s">
        <v>205</v>
      </c>
      <c r="C273" s="90" t="str">
        <f>VLOOKUP($F273,Admin!$A$16:$E$19,2,FALSE)</f>
        <v>Alkalmazott (ipari) kutatás – Működési költség</v>
      </c>
      <c r="D273" s="160" t="s">
        <v>129</v>
      </c>
      <c r="E273" s="90" t="str">
        <f>VLOOKUP($F273,Admin!$A$16:$E$19,4,FALSE)</f>
        <v>54. Bérköltség - Kutató-fejlesztő munkatárs</v>
      </c>
      <c r="F273" s="90" t="s">
        <v>171</v>
      </c>
      <c r="G273" s="160" t="s">
        <v>174</v>
      </c>
      <c r="H273" s="160" t="s">
        <v>206</v>
      </c>
      <c r="I273" s="90" t="str">
        <f>VLOOKUP($F273,Admin!$A$16:$E$19,5,FALSE)</f>
        <v>K+F munkatárs</v>
      </c>
      <c r="J273" s="160" t="s">
        <v>46</v>
      </c>
      <c r="K273" s="160" t="str">
        <f t="shared" ref="K273:K275" si="881">J273</f>
        <v>2022.07</v>
      </c>
      <c r="L273" s="91" t="s">
        <v>8</v>
      </c>
      <c r="M273" s="92" t="s">
        <v>78</v>
      </c>
      <c r="N273" s="161">
        <v>1004799</v>
      </c>
      <c r="O273" s="162">
        <f t="shared" ref="O273" si="882">ROUND(N273*V273,0)</f>
        <v>130624</v>
      </c>
      <c r="P273" s="160">
        <v>174</v>
      </c>
      <c r="Q273" s="236">
        <v>34</v>
      </c>
      <c r="R273" s="229">
        <f t="shared" ref="R273" si="883">Q273/P273</f>
        <v>0.19540229885057472</v>
      </c>
      <c r="S273" s="163">
        <f t="shared" ref="S273" si="884">ROUND(N273*Q273/P273,0)</f>
        <v>196340</v>
      </c>
      <c r="T273" s="164">
        <f t="shared" ref="T273" si="885">ROUND(S273*V273,0)</f>
        <v>25524</v>
      </c>
      <c r="U273" s="165">
        <f t="shared" ref="U273" si="886">Q273/P273-S273/N273</f>
        <v>3.4318066222116528E-8</v>
      </c>
      <c r="V273" s="87">
        <v>0.13</v>
      </c>
      <c r="W273" s="223"/>
      <c r="X273" s="23">
        <v>44735</v>
      </c>
      <c r="Y273" s="20" t="s">
        <v>197</v>
      </c>
      <c r="Z273" s="20"/>
      <c r="AA273" s="20"/>
      <c r="AB273" s="167"/>
    </row>
    <row r="274" spans="1:36" s="8" customFormat="1" x14ac:dyDescent="0.25">
      <c r="A274" s="207">
        <v>1</v>
      </c>
      <c r="B274" s="92" t="s">
        <v>205</v>
      </c>
      <c r="C274" s="90" t="str">
        <f>VLOOKUP($F274,Admin!$A$16:$E$19,2,FALSE)</f>
        <v>Alkalmazott (ipari) kutatás – Működési költség</v>
      </c>
      <c r="D274" s="160" t="s">
        <v>129</v>
      </c>
      <c r="E274" s="90" t="str">
        <f>VLOOKUP($F274,Admin!$A$16:$E$19,4,FALSE)</f>
        <v>54. Bérköltség - Kutató-fejlesztő munkatárs</v>
      </c>
      <c r="F274" s="90" t="s">
        <v>171</v>
      </c>
      <c r="G274" s="160" t="s">
        <v>174</v>
      </c>
      <c r="H274" s="160" t="s">
        <v>206</v>
      </c>
      <c r="I274" s="90" t="str">
        <f>VLOOKUP($F274,Admin!$A$16:$E$19,5,FALSE)</f>
        <v>K+F munkatárs</v>
      </c>
      <c r="J274" s="160" t="s">
        <v>47</v>
      </c>
      <c r="K274" s="160" t="str">
        <f t="shared" si="881"/>
        <v>2022.08</v>
      </c>
      <c r="L274" s="91" t="s">
        <v>8</v>
      </c>
      <c r="M274" s="92" t="s">
        <v>78</v>
      </c>
      <c r="N274" s="161">
        <v>786365</v>
      </c>
      <c r="O274" s="162">
        <f t="shared" ref="O274:O275" si="887">ROUND(N274*V274,0)</f>
        <v>102227</v>
      </c>
      <c r="P274" s="160">
        <v>174</v>
      </c>
      <c r="Q274" s="236">
        <v>34</v>
      </c>
      <c r="R274" s="229">
        <f t="shared" ref="R274:R275" si="888">Q274/P274</f>
        <v>0.19540229885057472</v>
      </c>
      <c r="S274" s="163">
        <f t="shared" ref="S274:S275" si="889">ROUND(N274*Q274/P274,0)</f>
        <v>153658</v>
      </c>
      <c r="T274" s="164">
        <f t="shared" ref="T274:T275" si="890">ROUND(S274*V274,0)</f>
        <v>19976</v>
      </c>
      <c r="U274" s="165">
        <f t="shared" ref="U274:U275" si="891">Q274/P274-S274/N274</f>
        <v>-5.9929468859687418E-7</v>
      </c>
      <c r="V274" s="87">
        <v>0.13</v>
      </c>
      <c r="W274" s="223"/>
      <c r="X274" s="23">
        <v>44735</v>
      </c>
      <c r="Y274" s="20" t="s">
        <v>197</v>
      </c>
      <c r="Z274" s="20"/>
      <c r="AA274" s="20"/>
      <c r="AB274" s="167"/>
    </row>
    <row r="275" spans="1:36" s="8" customFormat="1" x14ac:dyDescent="0.25">
      <c r="A275" s="207">
        <v>1</v>
      </c>
      <c r="B275" s="92" t="s">
        <v>205</v>
      </c>
      <c r="C275" s="90" t="str">
        <f>VLOOKUP($F275,Admin!$A$16:$E$19,2,FALSE)</f>
        <v>Alkalmazott (ipari) kutatás – Működési költség</v>
      </c>
      <c r="D275" s="160" t="s">
        <v>129</v>
      </c>
      <c r="E275" s="90" t="str">
        <f>VLOOKUP($F275,Admin!$A$16:$E$19,4,FALSE)</f>
        <v>54. Bérköltség - Kutató-fejlesztő munkatárs</v>
      </c>
      <c r="F275" s="90" t="s">
        <v>171</v>
      </c>
      <c r="G275" s="160" t="s">
        <v>174</v>
      </c>
      <c r="H275" s="160" t="s">
        <v>206</v>
      </c>
      <c r="I275" s="90" t="str">
        <f>VLOOKUP($F275,Admin!$A$16:$E$19,5,FALSE)</f>
        <v>K+F munkatárs</v>
      </c>
      <c r="J275" s="160" t="s">
        <v>48</v>
      </c>
      <c r="K275" s="160" t="str">
        <f t="shared" si="881"/>
        <v>2022.09</v>
      </c>
      <c r="L275" s="91" t="s">
        <v>8</v>
      </c>
      <c r="M275" s="92" t="s">
        <v>78</v>
      </c>
      <c r="N275" s="161">
        <v>1004800</v>
      </c>
      <c r="O275" s="162">
        <f t="shared" si="887"/>
        <v>130624</v>
      </c>
      <c r="P275" s="160">
        <v>174</v>
      </c>
      <c r="Q275" s="236">
        <v>34</v>
      </c>
      <c r="R275" s="229">
        <f t="shared" si="888"/>
        <v>0.19540229885057472</v>
      </c>
      <c r="S275" s="163">
        <f t="shared" si="889"/>
        <v>196340</v>
      </c>
      <c r="T275" s="164">
        <f t="shared" si="890"/>
        <v>25524</v>
      </c>
      <c r="U275" s="165">
        <f t="shared" si="891"/>
        <v>2.2878688046845674E-7</v>
      </c>
      <c r="V275" s="87">
        <v>0.13</v>
      </c>
      <c r="W275" s="223"/>
      <c r="X275" s="23">
        <v>44735</v>
      </c>
      <c r="Y275" s="20" t="s">
        <v>197</v>
      </c>
      <c r="Z275" s="20"/>
      <c r="AA275" s="20"/>
      <c r="AB275" s="167"/>
    </row>
    <row r="276" spans="1:36" s="8" customFormat="1" x14ac:dyDescent="0.25">
      <c r="A276" s="207">
        <v>2</v>
      </c>
      <c r="B276" s="92" t="s">
        <v>205</v>
      </c>
      <c r="C276" s="90" t="str">
        <f>VLOOKUP($F276,Admin!$A$16:$E$19,2,FALSE)</f>
        <v>Kísérleti fejlesztés – Működési költség</v>
      </c>
      <c r="D276" s="160" t="s">
        <v>129</v>
      </c>
      <c r="E276" s="90" t="str">
        <f>VLOOKUP($F276,Admin!$A$16:$E$19,4,FALSE)</f>
        <v>54. Bérköltség - Kutató-fejlesztő munkatárs</v>
      </c>
      <c r="F276" s="90" t="s">
        <v>170</v>
      </c>
      <c r="G276" s="160" t="s">
        <v>174</v>
      </c>
      <c r="H276" s="160" t="s">
        <v>206</v>
      </c>
      <c r="I276" s="90" t="str">
        <f>VLOOKUP($F276,Admin!$A$16:$E$19,5,FALSE)</f>
        <v>K+F munkatárs</v>
      </c>
      <c r="J276" s="160" t="s">
        <v>49</v>
      </c>
      <c r="K276" s="160" t="str">
        <f t="shared" ref="K276:K278" si="892">J276</f>
        <v>2022.10</v>
      </c>
      <c r="L276" s="91" t="s">
        <v>8</v>
      </c>
      <c r="M276" s="92" t="s">
        <v>78</v>
      </c>
      <c r="N276" s="161">
        <v>1054800</v>
      </c>
      <c r="O276" s="162">
        <f t="shared" ref="O276" si="893">ROUND(N276*V276,0)</f>
        <v>137124</v>
      </c>
      <c r="P276" s="160">
        <v>174</v>
      </c>
      <c r="Q276" s="236">
        <v>53</v>
      </c>
      <c r="R276" s="229">
        <f t="shared" ref="R276" si="894">Q276/P276</f>
        <v>0.3045977011494253</v>
      </c>
      <c r="S276" s="163">
        <f t="shared" ref="S276" si="895">ROUND(N276*Q276/P276,0)</f>
        <v>321290</v>
      </c>
      <c r="T276" s="164">
        <f t="shared" ref="T276" si="896">ROUND(S276*V276,0)</f>
        <v>41768</v>
      </c>
      <c r="U276" s="165">
        <f t="shared" ref="U276" si="897">Q276/P276-S276/N276</f>
        <v>-3.269127665794791E-7</v>
      </c>
      <c r="V276" s="87">
        <v>0.13</v>
      </c>
      <c r="W276" s="223"/>
      <c r="X276" s="23">
        <v>44830</v>
      </c>
      <c r="Y276" s="20" t="s">
        <v>197</v>
      </c>
      <c r="Z276" s="20"/>
      <c r="AA276" s="20"/>
      <c r="AB276" s="167"/>
      <c r="AF276" s="8">
        <v>168</v>
      </c>
      <c r="AG276" s="8">
        <f t="shared" ref="AG276:AG287" si="898">ROUNDUP(AF276*R276,2)</f>
        <v>51.18</v>
      </c>
      <c r="AH276" s="235">
        <v>44869</v>
      </c>
      <c r="AI276" s="8" t="str">
        <f t="shared" ref="AI276:AI287" si="899">CONCATENATE(J276,".01")</f>
        <v>2022.10.01</v>
      </c>
      <c r="AJ276" s="235">
        <f t="shared" ref="AJ276:AJ287" si="900">EOMONTH(AI276,0)</f>
        <v>44865</v>
      </c>
    </row>
    <row r="277" spans="1:36" s="8" customFormat="1" x14ac:dyDescent="0.25">
      <c r="A277" s="207">
        <v>2</v>
      </c>
      <c r="B277" s="92" t="s">
        <v>205</v>
      </c>
      <c r="C277" s="90" t="str">
        <f>VLOOKUP($F277,Admin!$A$16:$E$19,2,FALSE)</f>
        <v>Kísérleti fejlesztés – Működési költség</v>
      </c>
      <c r="D277" s="160" t="s">
        <v>129</v>
      </c>
      <c r="E277" s="90" t="str">
        <f>VLOOKUP($F277,Admin!$A$16:$E$19,4,FALSE)</f>
        <v>54. Bérköltség - Kutató-fejlesztő munkatárs</v>
      </c>
      <c r="F277" s="90" t="s">
        <v>170</v>
      </c>
      <c r="G277" s="160" t="s">
        <v>174</v>
      </c>
      <c r="H277" s="160" t="s">
        <v>206</v>
      </c>
      <c r="I277" s="90" t="str">
        <f>VLOOKUP($F277,Admin!$A$16:$E$19,5,FALSE)</f>
        <v>K+F munkatárs</v>
      </c>
      <c r="J277" s="160" t="s">
        <v>50</v>
      </c>
      <c r="K277" s="160" t="str">
        <f t="shared" si="892"/>
        <v>2022.11</v>
      </c>
      <c r="L277" s="91" t="s">
        <v>8</v>
      </c>
      <c r="M277" s="92" t="s">
        <v>78</v>
      </c>
      <c r="N277" s="161">
        <v>1054800</v>
      </c>
      <c r="O277" s="162">
        <f t="shared" ref="O277:O278" si="901">ROUND(N277*V277,0)</f>
        <v>137124</v>
      </c>
      <c r="P277" s="160">
        <v>174</v>
      </c>
      <c r="Q277" s="236">
        <v>53</v>
      </c>
      <c r="R277" s="229">
        <f t="shared" ref="R277:R278" si="902">Q277/P277</f>
        <v>0.3045977011494253</v>
      </c>
      <c r="S277" s="163">
        <f t="shared" ref="S277:S278" si="903">ROUND(N277*Q277/P277,0)</f>
        <v>321290</v>
      </c>
      <c r="T277" s="164">
        <f t="shared" ref="T277:T278" si="904">ROUND(S277*V277,0)</f>
        <v>41768</v>
      </c>
      <c r="U277" s="165">
        <f t="shared" ref="U277:U278" si="905">Q277/P277-S277/N277</f>
        <v>-3.269127665794791E-7</v>
      </c>
      <c r="V277" s="87">
        <v>0.13</v>
      </c>
      <c r="W277" s="223" t="s">
        <v>230</v>
      </c>
      <c r="X277" s="23">
        <v>44830</v>
      </c>
      <c r="Y277" s="20" t="s">
        <v>197</v>
      </c>
      <c r="Z277" s="20"/>
      <c r="AA277" s="20"/>
      <c r="AB277" s="167"/>
      <c r="AC277" s="210" t="e">
        <v>#N/A</v>
      </c>
      <c r="AD277" s="210" t="e">
        <v>#N/A</v>
      </c>
      <c r="AE277" s="210" t="e">
        <v>#N/A</v>
      </c>
      <c r="AF277" s="8">
        <v>168</v>
      </c>
      <c r="AG277" s="8">
        <f t="shared" si="898"/>
        <v>51.18</v>
      </c>
      <c r="AH277" s="235">
        <v>44900</v>
      </c>
      <c r="AI277" s="8" t="str">
        <f t="shared" si="899"/>
        <v>2022.11.01</v>
      </c>
      <c r="AJ277" s="235">
        <f t="shared" si="900"/>
        <v>44895</v>
      </c>
    </row>
    <row r="278" spans="1:36" s="8" customFormat="1" x14ac:dyDescent="0.25">
      <c r="A278" s="207">
        <v>2</v>
      </c>
      <c r="B278" s="92" t="s">
        <v>205</v>
      </c>
      <c r="C278" s="90" t="str">
        <f>VLOOKUP($F278,Admin!$A$16:$E$19,2,FALSE)</f>
        <v>Kísérleti fejlesztés – Működési költség</v>
      </c>
      <c r="D278" s="160" t="s">
        <v>129</v>
      </c>
      <c r="E278" s="90" t="str">
        <f>VLOOKUP($F278,Admin!$A$16:$E$19,4,FALSE)</f>
        <v>54. Bérköltség - Kutató-fejlesztő munkatárs</v>
      </c>
      <c r="F278" s="90" t="s">
        <v>170</v>
      </c>
      <c r="G278" s="160" t="s">
        <v>174</v>
      </c>
      <c r="H278" s="160" t="s">
        <v>206</v>
      </c>
      <c r="I278" s="90" t="str">
        <f>VLOOKUP($F278,Admin!$A$16:$E$19,5,FALSE)</f>
        <v>K+F munkatárs</v>
      </c>
      <c r="J278" s="160" t="s">
        <v>51</v>
      </c>
      <c r="K278" s="160" t="str">
        <f t="shared" si="892"/>
        <v>2022.12</v>
      </c>
      <c r="L278" s="91" t="s">
        <v>8</v>
      </c>
      <c r="M278" s="92" t="s">
        <v>78</v>
      </c>
      <c r="N278" s="161">
        <v>1054800</v>
      </c>
      <c r="O278" s="162">
        <f t="shared" si="901"/>
        <v>137124</v>
      </c>
      <c r="P278" s="160">
        <v>174</v>
      </c>
      <c r="Q278" s="236">
        <v>53</v>
      </c>
      <c r="R278" s="229">
        <f t="shared" si="902"/>
        <v>0.3045977011494253</v>
      </c>
      <c r="S278" s="163">
        <f t="shared" si="903"/>
        <v>321290</v>
      </c>
      <c r="T278" s="164">
        <f t="shared" si="904"/>
        <v>41768</v>
      </c>
      <c r="U278" s="165">
        <f t="shared" si="905"/>
        <v>-3.269127665794791E-7</v>
      </c>
      <c r="V278" s="87">
        <v>0.13</v>
      </c>
      <c r="W278" s="223" t="s">
        <v>230</v>
      </c>
      <c r="X278" s="23">
        <v>44830</v>
      </c>
      <c r="Y278" s="20" t="s">
        <v>197</v>
      </c>
      <c r="Z278" s="20"/>
      <c r="AA278" s="20"/>
      <c r="AB278" s="167"/>
      <c r="AC278" s="210" t="s">
        <v>246</v>
      </c>
      <c r="AD278" s="218" t="s">
        <v>247</v>
      </c>
      <c r="AE278" s="210" t="s">
        <v>247</v>
      </c>
      <c r="AF278" s="8">
        <v>168</v>
      </c>
      <c r="AG278" s="8">
        <f t="shared" si="898"/>
        <v>51.18</v>
      </c>
      <c r="AH278" s="235">
        <v>44931</v>
      </c>
      <c r="AI278" s="8" t="str">
        <f t="shared" si="899"/>
        <v>2022.12.01</v>
      </c>
      <c r="AJ278" s="235">
        <f t="shared" si="900"/>
        <v>44926</v>
      </c>
    </row>
    <row r="279" spans="1:36" s="8" customFormat="1" x14ac:dyDescent="0.25">
      <c r="A279" s="207">
        <v>2</v>
      </c>
      <c r="B279" s="92" t="s">
        <v>205</v>
      </c>
      <c r="C279" s="90" t="str">
        <f>VLOOKUP($F279,Admin!$A$16:$E$19,2,FALSE)</f>
        <v>Kísérleti fejlesztés – Működési költség</v>
      </c>
      <c r="D279" s="160" t="s">
        <v>129</v>
      </c>
      <c r="E279" s="90" t="str">
        <f>VLOOKUP($F279,Admin!$A$16:$E$19,4,FALSE)</f>
        <v>54. Bérköltség - Kutató-fejlesztő munkatárs</v>
      </c>
      <c r="F279" s="90" t="s">
        <v>170</v>
      </c>
      <c r="G279" s="160" t="s">
        <v>174</v>
      </c>
      <c r="H279" s="160" t="s">
        <v>206</v>
      </c>
      <c r="I279" s="90" t="str">
        <f>VLOOKUP($F279,Admin!$A$16:$E$19,5,FALSE)</f>
        <v>K+F munkatárs</v>
      </c>
      <c r="J279" s="160" t="s">
        <v>64</v>
      </c>
      <c r="K279" s="160" t="str">
        <f t="shared" ref="K279:K281" si="906">J279</f>
        <v>2023.01</v>
      </c>
      <c r="L279" s="91" t="s">
        <v>8</v>
      </c>
      <c r="M279" s="92" t="s">
        <v>78</v>
      </c>
      <c r="N279" s="161">
        <v>1150000</v>
      </c>
      <c r="O279" s="162">
        <f t="shared" ref="O279" si="907">ROUND(N279*V279,0)</f>
        <v>149500</v>
      </c>
      <c r="P279" s="160">
        <v>174</v>
      </c>
      <c r="Q279" s="236">
        <v>31</v>
      </c>
      <c r="R279" s="229">
        <f t="shared" ref="R279" si="908">Q279/P279</f>
        <v>0.17816091954022989</v>
      </c>
      <c r="S279" s="163">
        <f t="shared" ref="S279" si="909">ROUND(N279*Q279/P279,0)</f>
        <v>204885</v>
      </c>
      <c r="T279" s="164">
        <f t="shared" ref="T279" si="910">ROUND(S279*V279,0)</f>
        <v>26635</v>
      </c>
      <c r="U279" s="165">
        <f t="shared" ref="U279" si="911">Q279/P279-S279/N279</f>
        <v>4.9975012489378301E-8</v>
      </c>
      <c r="V279" s="87">
        <v>0.13</v>
      </c>
      <c r="W279" s="223" t="s">
        <v>230</v>
      </c>
      <c r="X279" s="23">
        <v>44938</v>
      </c>
      <c r="Y279" s="20" t="s">
        <v>197</v>
      </c>
      <c r="Z279" s="20"/>
      <c r="AA279" s="20"/>
      <c r="AB279" s="167"/>
      <c r="AC279" s="210" t="s">
        <v>246</v>
      </c>
      <c r="AD279" s="218">
        <v>1</v>
      </c>
      <c r="AE279" s="210">
        <v>0</v>
      </c>
      <c r="AF279" s="8">
        <v>176</v>
      </c>
      <c r="AG279" s="8">
        <f t="shared" si="898"/>
        <v>31.360000000000003</v>
      </c>
      <c r="AH279" s="235">
        <v>44960</v>
      </c>
      <c r="AI279" s="8" t="str">
        <f t="shared" si="899"/>
        <v>2023.01.01</v>
      </c>
      <c r="AJ279" s="235">
        <f t="shared" si="900"/>
        <v>44957</v>
      </c>
    </row>
    <row r="280" spans="1:36" s="8" customFormat="1" x14ac:dyDescent="0.25">
      <c r="A280" s="207">
        <v>2</v>
      </c>
      <c r="B280" s="92" t="s">
        <v>205</v>
      </c>
      <c r="C280" s="90" t="str">
        <f>VLOOKUP($F280,Admin!$A$16:$E$19,2,FALSE)</f>
        <v>Kísérleti fejlesztés – Működési költség</v>
      </c>
      <c r="D280" s="160" t="s">
        <v>129</v>
      </c>
      <c r="E280" s="90" t="str">
        <f>VLOOKUP($F280,Admin!$A$16:$E$19,4,FALSE)</f>
        <v>54. Bérköltség - Kutató-fejlesztő munkatárs</v>
      </c>
      <c r="F280" s="90" t="s">
        <v>170</v>
      </c>
      <c r="G280" s="160" t="s">
        <v>174</v>
      </c>
      <c r="H280" s="160" t="s">
        <v>206</v>
      </c>
      <c r="I280" s="90" t="str">
        <f>VLOOKUP($F280,Admin!$A$16:$E$19,5,FALSE)</f>
        <v>K+F munkatárs</v>
      </c>
      <c r="J280" s="160" t="s">
        <v>65</v>
      </c>
      <c r="K280" s="160" t="str">
        <f t="shared" si="906"/>
        <v>2023.02</v>
      </c>
      <c r="L280" s="91" t="s">
        <v>8</v>
      </c>
      <c r="M280" s="92" t="s">
        <v>78</v>
      </c>
      <c r="N280" s="161">
        <v>1150000</v>
      </c>
      <c r="O280" s="162">
        <f t="shared" ref="O280:O281" si="912">ROUND(N280*V280,0)</f>
        <v>149500</v>
      </c>
      <c r="P280" s="160">
        <v>174</v>
      </c>
      <c r="Q280" s="236">
        <v>31</v>
      </c>
      <c r="R280" s="229">
        <f t="shared" ref="R280:R281" si="913">Q280/P280</f>
        <v>0.17816091954022989</v>
      </c>
      <c r="S280" s="163">
        <f t="shared" ref="S280:S281" si="914">ROUND(N280*Q280/P280,0)</f>
        <v>204885</v>
      </c>
      <c r="T280" s="164">
        <f t="shared" ref="T280:T281" si="915">ROUND(S280*V280,0)</f>
        <v>26635</v>
      </c>
      <c r="U280" s="165">
        <f t="shared" ref="U280:U281" si="916">Q280/P280-S280/N280</f>
        <v>4.9975012489378301E-8</v>
      </c>
      <c r="V280" s="87">
        <v>0.13</v>
      </c>
      <c r="W280" s="223" t="s">
        <v>230</v>
      </c>
      <c r="X280" s="23">
        <v>44938</v>
      </c>
      <c r="Y280" s="20" t="s">
        <v>197</v>
      </c>
      <c r="Z280" s="20"/>
      <c r="AA280" s="20"/>
      <c r="AB280" s="167"/>
      <c r="AC280" s="8" t="s">
        <v>246</v>
      </c>
      <c r="AD280" s="8">
        <v>0</v>
      </c>
      <c r="AE280" s="8">
        <v>109699</v>
      </c>
      <c r="AF280" s="8">
        <v>160</v>
      </c>
      <c r="AG280" s="8">
        <f t="shared" si="898"/>
        <v>28.51</v>
      </c>
      <c r="AH280" s="235">
        <v>44988</v>
      </c>
      <c r="AI280" s="8" t="str">
        <f t="shared" si="899"/>
        <v>2023.02.01</v>
      </c>
      <c r="AJ280" s="235">
        <f t="shared" si="900"/>
        <v>44985</v>
      </c>
    </row>
    <row r="281" spans="1:36" s="8" customFormat="1" x14ac:dyDescent="0.25">
      <c r="A281" s="207">
        <v>2</v>
      </c>
      <c r="B281" s="92" t="s">
        <v>205</v>
      </c>
      <c r="C281" s="90" t="str">
        <f>VLOOKUP($F281,Admin!$A$16:$E$19,2,FALSE)</f>
        <v>Kísérleti fejlesztés – Működési költség</v>
      </c>
      <c r="D281" s="160" t="s">
        <v>129</v>
      </c>
      <c r="E281" s="90" t="str">
        <f>VLOOKUP($F281,Admin!$A$16:$E$19,4,FALSE)</f>
        <v>54. Bérköltség - Kutató-fejlesztő munkatárs</v>
      </c>
      <c r="F281" s="90" t="s">
        <v>170</v>
      </c>
      <c r="G281" s="160" t="s">
        <v>174</v>
      </c>
      <c r="H281" s="160" t="s">
        <v>206</v>
      </c>
      <c r="I281" s="90" t="str">
        <f>VLOOKUP($F281,Admin!$A$16:$E$19,5,FALSE)</f>
        <v>K+F munkatárs</v>
      </c>
      <c r="J281" s="160" t="s">
        <v>66</v>
      </c>
      <c r="K281" s="160" t="str">
        <f t="shared" si="906"/>
        <v>2023.03</v>
      </c>
      <c r="L281" s="91" t="s">
        <v>8</v>
      </c>
      <c r="M281" s="92" t="s">
        <v>78</v>
      </c>
      <c r="N281" s="161">
        <v>1150000</v>
      </c>
      <c r="O281" s="162">
        <f t="shared" si="912"/>
        <v>149500</v>
      </c>
      <c r="P281" s="160">
        <v>174</v>
      </c>
      <c r="Q281" s="236">
        <v>31</v>
      </c>
      <c r="R281" s="229">
        <f t="shared" si="913"/>
        <v>0.17816091954022989</v>
      </c>
      <c r="S281" s="163">
        <f t="shared" si="914"/>
        <v>204885</v>
      </c>
      <c r="T281" s="164">
        <f t="shared" si="915"/>
        <v>26635</v>
      </c>
      <c r="U281" s="165">
        <f t="shared" si="916"/>
        <v>4.9975012489378301E-8</v>
      </c>
      <c r="V281" s="87">
        <v>0.13</v>
      </c>
      <c r="W281" s="223" t="s">
        <v>230</v>
      </c>
      <c r="X281" s="23">
        <v>44938</v>
      </c>
      <c r="Y281" s="20" t="s">
        <v>197</v>
      </c>
      <c r="Z281" s="20"/>
      <c r="AA281" s="20"/>
      <c r="AB281" s="167"/>
      <c r="AC281" s="8" t="s">
        <v>246</v>
      </c>
      <c r="AD281" s="8">
        <v>0</v>
      </c>
      <c r="AE281" s="8">
        <v>109699</v>
      </c>
      <c r="AF281" s="8">
        <v>176</v>
      </c>
      <c r="AG281" s="8">
        <f t="shared" si="898"/>
        <v>31.360000000000003</v>
      </c>
      <c r="AH281" s="235">
        <v>45021</v>
      </c>
      <c r="AI281" s="8" t="str">
        <f t="shared" si="899"/>
        <v>2023.03.01</v>
      </c>
      <c r="AJ281" s="235">
        <f t="shared" si="900"/>
        <v>45016</v>
      </c>
    </row>
    <row r="282" spans="1:36" s="8" customFormat="1" x14ac:dyDescent="0.25">
      <c r="A282" s="207">
        <v>2</v>
      </c>
      <c r="B282" s="92" t="s">
        <v>205</v>
      </c>
      <c r="C282" s="90" t="str">
        <f>VLOOKUP($F282,Admin!$A$16:$E$19,2,FALSE)</f>
        <v>Kísérleti fejlesztés – Működési költség</v>
      </c>
      <c r="D282" s="160" t="s">
        <v>129</v>
      </c>
      <c r="E282" s="90" t="str">
        <f>VLOOKUP($F282,Admin!$A$16:$E$19,4,FALSE)</f>
        <v>54. Bérköltség - Kutató-fejlesztő munkatárs</v>
      </c>
      <c r="F282" s="90" t="s">
        <v>170</v>
      </c>
      <c r="G282" s="160" t="s">
        <v>174</v>
      </c>
      <c r="H282" s="160" t="s">
        <v>206</v>
      </c>
      <c r="I282" s="90" t="str">
        <f>VLOOKUP($F282,Admin!$A$16:$E$19,5,FALSE)</f>
        <v>K+F munkatárs</v>
      </c>
      <c r="J282" s="160" t="s">
        <v>67</v>
      </c>
      <c r="K282" s="160" t="str">
        <f t="shared" ref="K282:K286" si="917">J282</f>
        <v>2023.04</v>
      </c>
      <c r="L282" s="91" t="s">
        <v>8</v>
      </c>
      <c r="M282" s="92" t="s">
        <v>78</v>
      </c>
      <c r="N282" s="161">
        <v>1150000</v>
      </c>
      <c r="O282" s="162">
        <f t="shared" ref="O282" si="918">ROUND(N282*V282,0)</f>
        <v>149500</v>
      </c>
      <c r="P282" s="160">
        <v>174</v>
      </c>
      <c r="Q282" s="236">
        <v>31</v>
      </c>
      <c r="R282" s="229">
        <f t="shared" ref="R282" si="919">Q282/P282</f>
        <v>0.17816091954022989</v>
      </c>
      <c r="S282" s="163">
        <f t="shared" ref="S282" si="920">ROUND(N282*Q282/P282,0)</f>
        <v>204885</v>
      </c>
      <c r="T282" s="164">
        <f t="shared" ref="T282" si="921">ROUND(S282*V282,0)</f>
        <v>26635</v>
      </c>
      <c r="U282" s="165">
        <f t="shared" ref="U282" si="922">Q282/P282-S282/N282</f>
        <v>4.9975012489378301E-8</v>
      </c>
      <c r="V282" s="87">
        <v>0.13</v>
      </c>
      <c r="W282" s="223" t="s">
        <v>230</v>
      </c>
      <c r="X282" s="23">
        <v>45002</v>
      </c>
      <c r="Y282" s="20" t="s">
        <v>197</v>
      </c>
      <c r="Z282" s="20"/>
      <c r="AA282" s="20"/>
      <c r="AB282" s="167"/>
      <c r="AC282" s="8" t="s">
        <v>246</v>
      </c>
      <c r="AD282" s="8">
        <v>0</v>
      </c>
      <c r="AE282" s="233">
        <v>109699</v>
      </c>
      <c r="AF282" s="8">
        <v>144</v>
      </c>
      <c r="AG282" s="8">
        <f t="shared" si="898"/>
        <v>25.66</v>
      </c>
      <c r="AH282" s="235">
        <v>45051</v>
      </c>
      <c r="AI282" s="8" t="str">
        <f t="shared" si="899"/>
        <v>2023.04.01</v>
      </c>
      <c r="AJ282" s="235">
        <f t="shared" si="900"/>
        <v>45046</v>
      </c>
    </row>
    <row r="283" spans="1:36" s="8" customFormat="1" x14ac:dyDescent="0.25">
      <c r="A283" s="207">
        <v>2</v>
      </c>
      <c r="B283" s="92" t="s">
        <v>205</v>
      </c>
      <c r="C283" s="90" t="str">
        <f>VLOOKUP($F283,Admin!$A$16:$E$19,2,FALSE)</f>
        <v>Kísérleti fejlesztés – Működési költség</v>
      </c>
      <c r="D283" s="160" t="s">
        <v>129</v>
      </c>
      <c r="E283" s="90" t="str">
        <f>VLOOKUP($F283,Admin!$A$16:$E$19,4,FALSE)</f>
        <v>54. Bérköltség - Kutató-fejlesztő munkatárs</v>
      </c>
      <c r="F283" s="90" t="s">
        <v>170</v>
      </c>
      <c r="G283" s="160" t="s">
        <v>174</v>
      </c>
      <c r="H283" s="160" t="s">
        <v>206</v>
      </c>
      <c r="I283" s="90" t="str">
        <f>VLOOKUP($F283,Admin!$A$16:$E$19,5,FALSE)</f>
        <v>K+F munkatárs</v>
      </c>
      <c r="J283" s="160" t="s">
        <v>68</v>
      </c>
      <c r="K283" s="160" t="str">
        <f t="shared" si="917"/>
        <v>2023.05</v>
      </c>
      <c r="L283" s="91" t="s">
        <v>8</v>
      </c>
      <c r="M283" s="92" t="s">
        <v>78</v>
      </c>
      <c r="N283" s="161">
        <v>1149999</v>
      </c>
      <c r="O283" s="162">
        <f t="shared" ref="O283:O285" si="923">ROUND(N283*V283,0)</f>
        <v>149500</v>
      </c>
      <c r="P283" s="160">
        <v>174</v>
      </c>
      <c r="Q283" s="236">
        <v>31</v>
      </c>
      <c r="R283" s="229">
        <f t="shared" ref="R283:R285" si="924">Q283/P283</f>
        <v>0.17816091954022989</v>
      </c>
      <c r="S283" s="163">
        <f t="shared" ref="S283:S285" si="925">ROUND(N283*Q283/P283,0)</f>
        <v>204885</v>
      </c>
      <c r="T283" s="164">
        <f t="shared" ref="T283:T285" si="926">ROUND(S283*V283,0)</f>
        <v>26635</v>
      </c>
      <c r="U283" s="165">
        <f t="shared" ref="U283:U285" si="927">Q283/P283-S283/N283</f>
        <v>-1.049476174852515E-7</v>
      </c>
      <c r="V283" s="87">
        <v>0.13</v>
      </c>
      <c r="W283" s="223" t="s">
        <v>230</v>
      </c>
      <c r="X283" s="23">
        <v>45002</v>
      </c>
      <c r="Y283" s="20" t="s">
        <v>197</v>
      </c>
      <c r="Z283" s="20"/>
      <c r="AA283" s="20"/>
      <c r="AB283" s="167"/>
      <c r="AC283" s="8" t="s">
        <v>246</v>
      </c>
      <c r="AD283" s="8">
        <v>0</v>
      </c>
      <c r="AE283" s="8">
        <v>0</v>
      </c>
      <c r="AF283" s="8">
        <v>168</v>
      </c>
      <c r="AG283" s="8">
        <f t="shared" si="898"/>
        <v>29.94</v>
      </c>
      <c r="AH283" s="235">
        <v>45082</v>
      </c>
      <c r="AI283" s="8" t="str">
        <f t="shared" si="899"/>
        <v>2023.05.01</v>
      </c>
      <c r="AJ283" s="235">
        <f t="shared" si="900"/>
        <v>45077</v>
      </c>
    </row>
    <row r="284" spans="1:36" s="8" customFormat="1" x14ac:dyDescent="0.25">
      <c r="A284" s="207">
        <v>2</v>
      </c>
      <c r="B284" s="92" t="s">
        <v>205</v>
      </c>
      <c r="C284" s="90" t="str">
        <f>VLOOKUP($F284,Admin!$A$16:$E$19,2,FALSE)</f>
        <v>Kísérleti fejlesztés – Működési költség</v>
      </c>
      <c r="D284" s="160" t="s">
        <v>129</v>
      </c>
      <c r="E284" s="90" t="str">
        <f>VLOOKUP($F284,Admin!$A$16:$E$19,4,FALSE)</f>
        <v>54. Bérköltség - Kutató-fejlesztő munkatárs</v>
      </c>
      <c r="F284" s="90" t="s">
        <v>170</v>
      </c>
      <c r="G284" s="160" t="s">
        <v>174</v>
      </c>
      <c r="H284" s="160" t="s">
        <v>206</v>
      </c>
      <c r="I284" s="90" t="str">
        <f>VLOOKUP($F284,Admin!$A$16:$E$19,5,FALSE)</f>
        <v>K+F munkatárs</v>
      </c>
      <c r="J284" s="160" t="s">
        <v>69</v>
      </c>
      <c r="K284" s="160" t="str">
        <f t="shared" si="917"/>
        <v>2023.06</v>
      </c>
      <c r="L284" s="91" t="s">
        <v>8</v>
      </c>
      <c r="M284" s="92" t="s">
        <v>78</v>
      </c>
      <c r="N284" s="161">
        <v>1150000</v>
      </c>
      <c r="O284" s="162">
        <f t="shared" si="923"/>
        <v>149500</v>
      </c>
      <c r="P284" s="160">
        <v>174</v>
      </c>
      <c r="Q284" s="236">
        <v>31</v>
      </c>
      <c r="R284" s="229">
        <f t="shared" si="924"/>
        <v>0.17816091954022989</v>
      </c>
      <c r="S284" s="163">
        <f t="shared" si="925"/>
        <v>204885</v>
      </c>
      <c r="T284" s="164">
        <f t="shared" si="926"/>
        <v>26635</v>
      </c>
      <c r="U284" s="165">
        <f t="shared" si="927"/>
        <v>4.9975012489378301E-8</v>
      </c>
      <c r="V284" s="87">
        <v>0.13</v>
      </c>
      <c r="W284" s="223" t="s">
        <v>230</v>
      </c>
      <c r="X284" s="23">
        <v>45002</v>
      </c>
      <c r="Y284" s="20" t="s">
        <v>197</v>
      </c>
      <c r="Z284" s="20"/>
      <c r="AA284" s="20"/>
      <c r="AB284" s="167"/>
      <c r="AC284" s="8" t="s">
        <v>246</v>
      </c>
      <c r="AD284" s="8">
        <v>0</v>
      </c>
      <c r="AE284" s="8">
        <v>0</v>
      </c>
      <c r="AF284" s="8">
        <v>176</v>
      </c>
      <c r="AG284" s="8">
        <f t="shared" si="898"/>
        <v>31.360000000000003</v>
      </c>
      <c r="AH284" s="235">
        <v>45112</v>
      </c>
      <c r="AI284" s="8" t="str">
        <f t="shared" si="899"/>
        <v>2023.06.01</v>
      </c>
      <c r="AJ284" s="235">
        <f t="shared" si="900"/>
        <v>45107</v>
      </c>
    </row>
    <row r="285" spans="1:36" s="8" customFormat="1" x14ac:dyDescent="0.25">
      <c r="A285" s="207">
        <v>2</v>
      </c>
      <c r="B285" s="92" t="s">
        <v>205</v>
      </c>
      <c r="C285" s="90" t="str">
        <f>VLOOKUP($F285,Admin!$A$16:$E$19,2,FALSE)</f>
        <v>Kísérleti fejlesztés – Működési költség</v>
      </c>
      <c r="D285" s="160" t="s">
        <v>129</v>
      </c>
      <c r="E285" s="90" t="str">
        <f>VLOOKUP($F285,Admin!$A$16:$E$19,4,FALSE)</f>
        <v>54. Bérköltség - Kutató-fejlesztő munkatárs</v>
      </c>
      <c r="F285" s="90" t="s">
        <v>170</v>
      </c>
      <c r="G285" s="160" t="s">
        <v>174</v>
      </c>
      <c r="H285" s="160" t="s">
        <v>206</v>
      </c>
      <c r="I285" s="90" t="str">
        <f>VLOOKUP($F285,Admin!$A$16:$E$19,5,FALSE)</f>
        <v>K+F munkatárs</v>
      </c>
      <c r="J285" s="160" t="s">
        <v>70</v>
      </c>
      <c r="K285" s="160" t="str">
        <f t="shared" si="917"/>
        <v>2023.07</v>
      </c>
      <c r="L285" s="91" t="s">
        <v>8</v>
      </c>
      <c r="M285" s="92" t="s">
        <v>78</v>
      </c>
      <c r="N285" s="161">
        <v>1150000</v>
      </c>
      <c r="O285" s="162">
        <f t="shared" si="923"/>
        <v>149500</v>
      </c>
      <c r="P285" s="160">
        <v>174</v>
      </c>
      <c r="Q285" s="236">
        <v>31</v>
      </c>
      <c r="R285" s="229">
        <f t="shared" si="924"/>
        <v>0.17816091954022989</v>
      </c>
      <c r="S285" s="163">
        <f t="shared" si="925"/>
        <v>204885</v>
      </c>
      <c r="T285" s="164">
        <f t="shared" si="926"/>
        <v>26635</v>
      </c>
      <c r="U285" s="165">
        <f t="shared" si="927"/>
        <v>4.9975012489378301E-8</v>
      </c>
      <c r="V285" s="87">
        <v>0.13</v>
      </c>
      <c r="W285" s="223" t="s">
        <v>230</v>
      </c>
      <c r="X285" s="23">
        <v>45096</v>
      </c>
      <c r="Y285" s="20" t="s">
        <v>197</v>
      </c>
      <c r="Z285" s="20"/>
      <c r="AA285" s="20"/>
      <c r="AB285" s="167"/>
      <c r="AC285" s="8" t="s">
        <v>246</v>
      </c>
      <c r="AD285" s="8">
        <v>-1</v>
      </c>
      <c r="AE285" s="8">
        <v>0</v>
      </c>
      <c r="AF285" s="8">
        <v>168</v>
      </c>
      <c r="AG285" s="8">
        <f t="shared" si="898"/>
        <v>29.94</v>
      </c>
      <c r="AH285" s="235">
        <v>45142</v>
      </c>
      <c r="AI285" s="8" t="str">
        <f t="shared" si="899"/>
        <v>2023.07.01</v>
      </c>
      <c r="AJ285" s="235">
        <f t="shared" si="900"/>
        <v>45138</v>
      </c>
    </row>
    <row r="286" spans="1:36" s="8" customFormat="1" x14ac:dyDescent="0.25">
      <c r="A286" s="207">
        <v>2</v>
      </c>
      <c r="B286" s="92" t="s">
        <v>205</v>
      </c>
      <c r="C286" s="90" t="str">
        <f>VLOOKUP($F286,Admin!$A$16:$E$19,2,FALSE)</f>
        <v>Kísérleti fejlesztés – Működési költség</v>
      </c>
      <c r="D286" s="160" t="s">
        <v>129</v>
      </c>
      <c r="E286" s="90" t="str">
        <f>VLOOKUP($F286,Admin!$A$16:$E$19,4,FALSE)</f>
        <v>54. Bérköltség - Kutató-fejlesztő munkatárs</v>
      </c>
      <c r="F286" s="90" t="s">
        <v>170</v>
      </c>
      <c r="G286" s="160" t="s">
        <v>174</v>
      </c>
      <c r="H286" s="160" t="s">
        <v>206</v>
      </c>
      <c r="I286" s="90" t="str">
        <f>VLOOKUP($F286,Admin!$A$16:$E$19,5,FALSE)</f>
        <v>K+F munkatárs</v>
      </c>
      <c r="J286" s="160" t="s">
        <v>71</v>
      </c>
      <c r="K286" s="160" t="str">
        <f t="shared" si="917"/>
        <v>2023.08</v>
      </c>
      <c r="L286" s="91" t="s">
        <v>8</v>
      </c>
      <c r="M286" s="92" t="s">
        <v>78</v>
      </c>
      <c r="N286" s="161">
        <v>1149999</v>
      </c>
      <c r="O286" s="162">
        <f t="shared" ref="O286" si="928">ROUND(N286*V286,0)</f>
        <v>149500</v>
      </c>
      <c r="P286" s="160">
        <v>174</v>
      </c>
      <c r="Q286" s="236">
        <v>31</v>
      </c>
      <c r="R286" s="229">
        <f t="shared" ref="R286" si="929">Q286/P286</f>
        <v>0.17816091954022989</v>
      </c>
      <c r="S286" s="163">
        <f t="shared" ref="S286" si="930">ROUND(N286*Q286/P286,0)</f>
        <v>204885</v>
      </c>
      <c r="T286" s="164">
        <f t="shared" ref="T286" si="931">ROUND(S286*V286,0)</f>
        <v>26635</v>
      </c>
      <c r="U286" s="165">
        <f t="shared" ref="U286" si="932">Q286/P286-S286/N286</f>
        <v>-1.049476174852515E-7</v>
      </c>
      <c r="V286" s="87">
        <v>0.13</v>
      </c>
      <c r="W286" s="223" t="s">
        <v>230</v>
      </c>
      <c r="X286" s="23">
        <v>45096</v>
      </c>
      <c r="Y286" s="20" t="s">
        <v>197</v>
      </c>
      <c r="Z286" s="20"/>
      <c r="AA286" s="20"/>
      <c r="AB286" s="167"/>
      <c r="AC286" s="8" t="s">
        <v>246</v>
      </c>
      <c r="AD286" s="8">
        <v>0</v>
      </c>
      <c r="AE286" s="8">
        <v>0</v>
      </c>
      <c r="AF286" s="8">
        <v>184</v>
      </c>
      <c r="AG286" s="8">
        <f t="shared" si="898"/>
        <v>32.79</v>
      </c>
      <c r="AH286" s="235">
        <v>45174</v>
      </c>
      <c r="AI286" s="8" t="str">
        <f t="shared" si="899"/>
        <v>2023.08.01</v>
      </c>
      <c r="AJ286" s="235">
        <f t="shared" si="900"/>
        <v>45169</v>
      </c>
    </row>
    <row r="287" spans="1:36" s="8" customFormat="1" x14ac:dyDescent="0.25">
      <c r="A287" s="207">
        <v>2</v>
      </c>
      <c r="B287" s="92" t="s">
        <v>205</v>
      </c>
      <c r="C287" s="90" t="str">
        <f>VLOOKUP($F287,Admin!$A$16:$E$19,2,FALSE)</f>
        <v>Kísérleti fejlesztés – Működési költség</v>
      </c>
      <c r="D287" s="160" t="s">
        <v>129</v>
      </c>
      <c r="E287" s="90" t="str">
        <f>VLOOKUP($F287,Admin!$A$16:$E$19,4,FALSE)</f>
        <v>54. Bérköltség - Kutató-fejlesztő munkatárs</v>
      </c>
      <c r="F287" s="90" t="s">
        <v>170</v>
      </c>
      <c r="G287" s="160" t="s">
        <v>174</v>
      </c>
      <c r="H287" s="160" t="s">
        <v>206</v>
      </c>
      <c r="I287" s="90" t="str">
        <f>VLOOKUP($F287,Admin!$A$16:$E$19,5,FALSE)</f>
        <v>K+F munkatárs</v>
      </c>
      <c r="J287" s="160" t="s">
        <v>72</v>
      </c>
      <c r="K287" s="160" t="str">
        <f t="shared" ref="K287" si="933">J287</f>
        <v>2023.09</v>
      </c>
      <c r="L287" s="91" t="s">
        <v>8</v>
      </c>
      <c r="M287" s="92" t="s">
        <v>78</v>
      </c>
      <c r="N287" s="161">
        <v>1150000</v>
      </c>
      <c r="O287" s="162">
        <f t="shared" ref="O287" si="934">ROUND(N287*V287,0)</f>
        <v>149500</v>
      </c>
      <c r="P287" s="160">
        <v>174</v>
      </c>
      <c r="Q287" s="236">
        <v>31</v>
      </c>
      <c r="R287" s="229">
        <f t="shared" ref="R287" si="935">Q287/P287</f>
        <v>0.17816091954022989</v>
      </c>
      <c r="S287" s="163">
        <f t="shared" ref="S287" si="936">ROUND(N287*Q287/P287,0)</f>
        <v>204885</v>
      </c>
      <c r="T287" s="164">
        <f t="shared" ref="T287" si="937">ROUND(S287*V287,0)</f>
        <v>26635</v>
      </c>
      <c r="U287" s="165">
        <f t="shared" ref="U287" si="938">Q287/P287-S287/N287</f>
        <v>4.9975012489378301E-8</v>
      </c>
      <c r="V287" s="87">
        <v>0.13</v>
      </c>
      <c r="W287" s="223" t="s">
        <v>230</v>
      </c>
      <c r="X287" s="23">
        <v>45154</v>
      </c>
      <c r="Y287" s="20" t="s">
        <v>197</v>
      </c>
      <c r="Z287" s="20"/>
      <c r="AA287" s="20"/>
      <c r="AB287" s="167"/>
      <c r="AC287" s="8" t="s">
        <v>246</v>
      </c>
      <c r="AD287" s="8">
        <v>0</v>
      </c>
      <c r="AE287" s="8">
        <v>0</v>
      </c>
      <c r="AF287" s="8">
        <v>168</v>
      </c>
      <c r="AG287" s="8">
        <f t="shared" si="898"/>
        <v>29.94</v>
      </c>
      <c r="AH287" s="235">
        <v>45204</v>
      </c>
      <c r="AI287" s="8" t="str">
        <f t="shared" si="899"/>
        <v>2023.09.01</v>
      </c>
      <c r="AJ287" s="235">
        <f t="shared" si="900"/>
        <v>45199</v>
      </c>
    </row>
    <row r="288" spans="1:36" s="8" customFormat="1" x14ac:dyDescent="0.25">
      <c r="A288" s="188"/>
      <c r="B288" s="92" t="s">
        <v>205</v>
      </c>
      <c r="C288" s="90" t="str">
        <f>VLOOKUP($F288,Admin!$A$16:$E$19,2,FALSE)</f>
        <v>Kísérleti fejlesztés – Működési költség</v>
      </c>
      <c r="D288" s="160" t="s">
        <v>129</v>
      </c>
      <c r="E288" s="90" t="str">
        <f>VLOOKUP($F288,Admin!$A$16:$E$19,4,FALSE)</f>
        <v>54. Bérköltség - Kutató-fejlesztő munkatárs</v>
      </c>
      <c r="F288" s="90" t="s">
        <v>170</v>
      </c>
      <c r="G288" s="160" t="s">
        <v>174</v>
      </c>
      <c r="H288" s="160" t="s">
        <v>206</v>
      </c>
      <c r="I288" s="90" t="str">
        <f>VLOOKUP($F288,Admin!$A$16:$E$19,5,FALSE)</f>
        <v>K+F munkatárs</v>
      </c>
      <c r="J288" s="160" t="s">
        <v>73</v>
      </c>
      <c r="K288" s="160" t="str">
        <f t="shared" ref="K288" si="939">J288</f>
        <v>2023.10</v>
      </c>
      <c r="L288" s="91" t="s">
        <v>8</v>
      </c>
      <c r="M288" s="92" t="s">
        <v>78</v>
      </c>
      <c r="N288" s="161">
        <v>1150000</v>
      </c>
      <c r="O288" s="162">
        <f t="shared" ref="O288" si="940">ROUND(N288*V288,0)</f>
        <v>149500</v>
      </c>
      <c r="P288" s="160">
        <v>174</v>
      </c>
      <c r="Q288" s="236">
        <v>31</v>
      </c>
      <c r="R288" s="229">
        <f t="shared" ref="R288" si="941">Q288/P288</f>
        <v>0.17816091954022989</v>
      </c>
      <c r="S288" s="163">
        <f t="shared" ref="S288" si="942">ROUND(N288*Q288/P288,0)</f>
        <v>204885</v>
      </c>
      <c r="T288" s="164">
        <f t="shared" ref="T288" si="943">ROUND(S288*V288,0)</f>
        <v>26635</v>
      </c>
      <c r="U288" s="165">
        <f t="shared" ref="U288" si="944">Q288/P288-S288/N288</f>
        <v>4.9975012489378301E-8</v>
      </c>
      <c r="V288" s="87">
        <v>0.13</v>
      </c>
      <c r="W288" s="223" t="s">
        <v>230</v>
      </c>
      <c r="X288" s="23">
        <v>45190</v>
      </c>
      <c r="Y288" s="20" t="s">
        <v>197</v>
      </c>
      <c r="Z288" s="20"/>
      <c r="AA288" s="20"/>
      <c r="AB288" s="167"/>
      <c r="AC288" s="8" t="s">
        <v>246</v>
      </c>
      <c r="AD288" s="8">
        <v>0</v>
      </c>
      <c r="AE288" s="8">
        <v>0</v>
      </c>
    </row>
    <row r="289" spans="1:31" s="8" customFormat="1" x14ac:dyDescent="0.25">
      <c r="A289" s="188"/>
      <c r="B289" s="92" t="s">
        <v>205</v>
      </c>
      <c r="C289" s="90" t="str">
        <f>VLOOKUP($F289,Admin!$A$16:$E$19,2,FALSE)</f>
        <v>Kísérleti fejlesztés – Működési költség</v>
      </c>
      <c r="D289" s="160" t="s">
        <v>129</v>
      </c>
      <c r="E289" s="90" t="str">
        <f>VLOOKUP($F289,Admin!$A$16:$E$19,4,FALSE)</f>
        <v>54. Bérköltség - Kutató-fejlesztő munkatárs</v>
      </c>
      <c r="F289" s="90" t="s">
        <v>170</v>
      </c>
      <c r="G289" s="160" t="s">
        <v>174</v>
      </c>
      <c r="H289" s="160" t="s">
        <v>206</v>
      </c>
      <c r="I289" s="90" t="str">
        <f>VLOOKUP($F289,Admin!$A$16:$E$19,5,FALSE)</f>
        <v>K+F munkatárs</v>
      </c>
      <c r="J289" s="160" t="s">
        <v>74</v>
      </c>
      <c r="K289" s="160" t="str">
        <f t="shared" ref="K289:K290" si="945">J289</f>
        <v>2023.11</v>
      </c>
      <c r="L289" s="91" t="s">
        <v>8</v>
      </c>
      <c r="M289" s="92" t="s">
        <v>78</v>
      </c>
      <c r="N289" s="161">
        <v>1150000</v>
      </c>
      <c r="O289" s="162">
        <f t="shared" ref="O289" si="946">ROUND(N289*V289,0)</f>
        <v>149500</v>
      </c>
      <c r="P289" s="160">
        <v>174</v>
      </c>
      <c r="Q289" s="236">
        <v>31</v>
      </c>
      <c r="R289" s="229">
        <f t="shared" ref="R289" si="947">Q289/P289</f>
        <v>0.17816091954022989</v>
      </c>
      <c r="S289" s="163">
        <f t="shared" ref="S289" si="948">ROUND(N289*Q289/P289,0)</f>
        <v>204885</v>
      </c>
      <c r="T289" s="164">
        <f t="shared" ref="T289" si="949">ROUND(S289*V289,0)</f>
        <v>26635</v>
      </c>
      <c r="U289" s="165">
        <f t="shared" ref="U289" si="950">Q289/P289-S289/N289</f>
        <v>4.9975012489378301E-8</v>
      </c>
      <c r="V289" s="87">
        <v>0.13</v>
      </c>
      <c r="W289" s="223" t="s">
        <v>230</v>
      </c>
      <c r="X289" s="23">
        <v>45217</v>
      </c>
      <c r="Y289" s="20" t="s">
        <v>197</v>
      </c>
      <c r="Z289" s="20"/>
      <c r="AA289" s="20"/>
      <c r="AB289" s="167"/>
      <c r="AC289" s="8" t="s">
        <v>246</v>
      </c>
      <c r="AD289" s="8">
        <v>0</v>
      </c>
      <c r="AE289" s="8">
        <v>0</v>
      </c>
    </row>
    <row r="290" spans="1:31" s="8" customFormat="1" x14ac:dyDescent="0.25">
      <c r="A290" s="188"/>
      <c r="B290" s="92" t="s">
        <v>205</v>
      </c>
      <c r="C290" s="90" t="str">
        <f>VLOOKUP($F290,Admin!$A$16:$E$19,2,FALSE)</f>
        <v>Kísérleti fejlesztés – Működési költség</v>
      </c>
      <c r="D290" s="160" t="s">
        <v>129</v>
      </c>
      <c r="E290" s="90" t="str">
        <f>VLOOKUP($F290,Admin!$A$16:$E$19,4,FALSE)</f>
        <v>54. Bérköltség - Kutató-fejlesztő munkatárs</v>
      </c>
      <c r="F290" s="90" t="s">
        <v>170</v>
      </c>
      <c r="G290" s="160" t="s">
        <v>174</v>
      </c>
      <c r="H290" s="160" t="s">
        <v>206</v>
      </c>
      <c r="I290" s="90" t="str">
        <f>VLOOKUP($F290,Admin!$A$16:$E$19,5,FALSE)</f>
        <v>K+F munkatárs</v>
      </c>
      <c r="J290" s="160" t="s">
        <v>139</v>
      </c>
      <c r="K290" s="160" t="str">
        <f t="shared" si="945"/>
        <v>2023.12</v>
      </c>
      <c r="L290" s="91" t="s">
        <v>8</v>
      </c>
      <c r="M290" s="92" t="s">
        <v>78</v>
      </c>
      <c r="N290" s="161">
        <v>1150000</v>
      </c>
      <c r="O290" s="162">
        <f t="shared" ref="O290" si="951">ROUND(N290*V290,0)</f>
        <v>149500</v>
      </c>
      <c r="P290" s="160">
        <v>174</v>
      </c>
      <c r="Q290" s="236">
        <v>31</v>
      </c>
      <c r="R290" s="229">
        <f t="shared" ref="R290" si="952">Q290/P290</f>
        <v>0.17816091954022989</v>
      </c>
      <c r="S290" s="163">
        <f t="shared" ref="S290" si="953">ROUND(N290*Q290/P290,0)</f>
        <v>204885</v>
      </c>
      <c r="T290" s="164">
        <f t="shared" ref="T290" si="954">ROUND(S290*V290,0)</f>
        <v>26635</v>
      </c>
      <c r="U290" s="165">
        <f t="shared" ref="U290" si="955">Q290/P290-S290/N290</f>
        <v>4.9975012489378301E-8</v>
      </c>
      <c r="V290" s="87">
        <v>0.13</v>
      </c>
      <c r="W290" s="223" t="s">
        <v>230</v>
      </c>
      <c r="X290" s="23">
        <v>45217</v>
      </c>
      <c r="Y290" s="20" t="s">
        <v>197</v>
      </c>
      <c r="Z290" s="20"/>
      <c r="AA290" s="20"/>
      <c r="AB290" s="167"/>
      <c r="AC290" s="8" t="s">
        <v>246</v>
      </c>
      <c r="AD290" s="8">
        <v>0</v>
      </c>
      <c r="AE290" s="233">
        <v>26000</v>
      </c>
    </row>
    <row r="291" spans="1:31" s="8" customFormat="1" x14ac:dyDescent="0.25">
      <c r="A291" s="188"/>
      <c r="B291" s="92" t="s">
        <v>205</v>
      </c>
      <c r="C291" s="90" t="str">
        <f>VLOOKUP($F291,Admin!$A$16:$E$19,2,FALSE)</f>
        <v>Kísérleti fejlesztés – Működési költség</v>
      </c>
      <c r="D291" s="160" t="s">
        <v>129</v>
      </c>
      <c r="E291" s="90" t="str">
        <f>VLOOKUP($F291,Admin!$A$16:$E$19,4,FALSE)</f>
        <v>54. Bérköltség - Kutató-fejlesztő munkatárs</v>
      </c>
      <c r="F291" s="90" t="s">
        <v>170</v>
      </c>
      <c r="G291" s="160" t="s">
        <v>174</v>
      </c>
      <c r="H291" s="160" t="s">
        <v>206</v>
      </c>
      <c r="I291" s="90" t="str">
        <f>VLOOKUP($F291,Admin!$A$16:$E$19,5,FALSE)</f>
        <v>K+F munkatárs</v>
      </c>
      <c r="J291" s="160" t="s">
        <v>140</v>
      </c>
      <c r="K291" s="160" t="str">
        <f t="shared" ref="K291:K296" si="956">J291</f>
        <v>2024.01</v>
      </c>
      <c r="L291" s="91" t="s">
        <v>8</v>
      </c>
      <c r="M291" s="92" t="s">
        <v>78</v>
      </c>
      <c r="N291" s="161">
        <v>1208000</v>
      </c>
      <c r="O291" s="162">
        <f t="shared" ref="O291" si="957">ROUND(N291*V291,0)</f>
        <v>157040</v>
      </c>
      <c r="P291" s="160">
        <v>174</v>
      </c>
      <c r="Q291" s="236">
        <v>29.58</v>
      </c>
      <c r="R291" s="229">
        <f t="shared" ref="R291" si="958">Q291/P291</f>
        <v>0.16999999999999998</v>
      </c>
      <c r="S291" s="163">
        <f t="shared" ref="S291" si="959">ROUND(N291*Q291/P291,0)</f>
        <v>205360</v>
      </c>
      <c r="T291" s="164">
        <f t="shared" ref="T291" si="960">ROUND(S291*V291,0)</f>
        <v>26697</v>
      </c>
      <c r="U291" s="165">
        <f t="shared" ref="U291" si="961">Q291/P291-S291/N291</f>
        <v>0</v>
      </c>
      <c r="V291" s="87">
        <v>0.13</v>
      </c>
      <c r="W291" s="223" t="s">
        <v>230</v>
      </c>
      <c r="X291" s="23">
        <v>45308</v>
      </c>
      <c r="Y291" s="20" t="s">
        <v>197</v>
      </c>
      <c r="Z291" s="20"/>
      <c r="AA291" s="20"/>
      <c r="AB291" s="167"/>
      <c r="AC291" s="8" t="s">
        <v>246</v>
      </c>
      <c r="AD291" s="243">
        <v>0</v>
      </c>
      <c r="AE291" s="233">
        <v>157040</v>
      </c>
    </row>
    <row r="292" spans="1:31" s="8" customFormat="1" x14ac:dyDescent="0.25">
      <c r="A292" s="188"/>
      <c r="B292" s="92" t="s">
        <v>205</v>
      </c>
      <c r="C292" s="90" t="str">
        <f>VLOOKUP($F292,Admin!$A$16:$E$19,2,FALSE)</f>
        <v>Kísérleti fejlesztés – Működési költség</v>
      </c>
      <c r="D292" s="160" t="s">
        <v>129</v>
      </c>
      <c r="E292" s="90" t="str">
        <f>VLOOKUP($F292,Admin!$A$16:$E$19,4,FALSE)</f>
        <v>54. Bérköltség - Kutató-fejlesztő munkatárs</v>
      </c>
      <c r="F292" s="90" t="s">
        <v>170</v>
      </c>
      <c r="G292" s="160" t="s">
        <v>174</v>
      </c>
      <c r="H292" s="160" t="s">
        <v>206</v>
      </c>
      <c r="I292" s="90" t="str">
        <f>VLOOKUP($F292,Admin!$A$16:$E$19,5,FALSE)</f>
        <v>K+F munkatárs</v>
      </c>
      <c r="J292" s="160" t="s">
        <v>141</v>
      </c>
      <c r="K292" s="160" t="str">
        <f t="shared" si="956"/>
        <v>2024.02</v>
      </c>
      <c r="L292" s="91" t="s">
        <v>8</v>
      </c>
      <c r="M292" s="92" t="s">
        <v>78</v>
      </c>
      <c r="N292" s="161">
        <v>1208000</v>
      </c>
      <c r="O292" s="162">
        <f t="shared" ref="O292:O293" si="962">ROUND(N292*V292,0)</f>
        <v>157040</v>
      </c>
      <c r="P292" s="160">
        <v>174</v>
      </c>
      <c r="Q292" s="236">
        <v>29.58</v>
      </c>
      <c r="R292" s="229">
        <f t="shared" ref="R292:R293" si="963">Q292/P292</f>
        <v>0.16999999999999998</v>
      </c>
      <c r="S292" s="163">
        <f t="shared" ref="S292:S293" si="964">ROUND(N292*Q292/P292,0)</f>
        <v>205360</v>
      </c>
      <c r="T292" s="164">
        <f t="shared" ref="T292:T293" si="965">ROUND(S292*V292,0)</f>
        <v>26697</v>
      </c>
      <c r="U292" s="165">
        <f t="shared" ref="U292:U293" si="966">Q292/P292-S292/N292</f>
        <v>0</v>
      </c>
      <c r="V292" s="87">
        <v>0.13</v>
      </c>
      <c r="W292" s="223" t="s">
        <v>230</v>
      </c>
      <c r="X292" s="23">
        <v>45308</v>
      </c>
      <c r="Y292" s="20" t="s">
        <v>197</v>
      </c>
      <c r="Z292" s="20"/>
      <c r="AA292" s="20"/>
      <c r="AB292" s="167"/>
      <c r="AC292" s="8" t="s">
        <v>246</v>
      </c>
      <c r="AD292" s="243">
        <v>0</v>
      </c>
      <c r="AE292" s="243">
        <v>0</v>
      </c>
    </row>
    <row r="293" spans="1:31" s="8" customFormat="1" x14ac:dyDescent="0.25">
      <c r="A293" s="188"/>
      <c r="B293" s="92" t="s">
        <v>205</v>
      </c>
      <c r="C293" s="90" t="str">
        <f>VLOOKUP($F293,Admin!$A$16:$E$19,2,FALSE)</f>
        <v>Kísérleti fejlesztés – Működési költség</v>
      </c>
      <c r="D293" s="160" t="s">
        <v>129</v>
      </c>
      <c r="E293" s="90" t="str">
        <f>VLOOKUP($F293,Admin!$A$16:$E$19,4,FALSE)</f>
        <v>54. Bérköltség - Kutató-fejlesztő munkatárs</v>
      </c>
      <c r="F293" s="90" t="s">
        <v>170</v>
      </c>
      <c r="G293" s="160" t="s">
        <v>174</v>
      </c>
      <c r="H293" s="160" t="s">
        <v>203</v>
      </c>
      <c r="I293" s="90" t="str">
        <f>VLOOKUP($F293,Admin!$A$16:$E$19,5,FALSE)</f>
        <v>K+F munkatárs</v>
      </c>
      <c r="J293" s="160" t="s">
        <v>142</v>
      </c>
      <c r="K293" s="160" t="str">
        <f t="shared" si="956"/>
        <v>2024.03</v>
      </c>
      <c r="L293" s="91" t="s">
        <v>8</v>
      </c>
      <c r="M293" s="92" t="s">
        <v>78</v>
      </c>
      <c r="N293" s="161">
        <v>1208000</v>
      </c>
      <c r="O293" s="162">
        <f t="shared" si="962"/>
        <v>157040</v>
      </c>
      <c r="P293" s="160">
        <v>174</v>
      </c>
      <c r="Q293" s="236">
        <v>29.58</v>
      </c>
      <c r="R293" s="229">
        <f t="shared" si="963"/>
        <v>0.16999999999999998</v>
      </c>
      <c r="S293" s="163">
        <f t="shared" si="964"/>
        <v>205360</v>
      </c>
      <c r="T293" s="164">
        <f t="shared" si="965"/>
        <v>26697</v>
      </c>
      <c r="U293" s="165">
        <f t="shared" si="966"/>
        <v>0</v>
      </c>
      <c r="V293" s="87">
        <v>0.13</v>
      </c>
      <c r="W293" s="223" t="s">
        <v>230</v>
      </c>
      <c r="X293" s="23">
        <v>45358</v>
      </c>
      <c r="Y293" s="20" t="s">
        <v>197</v>
      </c>
      <c r="Z293" s="20"/>
      <c r="AA293" s="20"/>
      <c r="AB293" s="167"/>
      <c r="AC293" s="243" t="s">
        <v>246</v>
      </c>
      <c r="AD293" s="243">
        <v>0</v>
      </c>
      <c r="AE293" s="243">
        <v>0</v>
      </c>
    </row>
    <row r="294" spans="1:31" s="8" customFormat="1" x14ac:dyDescent="0.25">
      <c r="A294" s="188"/>
      <c r="B294" s="92" t="s">
        <v>205</v>
      </c>
      <c r="C294" s="90" t="str">
        <f>VLOOKUP($F294,Admin!$A$16:$E$19,2,FALSE)</f>
        <v>Kísérleti fejlesztés – Működési költség</v>
      </c>
      <c r="D294" s="160" t="s">
        <v>129</v>
      </c>
      <c r="E294" s="90" t="str">
        <f>VLOOKUP($F294,Admin!$A$16:$E$19,4,FALSE)</f>
        <v>54. Bérköltség - Kutató-fejlesztő munkatárs</v>
      </c>
      <c r="F294" s="90" t="s">
        <v>170</v>
      </c>
      <c r="G294" s="160" t="s">
        <v>174</v>
      </c>
      <c r="H294" s="160" t="s">
        <v>203</v>
      </c>
      <c r="I294" s="90" t="str">
        <f>VLOOKUP($F294,Admin!$A$16:$E$19,5,FALSE)</f>
        <v>K+F munkatárs</v>
      </c>
      <c r="J294" s="160" t="s">
        <v>143</v>
      </c>
      <c r="K294" s="160" t="str">
        <f t="shared" si="956"/>
        <v>2024.04</v>
      </c>
      <c r="L294" s="91" t="s">
        <v>8</v>
      </c>
      <c r="M294" s="92" t="s">
        <v>78</v>
      </c>
      <c r="N294" s="161">
        <v>1208000</v>
      </c>
      <c r="O294" s="162">
        <f t="shared" ref="O294:O295" si="967">ROUND(N294*V294,0)</f>
        <v>157040</v>
      </c>
      <c r="P294" s="160">
        <v>174</v>
      </c>
      <c r="Q294" s="236">
        <v>29.58</v>
      </c>
      <c r="R294" s="229">
        <f t="shared" ref="R294:R295" si="968">Q294/P294</f>
        <v>0.16999999999999998</v>
      </c>
      <c r="S294" s="163">
        <f t="shared" ref="S294:S295" si="969">ROUND(N294*Q294/P294,0)</f>
        <v>205360</v>
      </c>
      <c r="T294" s="164">
        <f t="shared" ref="T294:T295" si="970">ROUND(S294*V294,0)</f>
        <v>26697</v>
      </c>
      <c r="U294" s="165">
        <f t="shared" ref="U294:U295" si="971">Q294/P294-S294/N294</f>
        <v>0</v>
      </c>
      <c r="V294" s="87">
        <v>0.13</v>
      </c>
      <c r="W294" s="223" t="s">
        <v>230</v>
      </c>
      <c r="X294" s="23">
        <v>45358</v>
      </c>
      <c r="Y294" s="20" t="s">
        <v>197</v>
      </c>
      <c r="Z294" s="20"/>
      <c r="AA294" s="20"/>
      <c r="AB294" s="167"/>
      <c r="AC294" s="8" t="s">
        <v>246</v>
      </c>
      <c r="AD294" s="243">
        <v>0</v>
      </c>
      <c r="AE294" s="233">
        <v>121603</v>
      </c>
    </row>
    <row r="295" spans="1:31" s="8" customFormat="1" x14ac:dyDescent="0.25">
      <c r="A295" s="188"/>
      <c r="B295" s="92" t="s">
        <v>205</v>
      </c>
      <c r="C295" s="90" t="str">
        <f>VLOOKUP($F295,Admin!$A$16:$E$19,2,FALSE)</f>
        <v>Kísérleti fejlesztés – Működési költség</v>
      </c>
      <c r="D295" s="160" t="s">
        <v>129</v>
      </c>
      <c r="E295" s="90" t="str">
        <f>VLOOKUP($F295,Admin!$A$16:$E$19,4,FALSE)</f>
        <v>54. Bérköltség - Kutató-fejlesztő munkatárs</v>
      </c>
      <c r="F295" s="90" t="s">
        <v>170</v>
      </c>
      <c r="G295" s="160" t="s">
        <v>174</v>
      </c>
      <c r="H295" s="160" t="s">
        <v>203</v>
      </c>
      <c r="I295" s="90" t="str">
        <f>VLOOKUP($F295,Admin!$A$16:$E$19,5,FALSE)</f>
        <v>K+F munkatárs</v>
      </c>
      <c r="J295" s="160" t="s">
        <v>144</v>
      </c>
      <c r="K295" s="160" t="str">
        <f t="shared" si="956"/>
        <v>2024.05</v>
      </c>
      <c r="L295" s="91" t="s">
        <v>8</v>
      </c>
      <c r="M295" s="92" t="s">
        <v>78</v>
      </c>
      <c r="N295" s="161">
        <v>1208000</v>
      </c>
      <c r="O295" s="162">
        <f t="shared" si="967"/>
        <v>157040</v>
      </c>
      <c r="P295" s="160">
        <v>174</v>
      </c>
      <c r="Q295" s="236">
        <v>29.58</v>
      </c>
      <c r="R295" s="229">
        <f t="shared" si="968"/>
        <v>0.16999999999999998</v>
      </c>
      <c r="S295" s="163">
        <f t="shared" si="969"/>
        <v>205360</v>
      </c>
      <c r="T295" s="164">
        <f t="shared" si="970"/>
        <v>26697</v>
      </c>
      <c r="U295" s="165">
        <f t="shared" si="971"/>
        <v>0</v>
      </c>
      <c r="V295" s="87">
        <v>0.13</v>
      </c>
      <c r="W295" s="223" t="s">
        <v>230</v>
      </c>
      <c r="X295" s="23">
        <v>45408</v>
      </c>
      <c r="Y295" s="20" t="s">
        <v>197</v>
      </c>
      <c r="Z295" s="20"/>
      <c r="AA295" s="20"/>
      <c r="AB295" s="167"/>
      <c r="AC295" s="8" t="s">
        <v>246</v>
      </c>
      <c r="AD295" s="243">
        <v>0</v>
      </c>
      <c r="AE295" s="243">
        <v>0</v>
      </c>
    </row>
    <row r="296" spans="1:31" s="8" customFormat="1" x14ac:dyDescent="0.25">
      <c r="A296" s="188"/>
      <c r="B296" s="92" t="s">
        <v>205</v>
      </c>
      <c r="C296" s="90" t="str">
        <f>VLOOKUP($F296,Admin!$A$16:$E$19,2,FALSE)</f>
        <v>Kísérleti fejlesztés – Működési költség</v>
      </c>
      <c r="D296" s="160" t="s">
        <v>129</v>
      </c>
      <c r="E296" s="90" t="str">
        <f>VLOOKUP($F296,Admin!$A$16:$E$19,4,FALSE)</f>
        <v>54. Bérköltség - Kutató-fejlesztő munkatárs</v>
      </c>
      <c r="F296" s="90" t="s">
        <v>170</v>
      </c>
      <c r="G296" s="160" t="s">
        <v>174</v>
      </c>
      <c r="H296" s="160" t="s">
        <v>206</v>
      </c>
      <c r="I296" s="90" t="str">
        <f>VLOOKUP($F296,Admin!$A$16:$E$19,5,FALSE)</f>
        <v>K+F munkatárs</v>
      </c>
      <c r="J296" s="160" t="s">
        <v>211</v>
      </c>
      <c r="K296" s="160" t="str">
        <f t="shared" si="956"/>
        <v>2024.06</v>
      </c>
      <c r="L296" s="91" t="s">
        <v>9</v>
      </c>
      <c r="M296" s="92" t="s">
        <v>78</v>
      </c>
      <c r="N296" s="161">
        <v>1350000</v>
      </c>
      <c r="O296" s="162">
        <f t="shared" ref="O296" si="972">ROUND(N296*V296,0)</f>
        <v>175500</v>
      </c>
      <c r="P296" s="160">
        <v>174</v>
      </c>
      <c r="Q296" s="236">
        <v>26.099999999000001</v>
      </c>
      <c r="R296" s="229">
        <f t="shared" ref="R296" si="973">Q296/P296</f>
        <v>0.14999999999425287</v>
      </c>
      <c r="S296" s="163">
        <f t="shared" ref="S296" si="974">ROUND(N296*Q296/P296,0)</f>
        <v>202500</v>
      </c>
      <c r="T296" s="164">
        <f t="shared" ref="T296" si="975">ROUND(S296*V296,0)</f>
        <v>26325</v>
      </c>
      <c r="U296" s="165">
        <f t="shared" ref="U296" si="976">Q296/P296-S296/N296</f>
        <v>-5.7471249981233541E-12</v>
      </c>
      <c r="V296" s="87">
        <v>0.13</v>
      </c>
      <c r="W296" s="223" t="s">
        <v>230</v>
      </c>
      <c r="X296" s="23">
        <v>45442</v>
      </c>
      <c r="Y296" s="20"/>
      <c r="Z296" s="20"/>
      <c r="AA296" s="20"/>
      <c r="AB296" s="167"/>
      <c r="AE296" s="233"/>
    </row>
    <row r="297" spans="1:31" s="8" customFormat="1" x14ac:dyDescent="0.25">
      <c r="A297" s="188"/>
      <c r="B297" s="92" t="s">
        <v>205</v>
      </c>
      <c r="C297" s="90" t="str">
        <f>VLOOKUP($F297,Admin!$A$16:$E$19,2,FALSE)</f>
        <v>Kísérleti fejlesztés – Működési költség</v>
      </c>
      <c r="D297" s="160" t="s">
        <v>129</v>
      </c>
      <c r="E297" s="90" t="str">
        <f>VLOOKUP($F297,Admin!$A$16:$E$19,4,FALSE)</f>
        <v>54. Bérköltség - Kutató-fejlesztő munkatárs</v>
      </c>
      <c r="F297" s="90" t="s">
        <v>170</v>
      </c>
      <c r="G297" s="160" t="s">
        <v>174</v>
      </c>
      <c r="H297" s="160" t="s">
        <v>206</v>
      </c>
      <c r="I297" s="90" t="str">
        <f>VLOOKUP($F297,Admin!$A$16:$E$19,5,FALSE)</f>
        <v>K+F munkatárs</v>
      </c>
      <c r="J297" s="160" t="s">
        <v>212</v>
      </c>
      <c r="K297" s="160" t="str">
        <f t="shared" ref="K297:K299" si="977">J297</f>
        <v>2024.07</v>
      </c>
      <c r="L297" s="91" t="s">
        <v>9</v>
      </c>
      <c r="M297" s="92" t="s">
        <v>78</v>
      </c>
      <c r="N297" s="161">
        <v>1350000</v>
      </c>
      <c r="O297" s="162">
        <f t="shared" ref="O297:O299" si="978">ROUND(N297*V297,0)</f>
        <v>175500</v>
      </c>
      <c r="P297" s="160">
        <v>174</v>
      </c>
      <c r="Q297" s="236">
        <v>26.099999999000001</v>
      </c>
      <c r="R297" s="229">
        <f t="shared" ref="R297:R299" si="979">Q297/P297</f>
        <v>0.14999999999425287</v>
      </c>
      <c r="S297" s="163">
        <f t="shared" ref="S297:S299" si="980">ROUND(N297*Q297/P297,0)</f>
        <v>202500</v>
      </c>
      <c r="T297" s="164">
        <f t="shared" ref="T297:T299" si="981">ROUND(S297*V297,0)</f>
        <v>26325</v>
      </c>
      <c r="U297" s="165">
        <f t="shared" ref="U297:U299" si="982">Q297/P297-S297/N297</f>
        <v>-5.7471249981233541E-12</v>
      </c>
      <c r="V297" s="87">
        <v>0.13</v>
      </c>
      <c r="W297" s="223" t="s">
        <v>230</v>
      </c>
      <c r="X297" s="23">
        <v>45442</v>
      </c>
      <c r="Y297" s="20"/>
      <c r="Z297" s="20"/>
      <c r="AA297" s="20"/>
      <c r="AB297" s="167"/>
      <c r="AE297" s="233"/>
    </row>
    <row r="298" spans="1:31" s="8" customFormat="1" x14ac:dyDescent="0.25">
      <c r="A298" s="188"/>
      <c r="B298" s="92" t="s">
        <v>205</v>
      </c>
      <c r="C298" s="90" t="str">
        <f>VLOOKUP($F298,Admin!$A$16:$E$19,2,FALSE)</f>
        <v>Kísérleti fejlesztés – Működési költség</v>
      </c>
      <c r="D298" s="160" t="s">
        <v>129</v>
      </c>
      <c r="E298" s="90" t="str">
        <f>VLOOKUP($F298,Admin!$A$16:$E$19,4,FALSE)</f>
        <v>54. Bérköltség - Kutató-fejlesztő munkatárs</v>
      </c>
      <c r="F298" s="90" t="s">
        <v>170</v>
      </c>
      <c r="G298" s="160" t="s">
        <v>174</v>
      </c>
      <c r="H298" s="160" t="s">
        <v>206</v>
      </c>
      <c r="I298" s="90" t="str">
        <f>VLOOKUP($F298,Admin!$A$16:$E$19,5,FALSE)</f>
        <v>K+F munkatárs</v>
      </c>
      <c r="J298" s="160" t="s">
        <v>213</v>
      </c>
      <c r="K298" s="160" t="str">
        <f t="shared" si="977"/>
        <v>2024.08</v>
      </c>
      <c r="L298" s="91" t="s">
        <v>9</v>
      </c>
      <c r="M298" s="92" t="s">
        <v>78</v>
      </c>
      <c r="N298" s="161">
        <v>1350000</v>
      </c>
      <c r="O298" s="162">
        <f t="shared" si="978"/>
        <v>175500</v>
      </c>
      <c r="P298" s="160">
        <v>174</v>
      </c>
      <c r="Q298" s="236">
        <v>26.099999999000001</v>
      </c>
      <c r="R298" s="229">
        <f t="shared" si="979"/>
        <v>0.14999999999425287</v>
      </c>
      <c r="S298" s="163">
        <f t="shared" si="980"/>
        <v>202500</v>
      </c>
      <c r="T298" s="164">
        <f t="shared" si="981"/>
        <v>26325</v>
      </c>
      <c r="U298" s="165">
        <f t="shared" si="982"/>
        <v>-5.7471249981233541E-12</v>
      </c>
      <c r="V298" s="87">
        <v>0.13</v>
      </c>
      <c r="W298" s="223" t="s">
        <v>230</v>
      </c>
      <c r="X298" s="23">
        <v>45442</v>
      </c>
      <c r="Y298" s="20"/>
      <c r="Z298" s="20"/>
      <c r="AA298" s="20"/>
      <c r="AB298" s="167"/>
      <c r="AE298" s="233"/>
    </row>
    <row r="299" spans="1:31" s="8" customFormat="1" x14ac:dyDescent="0.25">
      <c r="A299" s="188"/>
      <c r="B299" s="92" t="s">
        <v>205</v>
      </c>
      <c r="C299" s="90" t="str">
        <f>VLOOKUP($F299,Admin!$A$16:$E$19,2,FALSE)</f>
        <v>Kísérleti fejlesztés – Működési költség</v>
      </c>
      <c r="D299" s="160" t="s">
        <v>129</v>
      </c>
      <c r="E299" s="90" t="str">
        <f>VLOOKUP($F299,Admin!$A$16:$E$19,4,FALSE)</f>
        <v>54. Bérköltség - Kutató-fejlesztő munkatárs</v>
      </c>
      <c r="F299" s="90" t="s">
        <v>170</v>
      </c>
      <c r="G299" s="160" t="s">
        <v>174</v>
      </c>
      <c r="H299" s="160" t="s">
        <v>206</v>
      </c>
      <c r="I299" s="90" t="str">
        <f>VLOOKUP($F299,Admin!$A$16:$E$19,5,FALSE)</f>
        <v>K+F munkatárs</v>
      </c>
      <c r="J299" s="160" t="s">
        <v>214</v>
      </c>
      <c r="K299" s="160" t="str">
        <f t="shared" si="977"/>
        <v>2024.09</v>
      </c>
      <c r="L299" s="91" t="s">
        <v>9</v>
      </c>
      <c r="M299" s="92" t="s">
        <v>78</v>
      </c>
      <c r="N299" s="161">
        <v>1350000</v>
      </c>
      <c r="O299" s="162">
        <f t="shared" si="978"/>
        <v>175500</v>
      </c>
      <c r="P299" s="160">
        <v>174</v>
      </c>
      <c r="Q299" s="236">
        <v>26.099999999000001</v>
      </c>
      <c r="R299" s="229">
        <f t="shared" si="979"/>
        <v>0.14999999999425287</v>
      </c>
      <c r="S299" s="163">
        <f t="shared" si="980"/>
        <v>202500</v>
      </c>
      <c r="T299" s="164">
        <f t="shared" si="981"/>
        <v>26325</v>
      </c>
      <c r="U299" s="165">
        <f t="shared" si="982"/>
        <v>-5.7471249981233541E-12</v>
      </c>
      <c r="V299" s="87">
        <v>0.13</v>
      </c>
      <c r="W299" s="223" t="s">
        <v>230</v>
      </c>
      <c r="X299" s="23">
        <v>45442</v>
      </c>
      <c r="Y299" s="20"/>
      <c r="Z299" s="20"/>
      <c r="AA299" s="20"/>
      <c r="AB299" s="167"/>
      <c r="AE299" s="233"/>
    </row>
    <row r="300" spans="1:31" s="8" customFormat="1" x14ac:dyDescent="0.25">
      <c r="A300" s="207">
        <v>1</v>
      </c>
      <c r="B300" s="92" t="s">
        <v>204</v>
      </c>
      <c r="C300" s="90" t="str">
        <f>VLOOKUP($F300,Admin!$A$16:$E$19,2,FALSE)</f>
        <v>Alkalmazott (ipari) kutatás – Működési költség</v>
      </c>
      <c r="D300" s="160" t="s">
        <v>129</v>
      </c>
      <c r="E300" s="90" t="str">
        <f>VLOOKUP($F300,Admin!$A$16:$E$19,4,FALSE)</f>
        <v>54. Bérköltség - Kutató-fejlesztő munkatárs</v>
      </c>
      <c r="F300" s="90" t="s">
        <v>171</v>
      </c>
      <c r="G300" s="160" t="s">
        <v>174</v>
      </c>
      <c r="H300" s="160" t="s">
        <v>194</v>
      </c>
      <c r="I300" s="90" t="str">
        <f>VLOOKUP($F300,Admin!$A$16:$E$19,5,FALSE)</f>
        <v>K+F munkatárs</v>
      </c>
      <c r="J300" s="160" t="s">
        <v>43</v>
      </c>
      <c r="K300" s="160" t="str">
        <f t="shared" si="267"/>
        <v>2022.04</v>
      </c>
      <c r="L300" s="91" t="s">
        <v>8</v>
      </c>
      <c r="M300" s="92" t="s">
        <v>78</v>
      </c>
      <c r="N300" s="161">
        <v>621000</v>
      </c>
      <c r="O300" s="162">
        <f t="shared" ref="O300" si="983">ROUND(N300*V300,0)</f>
        <v>80730</v>
      </c>
      <c r="P300" s="160">
        <v>174</v>
      </c>
      <c r="Q300" s="236">
        <v>28</v>
      </c>
      <c r="R300" s="229">
        <f t="shared" ref="R300" si="984">Q300/P300</f>
        <v>0.16091954022988506</v>
      </c>
      <c r="S300" s="163">
        <f t="shared" ref="S300" si="985">ROUND(N300*Q300/P300,0)</f>
        <v>99931</v>
      </c>
      <c r="T300" s="164">
        <f t="shared" ref="T300" si="986">ROUND(S300*V300,0)</f>
        <v>12991</v>
      </c>
      <c r="U300" s="165">
        <f t="shared" ref="U300" si="987">Q300/P300-S300/N300</f>
        <v>5.5527791670284543E-8</v>
      </c>
      <c r="V300" s="87">
        <v>0.13</v>
      </c>
      <c r="W300" s="223"/>
      <c r="X300" s="23">
        <v>44649</v>
      </c>
      <c r="Y300" s="20" t="s">
        <v>197</v>
      </c>
      <c r="Z300" s="20"/>
      <c r="AA300" s="20"/>
      <c r="AB300" s="167"/>
    </row>
    <row r="301" spans="1:31" s="8" customFormat="1" x14ac:dyDescent="0.25">
      <c r="A301" s="207">
        <v>1</v>
      </c>
      <c r="B301" s="92" t="s">
        <v>204</v>
      </c>
      <c r="C301" s="90" t="str">
        <f>VLOOKUP($F301,Admin!$A$16:$E$19,2,FALSE)</f>
        <v>Alkalmazott (ipari) kutatás – Működési költség</v>
      </c>
      <c r="D301" s="160" t="s">
        <v>129</v>
      </c>
      <c r="E301" s="90" t="str">
        <f>VLOOKUP($F301,Admin!$A$16:$E$19,4,FALSE)</f>
        <v>54. Bérköltség - Kutató-fejlesztő munkatárs</v>
      </c>
      <c r="F301" s="90" t="s">
        <v>171</v>
      </c>
      <c r="G301" s="160" t="s">
        <v>174</v>
      </c>
      <c r="H301" s="160" t="s">
        <v>194</v>
      </c>
      <c r="I301" s="90" t="str">
        <f>VLOOKUP($F301,Admin!$A$16:$E$19,5,FALSE)</f>
        <v>K+F munkatárs</v>
      </c>
      <c r="J301" s="160" t="s">
        <v>44</v>
      </c>
      <c r="K301" s="160" t="str">
        <f t="shared" ref="K301:K302" si="988">J301</f>
        <v>2022.05</v>
      </c>
      <c r="L301" s="91" t="s">
        <v>8</v>
      </c>
      <c r="M301" s="92" t="s">
        <v>78</v>
      </c>
      <c r="N301" s="161">
        <v>621000</v>
      </c>
      <c r="O301" s="162">
        <f t="shared" ref="O301:O302" si="989">ROUND(N301*V301,0)</f>
        <v>80730</v>
      </c>
      <c r="P301" s="160">
        <v>174</v>
      </c>
      <c r="Q301" s="236">
        <v>28</v>
      </c>
      <c r="R301" s="229">
        <f t="shared" ref="R301:R302" si="990">Q301/P301</f>
        <v>0.16091954022988506</v>
      </c>
      <c r="S301" s="163">
        <f t="shared" ref="S301:S302" si="991">ROUND(N301*Q301/P301,0)</f>
        <v>99931</v>
      </c>
      <c r="T301" s="164">
        <f t="shared" ref="T301:T302" si="992">ROUND(S301*V301,0)</f>
        <v>12991</v>
      </c>
      <c r="U301" s="165">
        <f t="shared" ref="U301:U302" si="993">Q301/P301-S301/N301</f>
        <v>5.5527791670284543E-8</v>
      </c>
      <c r="V301" s="87">
        <v>0.13</v>
      </c>
      <c r="W301" s="223"/>
      <c r="X301" s="23">
        <v>44649</v>
      </c>
      <c r="Y301" s="20" t="s">
        <v>197</v>
      </c>
      <c r="Z301" s="20"/>
      <c r="AA301" s="20"/>
      <c r="AB301" s="167"/>
    </row>
    <row r="302" spans="1:31" s="8" customFormat="1" x14ac:dyDescent="0.25">
      <c r="A302" s="207">
        <v>1</v>
      </c>
      <c r="B302" s="92" t="s">
        <v>204</v>
      </c>
      <c r="C302" s="90" t="str">
        <f>VLOOKUP($F302,Admin!$A$16:$E$19,2,FALSE)</f>
        <v>Alkalmazott (ipari) kutatás – Működési költség</v>
      </c>
      <c r="D302" s="160" t="s">
        <v>129</v>
      </c>
      <c r="E302" s="90" t="str">
        <f>VLOOKUP($F302,Admin!$A$16:$E$19,4,FALSE)</f>
        <v>54. Bérköltség - Kutató-fejlesztő munkatárs</v>
      </c>
      <c r="F302" s="90" t="s">
        <v>171</v>
      </c>
      <c r="G302" s="160" t="s">
        <v>174</v>
      </c>
      <c r="H302" s="160" t="s">
        <v>194</v>
      </c>
      <c r="I302" s="90" t="str">
        <f>VLOOKUP($F302,Admin!$A$16:$E$19,5,FALSE)</f>
        <v>K+F munkatárs</v>
      </c>
      <c r="J302" s="160" t="s">
        <v>45</v>
      </c>
      <c r="K302" s="160" t="str">
        <f t="shared" si="988"/>
        <v>2022.06</v>
      </c>
      <c r="L302" s="91" t="s">
        <v>8</v>
      </c>
      <c r="M302" s="92" t="s">
        <v>78</v>
      </c>
      <c r="N302" s="161">
        <v>620998</v>
      </c>
      <c r="O302" s="162">
        <f t="shared" si="989"/>
        <v>80730</v>
      </c>
      <c r="P302" s="160">
        <v>174</v>
      </c>
      <c r="Q302" s="236">
        <v>28</v>
      </c>
      <c r="R302" s="229">
        <f t="shared" si="990"/>
        <v>0.16091954022988506</v>
      </c>
      <c r="S302" s="163">
        <f t="shared" si="991"/>
        <v>99931</v>
      </c>
      <c r="T302" s="164">
        <f t="shared" si="992"/>
        <v>12991</v>
      </c>
      <c r="U302" s="165">
        <f t="shared" si="993"/>
        <v>-4.6273308745847785E-7</v>
      </c>
      <c r="V302" s="87">
        <v>0.13</v>
      </c>
      <c r="W302" s="223"/>
      <c r="X302" s="23">
        <v>44713</v>
      </c>
      <c r="Y302" s="20" t="s">
        <v>197</v>
      </c>
      <c r="Z302" s="20"/>
      <c r="AA302" s="20"/>
      <c r="AB302" s="167"/>
    </row>
    <row r="303" spans="1:31" s="8" customFormat="1" x14ac:dyDescent="0.25">
      <c r="A303" s="207">
        <v>1</v>
      </c>
      <c r="B303" s="92" t="s">
        <v>204</v>
      </c>
      <c r="C303" s="90" t="str">
        <f>VLOOKUP($F303,Admin!$A$16:$E$19,2,FALSE)</f>
        <v>Alkalmazott (ipari) kutatás – Működési költség</v>
      </c>
      <c r="D303" s="160" t="s">
        <v>129</v>
      </c>
      <c r="E303" s="90" t="str">
        <f>VLOOKUP($F303,Admin!$A$16:$E$19,4,FALSE)</f>
        <v>54. Bérköltség - Kutató-fejlesztő munkatárs</v>
      </c>
      <c r="F303" s="90" t="s">
        <v>171</v>
      </c>
      <c r="G303" s="160" t="s">
        <v>174</v>
      </c>
      <c r="H303" s="160" t="s">
        <v>194</v>
      </c>
      <c r="I303" s="90" t="str">
        <f>VLOOKUP($F303,Admin!$A$16:$E$19,5,FALSE)</f>
        <v>K+F munkatárs</v>
      </c>
      <c r="J303" s="160" t="s">
        <v>46</v>
      </c>
      <c r="K303" s="160" t="str">
        <f t="shared" ref="K303:K305" si="994">J303</f>
        <v>2022.07</v>
      </c>
      <c r="L303" s="91" t="s">
        <v>8</v>
      </c>
      <c r="M303" s="92" t="s">
        <v>78</v>
      </c>
      <c r="N303" s="161">
        <v>592998</v>
      </c>
      <c r="O303" s="162">
        <f t="shared" ref="O303" si="995">ROUND(N303*V303,0)</f>
        <v>77090</v>
      </c>
      <c r="P303" s="160">
        <v>174</v>
      </c>
      <c r="Q303" s="236">
        <v>29</v>
      </c>
      <c r="R303" s="229">
        <f t="shared" ref="R303" si="996">Q303/P303</f>
        <v>0.16666666666666666</v>
      </c>
      <c r="S303" s="163">
        <f t="shared" ref="S303" si="997">ROUND(N303*Q303/P303,0)</f>
        <v>98833</v>
      </c>
      <c r="T303" s="164">
        <f t="shared" ref="T303" si="998">ROUND(S303*V303,0)</f>
        <v>12848</v>
      </c>
      <c r="U303" s="165">
        <f t="shared" ref="U303" si="999">Q303/P303-S303/N303</f>
        <v>0</v>
      </c>
      <c r="V303" s="87">
        <v>0.13</v>
      </c>
      <c r="W303" s="223"/>
      <c r="X303" s="23">
        <v>44742</v>
      </c>
      <c r="Y303" s="20" t="s">
        <v>197</v>
      </c>
      <c r="Z303" s="20"/>
      <c r="AA303" s="20"/>
      <c r="AB303" s="167"/>
    </row>
    <row r="304" spans="1:31" s="8" customFormat="1" x14ac:dyDescent="0.25">
      <c r="A304" s="207">
        <v>1</v>
      </c>
      <c r="B304" s="92" t="s">
        <v>204</v>
      </c>
      <c r="C304" s="90" t="str">
        <f>VLOOKUP($F304,Admin!$A$16:$E$19,2,FALSE)</f>
        <v>Alkalmazott (ipari) kutatás – Működési költség</v>
      </c>
      <c r="D304" s="160" t="s">
        <v>129</v>
      </c>
      <c r="E304" s="90" t="str">
        <f>VLOOKUP($F304,Admin!$A$16:$E$19,4,FALSE)</f>
        <v>54. Bérköltség - Kutató-fejlesztő munkatárs</v>
      </c>
      <c r="F304" s="90" t="s">
        <v>171</v>
      </c>
      <c r="G304" s="160" t="s">
        <v>174</v>
      </c>
      <c r="H304" s="160" t="s">
        <v>194</v>
      </c>
      <c r="I304" s="90" t="str">
        <f>VLOOKUP($F304,Admin!$A$16:$E$19,5,FALSE)</f>
        <v>K+F munkatárs</v>
      </c>
      <c r="J304" s="160" t="s">
        <v>47</v>
      </c>
      <c r="K304" s="160" t="str">
        <f t="shared" si="994"/>
        <v>2022.08</v>
      </c>
      <c r="L304" s="91" t="s">
        <v>8</v>
      </c>
      <c r="M304" s="92" t="s">
        <v>78</v>
      </c>
      <c r="N304" s="161">
        <v>515652</v>
      </c>
      <c r="O304" s="162">
        <f t="shared" ref="O304:O315" si="1000">ROUND(N304*V304,0)</f>
        <v>67035</v>
      </c>
      <c r="P304" s="160">
        <v>174</v>
      </c>
      <c r="Q304" s="236">
        <v>29</v>
      </c>
      <c r="R304" s="229">
        <f t="shared" ref="R304:R315" si="1001">Q304/P304</f>
        <v>0.16666666666666666</v>
      </c>
      <c r="S304" s="163">
        <f t="shared" ref="S304:S315" si="1002">ROUND(N304*Q304/P304,0)</f>
        <v>85942</v>
      </c>
      <c r="T304" s="164">
        <f t="shared" ref="T304:T315" si="1003">ROUND(S304*V304,0)</f>
        <v>11172</v>
      </c>
      <c r="U304" s="165">
        <f t="shared" ref="U304:U315" si="1004">Q304/P304-S304/N304</f>
        <v>0</v>
      </c>
      <c r="V304" s="87">
        <v>0.13</v>
      </c>
      <c r="W304" s="223"/>
      <c r="X304" s="23">
        <v>44742</v>
      </c>
      <c r="Y304" s="20" t="s">
        <v>197</v>
      </c>
      <c r="Z304" s="20"/>
      <c r="AA304" s="20"/>
      <c r="AB304" s="167"/>
    </row>
    <row r="305" spans="1:36" s="8" customFormat="1" x14ac:dyDescent="0.25">
      <c r="A305" s="207">
        <v>1</v>
      </c>
      <c r="B305" s="92" t="s">
        <v>204</v>
      </c>
      <c r="C305" s="90" t="str">
        <f>VLOOKUP($F305,Admin!$A$16:$E$19,2,FALSE)</f>
        <v>Alkalmazott (ipari) kutatás – Működési költség</v>
      </c>
      <c r="D305" s="160" t="s">
        <v>129</v>
      </c>
      <c r="E305" s="90" t="str">
        <f>VLOOKUP($F305,Admin!$A$16:$E$19,4,FALSE)</f>
        <v>54. Bérköltség - Kutató-fejlesztő munkatárs</v>
      </c>
      <c r="F305" s="90" t="s">
        <v>171</v>
      </c>
      <c r="G305" s="160" t="s">
        <v>174</v>
      </c>
      <c r="H305" s="160" t="s">
        <v>194</v>
      </c>
      <c r="I305" s="90" t="str">
        <f>VLOOKUP($F305,Admin!$A$16:$E$19,5,FALSE)</f>
        <v>K+F munkatárs</v>
      </c>
      <c r="J305" s="160" t="s">
        <v>48</v>
      </c>
      <c r="K305" s="160" t="str">
        <f t="shared" si="994"/>
        <v>2022.09</v>
      </c>
      <c r="L305" s="91" t="s">
        <v>8</v>
      </c>
      <c r="M305" s="92" t="s">
        <v>78</v>
      </c>
      <c r="N305" s="161">
        <v>593000</v>
      </c>
      <c r="O305" s="162">
        <f t="shared" si="1000"/>
        <v>77090</v>
      </c>
      <c r="P305" s="160">
        <v>174</v>
      </c>
      <c r="Q305" s="236">
        <v>29</v>
      </c>
      <c r="R305" s="229">
        <f t="shared" si="1001"/>
        <v>0.16666666666666666</v>
      </c>
      <c r="S305" s="163">
        <f t="shared" si="1002"/>
        <v>98833</v>
      </c>
      <c r="T305" s="164">
        <f t="shared" si="1003"/>
        <v>12848</v>
      </c>
      <c r="U305" s="165">
        <f t="shared" si="1004"/>
        <v>5.6211354693136428E-7</v>
      </c>
      <c r="V305" s="87">
        <v>0.13</v>
      </c>
      <c r="W305" s="223"/>
      <c r="X305" s="23">
        <v>44742</v>
      </c>
      <c r="Y305" s="20" t="s">
        <v>197</v>
      </c>
      <c r="Z305" s="20"/>
      <c r="AA305" s="20"/>
      <c r="AB305" s="167"/>
    </row>
    <row r="306" spans="1:36" s="8" customFormat="1" x14ac:dyDescent="0.25">
      <c r="A306" s="207">
        <v>2</v>
      </c>
      <c r="B306" s="92" t="s">
        <v>204</v>
      </c>
      <c r="C306" s="90" t="str">
        <f>VLOOKUP($F306,Admin!$A$16:$E$19,2,FALSE)</f>
        <v>Alkalmazott (ipari) kutatás – Működési költség</v>
      </c>
      <c r="D306" s="160" t="s">
        <v>129</v>
      </c>
      <c r="E306" s="90" t="str">
        <f>VLOOKUP($F306,Admin!$A$16:$E$19,4,FALSE)</f>
        <v>54. Bérköltség - Kutató-fejlesztő munkatárs</v>
      </c>
      <c r="F306" s="90" t="s">
        <v>171</v>
      </c>
      <c r="G306" s="160" t="s">
        <v>174</v>
      </c>
      <c r="H306" s="160" t="s">
        <v>194</v>
      </c>
      <c r="I306" s="90" t="str">
        <f>VLOOKUP($F306,Admin!$A$16:$E$19,5,FALSE)</f>
        <v>K+F munkatárs</v>
      </c>
      <c r="J306" s="160" t="s">
        <v>49</v>
      </c>
      <c r="K306" s="160" t="str">
        <f t="shared" ref="K306:K308" si="1005">J306</f>
        <v>2022.10</v>
      </c>
      <c r="L306" s="91" t="s">
        <v>8</v>
      </c>
      <c r="M306" s="92" t="s">
        <v>78</v>
      </c>
      <c r="N306" s="161">
        <v>450000</v>
      </c>
      <c r="O306" s="162">
        <f t="shared" ref="O306" si="1006">ROUND(N306*V306,0)</f>
        <v>58500</v>
      </c>
      <c r="P306" s="160">
        <v>174</v>
      </c>
      <c r="Q306" s="236">
        <v>39</v>
      </c>
      <c r="R306" s="229">
        <f t="shared" ref="R306" si="1007">Q306/P306</f>
        <v>0.22413793103448276</v>
      </c>
      <c r="S306" s="163">
        <f t="shared" ref="S306" si="1008">ROUND(N306*Q306/P306,0)</f>
        <v>100862</v>
      </c>
      <c r="T306" s="164">
        <f t="shared" ref="T306" si="1009">ROUND(S306*V306,0)</f>
        <v>13112</v>
      </c>
      <c r="U306" s="165">
        <f t="shared" ref="U306" si="1010">Q306/P306-S306/N306</f>
        <v>1.5325670499333199E-7</v>
      </c>
      <c r="V306" s="87">
        <v>0.13</v>
      </c>
      <c r="W306" s="223"/>
      <c r="X306" s="23">
        <v>44830</v>
      </c>
      <c r="Y306" s="20" t="s">
        <v>197</v>
      </c>
      <c r="Z306" s="20"/>
      <c r="AA306" s="20"/>
      <c r="AB306" s="167"/>
      <c r="AF306" s="8">
        <v>168</v>
      </c>
      <c r="AG306" s="8">
        <f t="shared" ref="AG306:AG314" si="1011">ROUNDUP(AF306*R306,2)</f>
        <v>37.659999999999997</v>
      </c>
      <c r="AH306" s="235">
        <v>44869</v>
      </c>
      <c r="AI306" s="8" t="str">
        <f t="shared" ref="AI306:AI314" si="1012">CONCATENATE(J306,".01")</f>
        <v>2022.10.01</v>
      </c>
      <c r="AJ306" s="235">
        <f t="shared" ref="AJ306:AJ314" si="1013">EOMONTH(AI306,0)</f>
        <v>44865</v>
      </c>
    </row>
    <row r="307" spans="1:36" s="8" customFormat="1" x14ac:dyDescent="0.25">
      <c r="A307" s="207">
        <v>2</v>
      </c>
      <c r="B307" s="92" t="s">
        <v>204</v>
      </c>
      <c r="C307" s="90" t="str">
        <f>VLOOKUP($F307,Admin!$A$16:$E$19,2,FALSE)</f>
        <v>Alkalmazott (ipari) kutatás – Működési költség</v>
      </c>
      <c r="D307" s="160" t="s">
        <v>129</v>
      </c>
      <c r="E307" s="90" t="str">
        <f>VLOOKUP($F307,Admin!$A$16:$E$19,4,FALSE)</f>
        <v>54. Bérköltség - Kutató-fejlesztő munkatárs</v>
      </c>
      <c r="F307" s="90" t="s">
        <v>171</v>
      </c>
      <c r="G307" s="160" t="s">
        <v>174</v>
      </c>
      <c r="H307" s="160" t="s">
        <v>194</v>
      </c>
      <c r="I307" s="90" t="str">
        <f>VLOOKUP($F307,Admin!$A$16:$E$19,5,FALSE)</f>
        <v>K+F munkatárs</v>
      </c>
      <c r="J307" s="160" t="s">
        <v>50</v>
      </c>
      <c r="K307" s="160" t="str">
        <f t="shared" si="1005"/>
        <v>2022.11</v>
      </c>
      <c r="L307" s="91" t="s">
        <v>8</v>
      </c>
      <c r="M307" s="92" t="s">
        <v>78</v>
      </c>
      <c r="N307" s="161">
        <v>450000</v>
      </c>
      <c r="O307" s="162">
        <f t="shared" ref="O307:O308" si="1014">ROUND(N307*V307,0)</f>
        <v>58500</v>
      </c>
      <c r="P307" s="160">
        <v>174</v>
      </c>
      <c r="Q307" s="236">
        <v>39</v>
      </c>
      <c r="R307" s="229">
        <f t="shared" ref="R307:R308" si="1015">Q307/P307</f>
        <v>0.22413793103448276</v>
      </c>
      <c r="S307" s="163">
        <f t="shared" ref="S307:S308" si="1016">ROUND(N307*Q307/P307,0)</f>
        <v>100862</v>
      </c>
      <c r="T307" s="164">
        <f t="shared" ref="T307:T308" si="1017">ROUND(S307*V307,0)</f>
        <v>13112</v>
      </c>
      <c r="U307" s="165">
        <f t="shared" ref="U307:U308" si="1018">Q307/P307-S307/N307</f>
        <v>1.5325670499333199E-7</v>
      </c>
      <c r="V307" s="87">
        <v>0.13</v>
      </c>
      <c r="W307" s="223" t="s">
        <v>220</v>
      </c>
      <c r="X307" s="23">
        <v>44830</v>
      </c>
      <c r="Y307" s="20" t="s">
        <v>197</v>
      </c>
      <c r="Z307" s="20"/>
      <c r="AA307" s="20"/>
      <c r="AB307" s="167"/>
      <c r="AC307" s="210" t="e">
        <v>#N/A</v>
      </c>
      <c r="AD307" s="210" t="e">
        <v>#N/A</v>
      </c>
      <c r="AE307" s="210" t="e">
        <v>#N/A</v>
      </c>
      <c r="AF307" s="8">
        <v>168</v>
      </c>
      <c r="AG307" s="8">
        <f t="shared" si="1011"/>
        <v>37.659999999999997</v>
      </c>
      <c r="AH307" s="235">
        <v>44900</v>
      </c>
      <c r="AI307" s="8" t="str">
        <f t="shared" si="1012"/>
        <v>2022.11.01</v>
      </c>
      <c r="AJ307" s="235">
        <f t="shared" si="1013"/>
        <v>44895</v>
      </c>
    </row>
    <row r="308" spans="1:36" s="8" customFormat="1" x14ac:dyDescent="0.25">
      <c r="A308" s="207">
        <v>2</v>
      </c>
      <c r="B308" s="92" t="s">
        <v>204</v>
      </c>
      <c r="C308" s="90" t="str">
        <f>VLOOKUP($F308,Admin!$A$16:$E$19,2,FALSE)</f>
        <v>Alkalmazott (ipari) kutatás – Működési költség</v>
      </c>
      <c r="D308" s="160" t="s">
        <v>129</v>
      </c>
      <c r="E308" s="90" t="str">
        <f>VLOOKUP($F308,Admin!$A$16:$E$19,4,FALSE)</f>
        <v>54. Bérköltség - Kutató-fejlesztő munkatárs</v>
      </c>
      <c r="F308" s="90" t="s">
        <v>171</v>
      </c>
      <c r="G308" s="160" t="s">
        <v>174</v>
      </c>
      <c r="H308" s="160" t="s">
        <v>194</v>
      </c>
      <c r="I308" s="90" t="str">
        <f>VLOOKUP($F308,Admin!$A$16:$E$19,5,FALSE)</f>
        <v>K+F munkatárs</v>
      </c>
      <c r="J308" s="160" t="s">
        <v>51</v>
      </c>
      <c r="K308" s="160" t="str">
        <f t="shared" si="1005"/>
        <v>2022.12</v>
      </c>
      <c r="L308" s="91" t="s">
        <v>8</v>
      </c>
      <c r="M308" s="92" t="s">
        <v>78</v>
      </c>
      <c r="N308" s="161">
        <v>449999</v>
      </c>
      <c r="O308" s="162">
        <f t="shared" si="1014"/>
        <v>58500</v>
      </c>
      <c r="P308" s="160">
        <v>174</v>
      </c>
      <c r="Q308" s="236">
        <v>39</v>
      </c>
      <c r="R308" s="229">
        <f t="shared" si="1015"/>
        <v>0.22413793103448276</v>
      </c>
      <c r="S308" s="163">
        <f t="shared" si="1016"/>
        <v>100862</v>
      </c>
      <c r="T308" s="164">
        <f t="shared" si="1017"/>
        <v>13112</v>
      </c>
      <c r="U308" s="165">
        <f t="shared" si="1018"/>
        <v>-3.4482835248317301E-7</v>
      </c>
      <c r="V308" s="87">
        <v>0.13</v>
      </c>
      <c r="W308" s="223" t="s">
        <v>220</v>
      </c>
      <c r="X308" s="23">
        <v>44830</v>
      </c>
      <c r="Y308" s="20" t="s">
        <v>197</v>
      </c>
      <c r="Z308" s="20"/>
      <c r="AA308" s="20"/>
      <c r="AB308" s="167"/>
      <c r="AC308" s="210" t="s">
        <v>246</v>
      </c>
      <c r="AD308" s="210" t="s">
        <v>247</v>
      </c>
      <c r="AE308" s="210" t="s">
        <v>247</v>
      </c>
      <c r="AF308" s="8">
        <v>168</v>
      </c>
      <c r="AG308" s="8">
        <f t="shared" si="1011"/>
        <v>37.659999999999997</v>
      </c>
      <c r="AH308" s="235">
        <v>44931</v>
      </c>
      <c r="AI308" s="8" t="str">
        <f t="shared" si="1012"/>
        <v>2022.12.01</v>
      </c>
      <c r="AJ308" s="235">
        <f t="shared" si="1013"/>
        <v>44926</v>
      </c>
    </row>
    <row r="309" spans="1:36" s="8" customFormat="1" x14ac:dyDescent="0.25">
      <c r="A309" s="207">
        <v>2</v>
      </c>
      <c r="B309" s="92" t="s">
        <v>204</v>
      </c>
      <c r="C309" s="90" t="str">
        <f>VLOOKUP($F309,Admin!$A$16:$E$19,2,FALSE)</f>
        <v>Alkalmazott (ipari) kutatás – Működési költség</v>
      </c>
      <c r="D309" s="160" t="s">
        <v>129</v>
      </c>
      <c r="E309" s="90" t="str">
        <f>VLOOKUP($F309,Admin!$A$16:$E$19,4,FALSE)</f>
        <v>54. Bérköltség - Kutató-fejlesztő munkatárs</v>
      </c>
      <c r="F309" s="90" t="s">
        <v>171</v>
      </c>
      <c r="G309" s="160" t="s">
        <v>174</v>
      </c>
      <c r="H309" s="160" t="s">
        <v>194</v>
      </c>
      <c r="I309" s="90" t="str">
        <f>VLOOKUP($F309,Admin!$A$16:$E$19,5,FALSE)</f>
        <v>K+F munkatárs</v>
      </c>
      <c r="J309" s="160" t="s">
        <v>64</v>
      </c>
      <c r="K309" s="160" t="str">
        <f t="shared" ref="K309:K311" si="1019">J309</f>
        <v>2023.01</v>
      </c>
      <c r="L309" s="91" t="s">
        <v>8</v>
      </c>
      <c r="M309" s="92" t="s">
        <v>78</v>
      </c>
      <c r="N309" s="161">
        <v>494999</v>
      </c>
      <c r="O309" s="162">
        <f t="shared" ref="O309" si="1020">ROUND(N309*V309,0)</f>
        <v>64350</v>
      </c>
      <c r="P309" s="160">
        <v>174</v>
      </c>
      <c r="Q309" s="236">
        <v>36</v>
      </c>
      <c r="R309" s="229">
        <f t="shared" ref="R309" si="1021">Q309/P309</f>
        <v>0.20689655172413793</v>
      </c>
      <c r="S309" s="163">
        <f t="shared" ref="S309" si="1022">ROUND(N309*Q309/P309,0)</f>
        <v>102414</v>
      </c>
      <c r="T309" s="164">
        <f t="shared" ref="T309" si="1023">ROUND(S309*V309,0)</f>
        <v>13314</v>
      </c>
      <c r="U309" s="165">
        <f t="shared" ref="U309" si="1024">Q309/P309-S309/N309</f>
        <v>-8.35947352312294E-7</v>
      </c>
      <c r="V309" s="87">
        <v>0.13</v>
      </c>
      <c r="W309" s="223" t="s">
        <v>220</v>
      </c>
      <c r="X309" s="23">
        <v>44944</v>
      </c>
      <c r="Y309" s="20" t="s">
        <v>197</v>
      </c>
      <c r="Z309" s="20"/>
      <c r="AA309" s="20"/>
      <c r="AB309" s="167"/>
      <c r="AC309" s="210" t="s">
        <v>246</v>
      </c>
      <c r="AD309" s="210">
        <v>0</v>
      </c>
      <c r="AE309" s="210">
        <v>0</v>
      </c>
      <c r="AF309" s="8">
        <v>176</v>
      </c>
      <c r="AG309" s="8">
        <f t="shared" si="1011"/>
        <v>36.419999999999995</v>
      </c>
      <c r="AH309" s="235">
        <v>44960</v>
      </c>
      <c r="AI309" s="8" t="str">
        <f t="shared" si="1012"/>
        <v>2023.01.01</v>
      </c>
      <c r="AJ309" s="235">
        <f t="shared" si="1013"/>
        <v>44957</v>
      </c>
    </row>
    <row r="310" spans="1:36" s="8" customFormat="1" x14ac:dyDescent="0.25">
      <c r="A310" s="207">
        <v>2</v>
      </c>
      <c r="B310" s="92" t="s">
        <v>204</v>
      </c>
      <c r="C310" s="90" t="str">
        <f>VLOOKUP($F310,Admin!$A$16:$E$19,2,FALSE)</f>
        <v>Alkalmazott (ipari) kutatás – Működési költség</v>
      </c>
      <c r="D310" s="160" t="s">
        <v>129</v>
      </c>
      <c r="E310" s="90" t="str">
        <f>VLOOKUP($F310,Admin!$A$16:$E$19,4,FALSE)</f>
        <v>54. Bérköltség - Kutató-fejlesztő munkatárs</v>
      </c>
      <c r="F310" s="90" t="s">
        <v>171</v>
      </c>
      <c r="G310" s="160" t="s">
        <v>174</v>
      </c>
      <c r="H310" s="160" t="s">
        <v>194</v>
      </c>
      <c r="I310" s="90" t="str">
        <f>VLOOKUP($F310,Admin!$A$16:$E$19,5,FALSE)</f>
        <v>K+F munkatárs</v>
      </c>
      <c r="J310" s="160" t="s">
        <v>65</v>
      </c>
      <c r="K310" s="160" t="str">
        <f t="shared" si="1019"/>
        <v>2023.02</v>
      </c>
      <c r="L310" s="91" t="s">
        <v>8</v>
      </c>
      <c r="M310" s="92" t="s">
        <v>78</v>
      </c>
      <c r="N310" s="161">
        <v>495000</v>
      </c>
      <c r="O310" s="162">
        <f t="shared" ref="O310:O311" si="1025">ROUND(N310*V310,0)</f>
        <v>64350</v>
      </c>
      <c r="P310" s="160">
        <v>174</v>
      </c>
      <c r="Q310" s="236">
        <v>36</v>
      </c>
      <c r="R310" s="229">
        <f t="shared" ref="R310:R311" si="1026">Q310/P310</f>
        <v>0.20689655172413793</v>
      </c>
      <c r="S310" s="163">
        <f t="shared" ref="S310:S311" si="1027">ROUND(N310*Q310/P310,0)</f>
        <v>102414</v>
      </c>
      <c r="T310" s="164">
        <f t="shared" ref="T310:T311" si="1028">ROUND(S310*V310,0)</f>
        <v>13314</v>
      </c>
      <c r="U310" s="165">
        <f t="shared" ref="U310:U311" si="1029">Q310/P310-S310/N310</f>
        <v>-4.1797283176214783E-7</v>
      </c>
      <c r="V310" s="87">
        <v>0.13</v>
      </c>
      <c r="W310" s="223" t="s">
        <v>220</v>
      </c>
      <c r="X310" s="23">
        <v>44944</v>
      </c>
      <c r="Y310" s="20" t="s">
        <v>197</v>
      </c>
      <c r="Z310" s="20"/>
      <c r="AA310" s="20"/>
      <c r="AB310" s="167"/>
      <c r="AC310" s="8" t="s">
        <v>246</v>
      </c>
      <c r="AD310" s="8">
        <v>175000</v>
      </c>
      <c r="AE310" s="8">
        <v>36790</v>
      </c>
      <c r="AF310" s="8">
        <v>160</v>
      </c>
      <c r="AG310" s="8">
        <f t="shared" si="1011"/>
        <v>33.11</v>
      </c>
      <c r="AH310" s="235">
        <v>44988</v>
      </c>
      <c r="AI310" s="8" t="str">
        <f t="shared" si="1012"/>
        <v>2023.02.01</v>
      </c>
      <c r="AJ310" s="235">
        <f t="shared" si="1013"/>
        <v>44985</v>
      </c>
    </row>
    <row r="311" spans="1:36" s="8" customFormat="1" x14ac:dyDescent="0.25">
      <c r="A311" s="207">
        <v>2</v>
      </c>
      <c r="B311" s="92" t="s">
        <v>204</v>
      </c>
      <c r="C311" s="90" t="str">
        <f>VLOOKUP($F311,Admin!$A$16:$E$19,2,FALSE)</f>
        <v>Alkalmazott (ipari) kutatás – Működési költség</v>
      </c>
      <c r="D311" s="160" t="s">
        <v>129</v>
      </c>
      <c r="E311" s="90" t="str">
        <f>VLOOKUP($F311,Admin!$A$16:$E$19,4,FALSE)</f>
        <v>54. Bérköltség - Kutató-fejlesztő munkatárs</v>
      </c>
      <c r="F311" s="90" t="s">
        <v>171</v>
      </c>
      <c r="G311" s="160" t="s">
        <v>174</v>
      </c>
      <c r="H311" s="160" t="s">
        <v>194</v>
      </c>
      <c r="I311" s="90" t="str">
        <f>VLOOKUP($F311,Admin!$A$16:$E$19,5,FALSE)</f>
        <v>K+F munkatárs</v>
      </c>
      <c r="J311" s="160" t="s">
        <v>66</v>
      </c>
      <c r="K311" s="160" t="str">
        <f t="shared" si="1019"/>
        <v>2023.03</v>
      </c>
      <c r="L311" s="91" t="s">
        <v>8</v>
      </c>
      <c r="M311" s="92" t="s">
        <v>78</v>
      </c>
      <c r="N311" s="161">
        <v>670000</v>
      </c>
      <c r="O311" s="162">
        <f t="shared" si="1025"/>
        <v>87100</v>
      </c>
      <c r="P311" s="160">
        <v>174</v>
      </c>
      <c r="Q311" s="236">
        <v>89</v>
      </c>
      <c r="R311" s="229">
        <f t="shared" si="1026"/>
        <v>0.5114942528735632</v>
      </c>
      <c r="S311" s="163">
        <f t="shared" si="1027"/>
        <v>342701</v>
      </c>
      <c r="T311" s="164">
        <f t="shared" si="1028"/>
        <v>44551</v>
      </c>
      <c r="U311" s="165">
        <f t="shared" si="1029"/>
        <v>2.2302281688091341E-7</v>
      </c>
      <c r="V311" s="87">
        <v>0.13</v>
      </c>
      <c r="W311" s="223" t="s">
        <v>220</v>
      </c>
      <c r="X311" s="23">
        <v>44980</v>
      </c>
      <c r="Y311" s="20" t="s">
        <v>197</v>
      </c>
      <c r="Z311" s="20"/>
      <c r="AA311" s="20"/>
      <c r="AB311" s="167"/>
      <c r="AC311" s="8" t="s">
        <v>246</v>
      </c>
      <c r="AD311" s="8">
        <v>0</v>
      </c>
      <c r="AE311" s="8">
        <v>14040</v>
      </c>
      <c r="AF311" s="8">
        <v>176</v>
      </c>
      <c r="AG311" s="8">
        <f t="shared" si="1011"/>
        <v>90.03</v>
      </c>
      <c r="AH311" s="235">
        <v>45021</v>
      </c>
      <c r="AI311" s="8" t="str">
        <f t="shared" si="1012"/>
        <v>2023.03.01</v>
      </c>
      <c r="AJ311" s="235">
        <f t="shared" si="1013"/>
        <v>45016</v>
      </c>
    </row>
    <row r="312" spans="1:36" s="8" customFormat="1" x14ac:dyDescent="0.25">
      <c r="A312" s="207">
        <v>2</v>
      </c>
      <c r="B312" s="92" t="s">
        <v>204</v>
      </c>
      <c r="C312" s="90" t="str">
        <f>VLOOKUP($F312,Admin!$A$16:$E$19,2,FALSE)</f>
        <v>Alkalmazott (ipari) kutatás – Működési költség</v>
      </c>
      <c r="D312" s="160" t="s">
        <v>129</v>
      </c>
      <c r="E312" s="90" t="str">
        <f>VLOOKUP($F312,Admin!$A$16:$E$19,4,FALSE)</f>
        <v>54. Bérköltség - Kutató-fejlesztő munkatárs</v>
      </c>
      <c r="F312" s="90" t="s">
        <v>171</v>
      </c>
      <c r="G312" s="160" t="s">
        <v>174</v>
      </c>
      <c r="H312" s="160" t="s">
        <v>194</v>
      </c>
      <c r="I312" s="90" t="str">
        <f>VLOOKUP($F312,Admin!$A$16:$E$19,5,FALSE)</f>
        <v>K+F munkatárs</v>
      </c>
      <c r="J312" s="160" t="s">
        <v>67</v>
      </c>
      <c r="K312" s="160" t="str">
        <f t="shared" ref="K312:K314" si="1030">J312</f>
        <v>2023.04</v>
      </c>
      <c r="L312" s="91" t="s">
        <v>8</v>
      </c>
      <c r="M312" s="92" t="s">
        <v>78</v>
      </c>
      <c r="N312" s="161">
        <v>670000</v>
      </c>
      <c r="O312" s="162">
        <f t="shared" ref="O312:O313" si="1031">ROUND(N312*V312,0)</f>
        <v>87100</v>
      </c>
      <c r="P312" s="160">
        <v>174</v>
      </c>
      <c r="Q312" s="236">
        <v>89</v>
      </c>
      <c r="R312" s="229">
        <f t="shared" ref="R312:R313" si="1032">Q312/P312</f>
        <v>0.5114942528735632</v>
      </c>
      <c r="S312" s="163">
        <f t="shared" ref="S312:S313" si="1033">ROUND(N312*Q312/P312,0)</f>
        <v>342701</v>
      </c>
      <c r="T312" s="164">
        <f t="shared" ref="T312:T313" si="1034">ROUND(S312*V312,0)</f>
        <v>44551</v>
      </c>
      <c r="U312" s="165">
        <f t="shared" ref="U312:U313" si="1035">Q312/P312-S312/N312</f>
        <v>2.2302281688091341E-7</v>
      </c>
      <c r="V312" s="87">
        <v>0.13</v>
      </c>
      <c r="W312" s="223" t="s">
        <v>220</v>
      </c>
      <c r="X312" s="23">
        <v>44980</v>
      </c>
      <c r="Y312" s="20" t="s">
        <v>197</v>
      </c>
      <c r="Z312" s="20"/>
      <c r="AA312" s="20"/>
      <c r="AB312" s="167"/>
      <c r="AC312" s="8" t="s">
        <v>246</v>
      </c>
      <c r="AD312" s="8">
        <v>0</v>
      </c>
      <c r="AE312" s="233">
        <v>14040</v>
      </c>
      <c r="AF312" s="8">
        <v>144</v>
      </c>
      <c r="AG312" s="8">
        <f t="shared" si="1011"/>
        <v>73.660000000000011</v>
      </c>
      <c r="AH312" s="235">
        <v>45051</v>
      </c>
      <c r="AI312" s="8" t="str">
        <f t="shared" si="1012"/>
        <v>2023.04.01</v>
      </c>
      <c r="AJ312" s="235">
        <f t="shared" si="1013"/>
        <v>45046</v>
      </c>
    </row>
    <row r="313" spans="1:36" s="8" customFormat="1" x14ac:dyDescent="0.25">
      <c r="A313" s="207">
        <v>2</v>
      </c>
      <c r="B313" s="92" t="s">
        <v>204</v>
      </c>
      <c r="C313" s="90" t="str">
        <f>VLOOKUP($F313,Admin!$A$16:$E$19,2,FALSE)</f>
        <v>Alkalmazott (ipari) kutatás – Működési költség</v>
      </c>
      <c r="D313" s="160" t="s">
        <v>129</v>
      </c>
      <c r="E313" s="90" t="str">
        <f>VLOOKUP($F313,Admin!$A$16:$E$19,4,FALSE)</f>
        <v>54. Bérköltség - Kutató-fejlesztő munkatárs</v>
      </c>
      <c r="F313" s="90" t="s">
        <v>171</v>
      </c>
      <c r="G313" s="160" t="s">
        <v>174</v>
      </c>
      <c r="H313" s="160" t="s">
        <v>194</v>
      </c>
      <c r="I313" s="90" t="str">
        <f>VLOOKUP($F313,Admin!$A$16:$E$19,5,FALSE)</f>
        <v>K+F munkatárs</v>
      </c>
      <c r="J313" s="160" t="s">
        <v>68</v>
      </c>
      <c r="K313" s="160" t="str">
        <f t="shared" si="1030"/>
        <v>2023.05</v>
      </c>
      <c r="L313" s="91" t="s">
        <v>8</v>
      </c>
      <c r="M313" s="92" t="s">
        <v>78</v>
      </c>
      <c r="N313" s="161">
        <v>712000</v>
      </c>
      <c r="O313" s="162">
        <f t="shared" si="1031"/>
        <v>92560</v>
      </c>
      <c r="P313" s="160">
        <v>174</v>
      </c>
      <c r="Q313" s="236">
        <v>89</v>
      </c>
      <c r="R313" s="229">
        <f t="shared" si="1032"/>
        <v>0.5114942528735632</v>
      </c>
      <c r="S313" s="163">
        <f t="shared" si="1033"/>
        <v>364184</v>
      </c>
      <c r="T313" s="164">
        <f t="shared" si="1034"/>
        <v>47344</v>
      </c>
      <c r="U313" s="165">
        <f t="shared" si="1035"/>
        <v>-1.2914890867854467E-7</v>
      </c>
      <c r="V313" s="87">
        <v>0.13</v>
      </c>
      <c r="W313" s="223" t="s">
        <v>220</v>
      </c>
      <c r="X313" s="23">
        <v>45041</v>
      </c>
      <c r="Y313" s="20" t="s">
        <v>197</v>
      </c>
      <c r="Z313" s="20"/>
      <c r="AA313" s="20"/>
      <c r="AB313" s="167"/>
      <c r="AC313" s="8" t="s">
        <v>246</v>
      </c>
      <c r="AD313" s="8">
        <v>0</v>
      </c>
      <c r="AE313" s="8">
        <v>0</v>
      </c>
      <c r="AF313" s="8">
        <v>168</v>
      </c>
      <c r="AG313" s="8">
        <f t="shared" si="1011"/>
        <v>85.940000000000012</v>
      </c>
      <c r="AH313" s="235">
        <v>45082</v>
      </c>
      <c r="AI313" s="8" t="str">
        <f t="shared" si="1012"/>
        <v>2023.05.01</v>
      </c>
      <c r="AJ313" s="235">
        <f t="shared" si="1013"/>
        <v>45077</v>
      </c>
    </row>
    <row r="314" spans="1:36" s="8" customFormat="1" x14ac:dyDescent="0.25">
      <c r="A314" s="207">
        <v>2</v>
      </c>
      <c r="B314" s="92" t="s">
        <v>204</v>
      </c>
      <c r="C314" s="90" t="str">
        <f>VLOOKUP($F314,Admin!$A$16:$E$19,2,FALSE)</f>
        <v>Alkalmazott (ipari) kutatás – Működési költség</v>
      </c>
      <c r="D314" s="160" t="s">
        <v>129</v>
      </c>
      <c r="E314" s="90" t="str">
        <f>VLOOKUP($F314,Admin!$A$16:$E$19,4,FALSE)</f>
        <v>54. Bérköltség - Kutató-fejlesztő munkatárs</v>
      </c>
      <c r="F314" s="90" t="s">
        <v>171</v>
      </c>
      <c r="G314" s="160" t="s">
        <v>174</v>
      </c>
      <c r="H314" s="160" t="s">
        <v>194</v>
      </c>
      <c r="I314" s="90" t="str">
        <f>VLOOKUP($F314,Admin!$A$16:$E$19,5,FALSE)</f>
        <v>K+F munkatárs</v>
      </c>
      <c r="J314" s="160" t="s">
        <v>69</v>
      </c>
      <c r="K314" s="160" t="str">
        <f t="shared" si="1030"/>
        <v>2023.06</v>
      </c>
      <c r="L314" s="91" t="s">
        <v>8</v>
      </c>
      <c r="M314" s="92" t="s">
        <v>78</v>
      </c>
      <c r="N314" s="161">
        <v>712000</v>
      </c>
      <c r="O314" s="162">
        <f t="shared" ref="O314" si="1036">ROUND(N314*V314,0)</f>
        <v>92560</v>
      </c>
      <c r="P314" s="160">
        <v>174</v>
      </c>
      <c r="Q314" s="236">
        <v>89</v>
      </c>
      <c r="R314" s="229">
        <f t="shared" ref="R314" si="1037">Q314/P314</f>
        <v>0.5114942528735632</v>
      </c>
      <c r="S314" s="163">
        <f t="shared" ref="S314" si="1038">ROUND(N314*Q314/P314,0)</f>
        <v>364184</v>
      </c>
      <c r="T314" s="164">
        <f t="shared" ref="T314" si="1039">ROUND(S314*V314,0)</f>
        <v>47344</v>
      </c>
      <c r="U314" s="165">
        <f t="shared" ref="U314" si="1040">Q314/P314-S314/N314</f>
        <v>-1.2914890867854467E-7</v>
      </c>
      <c r="V314" s="87">
        <v>0.13</v>
      </c>
      <c r="W314" s="223" t="s">
        <v>220</v>
      </c>
      <c r="X314" s="23">
        <v>45041</v>
      </c>
      <c r="Y314" s="20" t="s">
        <v>197</v>
      </c>
      <c r="Z314" s="20"/>
      <c r="AA314" s="20"/>
      <c r="AB314" s="167"/>
      <c r="AC314" s="8" t="s">
        <v>246</v>
      </c>
      <c r="AD314" s="8">
        <v>0</v>
      </c>
      <c r="AE314" s="8">
        <v>0</v>
      </c>
      <c r="AF314" s="8">
        <v>176</v>
      </c>
      <c r="AG314" s="8">
        <f t="shared" si="1011"/>
        <v>90.03</v>
      </c>
      <c r="AH314" s="235">
        <v>45112</v>
      </c>
      <c r="AI314" s="8" t="str">
        <f t="shared" si="1012"/>
        <v>2023.06.01</v>
      </c>
      <c r="AJ314" s="235">
        <f t="shared" si="1013"/>
        <v>45107</v>
      </c>
    </row>
    <row r="315" spans="1:36" s="8" customFormat="1" x14ac:dyDescent="0.25">
      <c r="A315" s="207">
        <v>1</v>
      </c>
      <c r="B315" s="92" t="s">
        <v>210</v>
      </c>
      <c r="C315" s="90" t="str">
        <f>VLOOKUP($F315,Admin!$A$16:$E$19,2,FALSE)</f>
        <v>Alkalmazott (ipari) kutatás – Működési költség</v>
      </c>
      <c r="D315" s="160" t="s">
        <v>129</v>
      </c>
      <c r="E315" s="90" t="str">
        <f>VLOOKUP($F315,Admin!$A$16:$E$19,4,FALSE)</f>
        <v>54. Bérköltség - technikus segédszemélyzet</v>
      </c>
      <c r="F315" s="90" t="s">
        <v>173</v>
      </c>
      <c r="G315" s="160" t="s">
        <v>174</v>
      </c>
      <c r="H315" s="160" t="s">
        <v>195</v>
      </c>
      <c r="I315" s="90" t="str">
        <f>VLOOKUP($F315,Admin!$A$16:$E$19,5,FALSE)</f>
        <v>Technikus</v>
      </c>
      <c r="J315" s="160" t="s">
        <v>48</v>
      </c>
      <c r="K315" s="160" t="str">
        <f t="shared" ref="K315" si="1041">J315</f>
        <v>2022.09</v>
      </c>
      <c r="L315" s="91" t="s">
        <v>8</v>
      </c>
      <c r="M315" s="92" t="s">
        <v>78</v>
      </c>
      <c r="N315" s="161">
        <v>470500</v>
      </c>
      <c r="O315" s="162">
        <f t="shared" si="1000"/>
        <v>61165</v>
      </c>
      <c r="P315" s="160">
        <v>174</v>
      </c>
      <c r="Q315" s="236">
        <v>74</v>
      </c>
      <c r="R315" s="229">
        <f t="shared" si="1001"/>
        <v>0.42528735632183906</v>
      </c>
      <c r="S315" s="163">
        <f t="shared" si="1002"/>
        <v>200098</v>
      </c>
      <c r="T315" s="164">
        <f t="shared" si="1003"/>
        <v>26013</v>
      </c>
      <c r="U315" s="165">
        <f t="shared" si="1004"/>
        <v>-6.3517656689882074E-7</v>
      </c>
      <c r="V315" s="87">
        <v>0.13</v>
      </c>
      <c r="W315" s="223"/>
      <c r="X315" s="23">
        <v>44798</v>
      </c>
      <c r="Y315" s="20" t="s">
        <v>197</v>
      </c>
      <c r="Z315" s="20"/>
      <c r="AA315" s="20"/>
      <c r="AB315" s="167"/>
    </row>
    <row r="316" spans="1:36" s="8" customFormat="1" x14ac:dyDescent="0.25">
      <c r="A316" s="207">
        <v>2</v>
      </c>
      <c r="B316" s="92" t="s">
        <v>210</v>
      </c>
      <c r="C316" s="90" t="str">
        <f>VLOOKUP($F316,Admin!$A$16:$E$19,2,FALSE)</f>
        <v>Kísérleti fejlesztés – Működési költség</v>
      </c>
      <c r="D316" s="160" t="s">
        <v>129</v>
      </c>
      <c r="E316" s="90" t="str">
        <f>VLOOKUP($F316,Admin!$A$16:$E$19,4,FALSE)</f>
        <v>54. Bérköltség - technikus segédszemélyzet</v>
      </c>
      <c r="F316" s="90" t="s">
        <v>172</v>
      </c>
      <c r="G316" s="160" t="s">
        <v>174</v>
      </c>
      <c r="H316" s="160" t="s">
        <v>195</v>
      </c>
      <c r="I316" s="90" t="str">
        <f>VLOOKUP($F316,Admin!$A$16:$E$19,5,FALSE)</f>
        <v>Technikus</v>
      </c>
      <c r="J316" s="160" t="s">
        <v>49</v>
      </c>
      <c r="K316" s="160" t="str">
        <f t="shared" ref="K316:K318" si="1042">J316</f>
        <v>2022.10</v>
      </c>
      <c r="L316" s="91" t="s">
        <v>8</v>
      </c>
      <c r="M316" s="92" t="s">
        <v>78</v>
      </c>
      <c r="N316" s="161">
        <v>470500</v>
      </c>
      <c r="O316" s="162">
        <f t="shared" ref="O316" si="1043">ROUND(N316*V316,0)</f>
        <v>61165</v>
      </c>
      <c r="P316" s="160">
        <v>174</v>
      </c>
      <c r="Q316" s="236">
        <v>74</v>
      </c>
      <c r="R316" s="229">
        <f t="shared" ref="R316" si="1044">Q316/P316</f>
        <v>0.42528735632183906</v>
      </c>
      <c r="S316" s="163">
        <f t="shared" ref="S316" si="1045">ROUND(N316*Q316/P316,0)</f>
        <v>200098</v>
      </c>
      <c r="T316" s="164">
        <f t="shared" ref="T316" si="1046">ROUND(S316*V316,0)</f>
        <v>26013</v>
      </c>
      <c r="U316" s="165">
        <f t="shared" ref="U316" si="1047">Q316/P316-S316/N316</f>
        <v>-6.3517656689882074E-7</v>
      </c>
      <c r="V316" s="87">
        <v>0.13</v>
      </c>
      <c r="W316" s="223"/>
      <c r="X316" s="23">
        <v>44825</v>
      </c>
      <c r="Y316" s="20" t="s">
        <v>197</v>
      </c>
      <c r="Z316" s="20"/>
      <c r="AA316" s="20"/>
      <c r="AB316" s="167"/>
      <c r="AF316" s="8">
        <v>168</v>
      </c>
      <c r="AG316" s="8">
        <f t="shared" ref="AG316:AG327" si="1048">ROUNDUP(AF316*R316,2)</f>
        <v>71.45</v>
      </c>
      <c r="AH316" s="235">
        <v>44869</v>
      </c>
      <c r="AI316" s="8" t="str">
        <f t="shared" ref="AI316:AI327" si="1049">CONCATENATE(J316,".01")</f>
        <v>2022.10.01</v>
      </c>
      <c r="AJ316" s="235">
        <f t="shared" ref="AJ316:AJ327" si="1050">EOMONTH(AI316,0)</f>
        <v>44865</v>
      </c>
    </row>
    <row r="317" spans="1:36" s="8" customFormat="1" x14ac:dyDescent="0.25">
      <c r="A317" s="207">
        <v>2</v>
      </c>
      <c r="B317" s="92" t="s">
        <v>210</v>
      </c>
      <c r="C317" s="90" t="str">
        <f>VLOOKUP($F317,Admin!$A$16:$E$19,2,FALSE)</f>
        <v>Kísérleti fejlesztés – Működési költség</v>
      </c>
      <c r="D317" s="160" t="s">
        <v>129</v>
      </c>
      <c r="E317" s="90" t="str">
        <f>VLOOKUP($F317,Admin!$A$16:$E$19,4,FALSE)</f>
        <v>54. Bérköltség - technikus segédszemélyzet</v>
      </c>
      <c r="F317" s="90" t="s">
        <v>172</v>
      </c>
      <c r="G317" s="160" t="s">
        <v>174</v>
      </c>
      <c r="H317" s="160" t="s">
        <v>195</v>
      </c>
      <c r="I317" s="90" t="str">
        <f>VLOOKUP($F317,Admin!$A$16:$E$19,5,FALSE)</f>
        <v>Technikus</v>
      </c>
      <c r="J317" s="160" t="s">
        <v>50</v>
      </c>
      <c r="K317" s="160" t="str">
        <f t="shared" si="1042"/>
        <v>2022.11</v>
      </c>
      <c r="L317" s="91" t="s">
        <v>8</v>
      </c>
      <c r="M317" s="92" t="s">
        <v>78</v>
      </c>
      <c r="N317" s="161">
        <v>470500</v>
      </c>
      <c r="O317" s="162">
        <f t="shared" ref="O317:O318" si="1051">ROUND(N317*V317,0)</f>
        <v>61165</v>
      </c>
      <c r="P317" s="160">
        <v>174</v>
      </c>
      <c r="Q317" s="236">
        <v>74</v>
      </c>
      <c r="R317" s="229">
        <f t="shared" ref="R317:R318" si="1052">Q317/P317</f>
        <v>0.42528735632183906</v>
      </c>
      <c r="S317" s="163">
        <f t="shared" ref="S317:S318" si="1053">ROUND(N317*Q317/P317,0)</f>
        <v>200098</v>
      </c>
      <c r="T317" s="164">
        <f t="shared" ref="T317:T318" si="1054">ROUND(S317*V317,0)</f>
        <v>26013</v>
      </c>
      <c r="U317" s="165">
        <f t="shared" ref="U317:U318" si="1055">Q317/P317-S317/N317</f>
        <v>-6.3517656689882074E-7</v>
      </c>
      <c r="V317" s="87">
        <v>0.13</v>
      </c>
      <c r="W317" s="223" t="s">
        <v>231</v>
      </c>
      <c r="X317" s="23">
        <v>44825</v>
      </c>
      <c r="Y317" s="20" t="s">
        <v>197</v>
      </c>
      <c r="Z317" s="20"/>
      <c r="AA317" s="20"/>
      <c r="AB317" s="167"/>
      <c r="AC317" s="211" t="e">
        <v>#N/A</v>
      </c>
      <c r="AD317" s="211" t="e">
        <v>#N/A</v>
      </c>
      <c r="AE317" s="211" t="e">
        <v>#N/A</v>
      </c>
      <c r="AF317" s="8">
        <v>168</v>
      </c>
      <c r="AG317" s="8">
        <f t="shared" si="1048"/>
        <v>71.45</v>
      </c>
      <c r="AH317" s="235">
        <v>44900</v>
      </c>
      <c r="AI317" s="8" t="str">
        <f t="shared" si="1049"/>
        <v>2022.11.01</v>
      </c>
      <c r="AJ317" s="235">
        <f t="shared" si="1050"/>
        <v>44895</v>
      </c>
    </row>
    <row r="318" spans="1:36" s="8" customFormat="1" x14ac:dyDescent="0.25">
      <c r="A318" s="207">
        <v>2</v>
      </c>
      <c r="B318" s="92" t="s">
        <v>210</v>
      </c>
      <c r="C318" s="90" t="str">
        <f>VLOOKUP($F318,Admin!$A$16:$E$19,2,FALSE)</f>
        <v>Kísérleti fejlesztés – Működési költség</v>
      </c>
      <c r="D318" s="160" t="s">
        <v>129</v>
      </c>
      <c r="E318" s="90" t="str">
        <f>VLOOKUP($F318,Admin!$A$16:$E$19,4,FALSE)</f>
        <v>54. Bérköltség - technikus segédszemélyzet</v>
      </c>
      <c r="F318" s="90" t="s">
        <v>172</v>
      </c>
      <c r="G318" s="160" t="s">
        <v>174</v>
      </c>
      <c r="H318" s="160" t="s">
        <v>195</v>
      </c>
      <c r="I318" s="90" t="str">
        <f>VLOOKUP($F318,Admin!$A$16:$E$19,5,FALSE)</f>
        <v>Technikus</v>
      </c>
      <c r="J318" s="160" t="s">
        <v>51</v>
      </c>
      <c r="K318" s="160" t="str">
        <f t="shared" si="1042"/>
        <v>2022.12</v>
      </c>
      <c r="L318" s="91" t="s">
        <v>8</v>
      </c>
      <c r="M318" s="92" t="s">
        <v>78</v>
      </c>
      <c r="N318" s="161">
        <v>470500</v>
      </c>
      <c r="O318" s="162">
        <f t="shared" si="1051"/>
        <v>61165</v>
      </c>
      <c r="P318" s="160">
        <v>174</v>
      </c>
      <c r="Q318" s="236">
        <v>74</v>
      </c>
      <c r="R318" s="229">
        <f t="shared" si="1052"/>
        <v>0.42528735632183906</v>
      </c>
      <c r="S318" s="163">
        <f t="shared" si="1053"/>
        <v>200098</v>
      </c>
      <c r="T318" s="164">
        <f t="shared" si="1054"/>
        <v>26013</v>
      </c>
      <c r="U318" s="165">
        <f t="shared" si="1055"/>
        <v>-6.3517656689882074E-7</v>
      </c>
      <c r="V318" s="87">
        <v>0.13</v>
      </c>
      <c r="W318" s="223" t="s">
        <v>231</v>
      </c>
      <c r="X318" s="23">
        <v>44825</v>
      </c>
      <c r="Y318" s="20" t="s">
        <v>197</v>
      </c>
      <c r="Z318" s="20"/>
      <c r="AA318" s="20"/>
      <c r="AB318" s="167"/>
      <c r="AC318" s="210" t="s">
        <v>246</v>
      </c>
      <c r="AD318" s="210" t="s">
        <v>247</v>
      </c>
      <c r="AE318" s="210" t="s">
        <v>247</v>
      </c>
      <c r="AF318" s="8">
        <v>168</v>
      </c>
      <c r="AG318" s="8">
        <f t="shared" si="1048"/>
        <v>71.45</v>
      </c>
      <c r="AH318" s="235">
        <v>44931</v>
      </c>
      <c r="AI318" s="8" t="str">
        <f t="shared" si="1049"/>
        <v>2022.12.01</v>
      </c>
      <c r="AJ318" s="235">
        <f t="shared" si="1050"/>
        <v>44926</v>
      </c>
    </row>
    <row r="319" spans="1:36" s="8" customFormat="1" x14ac:dyDescent="0.25">
      <c r="A319" s="207">
        <v>2</v>
      </c>
      <c r="B319" s="92" t="s">
        <v>210</v>
      </c>
      <c r="C319" s="90" t="str">
        <f>VLOOKUP($F319,Admin!$A$16:$E$19,2,FALSE)</f>
        <v>Kísérleti fejlesztés – Működési költség</v>
      </c>
      <c r="D319" s="160" t="s">
        <v>129</v>
      </c>
      <c r="E319" s="90" t="str">
        <f>VLOOKUP($F319,Admin!$A$16:$E$19,4,FALSE)</f>
        <v>54. Bérköltség - technikus segédszemélyzet</v>
      </c>
      <c r="F319" s="90" t="s">
        <v>172</v>
      </c>
      <c r="G319" s="160" t="s">
        <v>174</v>
      </c>
      <c r="H319" s="160" t="s">
        <v>195</v>
      </c>
      <c r="I319" s="90" t="str">
        <f>VLOOKUP($F319,Admin!$A$16:$E$19,5,FALSE)</f>
        <v>Technikus</v>
      </c>
      <c r="J319" s="160" t="s">
        <v>64</v>
      </c>
      <c r="K319" s="160" t="str">
        <f t="shared" ref="K319:K321" si="1056">J319</f>
        <v>2023.01</v>
      </c>
      <c r="L319" s="91" t="s">
        <v>8</v>
      </c>
      <c r="M319" s="92" t="s">
        <v>78</v>
      </c>
      <c r="N319" s="161">
        <v>517600</v>
      </c>
      <c r="O319" s="162">
        <f t="shared" ref="O319" si="1057">ROUND(N319*V319,0)</f>
        <v>67288</v>
      </c>
      <c r="P319" s="160">
        <v>174</v>
      </c>
      <c r="Q319" s="236">
        <v>67</v>
      </c>
      <c r="R319" s="229">
        <f t="shared" ref="R319" si="1058">Q319/P319</f>
        <v>0.38505747126436779</v>
      </c>
      <c r="S319" s="163">
        <f t="shared" ref="S319" si="1059">ROUND(N319*Q319/P319,0)</f>
        <v>199306</v>
      </c>
      <c r="T319" s="164">
        <f t="shared" ref="T319" si="1060">ROUND(S319*V319,0)</f>
        <v>25910</v>
      </c>
      <c r="U319" s="165">
        <f t="shared" ref="U319" si="1061">Q319/P319-S319/N319</f>
        <v>-4.8855016082649527E-7</v>
      </c>
      <c r="V319" s="87">
        <v>0.13</v>
      </c>
      <c r="W319" s="223" t="s">
        <v>231</v>
      </c>
      <c r="X319" s="23">
        <v>44938</v>
      </c>
      <c r="Y319" s="20" t="s">
        <v>197</v>
      </c>
      <c r="Z319" s="20"/>
      <c r="AA319" s="20"/>
      <c r="AB319" s="167"/>
      <c r="AC319" s="210" t="s">
        <v>246</v>
      </c>
      <c r="AD319" s="218">
        <v>1</v>
      </c>
      <c r="AE319" s="210">
        <v>0</v>
      </c>
      <c r="AF319" s="8">
        <v>176</v>
      </c>
      <c r="AG319" s="8">
        <f t="shared" si="1048"/>
        <v>67.78</v>
      </c>
      <c r="AH319" s="235">
        <v>44960</v>
      </c>
      <c r="AI319" s="8" t="str">
        <f t="shared" si="1049"/>
        <v>2023.01.01</v>
      </c>
      <c r="AJ319" s="235">
        <f t="shared" si="1050"/>
        <v>44957</v>
      </c>
    </row>
    <row r="320" spans="1:36" s="8" customFormat="1" x14ac:dyDescent="0.25">
      <c r="A320" s="207">
        <v>2</v>
      </c>
      <c r="B320" s="92" t="s">
        <v>210</v>
      </c>
      <c r="C320" s="90" t="str">
        <f>VLOOKUP($F320,Admin!$A$16:$E$19,2,FALSE)</f>
        <v>Kísérleti fejlesztés – Működési költség</v>
      </c>
      <c r="D320" s="160" t="s">
        <v>129</v>
      </c>
      <c r="E320" s="90" t="str">
        <f>VLOOKUP($F320,Admin!$A$16:$E$19,4,FALSE)</f>
        <v>54. Bérköltség - technikus segédszemélyzet</v>
      </c>
      <c r="F320" s="90" t="s">
        <v>172</v>
      </c>
      <c r="G320" s="160" t="s">
        <v>174</v>
      </c>
      <c r="H320" s="160" t="s">
        <v>195</v>
      </c>
      <c r="I320" s="90" t="str">
        <f>VLOOKUP($F320,Admin!$A$16:$E$19,5,FALSE)</f>
        <v>Technikus</v>
      </c>
      <c r="J320" s="160" t="s">
        <v>65</v>
      </c>
      <c r="K320" s="160" t="str">
        <f t="shared" si="1056"/>
        <v>2023.02</v>
      </c>
      <c r="L320" s="91" t="s">
        <v>8</v>
      </c>
      <c r="M320" s="92" t="s">
        <v>78</v>
      </c>
      <c r="N320" s="161">
        <v>517600</v>
      </c>
      <c r="O320" s="162">
        <f t="shared" ref="O320:O321" si="1062">ROUND(N320*V320,0)</f>
        <v>67288</v>
      </c>
      <c r="P320" s="160">
        <v>174</v>
      </c>
      <c r="Q320" s="236">
        <v>67</v>
      </c>
      <c r="R320" s="229">
        <f t="shared" ref="R320:R321" si="1063">Q320/P320</f>
        <v>0.38505747126436779</v>
      </c>
      <c r="S320" s="163">
        <f t="shared" ref="S320:S321" si="1064">ROUND(N320*Q320/P320,0)</f>
        <v>199306</v>
      </c>
      <c r="T320" s="164">
        <f t="shared" ref="T320:T321" si="1065">ROUND(S320*V320,0)</f>
        <v>25910</v>
      </c>
      <c r="U320" s="165">
        <f t="shared" ref="U320:U321" si="1066">Q320/P320-S320/N320</f>
        <v>-4.8855016082649527E-7</v>
      </c>
      <c r="V320" s="87">
        <v>0.13</v>
      </c>
      <c r="W320" s="223" t="s">
        <v>231</v>
      </c>
      <c r="X320" s="23">
        <v>44938</v>
      </c>
      <c r="Y320" s="20" t="s">
        <v>197</v>
      </c>
      <c r="Z320" s="20"/>
      <c r="AA320" s="20"/>
      <c r="AB320" s="167"/>
      <c r="AC320" s="8" t="s">
        <v>246</v>
      </c>
      <c r="AD320" s="8">
        <v>-1</v>
      </c>
      <c r="AE320" s="8">
        <v>48932</v>
      </c>
      <c r="AF320" s="8">
        <v>160</v>
      </c>
      <c r="AG320" s="8">
        <f t="shared" si="1048"/>
        <v>61.61</v>
      </c>
      <c r="AH320" s="235">
        <v>44988</v>
      </c>
      <c r="AI320" s="8" t="str">
        <f t="shared" si="1049"/>
        <v>2023.02.01</v>
      </c>
      <c r="AJ320" s="235">
        <f t="shared" si="1050"/>
        <v>44985</v>
      </c>
    </row>
    <row r="321" spans="1:36" s="8" customFormat="1" x14ac:dyDescent="0.25">
      <c r="A321" s="207">
        <v>2</v>
      </c>
      <c r="B321" s="92" t="s">
        <v>210</v>
      </c>
      <c r="C321" s="90" t="str">
        <f>VLOOKUP($F321,Admin!$A$16:$E$19,2,FALSE)</f>
        <v>Kísérleti fejlesztés – Működési költség</v>
      </c>
      <c r="D321" s="160" t="s">
        <v>129</v>
      </c>
      <c r="E321" s="90" t="str">
        <f>VLOOKUP($F321,Admin!$A$16:$E$19,4,FALSE)</f>
        <v>54. Bérköltség - technikus segédszemélyzet</v>
      </c>
      <c r="F321" s="90" t="s">
        <v>172</v>
      </c>
      <c r="G321" s="160" t="s">
        <v>174</v>
      </c>
      <c r="H321" s="160" t="s">
        <v>195</v>
      </c>
      <c r="I321" s="90" t="str">
        <f>VLOOKUP($F321,Admin!$A$16:$E$19,5,FALSE)</f>
        <v>Technikus</v>
      </c>
      <c r="J321" s="160" t="s">
        <v>66</v>
      </c>
      <c r="K321" s="160" t="str">
        <f t="shared" si="1056"/>
        <v>2023.03</v>
      </c>
      <c r="L321" s="91" t="s">
        <v>8</v>
      </c>
      <c r="M321" s="92" t="s">
        <v>78</v>
      </c>
      <c r="N321" s="161">
        <v>517600</v>
      </c>
      <c r="O321" s="162">
        <f t="shared" si="1062"/>
        <v>67288</v>
      </c>
      <c r="P321" s="160">
        <v>174</v>
      </c>
      <c r="Q321" s="236">
        <v>67</v>
      </c>
      <c r="R321" s="229">
        <f t="shared" si="1063"/>
        <v>0.38505747126436779</v>
      </c>
      <c r="S321" s="163">
        <f t="shared" si="1064"/>
        <v>199306</v>
      </c>
      <c r="T321" s="164">
        <f t="shared" si="1065"/>
        <v>25910</v>
      </c>
      <c r="U321" s="165">
        <f t="shared" si="1066"/>
        <v>-4.8855016082649527E-7</v>
      </c>
      <c r="V321" s="87">
        <v>0.13</v>
      </c>
      <c r="W321" s="223" t="s">
        <v>231</v>
      </c>
      <c r="X321" s="23">
        <v>44938</v>
      </c>
      <c r="Y321" s="20" t="s">
        <v>197</v>
      </c>
      <c r="Z321" s="20"/>
      <c r="AA321" s="20"/>
      <c r="AB321" s="167"/>
      <c r="AC321" s="8" t="s">
        <v>246</v>
      </c>
      <c r="AD321" s="8">
        <v>-1</v>
      </c>
      <c r="AE321" s="8">
        <v>48932</v>
      </c>
      <c r="AF321" s="8">
        <v>176</v>
      </c>
      <c r="AG321" s="8">
        <f t="shared" si="1048"/>
        <v>67.78</v>
      </c>
      <c r="AH321" s="235">
        <v>45021</v>
      </c>
      <c r="AI321" s="8" t="str">
        <f t="shared" si="1049"/>
        <v>2023.03.01</v>
      </c>
      <c r="AJ321" s="235">
        <f t="shared" si="1050"/>
        <v>45016</v>
      </c>
    </row>
    <row r="322" spans="1:36" s="8" customFormat="1" x14ac:dyDescent="0.25">
      <c r="A322" s="207">
        <v>2</v>
      </c>
      <c r="B322" s="92" t="s">
        <v>210</v>
      </c>
      <c r="C322" s="90" t="str">
        <f>VLOOKUP($F322,Admin!$A$16:$E$19,2,FALSE)</f>
        <v>Kísérleti fejlesztés – Működési költség</v>
      </c>
      <c r="D322" s="160" t="s">
        <v>129</v>
      </c>
      <c r="E322" s="90" t="str">
        <f>VLOOKUP($F322,Admin!$A$16:$E$19,4,FALSE)</f>
        <v>54. Bérköltség - technikus segédszemélyzet</v>
      </c>
      <c r="F322" s="90" t="s">
        <v>172</v>
      </c>
      <c r="G322" s="160" t="s">
        <v>174</v>
      </c>
      <c r="H322" s="160" t="s">
        <v>195</v>
      </c>
      <c r="I322" s="90" t="str">
        <f>VLOOKUP($F322,Admin!$A$16:$E$19,5,FALSE)</f>
        <v>Technikus</v>
      </c>
      <c r="J322" s="160" t="s">
        <v>67</v>
      </c>
      <c r="K322" s="160" t="str">
        <f t="shared" ref="K322:K324" si="1067">J322</f>
        <v>2023.04</v>
      </c>
      <c r="L322" s="91" t="s">
        <v>8</v>
      </c>
      <c r="M322" s="92" t="s">
        <v>78</v>
      </c>
      <c r="N322" s="161">
        <v>517599</v>
      </c>
      <c r="O322" s="162">
        <f t="shared" ref="O322" si="1068">ROUND(N322*V322,0)</f>
        <v>67288</v>
      </c>
      <c r="P322" s="160">
        <v>174</v>
      </c>
      <c r="Q322" s="236">
        <v>67</v>
      </c>
      <c r="R322" s="229">
        <f t="shared" ref="R322" si="1069">Q322/P322</f>
        <v>0.38505747126436779</v>
      </c>
      <c r="S322" s="163">
        <f t="shared" ref="S322" si="1070">ROUND(N322*Q322/P322,0)</f>
        <v>199305</v>
      </c>
      <c r="T322" s="164">
        <f t="shared" ref="T322" si="1071">ROUND(S322*V322,0)</f>
        <v>25910</v>
      </c>
      <c r="U322" s="165">
        <f t="shared" ref="U322" si="1072">Q322/P322-S322/N322</f>
        <v>6.9951635434106763E-7</v>
      </c>
      <c r="V322" s="87">
        <v>0.13</v>
      </c>
      <c r="W322" s="223" t="s">
        <v>231</v>
      </c>
      <c r="X322" s="23">
        <v>45001</v>
      </c>
      <c r="Y322" s="20" t="s">
        <v>197</v>
      </c>
      <c r="Z322" s="20"/>
      <c r="AA322" s="20"/>
      <c r="AB322" s="167"/>
      <c r="AC322" s="8" t="s">
        <v>246</v>
      </c>
      <c r="AD322" s="8">
        <v>0</v>
      </c>
      <c r="AE322" s="233">
        <v>48932</v>
      </c>
      <c r="AF322" s="8">
        <v>144</v>
      </c>
      <c r="AG322" s="8">
        <f t="shared" si="1048"/>
        <v>55.449999999999996</v>
      </c>
      <c r="AH322" s="235">
        <v>45051</v>
      </c>
      <c r="AI322" s="8" t="str">
        <f t="shared" si="1049"/>
        <v>2023.04.01</v>
      </c>
      <c r="AJ322" s="235">
        <f t="shared" si="1050"/>
        <v>45046</v>
      </c>
    </row>
    <row r="323" spans="1:36" s="8" customFormat="1" x14ac:dyDescent="0.25">
      <c r="A323" s="207">
        <v>2</v>
      </c>
      <c r="B323" s="92" t="s">
        <v>210</v>
      </c>
      <c r="C323" s="90" t="str">
        <f>VLOOKUP($F323,Admin!$A$16:$E$19,2,FALSE)</f>
        <v>Kísérleti fejlesztés – Működési költség</v>
      </c>
      <c r="D323" s="160" t="s">
        <v>129</v>
      </c>
      <c r="E323" s="90" t="str">
        <f>VLOOKUP($F323,Admin!$A$16:$E$19,4,FALSE)</f>
        <v>54. Bérköltség - technikus segédszemélyzet</v>
      </c>
      <c r="F323" s="90" t="s">
        <v>172</v>
      </c>
      <c r="G323" s="160" t="s">
        <v>174</v>
      </c>
      <c r="H323" s="160" t="s">
        <v>195</v>
      </c>
      <c r="I323" s="90" t="str">
        <f>VLOOKUP($F323,Admin!$A$16:$E$19,5,FALSE)</f>
        <v>Technikus</v>
      </c>
      <c r="J323" s="160" t="s">
        <v>68</v>
      </c>
      <c r="K323" s="160" t="str">
        <f t="shared" si="1067"/>
        <v>2023.05</v>
      </c>
      <c r="L323" s="91" t="s">
        <v>8</v>
      </c>
      <c r="M323" s="92" t="s">
        <v>78</v>
      </c>
      <c r="N323" s="161">
        <v>517600</v>
      </c>
      <c r="O323" s="162">
        <f t="shared" ref="O323:O324" si="1073">ROUND(N323*V323,0)</f>
        <v>67288</v>
      </c>
      <c r="P323" s="160">
        <v>174</v>
      </c>
      <c r="Q323" s="236">
        <v>67</v>
      </c>
      <c r="R323" s="229">
        <f t="shared" ref="R323:R324" si="1074">Q323/P323</f>
        <v>0.38505747126436779</v>
      </c>
      <c r="S323" s="163">
        <f t="shared" ref="S323:S324" si="1075">ROUND(N323*Q323/P323,0)</f>
        <v>199306</v>
      </c>
      <c r="T323" s="164">
        <f t="shared" ref="T323:T324" si="1076">ROUND(S323*V323,0)</f>
        <v>25910</v>
      </c>
      <c r="U323" s="165">
        <f t="shared" ref="U323:U324" si="1077">Q323/P323-S323/N323</f>
        <v>-4.8855016082649527E-7</v>
      </c>
      <c r="V323" s="87">
        <v>0.13</v>
      </c>
      <c r="W323" s="223" t="s">
        <v>231</v>
      </c>
      <c r="X323" s="23">
        <v>45001</v>
      </c>
      <c r="Y323" s="20" t="s">
        <v>197</v>
      </c>
      <c r="Z323" s="20"/>
      <c r="AA323" s="20"/>
      <c r="AB323" s="167"/>
      <c r="AC323" s="8" t="s">
        <v>246</v>
      </c>
      <c r="AD323" s="8">
        <v>0</v>
      </c>
      <c r="AE323" s="8">
        <v>0</v>
      </c>
      <c r="AF323" s="8">
        <v>168</v>
      </c>
      <c r="AG323" s="8">
        <f t="shared" si="1048"/>
        <v>64.690000000000012</v>
      </c>
      <c r="AH323" s="235">
        <v>45082</v>
      </c>
      <c r="AI323" s="8" t="str">
        <f t="shared" si="1049"/>
        <v>2023.05.01</v>
      </c>
      <c r="AJ323" s="235">
        <f t="shared" si="1050"/>
        <v>45077</v>
      </c>
    </row>
    <row r="324" spans="1:36" s="8" customFormat="1" x14ac:dyDescent="0.25">
      <c r="A324" s="207">
        <v>2</v>
      </c>
      <c r="B324" s="92" t="s">
        <v>210</v>
      </c>
      <c r="C324" s="90" t="str">
        <f>VLOOKUP($F324,Admin!$A$16:$E$19,2,FALSE)</f>
        <v>Kísérleti fejlesztés – Működési költség</v>
      </c>
      <c r="D324" s="160" t="s">
        <v>129</v>
      </c>
      <c r="E324" s="90" t="str">
        <f>VLOOKUP($F324,Admin!$A$16:$E$19,4,FALSE)</f>
        <v>54. Bérköltség - technikus segédszemélyzet</v>
      </c>
      <c r="F324" s="90" t="s">
        <v>172</v>
      </c>
      <c r="G324" s="160" t="s">
        <v>174</v>
      </c>
      <c r="H324" s="160" t="s">
        <v>195</v>
      </c>
      <c r="I324" s="90" t="str">
        <f>VLOOKUP($F324,Admin!$A$16:$E$19,5,FALSE)</f>
        <v>Technikus</v>
      </c>
      <c r="J324" s="160" t="s">
        <v>69</v>
      </c>
      <c r="K324" s="160" t="str">
        <f t="shared" si="1067"/>
        <v>2023.06</v>
      </c>
      <c r="L324" s="91" t="s">
        <v>8</v>
      </c>
      <c r="M324" s="92" t="s">
        <v>78</v>
      </c>
      <c r="N324" s="161">
        <v>517598</v>
      </c>
      <c r="O324" s="162">
        <f t="shared" si="1073"/>
        <v>67288</v>
      </c>
      <c r="P324" s="160">
        <v>174</v>
      </c>
      <c r="Q324" s="236">
        <v>67</v>
      </c>
      <c r="R324" s="229">
        <f t="shared" si="1074"/>
        <v>0.38505747126436779</v>
      </c>
      <c r="S324" s="163">
        <f t="shared" si="1075"/>
        <v>199305</v>
      </c>
      <c r="T324" s="164">
        <f t="shared" si="1076"/>
        <v>25910</v>
      </c>
      <c r="U324" s="165">
        <f t="shared" si="1077"/>
        <v>-4.4413822619659982E-8</v>
      </c>
      <c r="V324" s="87">
        <v>0.13</v>
      </c>
      <c r="W324" s="223" t="s">
        <v>231</v>
      </c>
      <c r="X324" s="23">
        <v>45001</v>
      </c>
      <c r="Y324" s="20" t="s">
        <v>197</v>
      </c>
      <c r="Z324" s="20"/>
      <c r="AA324" s="20"/>
      <c r="AB324" s="167"/>
      <c r="AC324" s="8" t="s">
        <v>246</v>
      </c>
      <c r="AD324" s="8">
        <v>0</v>
      </c>
      <c r="AE324" s="8">
        <v>0</v>
      </c>
      <c r="AF324" s="8">
        <v>176</v>
      </c>
      <c r="AG324" s="8">
        <f t="shared" si="1048"/>
        <v>67.78</v>
      </c>
      <c r="AH324" s="235">
        <v>45112</v>
      </c>
      <c r="AI324" s="8" t="str">
        <f t="shared" si="1049"/>
        <v>2023.06.01</v>
      </c>
      <c r="AJ324" s="235">
        <f t="shared" si="1050"/>
        <v>45107</v>
      </c>
    </row>
    <row r="325" spans="1:36" s="8" customFormat="1" x14ac:dyDescent="0.25">
      <c r="A325" s="207">
        <v>2</v>
      </c>
      <c r="B325" s="92" t="s">
        <v>210</v>
      </c>
      <c r="C325" s="90" t="str">
        <f>VLOOKUP($F325,Admin!$A$16:$E$19,2,FALSE)</f>
        <v>Kísérleti fejlesztés – Működési költség</v>
      </c>
      <c r="D325" s="160" t="s">
        <v>129</v>
      </c>
      <c r="E325" s="90" t="str">
        <f>VLOOKUP($F325,Admin!$A$16:$E$19,4,FALSE)</f>
        <v>54. Bérköltség - technikus segédszemélyzet</v>
      </c>
      <c r="F325" s="90" t="s">
        <v>172</v>
      </c>
      <c r="G325" s="160" t="s">
        <v>174</v>
      </c>
      <c r="H325" s="160" t="s">
        <v>195</v>
      </c>
      <c r="I325" s="90" t="str">
        <f>VLOOKUP($F325,Admin!$A$16:$E$19,5,FALSE)</f>
        <v>Technikus</v>
      </c>
      <c r="J325" s="160" t="s">
        <v>70</v>
      </c>
      <c r="K325" s="160" t="str">
        <f t="shared" ref="K325:K327" si="1078">J325</f>
        <v>2023.07</v>
      </c>
      <c r="L325" s="91" t="s">
        <v>8</v>
      </c>
      <c r="M325" s="92" t="s">
        <v>78</v>
      </c>
      <c r="N325" s="161">
        <v>517600</v>
      </c>
      <c r="O325" s="162">
        <f t="shared" ref="O325" si="1079">ROUND(N325*V325,0)</f>
        <v>67288</v>
      </c>
      <c r="P325" s="160">
        <v>174</v>
      </c>
      <c r="Q325" s="236">
        <v>67</v>
      </c>
      <c r="R325" s="229">
        <f t="shared" ref="R325" si="1080">Q325/P325</f>
        <v>0.38505747126436779</v>
      </c>
      <c r="S325" s="163">
        <f t="shared" ref="S325" si="1081">ROUND(N325*Q325/P325,0)</f>
        <v>199306</v>
      </c>
      <c r="T325" s="164">
        <f t="shared" ref="T325" si="1082">ROUND(S325*V325,0)</f>
        <v>25910</v>
      </c>
      <c r="U325" s="165">
        <f t="shared" ref="U325" si="1083">Q325/P325-S325/N325</f>
        <v>-4.8855016082649527E-7</v>
      </c>
      <c r="V325" s="87">
        <v>0.13</v>
      </c>
      <c r="W325" s="223" t="s">
        <v>231</v>
      </c>
      <c r="X325" s="23">
        <v>45097</v>
      </c>
      <c r="Y325" s="20" t="s">
        <v>197</v>
      </c>
      <c r="Z325" s="20"/>
      <c r="AA325" s="20"/>
      <c r="AB325" s="167"/>
      <c r="AC325" s="8" t="s">
        <v>246</v>
      </c>
      <c r="AD325" s="8">
        <v>-1</v>
      </c>
      <c r="AE325" s="8">
        <v>0</v>
      </c>
      <c r="AF325" s="8">
        <v>168</v>
      </c>
      <c r="AG325" s="8">
        <f t="shared" si="1048"/>
        <v>64.690000000000012</v>
      </c>
      <c r="AH325" s="235">
        <v>45142</v>
      </c>
      <c r="AI325" s="8" t="str">
        <f t="shared" si="1049"/>
        <v>2023.07.01</v>
      </c>
      <c r="AJ325" s="235">
        <f t="shared" si="1050"/>
        <v>45138</v>
      </c>
    </row>
    <row r="326" spans="1:36" s="8" customFormat="1" x14ac:dyDescent="0.25">
      <c r="A326" s="207">
        <v>2</v>
      </c>
      <c r="B326" s="92" t="s">
        <v>210</v>
      </c>
      <c r="C326" s="90" t="str">
        <f>VLOOKUP($F326,Admin!$A$16:$E$19,2,FALSE)</f>
        <v>Kísérleti fejlesztés – Működési költség</v>
      </c>
      <c r="D326" s="160" t="s">
        <v>129</v>
      </c>
      <c r="E326" s="90" t="str">
        <f>VLOOKUP($F326,Admin!$A$16:$E$19,4,FALSE)</f>
        <v>54. Bérköltség - technikus segédszemélyzet</v>
      </c>
      <c r="F326" s="90" t="s">
        <v>172</v>
      </c>
      <c r="G326" s="160" t="s">
        <v>174</v>
      </c>
      <c r="H326" s="160" t="s">
        <v>195</v>
      </c>
      <c r="I326" s="90" t="str">
        <f>VLOOKUP($F326,Admin!$A$16:$E$19,5,FALSE)</f>
        <v>Technikus</v>
      </c>
      <c r="J326" s="160" t="s">
        <v>71</v>
      </c>
      <c r="K326" s="160" t="str">
        <f t="shared" si="1078"/>
        <v>2023.08</v>
      </c>
      <c r="L326" s="91" t="s">
        <v>8</v>
      </c>
      <c r="M326" s="92" t="s">
        <v>78</v>
      </c>
      <c r="N326" s="161">
        <v>517599</v>
      </c>
      <c r="O326" s="162">
        <f t="shared" ref="O326:O327" si="1084">ROUND(N326*V326,0)</f>
        <v>67288</v>
      </c>
      <c r="P326" s="160">
        <v>174</v>
      </c>
      <c r="Q326" s="236">
        <v>67</v>
      </c>
      <c r="R326" s="229">
        <f t="shared" ref="R326:R327" si="1085">Q326/P326</f>
        <v>0.38505747126436779</v>
      </c>
      <c r="S326" s="163">
        <f t="shared" ref="S326:S327" si="1086">ROUND(N326*Q326/P326,0)</f>
        <v>199305</v>
      </c>
      <c r="T326" s="164">
        <f t="shared" ref="T326:T327" si="1087">ROUND(S326*V326,0)</f>
        <v>25910</v>
      </c>
      <c r="U326" s="165">
        <f t="shared" ref="U326:U327" si="1088">Q326/P326-S326/N326</f>
        <v>6.9951635434106763E-7</v>
      </c>
      <c r="V326" s="87">
        <v>0.13</v>
      </c>
      <c r="W326" s="223" t="s">
        <v>231</v>
      </c>
      <c r="X326" s="23">
        <v>45097</v>
      </c>
      <c r="Y326" s="20" t="s">
        <v>197</v>
      </c>
      <c r="Z326" s="20"/>
      <c r="AA326" s="20"/>
      <c r="AB326" s="167"/>
      <c r="AC326" s="8" t="s">
        <v>246</v>
      </c>
      <c r="AD326" s="8">
        <v>0</v>
      </c>
      <c r="AE326" s="8">
        <v>0</v>
      </c>
      <c r="AF326" s="8">
        <v>184</v>
      </c>
      <c r="AG326" s="8">
        <f t="shared" si="1048"/>
        <v>70.86</v>
      </c>
      <c r="AH326" s="235">
        <v>45174</v>
      </c>
      <c r="AI326" s="8" t="str">
        <f t="shared" si="1049"/>
        <v>2023.08.01</v>
      </c>
      <c r="AJ326" s="235">
        <f t="shared" si="1050"/>
        <v>45169</v>
      </c>
    </row>
    <row r="327" spans="1:36" s="8" customFormat="1" x14ac:dyDescent="0.25">
      <c r="A327" s="207">
        <v>2</v>
      </c>
      <c r="B327" s="92" t="s">
        <v>210</v>
      </c>
      <c r="C327" s="90" t="str">
        <f>VLOOKUP($F327,Admin!$A$16:$E$19,2,FALSE)</f>
        <v>Kísérleti fejlesztés – Működési költség</v>
      </c>
      <c r="D327" s="160" t="s">
        <v>129</v>
      </c>
      <c r="E327" s="90" t="str">
        <f>VLOOKUP($F327,Admin!$A$16:$E$19,4,FALSE)</f>
        <v>54. Bérköltség - technikus segédszemélyzet</v>
      </c>
      <c r="F327" s="90" t="s">
        <v>172</v>
      </c>
      <c r="G327" s="160" t="s">
        <v>174</v>
      </c>
      <c r="H327" s="160" t="s">
        <v>195</v>
      </c>
      <c r="I327" s="90" t="str">
        <f>VLOOKUP($F327,Admin!$A$16:$E$19,5,FALSE)</f>
        <v>Technikus</v>
      </c>
      <c r="J327" s="160" t="s">
        <v>72</v>
      </c>
      <c r="K327" s="160" t="str">
        <f t="shared" si="1078"/>
        <v>2023.09</v>
      </c>
      <c r="L327" s="91" t="s">
        <v>8</v>
      </c>
      <c r="M327" s="92" t="s">
        <v>78</v>
      </c>
      <c r="N327" s="161">
        <v>517600</v>
      </c>
      <c r="O327" s="162">
        <f t="shared" si="1084"/>
        <v>67288</v>
      </c>
      <c r="P327" s="160">
        <v>174</v>
      </c>
      <c r="Q327" s="236">
        <v>67</v>
      </c>
      <c r="R327" s="229">
        <f t="shared" si="1085"/>
        <v>0.38505747126436779</v>
      </c>
      <c r="S327" s="163">
        <f t="shared" si="1086"/>
        <v>199306</v>
      </c>
      <c r="T327" s="164">
        <f t="shared" si="1087"/>
        <v>25910</v>
      </c>
      <c r="U327" s="165">
        <f t="shared" si="1088"/>
        <v>-4.8855016082649527E-7</v>
      </c>
      <c r="V327" s="87">
        <v>0.13</v>
      </c>
      <c r="W327" s="223" t="s">
        <v>231</v>
      </c>
      <c r="X327" s="23">
        <v>45097</v>
      </c>
      <c r="Y327" s="20" t="s">
        <v>197</v>
      </c>
      <c r="Z327" s="20"/>
      <c r="AA327" s="20"/>
      <c r="AB327" s="167"/>
      <c r="AC327" s="8" t="s">
        <v>246</v>
      </c>
      <c r="AD327" s="8">
        <v>0</v>
      </c>
      <c r="AE327" s="233">
        <v>67288</v>
      </c>
      <c r="AF327" s="8">
        <v>168</v>
      </c>
      <c r="AG327" s="8">
        <f t="shared" si="1048"/>
        <v>64.690000000000012</v>
      </c>
      <c r="AH327" s="235">
        <v>45204</v>
      </c>
      <c r="AI327" s="8" t="str">
        <f t="shared" si="1049"/>
        <v>2023.09.01</v>
      </c>
      <c r="AJ327" s="235">
        <f t="shared" si="1050"/>
        <v>45199</v>
      </c>
    </row>
    <row r="328" spans="1:36" s="8" customFormat="1" x14ac:dyDescent="0.25">
      <c r="A328" s="188"/>
      <c r="B328" s="92" t="s">
        <v>210</v>
      </c>
      <c r="C328" s="90" t="str">
        <f>VLOOKUP($F328,Admin!$A$16:$E$19,2,FALSE)</f>
        <v>Kísérleti fejlesztés – Működési költség</v>
      </c>
      <c r="D328" s="160" t="s">
        <v>129</v>
      </c>
      <c r="E328" s="90" t="str">
        <f>VLOOKUP($F328,Admin!$A$16:$E$19,4,FALSE)</f>
        <v>54. Bérköltség - technikus segédszemélyzet</v>
      </c>
      <c r="F328" s="90" t="s">
        <v>172</v>
      </c>
      <c r="G328" s="160" t="s">
        <v>174</v>
      </c>
      <c r="H328" s="160" t="s">
        <v>195</v>
      </c>
      <c r="I328" s="90" t="str">
        <f>VLOOKUP($F328,Admin!$A$16:$E$19,5,FALSE)</f>
        <v>Technikus</v>
      </c>
      <c r="J328" s="160" t="s">
        <v>73</v>
      </c>
      <c r="K328" s="160" t="str">
        <f t="shared" ref="K328:K329" si="1089">J328</f>
        <v>2023.10</v>
      </c>
      <c r="L328" s="91" t="s">
        <v>8</v>
      </c>
      <c r="M328" s="92" t="s">
        <v>78</v>
      </c>
      <c r="N328" s="161">
        <v>517600</v>
      </c>
      <c r="O328" s="162">
        <f t="shared" ref="O328" si="1090">ROUND(N328*V328,0)</f>
        <v>67288</v>
      </c>
      <c r="P328" s="160">
        <v>174</v>
      </c>
      <c r="Q328" s="236">
        <v>67</v>
      </c>
      <c r="R328" s="229">
        <f t="shared" ref="R328" si="1091">Q328/P328</f>
        <v>0.38505747126436779</v>
      </c>
      <c r="S328" s="163">
        <f t="shared" ref="S328" si="1092">ROUND(N328*Q328/P328,0)</f>
        <v>199306</v>
      </c>
      <c r="T328" s="164">
        <f t="shared" ref="T328" si="1093">ROUND(S328*V328,0)</f>
        <v>25910</v>
      </c>
      <c r="U328" s="165">
        <f t="shared" ref="U328" si="1094">Q328/P328-S328/N328</f>
        <v>-4.8855016082649527E-7</v>
      </c>
      <c r="V328" s="87">
        <v>0.13</v>
      </c>
      <c r="W328" s="223" t="s">
        <v>231</v>
      </c>
      <c r="X328" s="23">
        <v>45189</v>
      </c>
      <c r="Y328" s="20" t="s">
        <v>197</v>
      </c>
      <c r="Z328" s="20"/>
      <c r="AA328" s="20"/>
      <c r="AB328" s="167"/>
      <c r="AC328" s="8" t="s">
        <v>246</v>
      </c>
      <c r="AD328" s="8">
        <v>0</v>
      </c>
      <c r="AE328" s="8">
        <v>0</v>
      </c>
    </row>
    <row r="329" spans="1:36" s="8" customFormat="1" x14ac:dyDescent="0.25">
      <c r="A329" s="188"/>
      <c r="B329" s="92" t="s">
        <v>210</v>
      </c>
      <c r="C329" s="90" t="str">
        <f>VLOOKUP($F329,Admin!$A$16:$E$19,2,FALSE)</f>
        <v>Kísérleti fejlesztés – Működési költség</v>
      </c>
      <c r="D329" s="160" t="s">
        <v>129</v>
      </c>
      <c r="E329" s="90" t="str">
        <f>VLOOKUP($F329,Admin!$A$16:$E$19,4,FALSE)</f>
        <v>54. Bérköltség - technikus segédszemélyzet</v>
      </c>
      <c r="F329" s="90" t="s">
        <v>172</v>
      </c>
      <c r="G329" s="160" t="s">
        <v>174</v>
      </c>
      <c r="H329" s="160" t="s">
        <v>195</v>
      </c>
      <c r="I329" s="90" t="str">
        <f>VLOOKUP($F329,Admin!$A$16:$E$19,5,FALSE)</f>
        <v>Technikus</v>
      </c>
      <c r="J329" s="160" t="s">
        <v>74</v>
      </c>
      <c r="K329" s="160" t="str">
        <f t="shared" si="1089"/>
        <v>2023.11</v>
      </c>
      <c r="L329" s="91" t="s">
        <v>8</v>
      </c>
      <c r="M329" s="92" t="s">
        <v>78</v>
      </c>
      <c r="N329" s="161">
        <v>517600</v>
      </c>
      <c r="O329" s="162">
        <f t="shared" ref="O329" si="1095">ROUND(N329*V329,0)</f>
        <v>67288</v>
      </c>
      <c r="P329" s="160">
        <v>174</v>
      </c>
      <c r="Q329" s="236">
        <v>67</v>
      </c>
      <c r="R329" s="229">
        <f t="shared" ref="R329" si="1096">Q329/P329</f>
        <v>0.38505747126436779</v>
      </c>
      <c r="S329" s="163">
        <f t="shared" ref="S329" si="1097">ROUND(N329*Q329/P329,0)</f>
        <v>199306</v>
      </c>
      <c r="T329" s="164">
        <f t="shared" ref="T329" si="1098">ROUND(S329*V329,0)</f>
        <v>25910</v>
      </c>
      <c r="U329" s="165">
        <f t="shared" ref="U329" si="1099">Q329/P329-S329/N329</f>
        <v>-4.8855016082649527E-7</v>
      </c>
      <c r="V329" s="87">
        <v>0.13</v>
      </c>
      <c r="W329" s="223" t="s">
        <v>231</v>
      </c>
      <c r="X329" s="23">
        <v>45189</v>
      </c>
      <c r="Y329" s="20" t="s">
        <v>197</v>
      </c>
      <c r="Z329" s="20"/>
      <c r="AA329" s="20"/>
      <c r="AB329" s="167"/>
      <c r="AC329" s="8" t="s">
        <v>246</v>
      </c>
      <c r="AD329" s="233">
        <v>1</v>
      </c>
      <c r="AE329" s="8">
        <v>0</v>
      </c>
    </row>
    <row r="330" spans="1:36" s="8" customFormat="1" x14ac:dyDescent="0.25">
      <c r="A330" s="188"/>
      <c r="B330" s="92" t="s">
        <v>210</v>
      </c>
      <c r="C330" s="90" t="str">
        <f>VLOOKUP($F330,Admin!$A$16:$E$19,2,FALSE)</f>
        <v>Kísérleti fejlesztés – Működési költség</v>
      </c>
      <c r="D330" s="160" t="s">
        <v>129</v>
      </c>
      <c r="E330" s="90" t="str">
        <f>VLOOKUP($F330,Admin!$A$16:$E$19,4,FALSE)</f>
        <v>54. Bérköltség - technikus segédszemélyzet</v>
      </c>
      <c r="F330" s="90" t="s">
        <v>172</v>
      </c>
      <c r="G330" s="160" t="s">
        <v>174</v>
      </c>
      <c r="H330" s="160" t="s">
        <v>195</v>
      </c>
      <c r="I330" s="90" t="str">
        <f>VLOOKUP($F330,Admin!$A$16:$E$19,5,FALSE)</f>
        <v>Technikus</v>
      </c>
      <c r="J330" s="160" t="s">
        <v>139</v>
      </c>
      <c r="K330" s="160" t="str">
        <f t="shared" ref="K330:K349" si="1100">J330</f>
        <v>2023.12</v>
      </c>
      <c r="L330" s="91" t="s">
        <v>8</v>
      </c>
      <c r="M330" s="92" t="s">
        <v>78</v>
      </c>
      <c r="N330" s="161">
        <v>517599</v>
      </c>
      <c r="O330" s="162">
        <f t="shared" ref="O330" si="1101">ROUND(N330*V330,0)</f>
        <v>67288</v>
      </c>
      <c r="P330" s="160">
        <v>174</v>
      </c>
      <c r="Q330" s="236">
        <v>67</v>
      </c>
      <c r="R330" s="229">
        <f t="shared" ref="R330" si="1102">Q330/P330</f>
        <v>0.38505747126436779</v>
      </c>
      <c r="S330" s="163">
        <f t="shared" ref="S330" si="1103">ROUND(N330*Q330/P330,0)</f>
        <v>199305</v>
      </c>
      <c r="T330" s="164">
        <f t="shared" ref="T330" si="1104">ROUND(S330*V330,0)</f>
        <v>25910</v>
      </c>
      <c r="U330" s="165">
        <f t="shared" ref="U330" si="1105">Q330/P330-S330/N330</f>
        <v>6.9951635434106763E-7</v>
      </c>
      <c r="V330" s="87">
        <v>0.13</v>
      </c>
      <c r="W330" s="223" t="s">
        <v>231</v>
      </c>
      <c r="X330" s="23">
        <v>45245</v>
      </c>
      <c r="Y330" s="20" t="s">
        <v>197</v>
      </c>
      <c r="Z330" s="20"/>
      <c r="AA330" s="20"/>
      <c r="AB330" s="167"/>
      <c r="AC330" s="8" t="s">
        <v>246</v>
      </c>
      <c r="AD330" s="8">
        <v>0</v>
      </c>
      <c r="AE330" s="233">
        <v>13000</v>
      </c>
    </row>
    <row r="331" spans="1:36" s="8" customFormat="1" x14ac:dyDescent="0.25">
      <c r="A331" s="188"/>
      <c r="B331" s="92" t="s">
        <v>210</v>
      </c>
      <c r="C331" s="90" t="str">
        <f>VLOOKUP($F331,Admin!$A$16:$E$19,2,FALSE)</f>
        <v>Kísérleti fejlesztés – Működési költség</v>
      </c>
      <c r="D331" s="160" t="s">
        <v>129</v>
      </c>
      <c r="E331" s="90" t="str">
        <f>VLOOKUP($F331,Admin!$A$16:$E$19,4,FALSE)</f>
        <v>54. Bérköltség - technikus segédszemélyzet</v>
      </c>
      <c r="F331" s="90" t="s">
        <v>172</v>
      </c>
      <c r="G331" s="160" t="s">
        <v>174</v>
      </c>
      <c r="H331" s="160" t="s">
        <v>195</v>
      </c>
      <c r="I331" s="90" t="str">
        <f>VLOOKUP($F331,Admin!$A$16:$E$19,5,FALSE)</f>
        <v>Technikus</v>
      </c>
      <c r="J331" s="160" t="s">
        <v>140</v>
      </c>
      <c r="K331" s="160" t="str">
        <f t="shared" ref="K331:K336" si="1106">J331</f>
        <v>2024.01</v>
      </c>
      <c r="L331" s="91" t="s">
        <v>8</v>
      </c>
      <c r="M331" s="92" t="s">
        <v>78</v>
      </c>
      <c r="N331" s="161">
        <v>544000</v>
      </c>
      <c r="O331" s="162">
        <f t="shared" ref="O331" si="1107">ROUND(N331*V331,0)</f>
        <v>70720</v>
      </c>
      <c r="P331" s="160">
        <v>174</v>
      </c>
      <c r="Q331" s="236">
        <v>62.64</v>
      </c>
      <c r="R331" s="229">
        <f t="shared" ref="R331" si="1108">Q331/P331</f>
        <v>0.36</v>
      </c>
      <c r="S331" s="163">
        <f t="shared" ref="S331" si="1109">ROUND(N331*Q331/P331,0)</f>
        <v>195840</v>
      </c>
      <c r="T331" s="164">
        <f t="shared" ref="T331" si="1110">ROUND(S331*V331,0)</f>
        <v>25459</v>
      </c>
      <c r="U331" s="165">
        <f t="shared" ref="U331" si="1111">Q331/P331-S331/N331</f>
        <v>0</v>
      </c>
      <c r="V331" s="87">
        <v>0.13</v>
      </c>
      <c r="W331" s="223" t="s">
        <v>231</v>
      </c>
      <c r="X331" s="23">
        <v>45307</v>
      </c>
      <c r="Y331" s="20" t="s">
        <v>197</v>
      </c>
      <c r="Z331" s="20"/>
      <c r="AA331" s="20"/>
      <c r="AB331" s="167"/>
      <c r="AC331" s="8" t="s">
        <v>246</v>
      </c>
      <c r="AD331" s="243">
        <v>0</v>
      </c>
      <c r="AE331" s="243">
        <v>0</v>
      </c>
    </row>
    <row r="332" spans="1:36" s="8" customFormat="1" x14ac:dyDescent="0.25">
      <c r="A332" s="188"/>
      <c r="B332" s="92" t="s">
        <v>210</v>
      </c>
      <c r="C332" s="90" t="str">
        <f>VLOOKUP($F332,Admin!$A$16:$E$19,2,FALSE)</f>
        <v>Kísérleti fejlesztés – Működési költség</v>
      </c>
      <c r="D332" s="160" t="s">
        <v>129</v>
      </c>
      <c r="E332" s="90" t="str">
        <f>VLOOKUP($F332,Admin!$A$16:$E$19,4,FALSE)</f>
        <v>54. Bérköltség - technikus segédszemélyzet</v>
      </c>
      <c r="F332" s="90" t="s">
        <v>172</v>
      </c>
      <c r="G332" s="160" t="s">
        <v>174</v>
      </c>
      <c r="H332" s="160" t="s">
        <v>195</v>
      </c>
      <c r="I332" s="90" t="str">
        <f>VLOOKUP($F332,Admin!$A$16:$E$19,5,FALSE)</f>
        <v>Technikus</v>
      </c>
      <c r="J332" s="160" t="s">
        <v>141</v>
      </c>
      <c r="K332" s="160" t="str">
        <f t="shared" si="1106"/>
        <v>2024.02</v>
      </c>
      <c r="L332" s="91" t="s">
        <v>8</v>
      </c>
      <c r="M332" s="92" t="s">
        <v>78</v>
      </c>
      <c r="N332" s="161">
        <v>544000</v>
      </c>
      <c r="O332" s="162">
        <f t="shared" ref="O332:O333" si="1112">ROUND(N332*V332,0)</f>
        <v>70720</v>
      </c>
      <c r="P332" s="160">
        <v>174</v>
      </c>
      <c r="Q332" s="236">
        <v>62.64</v>
      </c>
      <c r="R332" s="229">
        <f t="shared" ref="R332:R333" si="1113">Q332/P332</f>
        <v>0.36</v>
      </c>
      <c r="S332" s="163">
        <f t="shared" ref="S332:S333" si="1114">ROUND(N332*Q332/P332,0)</f>
        <v>195840</v>
      </c>
      <c r="T332" s="164">
        <f t="shared" ref="T332:T333" si="1115">ROUND(S332*V332,0)</f>
        <v>25459</v>
      </c>
      <c r="U332" s="165">
        <f t="shared" ref="U332:U333" si="1116">Q332/P332-S332/N332</f>
        <v>0</v>
      </c>
      <c r="V332" s="87">
        <v>0.13</v>
      </c>
      <c r="W332" s="223" t="s">
        <v>231</v>
      </c>
      <c r="X332" s="23">
        <v>45307</v>
      </c>
      <c r="Y332" s="20" t="s">
        <v>197</v>
      </c>
      <c r="Z332" s="20"/>
      <c r="AA332" s="20"/>
      <c r="AB332" s="167"/>
      <c r="AC332" s="8" t="s">
        <v>246</v>
      </c>
      <c r="AD332" s="243">
        <v>0</v>
      </c>
      <c r="AE332" s="243">
        <v>0</v>
      </c>
    </row>
    <row r="333" spans="1:36" s="8" customFormat="1" x14ac:dyDescent="0.25">
      <c r="A333" s="188"/>
      <c r="B333" s="92" t="s">
        <v>210</v>
      </c>
      <c r="C333" s="90" t="str">
        <f>VLOOKUP($F333,Admin!$A$16:$E$19,2,FALSE)</f>
        <v>Kísérleti fejlesztés – Működési költség</v>
      </c>
      <c r="D333" s="160" t="s">
        <v>129</v>
      </c>
      <c r="E333" s="90" t="str">
        <f>VLOOKUP($F333,Admin!$A$16:$E$19,4,FALSE)</f>
        <v>54. Bérköltség - technikus segédszemélyzet</v>
      </c>
      <c r="F333" s="90" t="s">
        <v>172</v>
      </c>
      <c r="G333" s="160" t="s">
        <v>174</v>
      </c>
      <c r="H333" s="160" t="s">
        <v>195</v>
      </c>
      <c r="I333" s="90" t="str">
        <f>VLOOKUP($F333,Admin!$A$16:$E$19,5,FALSE)</f>
        <v>Technikus</v>
      </c>
      <c r="J333" s="160" t="s">
        <v>142</v>
      </c>
      <c r="K333" s="160" t="str">
        <f t="shared" si="1106"/>
        <v>2024.03</v>
      </c>
      <c r="L333" s="91" t="s">
        <v>8</v>
      </c>
      <c r="M333" s="92" t="s">
        <v>78</v>
      </c>
      <c r="N333" s="161">
        <v>544000</v>
      </c>
      <c r="O333" s="162">
        <f t="shared" si="1112"/>
        <v>70720</v>
      </c>
      <c r="P333" s="160">
        <v>174</v>
      </c>
      <c r="Q333" s="236">
        <v>62.64</v>
      </c>
      <c r="R333" s="229">
        <f t="shared" si="1113"/>
        <v>0.36</v>
      </c>
      <c r="S333" s="163">
        <f t="shared" si="1114"/>
        <v>195840</v>
      </c>
      <c r="T333" s="164">
        <f t="shared" si="1115"/>
        <v>25459</v>
      </c>
      <c r="U333" s="165">
        <f t="shared" si="1116"/>
        <v>0</v>
      </c>
      <c r="V333" s="87">
        <v>0.13</v>
      </c>
      <c r="W333" s="223" t="s">
        <v>231</v>
      </c>
      <c r="X333" s="23">
        <v>45357</v>
      </c>
      <c r="Y333" s="20" t="s">
        <v>197</v>
      </c>
      <c r="Z333" s="20"/>
      <c r="AA333" s="20"/>
      <c r="AB333" s="167"/>
      <c r="AC333" s="243" t="s">
        <v>246</v>
      </c>
      <c r="AD333" s="243">
        <v>0</v>
      </c>
      <c r="AE333" s="243">
        <v>0</v>
      </c>
    </row>
    <row r="334" spans="1:36" s="8" customFormat="1" x14ac:dyDescent="0.25">
      <c r="A334" s="188"/>
      <c r="B334" s="92" t="s">
        <v>210</v>
      </c>
      <c r="C334" s="90" t="str">
        <f>VLOOKUP($F334,Admin!$A$16:$E$19,2,FALSE)</f>
        <v>Kísérleti fejlesztés – Működési költség</v>
      </c>
      <c r="D334" s="160" t="s">
        <v>129</v>
      </c>
      <c r="E334" s="90" t="str">
        <f>VLOOKUP($F334,Admin!$A$16:$E$19,4,FALSE)</f>
        <v>54. Bérköltség - technikus segédszemélyzet</v>
      </c>
      <c r="F334" s="90" t="s">
        <v>172</v>
      </c>
      <c r="G334" s="160" t="s">
        <v>174</v>
      </c>
      <c r="H334" s="160" t="s">
        <v>195</v>
      </c>
      <c r="I334" s="90" t="str">
        <f>VLOOKUP($F334,Admin!$A$16:$E$19,5,FALSE)</f>
        <v>Technikus</v>
      </c>
      <c r="J334" s="160" t="s">
        <v>143</v>
      </c>
      <c r="K334" s="160" t="str">
        <f t="shared" si="1106"/>
        <v>2024.04</v>
      </c>
      <c r="L334" s="91" t="s">
        <v>8</v>
      </c>
      <c r="M334" s="92" t="s">
        <v>78</v>
      </c>
      <c r="N334" s="161">
        <v>544000</v>
      </c>
      <c r="O334" s="162">
        <f t="shared" ref="O334:O336" si="1117">ROUND(N334*V334,0)</f>
        <v>70720</v>
      </c>
      <c r="P334" s="160">
        <v>174</v>
      </c>
      <c r="Q334" s="236">
        <v>62.64</v>
      </c>
      <c r="R334" s="229">
        <f t="shared" ref="R334:R336" si="1118">Q334/P334</f>
        <v>0.36</v>
      </c>
      <c r="S334" s="163">
        <f t="shared" ref="S334:S336" si="1119">ROUND(N334*Q334/P334,0)</f>
        <v>195840</v>
      </c>
      <c r="T334" s="164">
        <f t="shared" ref="T334:T336" si="1120">ROUND(S334*V334,0)</f>
        <v>25459</v>
      </c>
      <c r="U334" s="165">
        <f t="shared" ref="U334:U336" si="1121">Q334/P334-S334/N334</f>
        <v>0</v>
      </c>
      <c r="V334" s="87">
        <v>0.13</v>
      </c>
      <c r="W334" s="223" t="s">
        <v>231</v>
      </c>
      <c r="X334" s="23">
        <v>45357</v>
      </c>
      <c r="Y334" s="20" t="s">
        <v>197</v>
      </c>
      <c r="Z334" s="20"/>
      <c r="AA334" s="20"/>
      <c r="AB334" s="167"/>
      <c r="AC334" s="8" t="s">
        <v>246</v>
      </c>
      <c r="AD334" s="233">
        <v>1</v>
      </c>
      <c r="AE334" s="233">
        <v>54732</v>
      </c>
    </row>
    <row r="335" spans="1:36" s="8" customFormat="1" x14ac:dyDescent="0.25">
      <c r="A335" s="188"/>
      <c r="B335" s="92" t="s">
        <v>210</v>
      </c>
      <c r="C335" s="90" t="str">
        <f>VLOOKUP($F335,Admin!$A$16:$E$19,2,FALSE)</f>
        <v>Kísérleti fejlesztés – Működési költség</v>
      </c>
      <c r="D335" s="160" t="s">
        <v>129</v>
      </c>
      <c r="E335" s="90" t="str">
        <f>VLOOKUP($F335,Admin!$A$16:$E$19,4,FALSE)</f>
        <v>54. Bérköltség - technikus segédszemélyzet</v>
      </c>
      <c r="F335" s="90" t="s">
        <v>172</v>
      </c>
      <c r="G335" s="160" t="s">
        <v>174</v>
      </c>
      <c r="H335" s="160" t="s">
        <v>195</v>
      </c>
      <c r="I335" s="90" t="str">
        <f>VLOOKUP($F335,Admin!$A$16:$E$19,5,FALSE)</f>
        <v>Technikus</v>
      </c>
      <c r="J335" s="160" t="s">
        <v>144</v>
      </c>
      <c r="K335" s="160" t="str">
        <f t="shared" si="1106"/>
        <v>2024.05</v>
      </c>
      <c r="L335" s="91" t="s">
        <v>8</v>
      </c>
      <c r="M335" s="92" t="s">
        <v>78</v>
      </c>
      <c r="N335" s="161">
        <v>544000</v>
      </c>
      <c r="O335" s="162">
        <f t="shared" si="1117"/>
        <v>70720</v>
      </c>
      <c r="P335" s="160">
        <v>174</v>
      </c>
      <c r="Q335" s="236">
        <v>62.64</v>
      </c>
      <c r="R335" s="229">
        <f t="shared" si="1118"/>
        <v>0.36</v>
      </c>
      <c r="S335" s="163">
        <f t="shared" si="1119"/>
        <v>195840</v>
      </c>
      <c r="T335" s="164">
        <f t="shared" si="1120"/>
        <v>25459</v>
      </c>
      <c r="U335" s="165">
        <f t="shared" si="1121"/>
        <v>0</v>
      </c>
      <c r="V335" s="87">
        <v>0.13</v>
      </c>
      <c r="W335" s="223" t="s">
        <v>231</v>
      </c>
      <c r="X335" s="23">
        <v>45357</v>
      </c>
      <c r="Y335" s="20" t="s">
        <v>197</v>
      </c>
      <c r="Z335" s="20"/>
      <c r="AA335" s="20"/>
      <c r="AB335" s="167"/>
      <c r="AC335" s="8" t="s">
        <v>246</v>
      </c>
      <c r="AD335" s="243">
        <v>0</v>
      </c>
      <c r="AE335" s="243">
        <v>0</v>
      </c>
    </row>
    <row r="336" spans="1:36" s="8" customFormat="1" x14ac:dyDescent="0.25">
      <c r="A336" s="188"/>
      <c r="B336" s="92" t="s">
        <v>210</v>
      </c>
      <c r="C336" s="90" t="str">
        <f>VLOOKUP($F336,Admin!$A$16:$E$19,2,FALSE)</f>
        <v>Kísérleti fejlesztés – Működési költség</v>
      </c>
      <c r="D336" s="160" t="s">
        <v>129</v>
      </c>
      <c r="E336" s="90" t="str">
        <f>VLOOKUP($F336,Admin!$A$16:$E$19,4,FALSE)</f>
        <v>54. Bérköltség - technikus segédszemélyzet</v>
      </c>
      <c r="F336" s="90" t="s">
        <v>172</v>
      </c>
      <c r="G336" s="160" t="s">
        <v>174</v>
      </c>
      <c r="H336" s="160" t="s">
        <v>195</v>
      </c>
      <c r="I336" s="90" t="str">
        <f>VLOOKUP($F336,Admin!$A$16:$E$19,5,FALSE)</f>
        <v>Technikus</v>
      </c>
      <c r="J336" s="160" t="s">
        <v>211</v>
      </c>
      <c r="K336" s="160" t="str">
        <f t="shared" si="1106"/>
        <v>2024.06</v>
      </c>
      <c r="L336" s="91" t="s">
        <v>9</v>
      </c>
      <c r="M336" s="92" t="s">
        <v>78</v>
      </c>
      <c r="N336" s="161">
        <v>559000</v>
      </c>
      <c r="O336" s="162">
        <f t="shared" si="1117"/>
        <v>72670</v>
      </c>
      <c r="P336" s="160">
        <v>174</v>
      </c>
      <c r="Q336" s="236">
        <v>62.64</v>
      </c>
      <c r="R336" s="229">
        <f t="shared" si="1118"/>
        <v>0.36</v>
      </c>
      <c r="S336" s="163">
        <f t="shared" si="1119"/>
        <v>201240</v>
      </c>
      <c r="T336" s="164">
        <f t="shared" si="1120"/>
        <v>26161</v>
      </c>
      <c r="U336" s="165">
        <f t="shared" si="1121"/>
        <v>0</v>
      </c>
      <c r="V336" s="87">
        <v>0.13</v>
      </c>
      <c r="W336" s="223" t="s">
        <v>231</v>
      </c>
      <c r="X336" s="23">
        <v>45440</v>
      </c>
      <c r="Y336" s="20"/>
      <c r="Z336" s="20"/>
      <c r="AA336" s="20"/>
      <c r="AB336" s="167"/>
      <c r="AE336" s="233"/>
    </row>
    <row r="337" spans="1:31" s="8" customFormat="1" x14ac:dyDescent="0.25">
      <c r="A337" s="188"/>
      <c r="B337" s="92" t="s">
        <v>210</v>
      </c>
      <c r="C337" s="90" t="str">
        <f>VLOOKUP($F337,Admin!$A$16:$E$19,2,FALSE)</f>
        <v>Kísérleti fejlesztés – Működési költség</v>
      </c>
      <c r="D337" s="160" t="s">
        <v>129</v>
      </c>
      <c r="E337" s="90" t="str">
        <f>VLOOKUP($F337,Admin!$A$16:$E$19,4,FALSE)</f>
        <v>54. Bérköltség - technikus segédszemélyzet</v>
      </c>
      <c r="F337" s="90" t="s">
        <v>172</v>
      </c>
      <c r="G337" s="160" t="s">
        <v>174</v>
      </c>
      <c r="H337" s="160" t="s">
        <v>195</v>
      </c>
      <c r="I337" s="90" t="str">
        <f>VLOOKUP($F337,Admin!$A$16:$E$19,5,FALSE)</f>
        <v>Technikus</v>
      </c>
      <c r="J337" s="160" t="s">
        <v>212</v>
      </c>
      <c r="K337" s="160" t="str">
        <f t="shared" ref="K337:K342" si="1122">J337</f>
        <v>2024.07</v>
      </c>
      <c r="L337" s="91" t="s">
        <v>9</v>
      </c>
      <c r="M337" s="92" t="s">
        <v>78</v>
      </c>
      <c r="N337" s="161">
        <v>559000</v>
      </c>
      <c r="O337" s="162">
        <f t="shared" ref="O337" si="1123">ROUND(N337*V337,0)</f>
        <v>72670</v>
      </c>
      <c r="P337" s="160">
        <v>174</v>
      </c>
      <c r="Q337" s="236">
        <v>62.64</v>
      </c>
      <c r="R337" s="229">
        <f t="shared" ref="R337" si="1124">Q337/P337</f>
        <v>0.36</v>
      </c>
      <c r="S337" s="163">
        <f t="shared" ref="S337" si="1125">ROUND(N337*Q337/P337,0)</f>
        <v>201240</v>
      </c>
      <c r="T337" s="164">
        <f t="shared" ref="T337" si="1126">ROUND(S337*V337,0)</f>
        <v>26161</v>
      </c>
      <c r="U337" s="165">
        <f t="shared" ref="U337" si="1127">Q337/P337-S337/N337</f>
        <v>0</v>
      </c>
      <c r="V337" s="87">
        <v>0.13</v>
      </c>
      <c r="W337" s="223" t="s">
        <v>231</v>
      </c>
      <c r="X337" s="23">
        <v>45469</v>
      </c>
      <c r="Y337" s="20"/>
      <c r="Z337" s="20"/>
      <c r="AA337" s="20"/>
      <c r="AB337" s="167"/>
      <c r="AE337" s="233"/>
    </row>
    <row r="338" spans="1:31" s="8" customFormat="1" x14ac:dyDescent="0.25">
      <c r="A338" s="188"/>
      <c r="B338" s="92" t="s">
        <v>210</v>
      </c>
      <c r="C338" s="90" t="str">
        <f>VLOOKUP($F338,Admin!$A$16:$E$19,2,FALSE)</f>
        <v>Kísérleti fejlesztés – Működési költség</v>
      </c>
      <c r="D338" s="160" t="s">
        <v>129</v>
      </c>
      <c r="E338" s="90" t="str">
        <f>VLOOKUP($F338,Admin!$A$16:$E$19,4,FALSE)</f>
        <v>54. Bérköltség - technikus segédszemélyzet</v>
      </c>
      <c r="F338" s="90" t="s">
        <v>172</v>
      </c>
      <c r="G338" s="160" t="s">
        <v>174</v>
      </c>
      <c r="H338" s="160" t="s">
        <v>195</v>
      </c>
      <c r="I338" s="90" t="str">
        <f>VLOOKUP($F338,Admin!$A$16:$E$19,5,FALSE)</f>
        <v>Technikus</v>
      </c>
      <c r="J338" s="160" t="s">
        <v>213</v>
      </c>
      <c r="K338" s="160" t="str">
        <f t="shared" si="1122"/>
        <v>2024.08</v>
      </c>
      <c r="L338" s="91" t="s">
        <v>9</v>
      </c>
      <c r="M338" s="92" t="s">
        <v>78</v>
      </c>
      <c r="N338" s="161">
        <v>559000</v>
      </c>
      <c r="O338" s="162">
        <f t="shared" ref="O338" si="1128">ROUND(N338*V338,0)</f>
        <v>72670</v>
      </c>
      <c r="P338" s="160">
        <v>174</v>
      </c>
      <c r="Q338" s="236">
        <v>62.64</v>
      </c>
      <c r="R338" s="229">
        <f t="shared" ref="R338" si="1129">Q338/P338</f>
        <v>0.36</v>
      </c>
      <c r="S338" s="163">
        <f t="shared" ref="S338" si="1130">ROUND(N338*Q338/P338,0)</f>
        <v>201240</v>
      </c>
      <c r="T338" s="164">
        <f t="shared" ref="T338" si="1131">ROUND(S338*V338,0)</f>
        <v>26161</v>
      </c>
      <c r="U338" s="165">
        <f t="shared" ref="U338" si="1132">Q338/P338-S338/N338</f>
        <v>0</v>
      </c>
      <c r="V338" s="87">
        <v>0.13</v>
      </c>
      <c r="W338" s="223" t="s">
        <v>231</v>
      </c>
      <c r="X338" s="23">
        <v>45469</v>
      </c>
      <c r="Y338" s="20"/>
      <c r="Z338" s="20"/>
      <c r="AA338" s="20"/>
      <c r="AB338" s="167"/>
      <c r="AE338" s="233"/>
    </row>
    <row r="339" spans="1:31" s="8" customFormat="1" x14ac:dyDescent="0.25">
      <c r="A339" s="188"/>
      <c r="B339" s="92" t="s">
        <v>269</v>
      </c>
      <c r="C339" s="90" t="str">
        <f>VLOOKUP($F339,Admin!$A$16:$E$19,2,FALSE)</f>
        <v>Kísérleti fejlesztés – Működési költség</v>
      </c>
      <c r="D339" s="160" t="s">
        <v>129</v>
      </c>
      <c r="E339" s="90" t="str">
        <f>VLOOKUP($F339,Admin!$A$16:$E$19,4,FALSE)</f>
        <v>54. Bérköltség - Kutató-fejlesztő munkatárs</v>
      </c>
      <c r="F339" s="90" t="s">
        <v>170</v>
      </c>
      <c r="G339" s="160" t="s">
        <v>174</v>
      </c>
      <c r="H339" s="160" t="s">
        <v>193</v>
      </c>
      <c r="I339" s="90" t="s">
        <v>90</v>
      </c>
      <c r="J339" s="160" t="s">
        <v>144</v>
      </c>
      <c r="K339" s="160" t="str">
        <f t="shared" si="1122"/>
        <v>2024.05</v>
      </c>
      <c r="L339" s="91" t="s">
        <v>8</v>
      </c>
      <c r="M339" s="92" t="s">
        <v>78</v>
      </c>
      <c r="N339" s="161">
        <v>1499999</v>
      </c>
      <c r="O339" s="162">
        <f t="shared" ref="O339" si="1133">ROUND(N339*V339,0)</f>
        <v>195000</v>
      </c>
      <c r="P339" s="160">
        <v>174</v>
      </c>
      <c r="Q339" s="236">
        <v>41.76</v>
      </c>
      <c r="R339" s="229">
        <f t="shared" ref="R339" si="1134">Q339/P339</f>
        <v>0.24</v>
      </c>
      <c r="S339" s="163">
        <f t="shared" ref="S339" si="1135">ROUND(N339*Q339/P339,0)</f>
        <v>360000</v>
      </c>
      <c r="T339" s="164">
        <f t="shared" ref="T339" si="1136">ROUND(S339*V339,0)</f>
        <v>46800</v>
      </c>
      <c r="U339" s="165">
        <f t="shared" ref="U339" si="1137">Q339/P339-S339/N339</f>
        <v>-1.6000010666372688E-7</v>
      </c>
      <c r="V339" s="87">
        <v>0.13</v>
      </c>
      <c r="W339" s="223" t="s">
        <v>270</v>
      </c>
      <c r="X339" s="23">
        <v>45412</v>
      </c>
      <c r="Y339" s="20" t="s">
        <v>197</v>
      </c>
      <c r="Z339" s="20"/>
      <c r="AA339" s="20"/>
      <c r="AB339" s="167"/>
      <c r="AC339" s="8" t="s">
        <v>246</v>
      </c>
      <c r="AD339" s="243">
        <v>0</v>
      </c>
      <c r="AE339" s="243">
        <v>0</v>
      </c>
    </row>
    <row r="340" spans="1:31" s="8" customFormat="1" x14ac:dyDescent="0.25">
      <c r="A340" s="188"/>
      <c r="B340" s="92" t="s">
        <v>269</v>
      </c>
      <c r="C340" s="90" t="str">
        <f>VLOOKUP($F340,Admin!$A$16:$E$19,2,FALSE)</f>
        <v>Kísérleti fejlesztés – Működési költség</v>
      </c>
      <c r="D340" s="160" t="s">
        <v>129</v>
      </c>
      <c r="E340" s="90" t="str">
        <f>VLOOKUP($F340,Admin!$A$16:$E$19,4,FALSE)</f>
        <v>54. Bérköltség - Kutató-fejlesztő munkatárs</v>
      </c>
      <c r="F340" s="90" t="s">
        <v>170</v>
      </c>
      <c r="G340" s="160" t="s">
        <v>174</v>
      </c>
      <c r="H340" s="160" t="s">
        <v>193</v>
      </c>
      <c r="I340" s="90" t="s">
        <v>90</v>
      </c>
      <c r="J340" s="160" t="s">
        <v>211</v>
      </c>
      <c r="K340" s="160" t="str">
        <f t="shared" si="1122"/>
        <v>2024.06</v>
      </c>
      <c r="L340" s="91" t="s">
        <v>9</v>
      </c>
      <c r="M340" s="92" t="s">
        <v>78</v>
      </c>
      <c r="N340" s="161">
        <v>1516500</v>
      </c>
      <c r="O340" s="162">
        <f t="shared" ref="O340" si="1138">ROUND(N340*V340,0)</f>
        <v>197145</v>
      </c>
      <c r="P340" s="160">
        <v>174</v>
      </c>
      <c r="Q340" s="236">
        <v>41.76</v>
      </c>
      <c r="R340" s="229">
        <f t="shared" ref="R340" si="1139">Q340/P340</f>
        <v>0.24</v>
      </c>
      <c r="S340" s="163">
        <f t="shared" ref="S340" si="1140">ROUND(N340*Q340/P340,0)</f>
        <v>363960</v>
      </c>
      <c r="T340" s="164">
        <f t="shared" ref="T340" si="1141">ROUND(S340*V340,0)</f>
        <v>47315</v>
      </c>
      <c r="U340" s="165">
        <f t="shared" ref="U340" si="1142">Q340/P340-S340/N340</f>
        <v>0</v>
      </c>
      <c r="V340" s="87">
        <v>0.13</v>
      </c>
      <c r="W340" s="223" t="s">
        <v>270</v>
      </c>
      <c r="X340" s="23">
        <v>45435</v>
      </c>
      <c r="Y340" s="20"/>
      <c r="Z340" s="20"/>
      <c r="AA340" s="20"/>
      <c r="AB340" s="167"/>
      <c r="AE340" s="233"/>
    </row>
    <row r="341" spans="1:31" s="8" customFormat="1" x14ac:dyDescent="0.25">
      <c r="A341" s="188"/>
      <c r="B341" s="92" t="s">
        <v>269</v>
      </c>
      <c r="C341" s="90" t="str">
        <f>VLOOKUP($F341,Admin!$A$16:$E$19,2,FALSE)</f>
        <v>Kísérleti fejlesztés – Működési költség</v>
      </c>
      <c r="D341" s="160" t="s">
        <v>129</v>
      </c>
      <c r="E341" s="90" t="str">
        <f>VLOOKUP($F341,Admin!$A$16:$E$19,4,FALSE)</f>
        <v>54. Bérköltség - Kutató-fejlesztő munkatárs</v>
      </c>
      <c r="F341" s="90" t="s">
        <v>170</v>
      </c>
      <c r="G341" s="160" t="s">
        <v>174</v>
      </c>
      <c r="H341" s="160" t="s">
        <v>193</v>
      </c>
      <c r="I341" s="90" t="s">
        <v>90</v>
      </c>
      <c r="J341" s="160" t="s">
        <v>212</v>
      </c>
      <c r="K341" s="160" t="str">
        <f t="shared" si="1122"/>
        <v>2024.07</v>
      </c>
      <c r="L341" s="91" t="s">
        <v>9</v>
      </c>
      <c r="M341" s="92" t="s">
        <v>78</v>
      </c>
      <c r="N341" s="161">
        <v>1516500</v>
      </c>
      <c r="O341" s="162">
        <f t="shared" ref="O341:O342" si="1143">ROUND(N341*V341,0)</f>
        <v>197145</v>
      </c>
      <c r="P341" s="160">
        <v>174</v>
      </c>
      <c r="Q341" s="236">
        <v>41.76</v>
      </c>
      <c r="R341" s="229">
        <f t="shared" ref="R341:R342" si="1144">Q341/P341</f>
        <v>0.24</v>
      </c>
      <c r="S341" s="163">
        <f t="shared" ref="S341:S342" si="1145">ROUND(N341*Q341/P341,0)</f>
        <v>363960</v>
      </c>
      <c r="T341" s="164">
        <f t="shared" ref="T341:T342" si="1146">ROUND(S341*V341,0)</f>
        <v>47315</v>
      </c>
      <c r="U341" s="165">
        <f t="shared" ref="U341:U342" si="1147">Q341/P341-S341/N341</f>
        <v>0</v>
      </c>
      <c r="V341" s="87">
        <v>0.13</v>
      </c>
      <c r="W341" s="223" t="s">
        <v>270</v>
      </c>
      <c r="X341" s="23">
        <v>45435</v>
      </c>
      <c r="Y341" s="20"/>
      <c r="Z341" s="20"/>
      <c r="AA341" s="20"/>
      <c r="AB341" s="167"/>
      <c r="AE341" s="233"/>
    </row>
    <row r="342" spans="1:31" s="8" customFormat="1" x14ac:dyDescent="0.25">
      <c r="A342" s="188"/>
      <c r="B342" s="92" t="s">
        <v>269</v>
      </c>
      <c r="C342" s="90" t="str">
        <f>VLOOKUP($F342,Admin!$A$16:$E$19,2,FALSE)</f>
        <v>Kísérleti fejlesztés – Működési költség</v>
      </c>
      <c r="D342" s="160" t="s">
        <v>129</v>
      </c>
      <c r="E342" s="90" t="str">
        <f>VLOOKUP($F342,Admin!$A$16:$E$19,4,FALSE)</f>
        <v>54. Bérköltség - Kutató-fejlesztő munkatárs</v>
      </c>
      <c r="F342" s="90" t="s">
        <v>170</v>
      </c>
      <c r="G342" s="160" t="s">
        <v>174</v>
      </c>
      <c r="H342" s="160" t="s">
        <v>193</v>
      </c>
      <c r="I342" s="90" t="s">
        <v>90</v>
      </c>
      <c r="J342" s="160" t="s">
        <v>213</v>
      </c>
      <c r="K342" s="160" t="str">
        <f t="shared" si="1122"/>
        <v>2024.08</v>
      </c>
      <c r="L342" s="91" t="s">
        <v>9</v>
      </c>
      <c r="M342" s="92" t="s">
        <v>78</v>
      </c>
      <c r="N342" s="161">
        <v>1516500</v>
      </c>
      <c r="O342" s="162">
        <f t="shared" si="1143"/>
        <v>197145</v>
      </c>
      <c r="P342" s="160">
        <v>174</v>
      </c>
      <c r="Q342" s="236">
        <v>41.76</v>
      </c>
      <c r="R342" s="229">
        <f t="shared" si="1144"/>
        <v>0.24</v>
      </c>
      <c r="S342" s="163">
        <f t="shared" si="1145"/>
        <v>363960</v>
      </c>
      <c r="T342" s="164">
        <f t="shared" si="1146"/>
        <v>47315</v>
      </c>
      <c r="U342" s="165">
        <f t="shared" si="1147"/>
        <v>0</v>
      </c>
      <c r="V342" s="87">
        <v>0.13</v>
      </c>
      <c r="W342" s="223" t="s">
        <v>270</v>
      </c>
      <c r="X342" s="23">
        <v>45435</v>
      </c>
      <c r="Y342" s="20"/>
      <c r="Z342" s="20"/>
      <c r="AA342" s="20"/>
      <c r="AB342" s="167"/>
      <c r="AE342" s="233"/>
    </row>
    <row r="343" spans="1:31" s="8" customFormat="1" x14ac:dyDescent="0.25">
      <c r="A343" s="188"/>
      <c r="B343" s="92" t="s">
        <v>265</v>
      </c>
      <c r="C343" s="90" t="str">
        <f>VLOOKUP($F343,Admin!$A$16:$E$19,2,FALSE)</f>
        <v>Kísérleti fejlesztés – Működési költség</v>
      </c>
      <c r="D343" s="160" t="s">
        <v>129</v>
      </c>
      <c r="E343" s="90" t="str">
        <f>VLOOKUP($F343,Admin!$A$16:$E$19,4,FALSE)</f>
        <v>54. Bérköltség - Kutató-fejlesztő munkatárs</v>
      </c>
      <c r="F343" s="90" t="s">
        <v>170</v>
      </c>
      <c r="G343" s="160" t="s">
        <v>174</v>
      </c>
      <c r="H343" s="160" t="s">
        <v>203</v>
      </c>
      <c r="I343" s="90" t="str">
        <f>VLOOKUP($F343,Admin!$A$16:$E$19,5,FALSE)</f>
        <v>K+F munkatárs</v>
      </c>
      <c r="J343" s="160" t="s">
        <v>141</v>
      </c>
      <c r="K343" s="160" t="str">
        <f t="shared" si="1100"/>
        <v>2024.02</v>
      </c>
      <c r="L343" s="91" t="s">
        <v>8</v>
      </c>
      <c r="M343" s="92" t="s">
        <v>78</v>
      </c>
      <c r="N343" s="161">
        <v>325000</v>
      </c>
      <c r="O343" s="162">
        <f t="shared" ref="O343" si="1148">ROUND(N343*V343,0)</f>
        <v>42250</v>
      </c>
      <c r="P343" s="160">
        <v>87</v>
      </c>
      <c r="Q343" s="236">
        <v>53.94</v>
      </c>
      <c r="R343" s="229">
        <f t="shared" ref="R343" si="1149">Q343/P343</f>
        <v>0.62</v>
      </c>
      <c r="S343" s="163">
        <f t="shared" ref="S343" si="1150">ROUND(N343*Q343/P343,0)</f>
        <v>201500</v>
      </c>
      <c r="T343" s="164">
        <f t="shared" ref="T343" si="1151">ROUND(S343*V343,0)</f>
        <v>26195</v>
      </c>
      <c r="U343" s="165">
        <f t="shared" ref="U343" si="1152">Q343/P343-S343/N343</f>
        <v>0</v>
      </c>
      <c r="V343" s="87">
        <v>0.13</v>
      </c>
      <c r="W343" s="223" t="s">
        <v>266</v>
      </c>
      <c r="X343" s="23"/>
      <c r="Y343" s="20" t="s">
        <v>197</v>
      </c>
      <c r="Z343" s="20"/>
      <c r="AA343" s="20"/>
      <c r="AB343" s="167"/>
      <c r="AC343" s="8" t="s">
        <v>246</v>
      </c>
      <c r="AD343" s="243">
        <v>0</v>
      </c>
      <c r="AE343" s="243">
        <v>0</v>
      </c>
    </row>
    <row r="344" spans="1:31" s="8" customFormat="1" x14ac:dyDescent="0.25">
      <c r="A344" s="188"/>
      <c r="B344" s="92" t="s">
        <v>265</v>
      </c>
      <c r="C344" s="90" t="str">
        <f>VLOOKUP($F344,Admin!$A$16:$E$19,2,FALSE)</f>
        <v>Kísérleti fejlesztés – Működési költség</v>
      </c>
      <c r="D344" s="160" t="s">
        <v>129</v>
      </c>
      <c r="E344" s="90" t="str">
        <f>VLOOKUP($F344,Admin!$A$16:$E$19,4,FALSE)</f>
        <v>54. Bérköltség - Kutató-fejlesztő munkatárs</v>
      </c>
      <c r="F344" s="90" t="s">
        <v>170</v>
      </c>
      <c r="G344" s="160" t="s">
        <v>174</v>
      </c>
      <c r="H344" s="160" t="s">
        <v>203</v>
      </c>
      <c r="I344" s="90" t="str">
        <f>VLOOKUP($F344,Admin!$A$16:$E$19,5,FALSE)</f>
        <v>K+F munkatárs</v>
      </c>
      <c r="J344" s="160" t="s">
        <v>142</v>
      </c>
      <c r="K344" s="160" t="str">
        <f t="shared" si="1100"/>
        <v>2024.03</v>
      </c>
      <c r="L344" s="91" t="s">
        <v>8</v>
      </c>
      <c r="M344" s="92" t="s">
        <v>78</v>
      </c>
      <c r="N344" s="161">
        <v>325000</v>
      </c>
      <c r="O344" s="162">
        <v>7566</v>
      </c>
      <c r="P344" s="160">
        <v>87</v>
      </c>
      <c r="Q344" s="236">
        <v>53.94</v>
      </c>
      <c r="R344" s="229">
        <f t="shared" ref="R344:R347" si="1153">Q344/P344</f>
        <v>0.62</v>
      </c>
      <c r="S344" s="163">
        <f t="shared" ref="S344:S347" si="1154">ROUND(N344*Q344/P344,0)</f>
        <v>201500</v>
      </c>
      <c r="T344" s="164">
        <v>4691</v>
      </c>
      <c r="U344" s="165">
        <f t="shared" ref="U344:U347" si="1155">Q344/P344-S344/N344</f>
        <v>0</v>
      </c>
      <c r="V344" s="87">
        <v>0.13</v>
      </c>
      <c r="W344" s="223" t="s">
        <v>266</v>
      </c>
      <c r="X344" s="23"/>
      <c r="Y344" s="20" t="s">
        <v>197</v>
      </c>
      <c r="Z344" s="20"/>
      <c r="AA344" s="20"/>
      <c r="AB344" s="167"/>
      <c r="AC344" s="243" t="s">
        <v>246</v>
      </c>
      <c r="AD344" s="243">
        <v>0</v>
      </c>
      <c r="AE344" s="243">
        <v>0</v>
      </c>
    </row>
    <row r="345" spans="1:31" s="8" customFormat="1" x14ac:dyDescent="0.25">
      <c r="A345" s="188"/>
      <c r="B345" s="92" t="s">
        <v>265</v>
      </c>
      <c r="C345" s="90" t="str">
        <f>VLOOKUP($F345,Admin!$A$16:$E$19,2,FALSE)</f>
        <v>Kísérleti fejlesztés – Működési költség</v>
      </c>
      <c r="D345" s="160" t="s">
        <v>129</v>
      </c>
      <c r="E345" s="90" t="str">
        <f>VLOOKUP($F345,Admin!$A$16:$E$19,4,FALSE)</f>
        <v>54. Bérköltség - Kutató-fejlesztő munkatárs</v>
      </c>
      <c r="F345" s="90" t="s">
        <v>170</v>
      </c>
      <c r="G345" s="160" t="s">
        <v>174</v>
      </c>
      <c r="H345" s="160" t="s">
        <v>203</v>
      </c>
      <c r="I345" s="90" t="str">
        <f>VLOOKUP($F345,Admin!$A$16:$E$19,5,FALSE)</f>
        <v>K+F munkatárs</v>
      </c>
      <c r="J345" s="160" t="s">
        <v>143</v>
      </c>
      <c r="K345" s="160" t="str">
        <f t="shared" si="1100"/>
        <v>2024.04</v>
      </c>
      <c r="L345" s="91" t="s">
        <v>8</v>
      </c>
      <c r="M345" s="92" t="s">
        <v>78</v>
      </c>
      <c r="N345" s="161">
        <v>325000</v>
      </c>
      <c r="O345" s="162">
        <v>7566</v>
      </c>
      <c r="P345" s="160">
        <v>87</v>
      </c>
      <c r="Q345" s="236">
        <v>53.94</v>
      </c>
      <c r="R345" s="229">
        <f t="shared" si="1153"/>
        <v>0.62</v>
      </c>
      <c r="S345" s="163">
        <f t="shared" si="1154"/>
        <v>201500</v>
      </c>
      <c r="T345" s="164">
        <v>4691</v>
      </c>
      <c r="U345" s="165">
        <f t="shared" si="1155"/>
        <v>0</v>
      </c>
      <c r="V345" s="87">
        <v>0.13</v>
      </c>
      <c r="W345" s="223" t="s">
        <v>266</v>
      </c>
      <c r="X345" s="23"/>
      <c r="Y345" s="20" t="s">
        <v>197</v>
      </c>
      <c r="Z345" s="20"/>
      <c r="AA345" s="20"/>
      <c r="AB345" s="167"/>
      <c r="AC345" s="8" t="s">
        <v>246</v>
      </c>
      <c r="AD345" s="243">
        <v>0</v>
      </c>
      <c r="AE345" s="243">
        <v>0</v>
      </c>
    </row>
    <row r="346" spans="1:31" s="8" customFormat="1" x14ac:dyDescent="0.25">
      <c r="A346" s="188"/>
      <c r="B346" s="92" t="s">
        <v>265</v>
      </c>
      <c r="C346" s="90" t="str">
        <f>VLOOKUP($F346,Admin!$A$16:$E$19,2,FALSE)</f>
        <v>Kísérleti fejlesztés – Működési költség</v>
      </c>
      <c r="D346" s="160" t="s">
        <v>129</v>
      </c>
      <c r="E346" s="90" t="str">
        <f>VLOOKUP($F346,Admin!$A$16:$E$19,4,FALSE)</f>
        <v>54. Bérköltség - Kutató-fejlesztő munkatárs</v>
      </c>
      <c r="F346" s="90" t="s">
        <v>170</v>
      </c>
      <c r="G346" s="160" t="s">
        <v>174</v>
      </c>
      <c r="H346" s="160" t="s">
        <v>203</v>
      </c>
      <c r="I346" s="90" t="str">
        <f>VLOOKUP($F346,Admin!$A$16:$E$19,5,FALSE)</f>
        <v>K+F munkatárs</v>
      </c>
      <c r="J346" s="160" t="s">
        <v>144</v>
      </c>
      <c r="K346" s="160" t="str">
        <f t="shared" si="1100"/>
        <v>2024.05</v>
      </c>
      <c r="L346" s="91" t="s">
        <v>8</v>
      </c>
      <c r="M346" s="92" t="s">
        <v>78</v>
      </c>
      <c r="N346" s="161">
        <v>325000</v>
      </c>
      <c r="O346" s="162">
        <v>7566</v>
      </c>
      <c r="P346" s="160">
        <v>87</v>
      </c>
      <c r="Q346" s="236">
        <v>53.94</v>
      </c>
      <c r="R346" s="229">
        <f t="shared" si="1153"/>
        <v>0.62</v>
      </c>
      <c r="S346" s="163">
        <f t="shared" si="1154"/>
        <v>201500</v>
      </c>
      <c r="T346" s="164">
        <v>4691</v>
      </c>
      <c r="U346" s="165">
        <f t="shared" si="1155"/>
        <v>0</v>
      </c>
      <c r="V346" s="87">
        <v>0.13</v>
      </c>
      <c r="W346" s="223" t="s">
        <v>266</v>
      </c>
      <c r="X346" s="23"/>
      <c r="Y346" s="20" t="s">
        <v>197</v>
      </c>
      <c r="Z346" s="20"/>
      <c r="AA346" s="20"/>
      <c r="AB346" s="167"/>
      <c r="AC346" s="8" t="s">
        <v>246</v>
      </c>
      <c r="AD346" s="243">
        <v>0</v>
      </c>
      <c r="AE346" s="243">
        <v>0</v>
      </c>
    </row>
    <row r="347" spans="1:31" s="8" customFormat="1" x14ac:dyDescent="0.25">
      <c r="A347" s="188"/>
      <c r="B347" s="92" t="s">
        <v>265</v>
      </c>
      <c r="C347" s="90" t="str">
        <f>VLOOKUP($F347,Admin!$A$16:$E$19,2,FALSE)</f>
        <v>Kísérleti fejlesztés – Működési költség</v>
      </c>
      <c r="D347" s="160" t="s">
        <v>129</v>
      </c>
      <c r="E347" s="90" t="str">
        <f>VLOOKUP($F347,Admin!$A$16:$E$19,4,FALSE)</f>
        <v>54. Bérköltség - Kutató-fejlesztő munkatárs</v>
      </c>
      <c r="F347" s="90" t="s">
        <v>170</v>
      </c>
      <c r="G347" s="160" t="s">
        <v>174</v>
      </c>
      <c r="H347" s="160" t="s">
        <v>203</v>
      </c>
      <c r="I347" s="90" t="str">
        <f>VLOOKUP($F347,Admin!$A$16:$E$19,5,FALSE)</f>
        <v>K+F munkatárs</v>
      </c>
      <c r="J347" s="160" t="s">
        <v>211</v>
      </c>
      <c r="K347" s="160" t="str">
        <f t="shared" si="1100"/>
        <v>2024.06</v>
      </c>
      <c r="L347" s="91" t="s">
        <v>9</v>
      </c>
      <c r="M347" s="92" t="s">
        <v>78</v>
      </c>
      <c r="N347" s="161">
        <v>650000</v>
      </c>
      <c r="O347" s="162">
        <f t="shared" ref="O347" si="1156">ROUND(N347*V347,0)</f>
        <v>84500</v>
      </c>
      <c r="P347" s="160">
        <v>174</v>
      </c>
      <c r="Q347" s="236">
        <v>80.040000000000006</v>
      </c>
      <c r="R347" s="229">
        <f t="shared" si="1153"/>
        <v>0.46</v>
      </c>
      <c r="S347" s="163">
        <f t="shared" si="1154"/>
        <v>299000</v>
      </c>
      <c r="T347" s="164">
        <f t="shared" ref="T347" si="1157">ROUND(S347*V347,0)</f>
        <v>38870</v>
      </c>
      <c r="U347" s="165">
        <f t="shared" si="1155"/>
        <v>0</v>
      </c>
      <c r="V347" s="87">
        <v>0.13</v>
      </c>
      <c r="W347" s="223" t="s">
        <v>266</v>
      </c>
      <c r="X347" s="23">
        <v>45440</v>
      </c>
      <c r="Y347" s="20"/>
      <c r="Z347" s="20"/>
      <c r="AA347" s="20"/>
      <c r="AB347" s="167"/>
      <c r="AE347" s="233"/>
    </row>
    <row r="348" spans="1:31" s="8" customFormat="1" x14ac:dyDescent="0.25">
      <c r="A348" s="188"/>
      <c r="B348" s="92" t="s">
        <v>265</v>
      </c>
      <c r="C348" s="90" t="str">
        <f>VLOOKUP($F348,Admin!$A$16:$E$19,2,FALSE)</f>
        <v>Kísérleti fejlesztés – Működési költség</v>
      </c>
      <c r="D348" s="160" t="s">
        <v>129</v>
      </c>
      <c r="E348" s="90" t="str">
        <f>VLOOKUP($F348,Admin!$A$16:$E$19,4,FALSE)</f>
        <v>54. Bérköltség - Kutató-fejlesztő munkatárs</v>
      </c>
      <c r="F348" s="90" t="s">
        <v>170</v>
      </c>
      <c r="G348" s="160" t="s">
        <v>174</v>
      </c>
      <c r="H348" s="160" t="s">
        <v>203</v>
      </c>
      <c r="I348" s="90" t="str">
        <f>VLOOKUP($F348,Admin!$A$16:$E$19,5,FALSE)</f>
        <v>K+F munkatárs</v>
      </c>
      <c r="J348" s="160" t="s">
        <v>212</v>
      </c>
      <c r="K348" s="160" t="str">
        <f t="shared" si="1100"/>
        <v>2024.07</v>
      </c>
      <c r="L348" s="91" t="s">
        <v>9</v>
      </c>
      <c r="M348" s="92" t="s">
        <v>78</v>
      </c>
      <c r="N348" s="161">
        <v>650000</v>
      </c>
      <c r="O348" s="162">
        <f t="shared" ref="O348:O349" si="1158">ROUND(N348*V348,0)</f>
        <v>84500</v>
      </c>
      <c r="P348" s="160">
        <v>174</v>
      </c>
      <c r="Q348" s="236">
        <v>80.040000000000006</v>
      </c>
      <c r="R348" s="229">
        <f t="shared" ref="R348:R349" si="1159">Q348/P348</f>
        <v>0.46</v>
      </c>
      <c r="S348" s="163">
        <f t="shared" ref="S348:S349" si="1160">ROUND(N348*Q348/P348,0)</f>
        <v>299000</v>
      </c>
      <c r="T348" s="164">
        <f t="shared" ref="T348:T349" si="1161">ROUND(S348*V348,0)</f>
        <v>38870</v>
      </c>
      <c r="U348" s="165">
        <f t="shared" ref="U348:U349" si="1162">Q348/P348-S348/N348</f>
        <v>0</v>
      </c>
      <c r="V348" s="87">
        <v>0.13</v>
      </c>
      <c r="W348" s="223" t="s">
        <v>266</v>
      </c>
      <c r="X348" s="23">
        <v>45440</v>
      </c>
      <c r="Y348" s="20"/>
      <c r="Z348" s="20"/>
      <c r="AA348" s="20"/>
      <c r="AB348" s="167"/>
      <c r="AE348" s="233"/>
    </row>
    <row r="349" spans="1:31" s="8" customFormat="1" x14ac:dyDescent="0.25">
      <c r="A349" s="188"/>
      <c r="B349" s="92" t="s">
        <v>265</v>
      </c>
      <c r="C349" s="90" t="str">
        <f>VLOOKUP($F349,Admin!$A$16:$E$19,2,FALSE)</f>
        <v>Kísérleti fejlesztés – Működési költség</v>
      </c>
      <c r="D349" s="160" t="s">
        <v>129</v>
      </c>
      <c r="E349" s="90" t="str">
        <f>VLOOKUP($F349,Admin!$A$16:$E$19,4,FALSE)</f>
        <v>54. Bérköltség - Kutató-fejlesztő munkatárs</v>
      </c>
      <c r="F349" s="90" t="s">
        <v>170</v>
      </c>
      <c r="G349" s="160" t="s">
        <v>174</v>
      </c>
      <c r="H349" s="160" t="s">
        <v>203</v>
      </c>
      <c r="I349" s="90" t="str">
        <f>VLOOKUP($F349,Admin!$A$16:$E$19,5,FALSE)</f>
        <v>K+F munkatárs</v>
      </c>
      <c r="J349" s="160" t="s">
        <v>213</v>
      </c>
      <c r="K349" s="160" t="str">
        <f t="shared" si="1100"/>
        <v>2024.08</v>
      </c>
      <c r="L349" s="91" t="s">
        <v>9</v>
      </c>
      <c r="M349" s="92" t="s">
        <v>78</v>
      </c>
      <c r="N349" s="161">
        <v>650000</v>
      </c>
      <c r="O349" s="162">
        <f t="shared" si="1158"/>
        <v>84500</v>
      </c>
      <c r="P349" s="160">
        <v>174</v>
      </c>
      <c r="Q349" s="236">
        <v>80.040000000000006</v>
      </c>
      <c r="R349" s="229">
        <f t="shared" si="1159"/>
        <v>0.46</v>
      </c>
      <c r="S349" s="163">
        <f t="shared" si="1160"/>
        <v>299000</v>
      </c>
      <c r="T349" s="164">
        <f t="shared" si="1161"/>
        <v>38870</v>
      </c>
      <c r="U349" s="165">
        <f t="shared" si="1162"/>
        <v>0</v>
      </c>
      <c r="V349" s="87">
        <v>0.13</v>
      </c>
      <c r="W349" s="223" t="s">
        <v>266</v>
      </c>
      <c r="X349" s="23">
        <v>45440</v>
      </c>
      <c r="Y349" s="20"/>
      <c r="Z349" s="20"/>
      <c r="AA349" s="20"/>
      <c r="AB349" s="167"/>
      <c r="AE349" s="233"/>
    </row>
    <row r="350" spans="1:31" s="8" customFormat="1" x14ac:dyDescent="0.25">
      <c r="A350" s="207">
        <v>1</v>
      </c>
      <c r="B350" s="92" t="s">
        <v>209</v>
      </c>
      <c r="C350" s="90" t="str">
        <f>VLOOKUP($F350,Admin!$A$16:$E$19,2,FALSE)</f>
        <v>Alkalmazott (ipari) kutatás – Működési költség</v>
      </c>
      <c r="D350" s="160" t="s">
        <v>129</v>
      </c>
      <c r="E350" s="90" t="str">
        <f>VLOOKUP($F350,Admin!$A$16:$E$19,4,FALSE)</f>
        <v>54. Bérköltség - Kutató-fejlesztő munkatárs</v>
      </c>
      <c r="F350" s="90" t="s">
        <v>171</v>
      </c>
      <c r="G350" s="160" t="s">
        <v>174</v>
      </c>
      <c r="H350" s="160" t="s">
        <v>193</v>
      </c>
      <c r="I350" s="90" t="str">
        <f>VLOOKUP($F350,Admin!$A$16:$E$19,5,FALSE)</f>
        <v>K+F munkatárs</v>
      </c>
      <c r="J350" s="160" t="s">
        <v>38</v>
      </c>
      <c r="K350" s="160" t="str">
        <f t="shared" si="267"/>
        <v>2021.11</v>
      </c>
      <c r="L350" s="91" t="s">
        <v>8</v>
      </c>
      <c r="M350" s="92" t="s">
        <v>78</v>
      </c>
      <c r="N350" s="161">
        <v>687000</v>
      </c>
      <c r="O350" s="162">
        <f t="shared" si="268"/>
        <v>106485</v>
      </c>
      <c r="P350" s="160">
        <v>174</v>
      </c>
      <c r="Q350" s="236">
        <v>63</v>
      </c>
      <c r="R350" s="229">
        <f t="shared" si="269"/>
        <v>0.36206896551724138</v>
      </c>
      <c r="S350" s="163">
        <f t="shared" si="270"/>
        <v>248741</v>
      </c>
      <c r="T350" s="164">
        <f t="shared" si="271"/>
        <v>38555</v>
      </c>
      <c r="U350" s="165">
        <f t="shared" si="272"/>
        <v>5.5212568389473304E-7</v>
      </c>
      <c r="V350" s="87">
        <v>0.155</v>
      </c>
      <c r="W350" s="223"/>
      <c r="X350" s="23">
        <v>44509</v>
      </c>
      <c r="Y350" s="20" t="s">
        <v>197</v>
      </c>
      <c r="Z350" s="20"/>
      <c r="AA350" s="20"/>
      <c r="AB350" s="167"/>
    </row>
    <row r="351" spans="1:31" s="8" customFormat="1" x14ac:dyDescent="0.25">
      <c r="A351" s="207">
        <v>1</v>
      </c>
      <c r="B351" s="92" t="s">
        <v>209</v>
      </c>
      <c r="C351" s="90" t="str">
        <f>VLOOKUP($F351,Admin!$A$16:$E$19,2,FALSE)</f>
        <v>Alkalmazott (ipari) kutatás – Működési költség</v>
      </c>
      <c r="D351" s="160" t="s">
        <v>129</v>
      </c>
      <c r="E351" s="90" t="str">
        <f>VLOOKUP($F351,Admin!$A$16:$E$19,4,FALSE)</f>
        <v>54. Bérköltség - Kutató-fejlesztő munkatárs</v>
      </c>
      <c r="F351" s="90" t="s">
        <v>171</v>
      </c>
      <c r="G351" s="160" t="s">
        <v>174</v>
      </c>
      <c r="H351" s="160" t="s">
        <v>193</v>
      </c>
      <c r="I351" s="90" t="str">
        <f>VLOOKUP($F351,Admin!$A$16:$E$19,5,FALSE)</f>
        <v>K+F munkatárs</v>
      </c>
      <c r="J351" s="160" t="s">
        <v>39</v>
      </c>
      <c r="K351" s="160" t="str">
        <f t="shared" si="267"/>
        <v>2021.12</v>
      </c>
      <c r="L351" s="91" t="s">
        <v>8</v>
      </c>
      <c r="M351" s="92" t="s">
        <v>78</v>
      </c>
      <c r="N351" s="161">
        <v>912000</v>
      </c>
      <c r="O351" s="162">
        <f t="shared" si="268"/>
        <v>141360</v>
      </c>
      <c r="P351" s="160">
        <v>174</v>
      </c>
      <c r="Q351" s="236">
        <v>42</v>
      </c>
      <c r="R351" s="229">
        <f t="shared" si="269"/>
        <v>0.2413793103448276</v>
      </c>
      <c r="S351" s="163">
        <f t="shared" si="270"/>
        <v>220138</v>
      </c>
      <c r="T351" s="164">
        <f t="shared" si="271"/>
        <v>34121</v>
      </c>
      <c r="U351" s="165">
        <f t="shared" si="272"/>
        <v>-7.5620084694083545E-8</v>
      </c>
      <c r="V351" s="87">
        <v>0.155</v>
      </c>
      <c r="W351" s="223"/>
      <c r="X351" s="23">
        <v>44544</v>
      </c>
      <c r="Y351" s="20" t="s">
        <v>197</v>
      </c>
      <c r="Z351" s="20"/>
      <c r="AA351" s="20"/>
      <c r="AB351" s="167"/>
    </row>
    <row r="352" spans="1:31" s="8" customFormat="1" x14ac:dyDescent="0.25">
      <c r="A352" s="207">
        <v>1</v>
      </c>
      <c r="B352" s="92" t="s">
        <v>209</v>
      </c>
      <c r="C352" s="90" t="str">
        <f>VLOOKUP($F352,Admin!$A$16:$E$19,2,FALSE)</f>
        <v>Alkalmazott (ipari) kutatás – Működési költség</v>
      </c>
      <c r="D352" s="160" t="s">
        <v>129</v>
      </c>
      <c r="E352" s="90" t="str">
        <f>VLOOKUP($F352,Admin!$A$16:$E$19,4,FALSE)</f>
        <v>54. Bérköltség - Kutató-fejlesztő munkatárs</v>
      </c>
      <c r="F352" s="90" t="s">
        <v>171</v>
      </c>
      <c r="G352" s="160" t="s">
        <v>174</v>
      </c>
      <c r="H352" s="160" t="s">
        <v>193</v>
      </c>
      <c r="I352" s="90" t="str">
        <f>VLOOKUP($F352,Admin!$A$16:$E$19,5,FALSE)</f>
        <v>K+F munkatárs</v>
      </c>
      <c r="J352" s="160" t="s">
        <v>40</v>
      </c>
      <c r="K352" s="160" t="str">
        <f t="shared" si="267"/>
        <v>2022.01</v>
      </c>
      <c r="L352" s="91" t="s">
        <v>8</v>
      </c>
      <c r="M352" s="92" t="s">
        <v>78</v>
      </c>
      <c r="N352" s="161">
        <v>760200</v>
      </c>
      <c r="O352" s="162">
        <f t="shared" si="268"/>
        <v>98826</v>
      </c>
      <c r="P352" s="160">
        <v>174</v>
      </c>
      <c r="Q352" s="236">
        <v>63</v>
      </c>
      <c r="R352" s="229">
        <f t="shared" si="269"/>
        <v>0.36206896551724138</v>
      </c>
      <c r="S352" s="163">
        <f t="shared" si="270"/>
        <v>275245</v>
      </c>
      <c r="T352" s="164">
        <f t="shared" si="271"/>
        <v>35782</v>
      </c>
      <c r="U352" s="165">
        <f t="shared" si="272"/>
        <v>-2.2680056971369211E-7</v>
      </c>
      <c r="V352" s="87">
        <v>0.13</v>
      </c>
      <c r="W352" s="223"/>
      <c r="X352" s="23">
        <v>44552</v>
      </c>
      <c r="Y352" s="20" t="s">
        <v>197</v>
      </c>
      <c r="Z352" s="20"/>
      <c r="AA352" s="20"/>
      <c r="AB352" s="167"/>
    </row>
    <row r="353" spans="1:36" s="8" customFormat="1" x14ac:dyDescent="0.25">
      <c r="A353" s="207">
        <v>1</v>
      </c>
      <c r="B353" s="92" t="s">
        <v>209</v>
      </c>
      <c r="C353" s="90" t="str">
        <f>VLOOKUP($F353,Admin!$A$16:$E$19,2,FALSE)</f>
        <v>Alkalmazott (ipari) kutatás – Működési költség</v>
      </c>
      <c r="D353" s="160" t="s">
        <v>129</v>
      </c>
      <c r="E353" s="90" t="str">
        <f>VLOOKUP($F353,Admin!$A$16:$E$19,4,FALSE)</f>
        <v>54. Bérköltség - Kutató-fejlesztő munkatárs</v>
      </c>
      <c r="F353" s="90" t="s">
        <v>171</v>
      </c>
      <c r="G353" s="160" t="s">
        <v>174</v>
      </c>
      <c r="H353" s="160" t="s">
        <v>193</v>
      </c>
      <c r="I353" s="90" t="str">
        <f>VLOOKUP($F353,Admin!$A$16:$E$19,5,FALSE)</f>
        <v>K+F munkatárs</v>
      </c>
      <c r="J353" s="160" t="s">
        <v>41</v>
      </c>
      <c r="K353" s="160" t="str">
        <f t="shared" si="267"/>
        <v>2022.02</v>
      </c>
      <c r="L353" s="91" t="s">
        <v>8</v>
      </c>
      <c r="M353" s="92" t="s">
        <v>78</v>
      </c>
      <c r="N353" s="161">
        <v>717000</v>
      </c>
      <c r="O353" s="162">
        <f t="shared" si="268"/>
        <v>93210</v>
      </c>
      <c r="P353" s="160">
        <v>174</v>
      </c>
      <c r="Q353" s="236">
        <v>63</v>
      </c>
      <c r="R353" s="229">
        <f t="shared" si="269"/>
        <v>0.36206896551724138</v>
      </c>
      <c r="S353" s="163">
        <f t="shared" si="270"/>
        <v>259603</v>
      </c>
      <c r="T353" s="164">
        <f t="shared" si="271"/>
        <v>33748</v>
      </c>
      <c r="U353" s="165">
        <f t="shared" si="272"/>
        <v>6.2521040733454214E-7</v>
      </c>
      <c r="V353" s="87">
        <v>0.13</v>
      </c>
      <c r="W353" s="223"/>
      <c r="X353" s="23">
        <v>44589</v>
      </c>
      <c r="Y353" s="20" t="s">
        <v>197</v>
      </c>
      <c r="Z353" s="20"/>
      <c r="AA353" s="20"/>
      <c r="AB353" s="167"/>
    </row>
    <row r="354" spans="1:36" s="8" customFormat="1" x14ac:dyDescent="0.25">
      <c r="A354" s="207">
        <v>1</v>
      </c>
      <c r="B354" s="92" t="s">
        <v>209</v>
      </c>
      <c r="C354" s="90" t="str">
        <f>VLOOKUP($F354,Admin!$A$16:$E$19,2,FALSE)</f>
        <v>Alkalmazott (ipari) kutatás – Működési költség</v>
      </c>
      <c r="D354" s="160" t="s">
        <v>129</v>
      </c>
      <c r="E354" s="90" t="str">
        <f>VLOOKUP($F354,Admin!$A$16:$E$19,4,FALSE)</f>
        <v>54. Bérköltség - Kutató-fejlesztő munkatárs</v>
      </c>
      <c r="F354" s="90" t="s">
        <v>171</v>
      </c>
      <c r="G354" s="160" t="s">
        <v>174</v>
      </c>
      <c r="H354" s="160" t="s">
        <v>193</v>
      </c>
      <c r="I354" s="90" t="str">
        <f>VLOOKUP($F354,Admin!$A$16:$E$19,5,FALSE)</f>
        <v>K+F munkatárs</v>
      </c>
      <c r="J354" s="160" t="s">
        <v>42</v>
      </c>
      <c r="K354" s="160" t="str">
        <f t="shared" si="267"/>
        <v>2022.03</v>
      </c>
      <c r="L354" s="91" t="s">
        <v>8</v>
      </c>
      <c r="M354" s="92" t="s">
        <v>78</v>
      </c>
      <c r="N354" s="161">
        <v>717000</v>
      </c>
      <c r="O354" s="162">
        <f t="shared" si="268"/>
        <v>93210</v>
      </c>
      <c r="P354" s="160">
        <v>174</v>
      </c>
      <c r="Q354" s="236">
        <v>63</v>
      </c>
      <c r="R354" s="229">
        <f t="shared" si="269"/>
        <v>0.36206896551724138</v>
      </c>
      <c r="S354" s="163">
        <f t="shared" si="270"/>
        <v>259603</v>
      </c>
      <c r="T354" s="164">
        <f t="shared" si="271"/>
        <v>33748</v>
      </c>
      <c r="U354" s="165">
        <f t="shared" si="272"/>
        <v>6.2521040733454214E-7</v>
      </c>
      <c r="V354" s="87">
        <v>0.13</v>
      </c>
      <c r="W354" s="223"/>
      <c r="X354" s="23">
        <v>44615</v>
      </c>
      <c r="Y354" s="20" t="s">
        <v>197</v>
      </c>
      <c r="Z354" s="20"/>
      <c r="AA354" s="20"/>
      <c r="AB354" s="167"/>
    </row>
    <row r="355" spans="1:36" s="8" customFormat="1" x14ac:dyDescent="0.25">
      <c r="A355" s="207">
        <v>1</v>
      </c>
      <c r="B355" s="92" t="s">
        <v>209</v>
      </c>
      <c r="C355" s="90" t="str">
        <f>VLOOKUP($F355,Admin!$A$16:$E$19,2,FALSE)</f>
        <v>Alkalmazott (ipari) kutatás – Működési költség</v>
      </c>
      <c r="D355" s="160" t="s">
        <v>129</v>
      </c>
      <c r="E355" s="90" t="str">
        <f>VLOOKUP($F355,Admin!$A$16:$E$19,4,FALSE)</f>
        <v>54. Bérköltség - Kutató-fejlesztő munkatárs</v>
      </c>
      <c r="F355" s="90" t="s">
        <v>171</v>
      </c>
      <c r="G355" s="160" t="s">
        <v>174</v>
      </c>
      <c r="H355" s="160" t="s">
        <v>193</v>
      </c>
      <c r="I355" s="90" t="str">
        <f>VLOOKUP($F355,Admin!$A$16:$E$19,5,FALSE)</f>
        <v>K+F munkatárs</v>
      </c>
      <c r="J355" s="160" t="s">
        <v>43</v>
      </c>
      <c r="K355" s="160" t="str">
        <f t="shared" si="267"/>
        <v>2022.04</v>
      </c>
      <c r="L355" s="91" t="s">
        <v>8</v>
      </c>
      <c r="M355" s="92" t="s">
        <v>78</v>
      </c>
      <c r="N355" s="161">
        <v>717000</v>
      </c>
      <c r="O355" s="162">
        <f t="shared" si="268"/>
        <v>93210</v>
      </c>
      <c r="P355" s="160">
        <v>174</v>
      </c>
      <c r="Q355" s="236">
        <v>63</v>
      </c>
      <c r="R355" s="229">
        <f t="shared" si="269"/>
        <v>0.36206896551724138</v>
      </c>
      <c r="S355" s="163">
        <f t="shared" si="270"/>
        <v>259603</v>
      </c>
      <c r="T355" s="164">
        <f t="shared" si="271"/>
        <v>33748</v>
      </c>
      <c r="U355" s="165">
        <f t="shared" si="272"/>
        <v>6.2521040733454214E-7</v>
      </c>
      <c r="V355" s="87">
        <v>0.13</v>
      </c>
      <c r="W355" s="223"/>
      <c r="X355" s="23">
        <v>44615</v>
      </c>
      <c r="Y355" s="20" t="s">
        <v>197</v>
      </c>
      <c r="Z355" s="20"/>
      <c r="AA355" s="20"/>
      <c r="AB355" s="167"/>
    </row>
    <row r="356" spans="1:36" s="8" customFormat="1" x14ac:dyDescent="0.25">
      <c r="A356" s="207">
        <v>1</v>
      </c>
      <c r="B356" s="92" t="s">
        <v>209</v>
      </c>
      <c r="C356" s="90" t="str">
        <f>VLOOKUP($F356,Admin!$A$16:$E$19,2,FALSE)</f>
        <v>Alkalmazott (ipari) kutatás – Működési költség</v>
      </c>
      <c r="D356" s="160" t="s">
        <v>129</v>
      </c>
      <c r="E356" s="90" t="str">
        <f>VLOOKUP($F356,Admin!$A$16:$E$19,4,FALSE)</f>
        <v>54. Bérköltség - Kutató-fejlesztő munkatárs</v>
      </c>
      <c r="F356" s="90" t="s">
        <v>171</v>
      </c>
      <c r="G356" s="160" t="s">
        <v>174</v>
      </c>
      <c r="H356" s="160" t="s">
        <v>193</v>
      </c>
      <c r="I356" s="90" t="str">
        <f>VLOOKUP($F356,Admin!$A$16:$E$19,5,FALSE)</f>
        <v>K+F munkatárs</v>
      </c>
      <c r="J356" s="160" t="s">
        <v>44</v>
      </c>
      <c r="K356" s="160" t="str">
        <f t="shared" si="267"/>
        <v>2022.05</v>
      </c>
      <c r="L356" s="91" t="s">
        <v>8</v>
      </c>
      <c r="M356" s="92" t="s">
        <v>78</v>
      </c>
      <c r="N356" s="161">
        <v>717000</v>
      </c>
      <c r="O356" s="162">
        <f t="shared" si="268"/>
        <v>93210</v>
      </c>
      <c r="P356" s="160">
        <v>174</v>
      </c>
      <c r="Q356" s="236">
        <v>63</v>
      </c>
      <c r="R356" s="229">
        <f t="shared" si="269"/>
        <v>0.36206896551724138</v>
      </c>
      <c r="S356" s="163">
        <f t="shared" si="270"/>
        <v>259603</v>
      </c>
      <c r="T356" s="164">
        <f t="shared" si="271"/>
        <v>33748</v>
      </c>
      <c r="U356" s="165">
        <f t="shared" si="272"/>
        <v>6.2521040733454214E-7</v>
      </c>
      <c r="V356" s="87">
        <v>0.13</v>
      </c>
      <c r="W356" s="223"/>
      <c r="X356" s="23">
        <v>44615</v>
      </c>
      <c r="Y356" s="20" t="s">
        <v>197</v>
      </c>
      <c r="Z356" s="20"/>
      <c r="AA356" s="20"/>
      <c r="AB356" s="167"/>
    </row>
    <row r="357" spans="1:36" s="8" customFormat="1" x14ac:dyDescent="0.25">
      <c r="A357" s="207">
        <v>1</v>
      </c>
      <c r="B357" s="92" t="s">
        <v>209</v>
      </c>
      <c r="C357" s="90" t="str">
        <f>VLOOKUP($F357,Admin!$A$16:$E$19,2,FALSE)</f>
        <v>Alkalmazott (ipari) kutatás – Működési költség</v>
      </c>
      <c r="D357" s="160" t="s">
        <v>129</v>
      </c>
      <c r="E357" s="90" t="str">
        <f>VLOOKUP($F357,Admin!$A$16:$E$19,4,FALSE)</f>
        <v>54. Bérköltség - Kutató-fejlesztő munkatárs</v>
      </c>
      <c r="F357" s="90" t="s">
        <v>171</v>
      </c>
      <c r="G357" s="160" t="s">
        <v>174</v>
      </c>
      <c r="H357" s="160" t="s">
        <v>193</v>
      </c>
      <c r="I357" s="90" t="str">
        <f>VLOOKUP($F357,Admin!$A$16:$E$19,5,FALSE)</f>
        <v>K+F munkatárs</v>
      </c>
      <c r="J357" s="160" t="s">
        <v>45</v>
      </c>
      <c r="K357" s="160" t="str">
        <f t="shared" si="267"/>
        <v>2022.06</v>
      </c>
      <c r="L357" s="91" t="s">
        <v>8</v>
      </c>
      <c r="M357" s="92" t="s">
        <v>78</v>
      </c>
      <c r="N357" s="161">
        <v>239000</v>
      </c>
      <c r="O357" s="162">
        <f t="shared" si="268"/>
        <v>31070</v>
      </c>
      <c r="P357" s="160">
        <v>174</v>
      </c>
      <c r="Q357" s="236">
        <v>63</v>
      </c>
      <c r="R357" s="229">
        <f t="shared" si="269"/>
        <v>0.36206896551724138</v>
      </c>
      <c r="S357" s="163">
        <f t="shared" si="270"/>
        <v>86534</v>
      </c>
      <c r="T357" s="164">
        <f t="shared" si="271"/>
        <v>11249</v>
      </c>
      <c r="U357" s="165">
        <f t="shared" si="272"/>
        <v>2.0199105468243772E-6</v>
      </c>
      <c r="V357" s="87">
        <v>0.13</v>
      </c>
      <c r="W357" s="223"/>
      <c r="X357" s="23">
        <v>44615</v>
      </c>
      <c r="Y357" s="20" t="s">
        <v>197</v>
      </c>
      <c r="Z357" s="20"/>
      <c r="AA357" s="20"/>
      <c r="AB357" s="167"/>
    </row>
    <row r="358" spans="1:36" s="8" customFormat="1" x14ac:dyDescent="0.25">
      <c r="A358" s="207">
        <v>1</v>
      </c>
      <c r="B358" s="92" t="s">
        <v>209</v>
      </c>
      <c r="C358" s="90" t="str">
        <f>VLOOKUP($F358,Admin!$A$16:$E$19,2,FALSE)</f>
        <v>Alkalmazott (ipari) kutatás – Működési költség</v>
      </c>
      <c r="D358" s="160" t="s">
        <v>129</v>
      </c>
      <c r="E358" s="90" t="str">
        <f>VLOOKUP($F358,Admin!$A$16:$E$19,4,FALSE)</f>
        <v>54. Bérköltség - Kutató-fejlesztő munkatárs</v>
      </c>
      <c r="F358" s="90" t="s">
        <v>171</v>
      </c>
      <c r="G358" s="160" t="s">
        <v>174</v>
      </c>
      <c r="H358" s="160" t="s">
        <v>193</v>
      </c>
      <c r="I358" s="90" t="str">
        <f>VLOOKUP($F358,Admin!$A$16:$E$19,5,FALSE)</f>
        <v>K+F munkatárs</v>
      </c>
      <c r="J358" s="160" t="s">
        <v>46</v>
      </c>
      <c r="K358" s="160" t="str">
        <f t="shared" ref="K358:K363" si="1163">J358</f>
        <v>2022.07</v>
      </c>
      <c r="L358" s="91" t="s">
        <v>8</v>
      </c>
      <c r="M358" s="92" t="s">
        <v>78</v>
      </c>
      <c r="N358" s="161">
        <v>0</v>
      </c>
      <c r="O358" s="162">
        <f t="shared" ref="O358" si="1164">ROUND(N358*V358,0)</f>
        <v>0</v>
      </c>
      <c r="P358" s="160">
        <v>174</v>
      </c>
      <c r="Q358" s="236">
        <v>150</v>
      </c>
      <c r="R358" s="229">
        <f t="shared" ref="R358" si="1165">Q358/P358</f>
        <v>0.86206896551724133</v>
      </c>
      <c r="S358" s="163">
        <f t="shared" ref="S358" si="1166">ROUND(N358*Q358/P358,0)</f>
        <v>0</v>
      </c>
      <c r="T358" s="164">
        <f t="shared" ref="T358" si="1167">ROUND(S358*V358,0)</f>
        <v>0</v>
      </c>
      <c r="U358" s="165" t="e">
        <f t="shared" ref="U358:U359" si="1168">Q358/P358-S358/N358</f>
        <v>#DIV/0!</v>
      </c>
      <c r="V358" s="87">
        <v>0.13</v>
      </c>
      <c r="W358" s="223"/>
      <c r="X358" s="23">
        <v>44734</v>
      </c>
      <c r="Y358" s="20" t="s">
        <v>197</v>
      </c>
      <c r="Z358" s="20"/>
      <c r="AA358" s="20"/>
      <c r="AB358" s="167"/>
    </row>
    <row r="359" spans="1:36" s="8" customFormat="1" x14ac:dyDescent="0.25">
      <c r="A359" s="207">
        <v>1</v>
      </c>
      <c r="B359" s="92" t="s">
        <v>209</v>
      </c>
      <c r="C359" s="90" t="str">
        <f>VLOOKUP($F359,Admin!$A$16:$E$19,2,FALSE)</f>
        <v>Alkalmazott (ipari) kutatás – Működési költség</v>
      </c>
      <c r="D359" s="160" t="s">
        <v>129</v>
      </c>
      <c r="E359" s="90" t="str">
        <f>VLOOKUP($F359,Admin!$A$16:$E$19,4,FALSE)</f>
        <v>54. Bérköltség - Kutató-fejlesztő munkatárs</v>
      </c>
      <c r="F359" s="90" t="s">
        <v>171</v>
      </c>
      <c r="G359" s="160" t="s">
        <v>174</v>
      </c>
      <c r="H359" s="160" t="s">
        <v>193</v>
      </c>
      <c r="I359" s="90" t="str">
        <f>VLOOKUP($F359,Admin!$A$16:$E$19,5,FALSE)</f>
        <v>K+F munkatárs</v>
      </c>
      <c r="J359" s="160" t="s">
        <v>47</v>
      </c>
      <c r="K359" s="160" t="str">
        <f t="shared" si="1163"/>
        <v>2022.08</v>
      </c>
      <c r="L359" s="91" t="s">
        <v>8</v>
      </c>
      <c r="M359" s="92" t="s">
        <v>78</v>
      </c>
      <c r="N359" s="161">
        <v>0</v>
      </c>
      <c r="O359" s="162">
        <f t="shared" ref="O359:O363" si="1169">ROUND(N359*V359,0)</f>
        <v>0</v>
      </c>
      <c r="P359" s="160">
        <v>174</v>
      </c>
      <c r="Q359" s="236">
        <v>150</v>
      </c>
      <c r="R359" s="229">
        <f t="shared" ref="R359:R363" si="1170">Q359/P359</f>
        <v>0.86206896551724133</v>
      </c>
      <c r="S359" s="163">
        <f t="shared" ref="S359:S363" si="1171">ROUND(N359*Q359/P359,0)</f>
        <v>0</v>
      </c>
      <c r="T359" s="164">
        <f t="shared" ref="T359:T363" si="1172">ROUND(S359*V359,0)</f>
        <v>0</v>
      </c>
      <c r="U359" s="165" t="e">
        <f t="shared" si="1168"/>
        <v>#DIV/0!</v>
      </c>
      <c r="V359" s="87">
        <v>0.13</v>
      </c>
      <c r="W359" s="223"/>
      <c r="X359" s="23">
        <v>44734</v>
      </c>
      <c r="Y359" s="20" t="s">
        <v>197</v>
      </c>
      <c r="Z359" s="20"/>
      <c r="AA359" s="20"/>
      <c r="AB359" s="167"/>
    </row>
    <row r="360" spans="1:36" s="8" customFormat="1" x14ac:dyDescent="0.25">
      <c r="A360" s="207">
        <v>1</v>
      </c>
      <c r="B360" s="92" t="s">
        <v>209</v>
      </c>
      <c r="C360" s="90" t="str">
        <f>VLOOKUP($F360,Admin!$A$16:$E$19,2,FALSE)</f>
        <v>Alkalmazott (ipari) kutatás – Működési költség</v>
      </c>
      <c r="D360" s="160" t="s">
        <v>129</v>
      </c>
      <c r="E360" s="90" t="str">
        <f>VLOOKUP($F360,Admin!$A$16:$E$19,4,FALSE)</f>
        <v>54. Bérköltség - Kutató-fejlesztő munkatárs</v>
      </c>
      <c r="F360" s="90" t="s">
        <v>171</v>
      </c>
      <c r="G360" s="160" t="s">
        <v>174</v>
      </c>
      <c r="H360" s="160" t="s">
        <v>193</v>
      </c>
      <c r="I360" s="90" t="str">
        <f>VLOOKUP($F360,Admin!$A$16:$E$19,5,FALSE)</f>
        <v>K+F munkatárs</v>
      </c>
      <c r="J360" s="160" t="s">
        <v>48</v>
      </c>
      <c r="K360" s="160" t="str">
        <f t="shared" si="1163"/>
        <v>2022.09</v>
      </c>
      <c r="L360" s="91" t="s">
        <v>8</v>
      </c>
      <c r="M360" s="92" t="s">
        <v>78</v>
      </c>
      <c r="N360" s="161">
        <v>0</v>
      </c>
      <c r="O360" s="162">
        <f t="shared" si="1169"/>
        <v>0</v>
      </c>
      <c r="P360" s="160">
        <v>174</v>
      </c>
      <c r="Q360" s="236">
        <v>150</v>
      </c>
      <c r="R360" s="229">
        <f t="shared" si="1170"/>
        <v>0.86206896551724133</v>
      </c>
      <c r="S360" s="163">
        <f t="shared" si="1171"/>
        <v>0</v>
      </c>
      <c r="T360" s="164">
        <f t="shared" si="1172"/>
        <v>0</v>
      </c>
      <c r="U360" s="165" t="e">
        <f t="shared" ref="U360:U363" si="1173">Q360/P360-S360/N360</f>
        <v>#DIV/0!</v>
      </c>
      <c r="V360" s="87">
        <v>0.13</v>
      </c>
      <c r="W360" s="223"/>
      <c r="X360" s="23">
        <v>44734</v>
      </c>
      <c r="Y360" s="20" t="s">
        <v>197</v>
      </c>
      <c r="Z360" s="20"/>
      <c r="AA360" s="20"/>
      <c r="AB360" s="167"/>
    </row>
    <row r="361" spans="1:36" s="8" customFormat="1" x14ac:dyDescent="0.25">
      <c r="A361" s="207">
        <v>2</v>
      </c>
      <c r="B361" s="92" t="s">
        <v>209</v>
      </c>
      <c r="C361" s="90" t="str">
        <f>VLOOKUP($F361,Admin!$A$16:$E$19,2,FALSE)</f>
        <v>Alkalmazott (ipari) kutatás – Működési költség</v>
      </c>
      <c r="D361" s="160" t="s">
        <v>129</v>
      </c>
      <c r="E361" s="90" t="str">
        <f>VLOOKUP($F361,Admin!$A$16:$E$19,4,FALSE)</f>
        <v>54. Bérköltség - Kutató-fejlesztő munkatárs</v>
      </c>
      <c r="F361" s="90" t="s">
        <v>171</v>
      </c>
      <c r="G361" s="160" t="s">
        <v>174</v>
      </c>
      <c r="H361" s="160" t="s">
        <v>193</v>
      </c>
      <c r="I361" s="90" t="str">
        <f>VLOOKUP($F361,Admin!$A$16:$E$19,5,FALSE)</f>
        <v>K+F munkatárs</v>
      </c>
      <c r="J361" s="160" t="s">
        <v>49</v>
      </c>
      <c r="K361" s="160" t="str">
        <f t="shared" si="1163"/>
        <v>2022.10</v>
      </c>
      <c r="L361" s="91" t="s">
        <v>8</v>
      </c>
      <c r="M361" s="92" t="s">
        <v>78</v>
      </c>
      <c r="N361" s="161">
        <v>0</v>
      </c>
      <c r="O361" s="162">
        <f t="shared" si="1169"/>
        <v>0</v>
      </c>
      <c r="P361" s="160">
        <v>174</v>
      </c>
      <c r="Q361" s="236">
        <v>150</v>
      </c>
      <c r="R361" s="229">
        <f t="shared" si="1170"/>
        <v>0.86206896551724133</v>
      </c>
      <c r="S361" s="163">
        <f t="shared" si="1171"/>
        <v>0</v>
      </c>
      <c r="T361" s="164">
        <f t="shared" si="1172"/>
        <v>0</v>
      </c>
      <c r="U361" s="165" t="e">
        <f t="shared" si="1173"/>
        <v>#DIV/0!</v>
      </c>
      <c r="V361" s="87">
        <v>0.13</v>
      </c>
      <c r="W361" s="223"/>
      <c r="X361" s="23">
        <v>44734</v>
      </c>
      <c r="Y361" s="20" t="s">
        <v>197</v>
      </c>
      <c r="Z361" s="20"/>
      <c r="AA361" s="20"/>
      <c r="AB361" s="167"/>
      <c r="AF361" s="8">
        <v>0</v>
      </c>
      <c r="AG361" s="8">
        <f t="shared" ref="AG361:AG372" si="1174">ROUNDUP(AF361*R361,2)</f>
        <v>0</v>
      </c>
      <c r="AH361" s="235">
        <v>44869</v>
      </c>
      <c r="AI361" s="8" t="str">
        <f t="shared" ref="AI361:AI372" si="1175">CONCATENATE(J361,".01")</f>
        <v>2022.10.01</v>
      </c>
      <c r="AJ361" s="235">
        <f t="shared" ref="AJ361:AJ372" si="1176">EOMONTH(AI361,0)</f>
        <v>44865</v>
      </c>
    </row>
    <row r="362" spans="1:36" s="8" customFormat="1" x14ac:dyDescent="0.25">
      <c r="A362" s="207">
        <v>2</v>
      </c>
      <c r="B362" s="92" t="s">
        <v>209</v>
      </c>
      <c r="C362" s="90" t="str">
        <f>VLOOKUP($F362,Admin!$A$16:$E$19,2,FALSE)</f>
        <v>Alkalmazott (ipari) kutatás – Működési költség</v>
      </c>
      <c r="D362" s="160" t="s">
        <v>129</v>
      </c>
      <c r="E362" s="90" t="str">
        <f>VLOOKUP($F362,Admin!$A$16:$E$19,4,FALSE)</f>
        <v>54. Bérköltség - Kutató-fejlesztő munkatárs</v>
      </c>
      <c r="F362" s="90" t="s">
        <v>171</v>
      </c>
      <c r="G362" s="160" t="s">
        <v>174</v>
      </c>
      <c r="H362" s="160" t="s">
        <v>193</v>
      </c>
      <c r="I362" s="90" t="str">
        <f>VLOOKUP($F362,Admin!$A$16:$E$19,5,FALSE)</f>
        <v>K+F munkatárs</v>
      </c>
      <c r="J362" s="160" t="s">
        <v>50</v>
      </c>
      <c r="K362" s="160" t="str">
        <f t="shared" si="1163"/>
        <v>2022.11</v>
      </c>
      <c r="L362" s="91" t="s">
        <v>8</v>
      </c>
      <c r="M362" s="92" t="s">
        <v>78</v>
      </c>
      <c r="N362" s="161">
        <v>0</v>
      </c>
      <c r="O362" s="162">
        <f t="shared" si="1169"/>
        <v>0</v>
      </c>
      <c r="P362" s="160">
        <v>174</v>
      </c>
      <c r="Q362" s="236">
        <v>150</v>
      </c>
      <c r="R362" s="229">
        <f t="shared" si="1170"/>
        <v>0.86206896551724133</v>
      </c>
      <c r="S362" s="163">
        <f t="shared" si="1171"/>
        <v>0</v>
      </c>
      <c r="T362" s="164">
        <f t="shared" si="1172"/>
        <v>0</v>
      </c>
      <c r="U362" s="165" t="e">
        <f t="shared" si="1173"/>
        <v>#DIV/0!</v>
      </c>
      <c r="V362" s="87">
        <v>0.13</v>
      </c>
      <c r="W362" s="223" t="s">
        <v>232</v>
      </c>
      <c r="X362" s="23">
        <v>44734</v>
      </c>
      <c r="Y362" s="20" t="s">
        <v>197</v>
      </c>
      <c r="Z362" s="20"/>
      <c r="AA362" s="20"/>
      <c r="AB362" s="167"/>
      <c r="AC362" s="211" t="e">
        <v>#N/A</v>
      </c>
      <c r="AD362" s="211" t="e">
        <v>#N/A</v>
      </c>
      <c r="AE362" s="211" t="e">
        <v>#N/A</v>
      </c>
      <c r="AF362" s="8">
        <v>0</v>
      </c>
      <c r="AG362" s="8">
        <f t="shared" si="1174"/>
        <v>0</v>
      </c>
      <c r="AH362" s="235">
        <v>44900</v>
      </c>
      <c r="AI362" s="8" t="str">
        <f t="shared" si="1175"/>
        <v>2022.11.01</v>
      </c>
      <c r="AJ362" s="235">
        <f t="shared" si="1176"/>
        <v>44895</v>
      </c>
    </row>
    <row r="363" spans="1:36" s="8" customFormat="1" x14ac:dyDescent="0.25">
      <c r="A363" s="207">
        <v>2</v>
      </c>
      <c r="B363" s="92" t="s">
        <v>209</v>
      </c>
      <c r="C363" s="90" t="str">
        <f>VLOOKUP($F363,Admin!$A$16:$E$19,2,FALSE)</f>
        <v>Alkalmazott (ipari) kutatás – Működési költség</v>
      </c>
      <c r="D363" s="160" t="s">
        <v>129</v>
      </c>
      <c r="E363" s="90" t="str">
        <f>VLOOKUP($F363,Admin!$A$16:$E$19,4,FALSE)</f>
        <v>54. Bérköltség - Kutató-fejlesztő munkatárs</v>
      </c>
      <c r="F363" s="90" t="s">
        <v>171</v>
      </c>
      <c r="G363" s="160" t="s">
        <v>174</v>
      </c>
      <c r="H363" s="160" t="s">
        <v>193</v>
      </c>
      <c r="I363" s="90" t="str">
        <f>VLOOKUP($F363,Admin!$A$16:$E$19,5,FALSE)</f>
        <v>K+F munkatárs</v>
      </c>
      <c r="J363" s="160" t="s">
        <v>51</v>
      </c>
      <c r="K363" s="160" t="str">
        <f t="shared" si="1163"/>
        <v>2022.12</v>
      </c>
      <c r="L363" s="91" t="s">
        <v>8</v>
      </c>
      <c r="M363" s="92" t="s">
        <v>78</v>
      </c>
      <c r="N363" s="161">
        <v>512143</v>
      </c>
      <c r="O363" s="162">
        <f t="shared" si="1169"/>
        <v>66579</v>
      </c>
      <c r="P363" s="160">
        <v>174</v>
      </c>
      <c r="Q363" s="236">
        <v>150</v>
      </c>
      <c r="R363" s="229">
        <f t="shared" si="1170"/>
        <v>0.86206896551724133</v>
      </c>
      <c r="S363" s="163">
        <f t="shared" si="1171"/>
        <v>441503</v>
      </c>
      <c r="T363" s="164">
        <f t="shared" si="1172"/>
        <v>57395</v>
      </c>
      <c r="U363" s="165">
        <f t="shared" si="1173"/>
        <v>-8.0796399337668134E-7</v>
      </c>
      <c r="V363" s="87">
        <v>0.13</v>
      </c>
      <c r="W363" s="223" t="s">
        <v>232</v>
      </c>
      <c r="X363" s="23">
        <v>44734</v>
      </c>
      <c r="Y363" s="20" t="s">
        <v>197</v>
      </c>
      <c r="Z363" s="20"/>
      <c r="AA363" s="20"/>
      <c r="AB363" s="167"/>
      <c r="AC363" s="210" t="s">
        <v>246</v>
      </c>
      <c r="AD363" s="210" t="s">
        <v>247</v>
      </c>
      <c r="AE363" s="210" t="s">
        <v>247</v>
      </c>
      <c r="AF363" s="8">
        <v>120</v>
      </c>
      <c r="AG363" s="8">
        <f t="shared" si="1174"/>
        <v>103.45</v>
      </c>
      <c r="AH363" s="235">
        <v>44931</v>
      </c>
      <c r="AI363" s="8" t="str">
        <f t="shared" si="1175"/>
        <v>2022.12.01</v>
      </c>
      <c r="AJ363" s="235">
        <f t="shared" si="1176"/>
        <v>44926</v>
      </c>
    </row>
    <row r="364" spans="1:36" s="8" customFormat="1" x14ac:dyDescent="0.25">
      <c r="A364" s="207">
        <v>2</v>
      </c>
      <c r="B364" s="92" t="s">
        <v>209</v>
      </c>
      <c r="C364" s="90" t="str">
        <f>VLOOKUP($F364,Admin!$A$16:$E$19,2,FALSE)</f>
        <v>Alkalmazott (ipari) kutatás – Működési költség</v>
      </c>
      <c r="D364" s="160" t="s">
        <v>129</v>
      </c>
      <c r="E364" s="90" t="str">
        <f>VLOOKUP($F364,Admin!$A$16:$E$19,4,FALSE)</f>
        <v>54. Bérköltség - Kutató-fejlesztő munkatárs</v>
      </c>
      <c r="F364" s="90" t="s">
        <v>171</v>
      </c>
      <c r="G364" s="160" t="s">
        <v>174</v>
      </c>
      <c r="H364" s="160" t="s">
        <v>193</v>
      </c>
      <c r="I364" s="90" t="str">
        <f>VLOOKUP($F364,Admin!$A$16:$E$19,5,FALSE)</f>
        <v>K+F munkatárs</v>
      </c>
      <c r="J364" s="160" t="s">
        <v>64</v>
      </c>
      <c r="K364" s="160" t="str">
        <f t="shared" ref="K364:K369" si="1177">J364</f>
        <v>2023.01</v>
      </c>
      <c r="L364" s="91" t="s">
        <v>8</v>
      </c>
      <c r="M364" s="92" t="s">
        <v>78</v>
      </c>
      <c r="N364" s="161">
        <v>180000</v>
      </c>
      <c r="O364" s="162">
        <f t="shared" ref="O364" si="1178">ROUND(N364*V364,0)</f>
        <v>23400</v>
      </c>
      <c r="P364" s="160">
        <v>44</v>
      </c>
      <c r="Q364" s="236">
        <v>38</v>
      </c>
      <c r="R364" s="229">
        <f t="shared" ref="R364" si="1179">Q364/P364</f>
        <v>0.86363636363636365</v>
      </c>
      <c r="S364" s="163">
        <f t="shared" ref="S364" si="1180">ROUND(N364*Q364/P364,0)</f>
        <v>155455</v>
      </c>
      <c r="T364" s="164">
        <f t="shared" ref="T364" si="1181">ROUND(S364*V364,0)</f>
        <v>20209</v>
      </c>
      <c r="U364" s="165">
        <f t="shared" ref="U364" si="1182">Q364/P364-S364/N364</f>
        <v>-2.5252525251984181E-6</v>
      </c>
      <c r="V364" s="87">
        <v>0.13</v>
      </c>
      <c r="W364" s="223" t="s">
        <v>232</v>
      </c>
      <c r="X364" s="23">
        <v>44936</v>
      </c>
      <c r="Y364" s="20" t="s">
        <v>197</v>
      </c>
      <c r="Z364" s="20"/>
      <c r="AA364" s="20"/>
      <c r="AB364" s="167"/>
      <c r="AC364" s="210" t="s">
        <v>246</v>
      </c>
      <c r="AD364" s="210">
        <v>0</v>
      </c>
      <c r="AE364" s="210">
        <v>0</v>
      </c>
      <c r="AF364" s="8">
        <v>176</v>
      </c>
      <c r="AG364" s="8">
        <f t="shared" si="1174"/>
        <v>152</v>
      </c>
      <c r="AH364" s="235">
        <v>44960</v>
      </c>
      <c r="AI364" s="8" t="str">
        <f t="shared" si="1175"/>
        <v>2023.01.01</v>
      </c>
      <c r="AJ364" s="235">
        <f t="shared" si="1176"/>
        <v>44957</v>
      </c>
    </row>
    <row r="365" spans="1:36" s="8" customFormat="1" x14ac:dyDescent="0.25">
      <c r="A365" s="207">
        <v>2</v>
      </c>
      <c r="B365" s="92" t="s">
        <v>209</v>
      </c>
      <c r="C365" s="90" t="str">
        <f>VLOOKUP($F365,Admin!$A$16:$E$19,2,FALSE)</f>
        <v>Alkalmazott (ipari) kutatás – Működési költség</v>
      </c>
      <c r="D365" s="160" t="s">
        <v>129</v>
      </c>
      <c r="E365" s="90" t="str">
        <f>VLOOKUP($F365,Admin!$A$16:$E$19,4,FALSE)</f>
        <v>54. Bérköltség - Kutató-fejlesztő munkatárs</v>
      </c>
      <c r="F365" s="90" t="s">
        <v>171</v>
      </c>
      <c r="G365" s="160" t="s">
        <v>174</v>
      </c>
      <c r="H365" s="160" t="s">
        <v>193</v>
      </c>
      <c r="I365" s="90" t="str">
        <f>VLOOKUP($F365,Admin!$A$16:$E$19,5,FALSE)</f>
        <v>K+F munkatárs</v>
      </c>
      <c r="J365" s="160" t="s">
        <v>65</v>
      </c>
      <c r="K365" s="160" t="str">
        <f t="shared" si="1177"/>
        <v>2023.02</v>
      </c>
      <c r="L365" s="91" t="s">
        <v>8</v>
      </c>
      <c r="M365" s="92" t="s">
        <v>78</v>
      </c>
      <c r="N365" s="161">
        <v>180000</v>
      </c>
      <c r="O365" s="162">
        <f t="shared" ref="O365:O369" si="1183">ROUND(N365*V365,0)</f>
        <v>23400</v>
      </c>
      <c r="P365" s="160">
        <v>44</v>
      </c>
      <c r="Q365" s="236">
        <v>38</v>
      </c>
      <c r="R365" s="229">
        <f t="shared" ref="R365:R369" si="1184">Q365/P365</f>
        <v>0.86363636363636365</v>
      </c>
      <c r="S365" s="163">
        <f t="shared" ref="S365:S369" si="1185">ROUND(N365*Q365/P365,0)</f>
        <v>155455</v>
      </c>
      <c r="T365" s="164">
        <f t="shared" ref="T365:T369" si="1186">ROUND(S365*V365,0)</f>
        <v>20209</v>
      </c>
      <c r="U365" s="165">
        <f t="shared" ref="U365:U369" si="1187">Q365/P365-S365/N365</f>
        <v>-2.5252525251984181E-6</v>
      </c>
      <c r="V365" s="87">
        <v>0.13</v>
      </c>
      <c r="W365" s="223" t="s">
        <v>232</v>
      </c>
      <c r="X365" s="23">
        <v>44936</v>
      </c>
      <c r="Y365" s="20" t="s">
        <v>197</v>
      </c>
      <c r="Z365" s="20"/>
      <c r="AA365" s="20"/>
      <c r="AB365" s="167"/>
      <c r="AC365" s="8" t="s">
        <v>246</v>
      </c>
      <c r="AD365" s="8">
        <v>0</v>
      </c>
      <c r="AE365" s="8">
        <v>0</v>
      </c>
      <c r="AF365" s="8">
        <v>160</v>
      </c>
      <c r="AG365" s="8">
        <f t="shared" si="1174"/>
        <v>138.19</v>
      </c>
      <c r="AH365" s="235">
        <v>44988</v>
      </c>
      <c r="AI365" s="8" t="str">
        <f t="shared" si="1175"/>
        <v>2023.02.01</v>
      </c>
      <c r="AJ365" s="235">
        <f t="shared" si="1176"/>
        <v>44985</v>
      </c>
    </row>
    <row r="366" spans="1:36" s="8" customFormat="1" x14ac:dyDescent="0.25">
      <c r="A366" s="207">
        <v>2</v>
      </c>
      <c r="B366" s="92" t="s">
        <v>209</v>
      </c>
      <c r="C366" s="90" t="str">
        <f>VLOOKUP($F366,Admin!$A$16:$E$19,2,FALSE)</f>
        <v>Alkalmazott (ipari) kutatás – Működési költség</v>
      </c>
      <c r="D366" s="160" t="s">
        <v>129</v>
      </c>
      <c r="E366" s="90" t="str">
        <f>VLOOKUP($F366,Admin!$A$16:$E$19,4,FALSE)</f>
        <v>54. Bérköltség - Kutató-fejlesztő munkatárs</v>
      </c>
      <c r="F366" s="90" t="s">
        <v>171</v>
      </c>
      <c r="G366" s="160" t="s">
        <v>174</v>
      </c>
      <c r="H366" s="160" t="s">
        <v>193</v>
      </c>
      <c r="I366" s="90" t="str">
        <f>VLOOKUP($F366,Admin!$A$16:$E$19,5,FALSE)</f>
        <v>K+F munkatárs</v>
      </c>
      <c r="J366" s="160" t="s">
        <v>66</v>
      </c>
      <c r="K366" s="160" t="str">
        <f t="shared" si="1177"/>
        <v>2023.03</v>
      </c>
      <c r="L366" s="91" t="s">
        <v>8</v>
      </c>
      <c r="M366" s="92" t="s">
        <v>78</v>
      </c>
      <c r="N366" s="161">
        <v>180000</v>
      </c>
      <c r="O366" s="162">
        <f t="shared" si="1183"/>
        <v>23400</v>
      </c>
      <c r="P366" s="160">
        <v>44</v>
      </c>
      <c r="Q366" s="236">
        <v>38</v>
      </c>
      <c r="R366" s="229">
        <f t="shared" si="1184"/>
        <v>0.86363636363636365</v>
      </c>
      <c r="S366" s="163">
        <f t="shared" si="1185"/>
        <v>155455</v>
      </c>
      <c r="T366" s="164">
        <f t="shared" si="1186"/>
        <v>20209</v>
      </c>
      <c r="U366" s="165">
        <f t="shared" si="1187"/>
        <v>-2.5252525251984181E-6</v>
      </c>
      <c r="V366" s="87">
        <v>0.13</v>
      </c>
      <c r="W366" s="223" t="s">
        <v>232</v>
      </c>
      <c r="X366" s="23">
        <v>44936</v>
      </c>
      <c r="Y366" s="20" t="s">
        <v>197</v>
      </c>
      <c r="Z366" s="20"/>
      <c r="AA366" s="20"/>
      <c r="AB366" s="167"/>
      <c r="AC366" s="8" t="s">
        <v>246</v>
      </c>
      <c r="AD366" s="8">
        <v>0</v>
      </c>
      <c r="AE366" s="233">
        <v>0</v>
      </c>
      <c r="AF366" s="8">
        <v>176</v>
      </c>
      <c r="AG366" s="8">
        <f t="shared" si="1174"/>
        <v>152</v>
      </c>
      <c r="AH366" s="235">
        <v>45021</v>
      </c>
      <c r="AI366" s="8" t="str">
        <f t="shared" si="1175"/>
        <v>2023.03.01</v>
      </c>
      <c r="AJ366" s="235">
        <f t="shared" si="1176"/>
        <v>45016</v>
      </c>
    </row>
    <row r="367" spans="1:36" s="8" customFormat="1" x14ac:dyDescent="0.25">
      <c r="A367" s="207">
        <v>2</v>
      </c>
      <c r="B367" s="92" t="s">
        <v>209</v>
      </c>
      <c r="C367" s="90" t="str">
        <f>VLOOKUP($F367,Admin!$A$16:$E$19,2,FALSE)</f>
        <v>Alkalmazott (ipari) kutatás – Működési költség</v>
      </c>
      <c r="D367" s="160" t="s">
        <v>129</v>
      </c>
      <c r="E367" s="90" t="str">
        <f>VLOOKUP($F367,Admin!$A$16:$E$19,4,FALSE)</f>
        <v>54. Bérköltség - Kutató-fejlesztő munkatárs</v>
      </c>
      <c r="F367" s="90" t="s">
        <v>171</v>
      </c>
      <c r="G367" s="160" t="s">
        <v>174</v>
      </c>
      <c r="H367" s="160" t="s">
        <v>193</v>
      </c>
      <c r="I367" s="90" t="str">
        <f>VLOOKUP($F367,Admin!$A$16:$E$19,5,FALSE)</f>
        <v>K+F munkatárs</v>
      </c>
      <c r="J367" s="160" t="s">
        <v>67</v>
      </c>
      <c r="K367" s="160" t="str">
        <f t="shared" si="1177"/>
        <v>2023.04</v>
      </c>
      <c r="L367" s="91" t="s">
        <v>8</v>
      </c>
      <c r="M367" s="92" t="s">
        <v>78</v>
      </c>
      <c r="N367" s="161">
        <v>180000</v>
      </c>
      <c r="O367" s="162">
        <f t="shared" si="1183"/>
        <v>23400</v>
      </c>
      <c r="P367" s="160">
        <v>44</v>
      </c>
      <c r="Q367" s="236">
        <v>38</v>
      </c>
      <c r="R367" s="229">
        <f t="shared" si="1184"/>
        <v>0.86363636363636365</v>
      </c>
      <c r="S367" s="163">
        <f t="shared" si="1185"/>
        <v>155455</v>
      </c>
      <c r="T367" s="164">
        <f t="shared" si="1186"/>
        <v>20209</v>
      </c>
      <c r="U367" s="165">
        <f t="shared" si="1187"/>
        <v>-2.5252525251984181E-6</v>
      </c>
      <c r="V367" s="87">
        <v>0.13</v>
      </c>
      <c r="W367" s="223" t="s">
        <v>232</v>
      </c>
      <c r="X367" s="23">
        <v>44936</v>
      </c>
      <c r="Y367" s="20" t="s">
        <v>197</v>
      </c>
      <c r="Z367" s="20"/>
      <c r="AA367" s="20"/>
      <c r="AB367" s="167"/>
      <c r="AC367" s="8" t="s">
        <v>246</v>
      </c>
      <c r="AD367" s="8">
        <v>0</v>
      </c>
      <c r="AE367" s="8">
        <v>0</v>
      </c>
      <c r="AF367" s="8">
        <v>144</v>
      </c>
      <c r="AG367" s="8">
        <f t="shared" si="1174"/>
        <v>124.37</v>
      </c>
      <c r="AH367" s="235">
        <v>45051</v>
      </c>
      <c r="AI367" s="8" t="str">
        <f t="shared" si="1175"/>
        <v>2023.04.01</v>
      </c>
      <c r="AJ367" s="235">
        <f t="shared" si="1176"/>
        <v>45046</v>
      </c>
    </row>
    <row r="368" spans="1:36" s="8" customFormat="1" x14ac:dyDescent="0.25">
      <c r="A368" s="207">
        <v>2</v>
      </c>
      <c r="B368" s="92" t="s">
        <v>209</v>
      </c>
      <c r="C368" s="90" t="str">
        <f>VLOOKUP($F368,Admin!$A$16:$E$19,2,FALSE)</f>
        <v>Alkalmazott (ipari) kutatás – Működési költség</v>
      </c>
      <c r="D368" s="160" t="s">
        <v>129</v>
      </c>
      <c r="E368" s="90" t="str">
        <f>VLOOKUP($F368,Admin!$A$16:$E$19,4,FALSE)</f>
        <v>54. Bérköltség - Kutató-fejlesztő munkatárs</v>
      </c>
      <c r="F368" s="90" t="s">
        <v>171</v>
      </c>
      <c r="G368" s="160" t="s">
        <v>174</v>
      </c>
      <c r="H368" s="160" t="s">
        <v>193</v>
      </c>
      <c r="I368" s="90" t="str">
        <f>VLOOKUP($F368,Admin!$A$16:$E$19,5,FALSE)</f>
        <v>K+F munkatárs</v>
      </c>
      <c r="J368" s="160" t="s">
        <v>68</v>
      </c>
      <c r="K368" s="160" t="str">
        <f t="shared" si="1177"/>
        <v>2023.05</v>
      </c>
      <c r="L368" s="91" t="s">
        <v>8</v>
      </c>
      <c r="M368" s="92" t="s">
        <v>78</v>
      </c>
      <c r="N368" s="161">
        <v>180000</v>
      </c>
      <c r="O368" s="162">
        <f t="shared" si="1183"/>
        <v>23400</v>
      </c>
      <c r="P368" s="160">
        <v>44</v>
      </c>
      <c r="Q368" s="236">
        <v>38</v>
      </c>
      <c r="R368" s="229">
        <f t="shared" si="1184"/>
        <v>0.86363636363636365</v>
      </c>
      <c r="S368" s="163">
        <f t="shared" si="1185"/>
        <v>155455</v>
      </c>
      <c r="T368" s="164">
        <f t="shared" si="1186"/>
        <v>20209</v>
      </c>
      <c r="U368" s="165">
        <f t="shared" si="1187"/>
        <v>-2.5252525251984181E-6</v>
      </c>
      <c r="V368" s="87">
        <v>0.13</v>
      </c>
      <c r="W368" s="223" t="s">
        <v>232</v>
      </c>
      <c r="X368" s="23">
        <v>44936</v>
      </c>
      <c r="Y368" s="20" t="s">
        <v>197</v>
      </c>
      <c r="Z368" s="20"/>
      <c r="AA368" s="20"/>
      <c r="AB368" s="167"/>
      <c r="AC368" s="8" t="s">
        <v>246</v>
      </c>
      <c r="AD368" s="8">
        <v>0</v>
      </c>
      <c r="AE368" s="8">
        <v>0</v>
      </c>
      <c r="AF368" s="8">
        <v>168</v>
      </c>
      <c r="AG368" s="8">
        <f t="shared" si="1174"/>
        <v>145.1</v>
      </c>
      <c r="AH368" s="235">
        <v>45082</v>
      </c>
      <c r="AI368" s="8" t="str">
        <f t="shared" si="1175"/>
        <v>2023.05.01</v>
      </c>
      <c r="AJ368" s="235">
        <f t="shared" si="1176"/>
        <v>45077</v>
      </c>
    </row>
    <row r="369" spans="1:36" s="8" customFormat="1" x14ac:dyDescent="0.25">
      <c r="A369" s="207">
        <v>2</v>
      </c>
      <c r="B369" s="92" t="s">
        <v>209</v>
      </c>
      <c r="C369" s="90" t="str">
        <f>VLOOKUP($F369,Admin!$A$16:$E$19,2,FALSE)</f>
        <v>Alkalmazott (ipari) kutatás – Működési költség</v>
      </c>
      <c r="D369" s="160" t="s">
        <v>129</v>
      </c>
      <c r="E369" s="90" t="str">
        <f>VLOOKUP($F369,Admin!$A$16:$E$19,4,FALSE)</f>
        <v>54. Bérköltség - Kutató-fejlesztő munkatárs</v>
      </c>
      <c r="F369" s="90" t="s">
        <v>171</v>
      </c>
      <c r="G369" s="160" t="s">
        <v>174</v>
      </c>
      <c r="H369" s="160" t="s">
        <v>193</v>
      </c>
      <c r="I369" s="90" t="str">
        <f>VLOOKUP($F369,Admin!$A$16:$E$19,5,FALSE)</f>
        <v>K+F munkatárs</v>
      </c>
      <c r="J369" s="160" t="s">
        <v>69</v>
      </c>
      <c r="K369" s="160" t="str">
        <f t="shared" si="1177"/>
        <v>2023.06</v>
      </c>
      <c r="L369" s="91" t="s">
        <v>8</v>
      </c>
      <c r="M369" s="92" t="s">
        <v>78</v>
      </c>
      <c r="N369" s="161">
        <v>180000</v>
      </c>
      <c r="O369" s="162">
        <f t="shared" si="1183"/>
        <v>23400</v>
      </c>
      <c r="P369" s="160">
        <v>44</v>
      </c>
      <c r="Q369" s="236">
        <v>38</v>
      </c>
      <c r="R369" s="229">
        <f t="shared" si="1184"/>
        <v>0.86363636363636365</v>
      </c>
      <c r="S369" s="163">
        <f t="shared" si="1185"/>
        <v>155455</v>
      </c>
      <c r="T369" s="164">
        <f t="shared" si="1186"/>
        <v>20209</v>
      </c>
      <c r="U369" s="165">
        <f t="shared" si="1187"/>
        <v>-2.5252525251984181E-6</v>
      </c>
      <c r="V369" s="87">
        <v>0.13</v>
      </c>
      <c r="W369" s="223" t="s">
        <v>232</v>
      </c>
      <c r="X369" s="23">
        <v>44936</v>
      </c>
      <c r="Y369" s="20" t="s">
        <v>197</v>
      </c>
      <c r="Z369" s="20"/>
      <c r="AA369" s="20"/>
      <c r="AB369" s="167"/>
      <c r="AC369" s="8" t="s">
        <v>246</v>
      </c>
      <c r="AD369" s="8">
        <v>0</v>
      </c>
      <c r="AE369" s="8">
        <v>0</v>
      </c>
      <c r="AF369" s="8">
        <v>176</v>
      </c>
      <c r="AG369" s="8">
        <f t="shared" si="1174"/>
        <v>152</v>
      </c>
      <c r="AH369" s="235">
        <v>45112</v>
      </c>
      <c r="AI369" s="8" t="str">
        <f t="shared" si="1175"/>
        <v>2023.06.01</v>
      </c>
      <c r="AJ369" s="235">
        <f t="shared" si="1176"/>
        <v>45107</v>
      </c>
    </row>
    <row r="370" spans="1:36" s="8" customFormat="1" x14ac:dyDescent="0.25">
      <c r="A370" s="207">
        <v>2</v>
      </c>
      <c r="B370" s="92" t="s">
        <v>209</v>
      </c>
      <c r="C370" s="90" t="str">
        <f>VLOOKUP($F370,Admin!$A$16:$E$19,2,FALSE)</f>
        <v>Alkalmazott (ipari) kutatás – Működési költség</v>
      </c>
      <c r="D370" s="160" t="s">
        <v>129</v>
      </c>
      <c r="E370" s="90" t="str">
        <f>VLOOKUP($F370,Admin!$A$16:$E$19,4,FALSE)</f>
        <v>54. Bérköltség - Kutató-fejlesztő munkatárs</v>
      </c>
      <c r="F370" s="90" t="s">
        <v>171</v>
      </c>
      <c r="G370" s="160" t="s">
        <v>174</v>
      </c>
      <c r="H370" s="160" t="s">
        <v>193</v>
      </c>
      <c r="I370" s="90" t="str">
        <f>VLOOKUP($F370,Admin!$A$16:$E$19,5,FALSE)</f>
        <v>K+F munkatárs</v>
      </c>
      <c r="J370" s="160" t="s">
        <v>70</v>
      </c>
      <c r="K370" s="160" t="str">
        <f t="shared" ref="K370:K374" si="1188">J370</f>
        <v>2023.07</v>
      </c>
      <c r="L370" s="91" t="s">
        <v>8</v>
      </c>
      <c r="M370" s="92" t="s">
        <v>78</v>
      </c>
      <c r="N370" s="161">
        <v>180000</v>
      </c>
      <c r="O370" s="162">
        <f t="shared" ref="O370" si="1189">ROUND(N370*V370,0)</f>
        <v>23400</v>
      </c>
      <c r="P370" s="160">
        <v>44</v>
      </c>
      <c r="Q370" s="236">
        <v>38</v>
      </c>
      <c r="R370" s="229">
        <f t="shared" ref="R370" si="1190">Q370/P370</f>
        <v>0.86363636363636365</v>
      </c>
      <c r="S370" s="163">
        <f t="shared" ref="S370" si="1191">ROUND(N370*Q370/P370,0)</f>
        <v>155455</v>
      </c>
      <c r="T370" s="164">
        <f t="shared" ref="T370" si="1192">ROUND(S370*V370,0)</f>
        <v>20209</v>
      </c>
      <c r="U370" s="165">
        <f t="shared" ref="U370" si="1193">Q370/P370-S370/N370</f>
        <v>-2.5252525251984181E-6</v>
      </c>
      <c r="V370" s="87">
        <v>0.13</v>
      </c>
      <c r="W370" s="223" t="s">
        <v>232</v>
      </c>
      <c r="X370" s="23">
        <v>45082</v>
      </c>
      <c r="Y370" s="20" t="s">
        <v>197</v>
      </c>
      <c r="Z370" s="20"/>
      <c r="AA370" s="20"/>
      <c r="AB370" s="167"/>
      <c r="AC370" s="8" t="s">
        <v>246</v>
      </c>
      <c r="AD370" s="8">
        <v>0</v>
      </c>
      <c r="AE370" s="8">
        <v>0</v>
      </c>
      <c r="AF370" s="8">
        <v>168</v>
      </c>
      <c r="AG370" s="8">
        <f t="shared" si="1174"/>
        <v>145.1</v>
      </c>
      <c r="AH370" s="235">
        <v>45142</v>
      </c>
      <c r="AI370" s="8" t="str">
        <f t="shared" si="1175"/>
        <v>2023.07.01</v>
      </c>
      <c r="AJ370" s="235">
        <f t="shared" si="1176"/>
        <v>45138</v>
      </c>
    </row>
    <row r="371" spans="1:36" s="8" customFormat="1" x14ac:dyDescent="0.25">
      <c r="A371" s="207">
        <v>2</v>
      </c>
      <c r="B371" s="92" t="s">
        <v>209</v>
      </c>
      <c r="C371" s="90" t="str">
        <f>VLOOKUP($F371,Admin!$A$16:$E$19,2,FALSE)</f>
        <v>Alkalmazott (ipari) kutatás – Működési költség</v>
      </c>
      <c r="D371" s="160" t="s">
        <v>129</v>
      </c>
      <c r="E371" s="90" t="str">
        <f>VLOOKUP($F371,Admin!$A$16:$E$19,4,FALSE)</f>
        <v>54. Bérköltség - Kutató-fejlesztő munkatárs</v>
      </c>
      <c r="F371" s="90" t="s">
        <v>171</v>
      </c>
      <c r="G371" s="160" t="s">
        <v>174</v>
      </c>
      <c r="H371" s="160" t="s">
        <v>193</v>
      </c>
      <c r="I371" s="90" t="str">
        <f>VLOOKUP($F371,Admin!$A$16:$E$19,5,FALSE)</f>
        <v>K+F munkatárs</v>
      </c>
      <c r="J371" s="160" t="s">
        <v>71</v>
      </c>
      <c r="K371" s="160" t="str">
        <f t="shared" si="1188"/>
        <v>2023.08</v>
      </c>
      <c r="L371" s="91" t="s">
        <v>8</v>
      </c>
      <c r="M371" s="92" t="s">
        <v>78</v>
      </c>
      <c r="N371" s="161">
        <v>180000</v>
      </c>
      <c r="O371" s="162">
        <f t="shared" ref="O371:O372" si="1194">ROUND(N371*V371,0)</f>
        <v>23400</v>
      </c>
      <c r="P371" s="160">
        <v>44</v>
      </c>
      <c r="Q371" s="236">
        <v>38</v>
      </c>
      <c r="R371" s="229">
        <f t="shared" ref="R371:R372" si="1195">Q371/P371</f>
        <v>0.86363636363636365</v>
      </c>
      <c r="S371" s="163">
        <f t="shared" ref="S371:S372" si="1196">ROUND(N371*Q371/P371,0)</f>
        <v>155455</v>
      </c>
      <c r="T371" s="164">
        <f t="shared" ref="T371:T372" si="1197">ROUND(S371*V371,0)</f>
        <v>20209</v>
      </c>
      <c r="U371" s="165">
        <f t="shared" ref="U371:U372" si="1198">Q371/P371-S371/N371</f>
        <v>-2.5252525251984181E-6</v>
      </c>
      <c r="V371" s="87">
        <v>0.13</v>
      </c>
      <c r="W371" s="223" t="s">
        <v>232</v>
      </c>
      <c r="X371" s="23">
        <v>45082</v>
      </c>
      <c r="Y371" s="20" t="s">
        <v>197</v>
      </c>
      <c r="Z371" s="20"/>
      <c r="AA371" s="20"/>
      <c r="AB371" s="167"/>
      <c r="AC371" s="8" t="s">
        <v>246</v>
      </c>
      <c r="AD371" s="8">
        <v>0</v>
      </c>
      <c r="AE371" s="8">
        <v>0</v>
      </c>
      <c r="AF371" s="8">
        <v>184</v>
      </c>
      <c r="AG371" s="8">
        <f t="shared" si="1174"/>
        <v>158.91</v>
      </c>
      <c r="AH371" s="235">
        <v>45174</v>
      </c>
      <c r="AI371" s="8" t="str">
        <f t="shared" si="1175"/>
        <v>2023.08.01</v>
      </c>
      <c r="AJ371" s="235">
        <f t="shared" si="1176"/>
        <v>45169</v>
      </c>
    </row>
    <row r="372" spans="1:36" s="8" customFormat="1" x14ac:dyDescent="0.25">
      <c r="A372" s="207">
        <v>2</v>
      </c>
      <c r="B372" s="92" t="s">
        <v>209</v>
      </c>
      <c r="C372" s="90" t="str">
        <f>VLOOKUP($F372,Admin!$A$16:$E$19,2,FALSE)</f>
        <v>Alkalmazott (ipari) kutatás – Működési költség</v>
      </c>
      <c r="D372" s="160" t="s">
        <v>129</v>
      </c>
      <c r="E372" s="90" t="str">
        <f>VLOOKUP($F372,Admin!$A$16:$E$19,4,FALSE)</f>
        <v>54. Bérköltség - Kutató-fejlesztő munkatárs</v>
      </c>
      <c r="F372" s="90" t="s">
        <v>171</v>
      </c>
      <c r="G372" s="160" t="s">
        <v>174</v>
      </c>
      <c r="H372" s="160" t="s">
        <v>193</v>
      </c>
      <c r="I372" s="90" t="str">
        <f>VLOOKUP($F372,Admin!$A$16:$E$19,5,FALSE)</f>
        <v>K+F munkatárs</v>
      </c>
      <c r="J372" s="160" t="s">
        <v>72</v>
      </c>
      <c r="K372" s="160" t="str">
        <f t="shared" si="1188"/>
        <v>2023.09</v>
      </c>
      <c r="L372" s="91" t="s">
        <v>8</v>
      </c>
      <c r="M372" s="92" t="s">
        <v>78</v>
      </c>
      <c r="N372" s="161">
        <v>540000</v>
      </c>
      <c r="O372" s="162">
        <f t="shared" si="1194"/>
        <v>70200</v>
      </c>
      <c r="P372" s="160">
        <v>130</v>
      </c>
      <c r="Q372" s="236">
        <v>112</v>
      </c>
      <c r="R372" s="229">
        <f t="shared" si="1195"/>
        <v>0.86153846153846159</v>
      </c>
      <c r="S372" s="163">
        <f t="shared" si="1196"/>
        <v>465231</v>
      </c>
      <c r="T372" s="164">
        <f t="shared" si="1197"/>
        <v>60480</v>
      </c>
      <c r="U372" s="165">
        <f t="shared" si="1198"/>
        <v>-4.2735042726782524E-7</v>
      </c>
      <c r="V372" s="87">
        <v>0.13</v>
      </c>
      <c r="W372" s="223" t="s">
        <v>232</v>
      </c>
      <c r="X372" s="23">
        <v>45166</v>
      </c>
      <c r="Y372" s="20" t="s">
        <v>197</v>
      </c>
      <c r="Z372" s="20"/>
      <c r="AA372" s="20"/>
      <c r="AB372" s="167"/>
      <c r="AC372" s="8" t="s">
        <v>246</v>
      </c>
      <c r="AD372" s="8">
        <v>0</v>
      </c>
      <c r="AE372" s="8">
        <v>0</v>
      </c>
      <c r="AF372" s="8">
        <v>168</v>
      </c>
      <c r="AG372" s="8">
        <f t="shared" si="1174"/>
        <v>144.73999999999998</v>
      </c>
      <c r="AH372" s="235">
        <v>45204</v>
      </c>
      <c r="AI372" s="8" t="str">
        <f t="shared" si="1175"/>
        <v>2023.09.01</v>
      </c>
      <c r="AJ372" s="235">
        <f t="shared" si="1176"/>
        <v>45199</v>
      </c>
    </row>
    <row r="373" spans="1:36" s="8" customFormat="1" x14ac:dyDescent="0.25">
      <c r="A373" s="188"/>
      <c r="B373" s="92" t="s">
        <v>209</v>
      </c>
      <c r="C373" s="90" t="str">
        <f>VLOOKUP($F373,Admin!$A$16:$E$19,2,FALSE)</f>
        <v>Alkalmazott (ipari) kutatás – Működési költség</v>
      </c>
      <c r="D373" s="160" t="s">
        <v>129</v>
      </c>
      <c r="E373" s="90" t="str">
        <f>VLOOKUP($F373,Admin!$A$16:$E$19,4,FALSE)</f>
        <v>54. Bérköltség - Kutató-fejlesztő munkatárs</v>
      </c>
      <c r="F373" s="90" t="s">
        <v>171</v>
      </c>
      <c r="G373" s="160" t="s">
        <v>174</v>
      </c>
      <c r="H373" s="160" t="s">
        <v>193</v>
      </c>
      <c r="I373" s="90" t="str">
        <f>VLOOKUP($F373,Admin!$A$16:$E$19,5,FALSE)</f>
        <v>K+F munkatárs</v>
      </c>
      <c r="J373" s="160" t="s">
        <v>73</v>
      </c>
      <c r="K373" s="160" t="str">
        <f t="shared" si="1188"/>
        <v>2023.10</v>
      </c>
      <c r="L373" s="91" t="s">
        <v>8</v>
      </c>
      <c r="M373" s="92" t="s">
        <v>78</v>
      </c>
      <c r="N373" s="161">
        <v>540000</v>
      </c>
      <c r="O373" s="162">
        <f t="shared" ref="O373:O375" si="1199">ROUND(N373*V373,0)</f>
        <v>70200</v>
      </c>
      <c r="P373" s="160">
        <v>130</v>
      </c>
      <c r="Q373" s="236">
        <v>112</v>
      </c>
      <c r="R373" s="229">
        <f t="shared" ref="R373:R375" si="1200">Q373/P373</f>
        <v>0.86153846153846159</v>
      </c>
      <c r="S373" s="163">
        <f t="shared" ref="S373:S375" si="1201">ROUND(N373*Q373/P373,0)</f>
        <v>465231</v>
      </c>
      <c r="T373" s="164">
        <f t="shared" ref="T373:T375" si="1202">ROUND(S373*V373,0)</f>
        <v>60480</v>
      </c>
      <c r="U373" s="165">
        <f t="shared" ref="U373:U375" si="1203">Q373/P373-S373/N373</f>
        <v>-4.2735042726782524E-7</v>
      </c>
      <c r="V373" s="87">
        <v>0.13</v>
      </c>
      <c r="W373" s="223" t="s">
        <v>232</v>
      </c>
      <c r="X373" s="23">
        <v>45166</v>
      </c>
      <c r="Y373" s="20" t="s">
        <v>197</v>
      </c>
      <c r="Z373" s="20"/>
      <c r="AA373" s="20"/>
      <c r="AB373" s="167"/>
      <c r="AC373" s="8" t="s">
        <v>246</v>
      </c>
      <c r="AD373" s="8">
        <v>0</v>
      </c>
      <c r="AE373" s="8">
        <v>0</v>
      </c>
    </row>
    <row r="374" spans="1:36" s="8" customFormat="1" x14ac:dyDescent="0.25">
      <c r="A374" s="188"/>
      <c r="B374" s="92" t="s">
        <v>209</v>
      </c>
      <c r="C374" s="90" t="str">
        <f>VLOOKUP($F374,Admin!$A$16:$E$19,2,FALSE)</f>
        <v>Alkalmazott (ipari) kutatás – Működési költség</v>
      </c>
      <c r="D374" s="160" t="s">
        <v>129</v>
      </c>
      <c r="E374" s="90" t="str">
        <f>VLOOKUP($F374,Admin!$A$16:$E$19,4,FALSE)</f>
        <v>54. Bérköltség - Kutató-fejlesztő munkatárs</v>
      </c>
      <c r="F374" s="90" t="s">
        <v>171</v>
      </c>
      <c r="G374" s="160" t="s">
        <v>174</v>
      </c>
      <c r="H374" s="160" t="s">
        <v>193</v>
      </c>
      <c r="I374" s="90" t="str">
        <f>VLOOKUP($F374,Admin!$A$16:$E$19,5,FALSE)</f>
        <v>K+F munkatárs</v>
      </c>
      <c r="J374" s="160" t="s">
        <v>74</v>
      </c>
      <c r="K374" s="160" t="str">
        <f t="shared" si="1188"/>
        <v>2023.11</v>
      </c>
      <c r="L374" s="91" t="s">
        <v>8</v>
      </c>
      <c r="M374" s="92" t="s">
        <v>78</v>
      </c>
      <c r="N374" s="161">
        <v>540000</v>
      </c>
      <c r="O374" s="162">
        <f t="shared" si="1199"/>
        <v>70200</v>
      </c>
      <c r="P374" s="160">
        <v>130</v>
      </c>
      <c r="Q374" s="236">
        <v>112</v>
      </c>
      <c r="R374" s="229">
        <f t="shared" si="1200"/>
        <v>0.86153846153846159</v>
      </c>
      <c r="S374" s="163">
        <f t="shared" si="1201"/>
        <v>465231</v>
      </c>
      <c r="T374" s="164">
        <f t="shared" si="1202"/>
        <v>60480</v>
      </c>
      <c r="U374" s="165">
        <f t="shared" si="1203"/>
        <v>-4.2735042726782524E-7</v>
      </c>
      <c r="V374" s="87">
        <v>0.13</v>
      </c>
      <c r="W374" s="223" t="s">
        <v>232</v>
      </c>
      <c r="X374" s="23">
        <v>45166</v>
      </c>
      <c r="Y374" s="20" t="s">
        <v>197</v>
      </c>
      <c r="Z374" s="20"/>
      <c r="AA374" s="20"/>
      <c r="AB374" s="167"/>
      <c r="AC374" s="8" t="s">
        <v>246</v>
      </c>
      <c r="AD374" s="8">
        <v>0</v>
      </c>
      <c r="AE374" s="8">
        <v>0</v>
      </c>
    </row>
    <row r="375" spans="1:36" s="8" customFormat="1" x14ac:dyDescent="0.25">
      <c r="A375" s="188"/>
      <c r="B375" s="92" t="s">
        <v>209</v>
      </c>
      <c r="C375" s="90" t="str">
        <f>VLOOKUP($F375,Admin!$A$16:$E$19,2,FALSE)</f>
        <v>Alkalmazott (ipari) kutatás – Működési költség</v>
      </c>
      <c r="D375" s="160" t="s">
        <v>129</v>
      </c>
      <c r="E375" s="90" t="str">
        <f>VLOOKUP($F375,Admin!$A$16:$E$19,4,FALSE)</f>
        <v>54. Bérköltség - Kutató-fejlesztő munkatárs</v>
      </c>
      <c r="F375" s="90" t="s">
        <v>171</v>
      </c>
      <c r="G375" s="160" t="s">
        <v>174</v>
      </c>
      <c r="H375" s="160" t="s">
        <v>193</v>
      </c>
      <c r="I375" s="90" t="str">
        <f>VLOOKUP($F375,Admin!$A$16:$E$19,5,FALSE)</f>
        <v>K+F munkatárs</v>
      </c>
      <c r="J375" s="160" t="s">
        <v>139</v>
      </c>
      <c r="K375" s="160" t="str">
        <f t="shared" ref="K375" si="1204">J375</f>
        <v>2023.12</v>
      </c>
      <c r="L375" s="91" t="s">
        <v>8</v>
      </c>
      <c r="M375" s="92" t="s">
        <v>78</v>
      </c>
      <c r="N375" s="161">
        <v>539999</v>
      </c>
      <c r="O375" s="162">
        <f t="shared" si="1199"/>
        <v>70200</v>
      </c>
      <c r="P375" s="160">
        <v>130</v>
      </c>
      <c r="Q375" s="236">
        <v>112</v>
      </c>
      <c r="R375" s="229">
        <f t="shared" si="1200"/>
        <v>0.86153846153846159</v>
      </c>
      <c r="S375" s="163">
        <f t="shared" si="1201"/>
        <v>465230</v>
      </c>
      <c r="T375" s="164">
        <f t="shared" si="1202"/>
        <v>60480</v>
      </c>
      <c r="U375" s="165">
        <f t="shared" si="1203"/>
        <v>-1.7094048743171442E-7</v>
      </c>
      <c r="V375" s="87">
        <v>0.13</v>
      </c>
      <c r="W375" s="223" t="s">
        <v>232</v>
      </c>
      <c r="X375" s="23">
        <v>45166</v>
      </c>
      <c r="Y375" s="20" t="s">
        <v>197</v>
      </c>
      <c r="Z375" s="20"/>
      <c r="AA375" s="20"/>
      <c r="AB375" s="167"/>
      <c r="AC375" s="8" t="s">
        <v>246</v>
      </c>
      <c r="AD375" s="8">
        <v>0</v>
      </c>
      <c r="AE375" s="8">
        <v>0</v>
      </c>
    </row>
    <row r="376" spans="1:36" s="8" customFormat="1" x14ac:dyDescent="0.25">
      <c r="A376" s="188"/>
      <c r="B376" s="92" t="s">
        <v>209</v>
      </c>
      <c r="C376" s="90" t="str">
        <f>VLOOKUP($F376,Admin!$A$16:$E$19,2,FALSE)</f>
        <v>Alkalmazott (ipari) kutatás – Működési költség</v>
      </c>
      <c r="D376" s="160" t="s">
        <v>129</v>
      </c>
      <c r="E376" s="90" t="str">
        <f>VLOOKUP($F376,Admin!$A$16:$E$19,4,FALSE)</f>
        <v>54. Bérköltség - Kutató-fejlesztő munkatárs</v>
      </c>
      <c r="F376" s="90" t="s">
        <v>171</v>
      </c>
      <c r="G376" s="160" t="s">
        <v>174</v>
      </c>
      <c r="H376" s="160" t="s">
        <v>193</v>
      </c>
      <c r="I376" s="90" t="str">
        <f>VLOOKUP($F376,Admin!$A$16:$E$19,5,FALSE)</f>
        <v>K+F munkatárs</v>
      </c>
      <c r="J376" s="160" t="s">
        <v>140</v>
      </c>
      <c r="K376" s="160" t="str">
        <f t="shared" ref="K376:K380" si="1205">J376</f>
        <v>2024.01</v>
      </c>
      <c r="L376" s="91" t="s">
        <v>8</v>
      </c>
      <c r="M376" s="92" t="s">
        <v>78</v>
      </c>
      <c r="N376" s="161">
        <v>565000</v>
      </c>
      <c r="O376" s="162">
        <f t="shared" ref="O376" si="1206">ROUND(N376*V376,0)</f>
        <v>73450</v>
      </c>
      <c r="P376" s="160">
        <v>130</v>
      </c>
      <c r="Q376" s="236">
        <v>111.8</v>
      </c>
      <c r="R376" s="229">
        <f t="shared" ref="R376" si="1207">Q376/P376</f>
        <v>0.86</v>
      </c>
      <c r="S376" s="163">
        <f t="shared" ref="S376" si="1208">ROUND(N376*Q376/P376,0)</f>
        <v>485900</v>
      </c>
      <c r="T376" s="164">
        <f t="shared" ref="T376" si="1209">ROUND(S376*V376,0)</f>
        <v>63167</v>
      </c>
      <c r="U376" s="165">
        <f t="shared" ref="U376" si="1210">Q376/P376-S376/N376</f>
        <v>0</v>
      </c>
      <c r="V376" s="87">
        <v>0.13</v>
      </c>
      <c r="W376" s="223" t="s">
        <v>232</v>
      </c>
      <c r="X376" s="23">
        <v>45307</v>
      </c>
      <c r="Y376" s="20" t="s">
        <v>197</v>
      </c>
      <c r="Z376" s="20"/>
      <c r="AA376" s="20"/>
      <c r="AB376" s="167"/>
      <c r="AC376" s="8" t="s">
        <v>246</v>
      </c>
      <c r="AD376" s="243">
        <v>0</v>
      </c>
      <c r="AE376" s="243">
        <v>0</v>
      </c>
    </row>
    <row r="377" spans="1:36" s="8" customFormat="1" x14ac:dyDescent="0.25">
      <c r="A377" s="188"/>
      <c r="B377" s="92" t="s">
        <v>209</v>
      </c>
      <c r="C377" s="90" t="str">
        <f>VLOOKUP($F377,Admin!$A$16:$E$19,2,FALSE)</f>
        <v>Alkalmazott (ipari) kutatás – Működési költség</v>
      </c>
      <c r="D377" s="160" t="s">
        <v>129</v>
      </c>
      <c r="E377" s="90" t="str">
        <f>VLOOKUP($F377,Admin!$A$16:$E$19,4,FALSE)</f>
        <v>54. Bérköltség - Kutató-fejlesztő munkatárs</v>
      </c>
      <c r="F377" s="90" t="s">
        <v>171</v>
      </c>
      <c r="G377" s="160" t="s">
        <v>174</v>
      </c>
      <c r="H377" s="160" t="s">
        <v>193</v>
      </c>
      <c r="I377" s="90" t="str">
        <f>VLOOKUP($F377,Admin!$A$16:$E$19,5,FALSE)</f>
        <v>K+F munkatárs</v>
      </c>
      <c r="J377" s="160" t="s">
        <v>141</v>
      </c>
      <c r="K377" s="160" t="str">
        <f t="shared" si="1205"/>
        <v>2024.02</v>
      </c>
      <c r="L377" s="91" t="s">
        <v>8</v>
      </c>
      <c r="M377" s="92" t="s">
        <v>78</v>
      </c>
      <c r="N377" s="161">
        <v>565000</v>
      </c>
      <c r="O377" s="162">
        <f t="shared" ref="O377:O380" si="1211">ROUND(N377*V377,0)</f>
        <v>73450</v>
      </c>
      <c r="P377" s="160">
        <v>130</v>
      </c>
      <c r="Q377" s="236">
        <v>111.8</v>
      </c>
      <c r="R377" s="229">
        <f t="shared" ref="R377:R380" si="1212">Q377/P377</f>
        <v>0.86</v>
      </c>
      <c r="S377" s="163">
        <f t="shared" ref="S377:S380" si="1213">ROUND(N377*Q377/P377,0)</f>
        <v>485900</v>
      </c>
      <c r="T377" s="164">
        <f t="shared" ref="T377:T380" si="1214">ROUND(S377*V377,0)</f>
        <v>63167</v>
      </c>
      <c r="U377" s="165">
        <f t="shared" ref="U377:U380" si="1215">Q377/P377-S377/N377</f>
        <v>0</v>
      </c>
      <c r="V377" s="87">
        <v>0.13</v>
      </c>
      <c r="W377" s="223" t="s">
        <v>232</v>
      </c>
      <c r="X377" s="23">
        <v>45307</v>
      </c>
      <c r="Y377" s="20" t="s">
        <v>197</v>
      </c>
      <c r="Z377" s="20"/>
      <c r="AA377" s="20"/>
      <c r="AB377" s="167"/>
      <c r="AC377" s="8" t="s">
        <v>246</v>
      </c>
      <c r="AD377" s="243">
        <v>0</v>
      </c>
      <c r="AE377" s="243">
        <v>0</v>
      </c>
    </row>
    <row r="378" spans="1:36" s="8" customFormat="1" x14ac:dyDescent="0.25">
      <c r="A378" s="188"/>
      <c r="B378" s="92" t="s">
        <v>209</v>
      </c>
      <c r="C378" s="90" t="str">
        <f>VLOOKUP($F378,Admin!$A$16:$E$19,2,FALSE)</f>
        <v>Alkalmazott (ipari) kutatás – Működési költség</v>
      </c>
      <c r="D378" s="160" t="s">
        <v>129</v>
      </c>
      <c r="E378" s="90" t="str">
        <f>VLOOKUP($F378,Admin!$A$16:$E$19,4,FALSE)</f>
        <v>54. Bérköltség - Kutató-fejlesztő munkatárs</v>
      </c>
      <c r="F378" s="90" t="s">
        <v>171</v>
      </c>
      <c r="G378" s="160" t="s">
        <v>174</v>
      </c>
      <c r="H378" s="160" t="s">
        <v>193</v>
      </c>
      <c r="I378" s="90" t="str">
        <f>VLOOKUP($F378,Admin!$A$16:$E$19,5,FALSE)</f>
        <v>K+F munkatárs</v>
      </c>
      <c r="J378" s="160" t="s">
        <v>142</v>
      </c>
      <c r="K378" s="160" t="str">
        <f t="shared" si="1205"/>
        <v>2024.03</v>
      </c>
      <c r="L378" s="91" t="s">
        <v>8</v>
      </c>
      <c r="M378" s="92" t="s">
        <v>78</v>
      </c>
      <c r="N378" s="161">
        <v>564999</v>
      </c>
      <c r="O378" s="162">
        <f t="shared" si="1211"/>
        <v>73450</v>
      </c>
      <c r="P378" s="160">
        <v>130</v>
      </c>
      <c r="Q378" s="236">
        <v>111.8</v>
      </c>
      <c r="R378" s="229">
        <f t="shared" si="1212"/>
        <v>0.86</v>
      </c>
      <c r="S378" s="163">
        <f t="shared" si="1213"/>
        <v>485899</v>
      </c>
      <c r="T378" s="164">
        <f t="shared" si="1214"/>
        <v>63167</v>
      </c>
      <c r="U378" s="165">
        <f t="shared" si="1215"/>
        <v>2.4778804919023401E-7</v>
      </c>
      <c r="V378" s="87">
        <v>0.13</v>
      </c>
      <c r="W378" s="223" t="s">
        <v>232</v>
      </c>
      <c r="X378" s="23">
        <v>45307</v>
      </c>
      <c r="Y378" s="20" t="s">
        <v>197</v>
      </c>
      <c r="Z378" s="20"/>
      <c r="AA378" s="20"/>
      <c r="AB378" s="167"/>
      <c r="AC378" s="243" t="s">
        <v>246</v>
      </c>
      <c r="AD378" s="243">
        <v>0</v>
      </c>
      <c r="AE378" s="243">
        <v>0</v>
      </c>
    </row>
    <row r="379" spans="1:36" s="8" customFormat="1" x14ac:dyDescent="0.25">
      <c r="A379" s="188"/>
      <c r="B379" s="92" t="s">
        <v>209</v>
      </c>
      <c r="C379" s="90" t="str">
        <f>VLOOKUP($F379,Admin!$A$16:$E$19,2,FALSE)</f>
        <v>Alkalmazott (ipari) kutatás – Működési költség</v>
      </c>
      <c r="D379" s="160" t="s">
        <v>129</v>
      </c>
      <c r="E379" s="90" t="str">
        <f>VLOOKUP($F379,Admin!$A$16:$E$19,4,FALSE)</f>
        <v>54. Bérköltség - Kutató-fejlesztő munkatárs</v>
      </c>
      <c r="F379" s="90" t="s">
        <v>171</v>
      </c>
      <c r="G379" s="160" t="s">
        <v>174</v>
      </c>
      <c r="H379" s="160" t="s">
        <v>193</v>
      </c>
      <c r="I379" s="90" t="str">
        <f>VLOOKUP($F379,Admin!$A$16:$E$19,5,FALSE)</f>
        <v>K+F munkatárs</v>
      </c>
      <c r="J379" s="160" t="s">
        <v>143</v>
      </c>
      <c r="K379" s="160" t="str">
        <f t="shared" si="1205"/>
        <v>2024.04</v>
      </c>
      <c r="L379" s="91" t="s">
        <v>8</v>
      </c>
      <c r="M379" s="92" t="s">
        <v>78</v>
      </c>
      <c r="N379" s="161">
        <v>430477</v>
      </c>
      <c r="O379" s="162">
        <f t="shared" si="1211"/>
        <v>55962</v>
      </c>
      <c r="P379" s="160">
        <v>130</v>
      </c>
      <c r="Q379" s="236">
        <v>111.8</v>
      </c>
      <c r="R379" s="229">
        <f t="shared" si="1212"/>
        <v>0.86</v>
      </c>
      <c r="S379" s="163">
        <f t="shared" si="1213"/>
        <v>370210</v>
      </c>
      <c r="T379" s="164">
        <f t="shared" si="1214"/>
        <v>48127</v>
      </c>
      <c r="U379" s="165">
        <f t="shared" si="1215"/>
        <v>5.1106098586384263E-7</v>
      </c>
      <c r="V379" s="87">
        <v>0.13</v>
      </c>
      <c r="W379" s="223" t="s">
        <v>232</v>
      </c>
      <c r="X379" s="23">
        <v>45307</v>
      </c>
      <c r="Y379" s="20" t="s">
        <v>197</v>
      </c>
      <c r="Z379" s="20"/>
      <c r="AA379" s="20"/>
      <c r="AB379" s="167"/>
      <c r="AC379" s="8" t="s">
        <v>246</v>
      </c>
      <c r="AD379" s="243">
        <v>0</v>
      </c>
      <c r="AE379" s="243">
        <v>0</v>
      </c>
    </row>
    <row r="380" spans="1:36" s="8" customFormat="1" x14ac:dyDescent="0.25">
      <c r="A380" s="188"/>
      <c r="B380" s="92" t="s">
        <v>209</v>
      </c>
      <c r="C380" s="90" t="str">
        <f>VLOOKUP($F380,Admin!$A$16:$E$19,2,FALSE)</f>
        <v>Alkalmazott (ipari) kutatás – Működési költség</v>
      </c>
      <c r="D380" s="160" t="s">
        <v>129</v>
      </c>
      <c r="E380" s="90" t="str">
        <f>VLOOKUP($F380,Admin!$A$16:$E$19,4,FALSE)</f>
        <v>54. Bérköltség - Kutató-fejlesztő munkatárs</v>
      </c>
      <c r="F380" s="90" t="s">
        <v>171</v>
      </c>
      <c r="G380" s="160" t="s">
        <v>174</v>
      </c>
      <c r="H380" s="160" t="s">
        <v>193</v>
      </c>
      <c r="I380" s="90" t="str">
        <f>VLOOKUP($F380,Admin!$A$16:$E$19,5,FALSE)</f>
        <v>K+F munkatárs</v>
      </c>
      <c r="J380" s="160" t="s">
        <v>144</v>
      </c>
      <c r="K380" s="160" t="str">
        <f t="shared" si="1205"/>
        <v>2024.05</v>
      </c>
      <c r="L380" s="91" t="s">
        <v>8</v>
      </c>
      <c r="M380" s="92" t="s">
        <v>78</v>
      </c>
      <c r="N380" s="161"/>
      <c r="O380" s="162">
        <f t="shared" si="1211"/>
        <v>0</v>
      </c>
      <c r="P380" s="160">
        <v>130</v>
      </c>
      <c r="Q380" s="236">
        <v>111.8</v>
      </c>
      <c r="R380" s="229">
        <f t="shared" si="1212"/>
        <v>0.86</v>
      </c>
      <c r="S380" s="163">
        <f t="shared" si="1213"/>
        <v>0</v>
      </c>
      <c r="T380" s="164">
        <f t="shared" si="1214"/>
        <v>0</v>
      </c>
      <c r="U380" s="165" t="e">
        <f t="shared" si="1215"/>
        <v>#DIV/0!</v>
      </c>
      <c r="V380" s="87">
        <v>0.13</v>
      </c>
      <c r="W380" s="223" t="s">
        <v>232</v>
      </c>
      <c r="X380" s="23">
        <v>45307</v>
      </c>
      <c r="Y380" s="20" t="s">
        <v>197</v>
      </c>
      <c r="Z380" s="20"/>
      <c r="AA380" s="20"/>
      <c r="AB380" s="167" t="s">
        <v>277</v>
      </c>
      <c r="AC380" s="8" t="s">
        <v>246</v>
      </c>
      <c r="AD380" s="243">
        <v>0</v>
      </c>
      <c r="AE380" s="243">
        <v>0</v>
      </c>
    </row>
    <row r="381" spans="1:36" s="8" customFormat="1" x14ac:dyDescent="0.25">
      <c r="A381" s="207">
        <v>2</v>
      </c>
      <c r="B381" s="92" t="s">
        <v>217</v>
      </c>
      <c r="C381" s="90" t="str">
        <f>VLOOKUP($F381,Admin!$A$16:$E$19,2,FALSE)</f>
        <v>Alkalmazott (ipari) kutatás – Működési költség</v>
      </c>
      <c r="D381" s="160" t="s">
        <v>129</v>
      </c>
      <c r="E381" s="90" t="str">
        <f>VLOOKUP($F381,Admin!$A$16:$E$19,4,FALSE)</f>
        <v>54. Bérköltség - Kutató-fejlesztő munkatárs</v>
      </c>
      <c r="F381" s="90" t="s">
        <v>171</v>
      </c>
      <c r="G381" s="160" t="s">
        <v>174</v>
      </c>
      <c r="H381" s="160" t="s">
        <v>193</v>
      </c>
      <c r="I381" s="90" t="str">
        <f>VLOOKUP($F381,Admin!$A$16:$E$19,5,FALSE)</f>
        <v>K+F munkatárs</v>
      </c>
      <c r="J381" s="160" t="s">
        <v>50</v>
      </c>
      <c r="K381" s="160" t="str">
        <f t="shared" ref="K381" si="1216">J381</f>
        <v>2022.11</v>
      </c>
      <c r="L381" s="91" t="s">
        <v>8</v>
      </c>
      <c r="M381" s="92" t="s">
        <v>78</v>
      </c>
      <c r="N381" s="161">
        <v>640000</v>
      </c>
      <c r="O381" s="162">
        <f t="shared" ref="O381" si="1217">ROUND(N381*V381,0)</f>
        <v>83200</v>
      </c>
      <c r="P381" s="160">
        <v>174</v>
      </c>
      <c r="Q381" s="236">
        <v>87</v>
      </c>
      <c r="R381" s="229">
        <f t="shared" ref="R381" si="1218">Q381/P381</f>
        <v>0.5</v>
      </c>
      <c r="S381" s="163">
        <f t="shared" ref="S381" si="1219">ROUND(N381*Q381/P381,0)</f>
        <v>320000</v>
      </c>
      <c r="T381" s="164">
        <f t="shared" ref="T381" si="1220">ROUND(S381*V381,0)</f>
        <v>41600</v>
      </c>
      <c r="U381" s="165">
        <f t="shared" ref="U381" si="1221">Q381/P381-S381/N381</f>
        <v>0</v>
      </c>
      <c r="V381" s="87">
        <v>0.13</v>
      </c>
      <c r="W381" s="223" t="s">
        <v>233</v>
      </c>
      <c r="X381" s="23">
        <v>44872</v>
      </c>
      <c r="Y381" s="20" t="s">
        <v>197</v>
      </c>
      <c r="Z381" s="20"/>
      <c r="AA381" s="20"/>
      <c r="AB381" s="167"/>
      <c r="AC381" s="210" t="e">
        <v>#N/A</v>
      </c>
      <c r="AD381" s="210" t="e">
        <v>#N/A</v>
      </c>
      <c r="AE381" s="210" t="e">
        <v>#N/A</v>
      </c>
      <c r="AF381" s="8">
        <v>168</v>
      </c>
      <c r="AG381" s="8">
        <f>ROUNDUP(AF381*R381,2)</f>
        <v>84</v>
      </c>
      <c r="AH381" s="235">
        <v>44900</v>
      </c>
      <c r="AI381" s="8" t="str">
        <f>CONCATENATE(J381,".01")</f>
        <v>2022.11.01</v>
      </c>
      <c r="AJ381" s="235">
        <f>EOMONTH(AI381,0)</f>
        <v>44895</v>
      </c>
    </row>
    <row r="382" spans="1:36" s="8" customFormat="1" x14ac:dyDescent="0.25">
      <c r="A382" s="207">
        <v>1</v>
      </c>
      <c r="B382" s="92" t="s">
        <v>192</v>
      </c>
      <c r="C382" s="90" t="str">
        <f>VLOOKUP($F382,Admin!$A$16:$E$19,2,FALSE)</f>
        <v>Alkalmazott (ipari) kutatás – Működési költség</v>
      </c>
      <c r="D382" s="160" t="s">
        <v>129</v>
      </c>
      <c r="E382" s="90" t="str">
        <f>VLOOKUP($F382,Admin!$A$16:$E$19,4,FALSE)</f>
        <v>54. Bérköltség - technikus segédszemélyzet</v>
      </c>
      <c r="F382" s="90" t="s">
        <v>173</v>
      </c>
      <c r="G382" s="160" t="s">
        <v>174</v>
      </c>
      <c r="H382" s="160" t="s">
        <v>196</v>
      </c>
      <c r="I382" s="90" t="str">
        <f>VLOOKUP($F382,Admin!$A$16:$E$19,5,FALSE)</f>
        <v>Technikus</v>
      </c>
      <c r="J382" s="160" t="s">
        <v>37</v>
      </c>
      <c r="K382" s="160" t="str">
        <f t="shared" si="267"/>
        <v>2021.10</v>
      </c>
      <c r="L382" s="91" t="s">
        <v>8</v>
      </c>
      <c r="M382" s="92" t="s">
        <v>78</v>
      </c>
      <c r="N382" s="161">
        <v>575000</v>
      </c>
      <c r="O382" s="162">
        <f t="shared" si="268"/>
        <v>89125</v>
      </c>
      <c r="P382" s="160">
        <v>174</v>
      </c>
      <c r="Q382" s="236">
        <v>64</v>
      </c>
      <c r="R382" s="229">
        <f t="shared" si="269"/>
        <v>0.36781609195402298</v>
      </c>
      <c r="S382" s="163">
        <f t="shared" si="270"/>
        <v>211494</v>
      </c>
      <c r="T382" s="164">
        <f t="shared" si="271"/>
        <v>32782</v>
      </c>
      <c r="U382" s="165">
        <f t="shared" si="272"/>
        <v>4.3978010993983574E-7</v>
      </c>
      <c r="V382" s="87">
        <v>0.155</v>
      </c>
      <c r="W382" s="223"/>
      <c r="X382" s="23">
        <v>44470</v>
      </c>
      <c r="Y382" s="20" t="s">
        <v>197</v>
      </c>
      <c r="Z382" s="20"/>
      <c r="AA382" s="20"/>
      <c r="AB382" s="167"/>
    </row>
    <row r="383" spans="1:36" s="8" customFormat="1" x14ac:dyDescent="0.25">
      <c r="A383" s="207">
        <v>1</v>
      </c>
      <c r="B383" s="92" t="s">
        <v>192</v>
      </c>
      <c r="C383" s="90" t="str">
        <f>VLOOKUP($F383,Admin!$A$16:$E$19,2,FALSE)</f>
        <v>Alkalmazott (ipari) kutatás – Működési költség</v>
      </c>
      <c r="D383" s="160" t="s">
        <v>129</v>
      </c>
      <c r="E383" s="90" t="str">
        <f>VLOOKUP($F383,Admin!$A$16:$E$19,4,FALSE)</f>
        <v>54. Bérköltség - technikus segédszemélyzet</v>
      </c>
      <c r="F383" s="90" t="s">
        <v>173</v>
      </c>
      <c r="G383" s="160" t="s">
        <v>174</v>
      </c>
      <c r="H383" s="160" t="s">
        <v>196</v>
      </c>
      <c r="I383" s="90" t="str">
        <f>VLOOKUP($F383,Admin!$A$16:$E$19,5,FALSE)</f>
        <v>Technikus</v>
      </c>
      <c r="J383" s="160" t="s">
        <v>38</v>
      </c>
      <c r="K383" s="160" t="str">
        <f t="shared" si="267"/>
        <v>2021.11</v>
      </c>
      <c r="L383" s="91" t="s">
        <v>8</v>
      </c>
      <c r="M383" s="92" t="s">
        <v>78</v>
      </c>
      <c r="N383" s="161">
        <v>575000</v>
      </c>
      <c r="O383" s="162">
        <f t="shared" si="268"/>
        <v>89125</v>
      </c>
      <c r="P383" s="160">
        <v>174</v>
      </c>
      <c r="Q383" s="236">
        <v>64</v>
      </c>
      <c r="R383" s="229">
        <f t="shared" si="269"/>
        <v>0.36781609195402298</v>
      </c>
      <c r="S383" s="163">
        <f t="shared" si="270"/>
        <v>211494</v>
      </c>
      <c r="T383" s="164">
        <f t="shared" si="271"/>
        <v>32782</v>
      </c>
      <c r="U383" s="165">
        <f t="shared" si="272"/>
        <v>4.3978010993983574E-7</v>
      </c>
      <c r="V383" s="87">
        <v>0.155</v>
      </c>
      <c r="W383" s="223"/>
      <c r="X383" s="23">
        <v>44470</v>
      </c>
      <c r="Y383" s="20" t="s">
        <v>197</v>
      </c>
      <c r="Z383" s="20"/>
      <c r="AA383" s="20"/>
      <c r="AB383" s="167"/>
    </row>
    <row r="384" spans="1:36" s="8" customFormat="1" x14ac:dyDescent="0.25">
      <c r="A384" s="207">
        <v>1</v>
      </c>
      <c r="B384" s="92" t="s">
        <v>192</v>
      </c>
      <c r="C384" s="90" t="str">
        <f>VLOOKUP($F384,Admin!$A$16:$E$19,2,FALSE)</f>
        <v>Alkalmazott (ipari) kutatás – Működési költség</v>
      </c>
      <c r="D384" s="160" t="s">
        <v>129</v>
      </c>
      <c r="E384" s="90" t="str">
        <f>VLOOKUP($F384,Admin!$A$16:$E$19,4,FALSE)</f>
        <v>54. Bérköltség - technikus segédszemélyzet</v>
      </c>
      <c r="F384" s="90" t="s">
        <v>173</v>
      </c>
      <c r="G384" s="160" t="s">
        <v>174</v>
      </c>
      <c r="H384" s="160" t="s">
        <v>196</v>
      </c>
      <c r="I384" s="90" t="str">
        <f>VLOOKUP($F384,Admin!$A$16:$E$19,5,FALSE)</f>
        <v>Technikus</v>
      </c>
      <c r="J384" s="160" t="s">
        <v>39</v>
      </c>
      <c r="K384" s="160" t="str">
        <f t="shared" si="267"/>
        <v>2021.12</v>
      </c>
      <c r="L384" s="91" t="s">
        <v>8</v>
      </c>
      <c r="M384" s="92" t="s">
        <v>78</v>
      </c>
      <c r="N384" s="161">
        <v>575000</v>
      </c>
      <c r="O384" s="162">
        <f t="shared" si="268"/>
        <v>89125</v>
      </c>
      <c r="P384" s="160">
        <v>174</v>
      </c>
      <c r="Q384" s="236">
        <v>64</v>
      </c>
      <c r="R384" s="229">
        <f t="shared" si="269"/>
        <v>0.36781609195402298</v>
      </c>
      <c r="S384" s="163">
        <f t="shared" si="270"/>
        <v>211494</v>
      </c>
      <c r="T384" s="164">
        <f t="shared" si="271"/>
        <v>32782</v>
      </c>
      <c r="U384" s="165">
        <f t="shared" si="272"/>
        <v>4.3978010993983574E-7</v>
      </c>
      <c r="V384" s="87">
        <v>0.155</v>
      </c>
      <c r="W384" s="223"/>
      <c r="X384" s="23">
        <v>44470</v>
      </c>
      <c r="Y384" s="20" t="s">
        <v>197</v>
      </c>
      <c r="Z384" s="20"/>
      <c r="AA384" s="20"/>
      <c r="AB384" s="167"/>
    </row>
    <row r="385" spans="1:37" s="8" customFormat="1" x14ac:dyDescent="0.25">
      <c r="A385" s="207">
        <v>1</v>
      </c>
      <c r="B385" s="92" t="s">
        <v>192</v>
      </c>
      <c r="C385" s="90" t="str">
        <f>VLOOKUP($F385,Admin!$A$16:$E$19,2,FALSE)</f>
        <v>Alkalmazott (ipari) kutatás – Működési költség</v>
      </c>
      <c r="D385" s="160" t="s">
        <v>129</v>
      </c>
      <c r="E385" s="90" t="str">
        <f>VLOOKUP($F385,Admin!$A$16:$E$19,4,FALSE)</f>
        <v>54. Bérköltség - technikus segédszemélyzet</v>
      </c>
      <c r="F385" s="90" t="s">
        <v>173</v>
      </c>
      <c r="G385" s="160" t="s">
        <v>174</v>
      </c>
      <c r="H385" s="160" t="s">
        <v>196</v>
      </c>
      <c r="I385" s="90" t="str">
        <f>VLOOKUP($F385,Admin!$A$16:$E$19,5,FALSE)</f>
        <v>Technikus</v>
      </c>
      <c r="J385" s="160" t="s">
        <v>40</v>
      </c>
      <c r="K385" s="160" t="str">
        <f t="shared" si="267"/>
        <v>2022.01</v>
      </c>
      <c r="L385" s="91" t="s">
        <v>8</v>
      </c>
      <c r="M385" s="92" t="s">
        <v>78</v>
      </c>
      <c r="N385" s="161">
        <v>700000</v>
      </c>
      <c r="O385" s="162">
        <f t="shared" si="268"/>
        <v>91000</v>
      </c>
      <c r="P385" s="160">
        <v>174</v>
      </c>
      <c r="Q385" s="236">
        <v>64</v>
      </c>
      <c r="R385" s="229">
        <f t="shared" si="269"/>
        <v>0.36781609195402298</v>
      </c>
      <c r="S385" s="163">
        <f t="shared" si="270"/>
        <v>257471</v>
      </c>
      <c r="T385" s="164">
        <f t="shared" si="271"/>
        <v>33471</v>
      </c>
      <c r="U385" s="165">
        <f t="shared" si="272"/>
        <v>3.7766830868202206E-7</v>
      </c>
      <c r="V385" s="87">
        <v>0.13</v>
      </c>
      <c r="W385" s="223"/>
      <c r="X385" s="23">
        <v>44544</v>
      </c>
      <c r="Y385" s="20" t="s">
        <v>197</v>
      </c>
      <c r="Z385" s="20"/>
      <c r="AA385" s="20"/>
      <c r="AB385" s="167"/>
    </row>
    <row r="386" spans="1:37" s="167" customFormat="1" x14ac:dyDescent="0.25">
      <c r="A386" s="207">
        <v>1</v>
      </c>
      <c r="B386" s="92" t="s">
        <v>192</v>
      </c>
      <c r="C386" s="90" t="str">
        <f>VLOOKUP($F386,Admin!$A$16:$E$19,2,FALSE)</f>
        <v>Alkalmazott (ipari) kutatás – Működési költség</v>
      </c>
      <c r="D386" s="160" t="s">
        <v>129</v>
      </c>
      <c r="E386" s="90" t="str">
        <f>VLOOKUP($F386,Admin!$A$16:$E$19,4,FALSE)</f>
        <v>54. Bérköltség - technikus segédszemélyzet</v>
      </c>
      <c r="F386" s="90" t="s">
        <v>173</v>
      </c>
      <c r="G386" s="160" t="s">
        <v>174</v>
      </c>
      <c r="H386" s="160" t="s">
        <v>196</v>
      </c>
      <c r="I386" s="90" t="str">
        <f>VLOOKUP($F386,Admin!$A$16:$E$19,5,FALSE)</f>
        <v>Technikus</v>
      </c>
      <c r="J386" s="160" t="s">
        <v>41</v>
      </c>
      <c r="K386" s="160" t="str">
        <f t="shared" si="267"/>
        <v>2022.02</v>
      </c>
      <c r="L386" s="91" t="s">
        <v>8</v>
      </c>
      <c r="M386" s="92" t="s">
        <v>78</v>
      </c>
      <c r="N386" s="161">
        <v>700000</v>
      </c>
      <c r="O386" s="162">
        <f t="shared" si="268"/>
        <v>91000</v>
      </c>
      <c r="P386" s="20">
        <v>174</v>
      </c>
      <c r="Q386" s="238">
        <v>64</v>
      </c>
      <c r="R386" s="229">
        <f t="shared" si="269"/>
        <v>0.36781609195402298</v>
      </c>
      <c r="S386" s="163">
        <f t="shared" si="270"/>
        <v>257471</v>
      </c>
      <c r="T386" s="164">
        <f t="shared" si="271"/>
        <v>33471</v>
      </c>
      <c r="U386" s="165">
        <f t="shared" si="272"/>
        <v>3.7766830868202206E-7</v>
      </c>
      <c r="V386" s="87">
        <v>0.13</v>
      </c>
      <c r="W386" s="223"/>
      <c r="X386" s="23">
        <v>44544</v>
      </c>
      <c r="Y386" s="20" t="s">
        <v>197</v>
      </c>
      <c r="Z386" s="20"/>
      <c r="AA386" s="20"/>
    </row>
    <row r="387" spans="1:37" s="167" customFormat="1" x14ac:dyDescent="0.25">
      <c r="A387" s="207">
        <v>1</v>
      </c>
      <c r="B387" s="92" t="s">
        <v>192</v>
      </c>
      <c r="C387" s="90" t="str">
        <f>VLOOKUP($F387,Admin!$A$16:$E$19,2,FALSE)</f>
        <v>Alkalmazott (ipari) kutatás – Működési költség</v>
      </c>
      <c r="D387" s="160" t="s">
        <v>129</v>
      </c>
      <c r="E387" s="90" t="str">
        <f>VLOOKUP($F387,Admin!$A$16:$E$19,4,FALSE)</f>
        <v>54. Bérköltség - technikus segédszemélyzet</v>
      </c>
      <c r="F387" s="90" t="s">
        <v>173</v>
      </c>
      <c r="G387" s="160" t="s">
        <v>174</v>
      </c>
      <c r="H387" s="160" t="s">
        <v>196</v>
      </c>
      <c r="I387" s="90" t="str">
        <f>VLOOKUP($F387,Admin!$A$16:$E$19,5,FALSE)</f>
        <v>Technikus</v>
      </c>
      <c r="J387" s="160" t="s">
        <v>42</v>
      </c>
      <c r="K387" s="160" t="str">
        <f t="shared" si="267"/>
        <v>2022.03</v>
      </c>
      <c r="L387" s="91" t="s">
        <v>8</v>
      </c>
      <c r="M387" s="92" t="s">
        <v>78</v>
      </c>
      <c r="N387" s="161">
        <v>700000</v>
      </c>
      <c r="O387" s="162">
        <f t="shared" si="268"/>
        <v>91000</v>
      </c>
      <c r="P387" s="20">
        <v>174</v>
      </c>
      <c r="Q387" s="238">
        <v>64</v>
      </c>
      <c r="R387" s="229">
        <f t="shared" si="269"/>
        <v>0.36781609195402298</v>
      </c>
      <c r="S387" s="163">
        <f t="shared" si="270"/>
        <v>257471</v>
      </c>
      <c r="T387" s="164">
        <f t="shared" si="271"/>
        <v>33471</v>
      </c>
      <c r="U387" s="165">
        <f t="shared" si="272"/>
        <v>3.7766830868202206E-7</v>
      </c>
      <c r="V387" s="87">
        <v>0.13</v>
      </c>
      <c r="W387" s="223"/>
      <c r="X387" s="23">
        <v>44544</v>
      </c>
      <c r="Y387" s="20" t="s">
        <v>197</v>
      </c>
      <c r="Z387" s="20"/>
      <c r="AA387" s="20"/>
    </row>
    <row r="388" spans="1:37" s="167" customFormat="1" x14ac:dyDescent="0.25">
      <c r="A388" s="207">
        <v>1</v>
      </c>
      <c r="B388" s="92" t="s">
        <v>192</v>
      </c>
      <c r="C388" s="90" t="str">
        <f>VLOOKUP($F388,Admin!$A$16:$E$19,2,FALSE)</f>
        <v>Alkalmazott (ipari) kutatás – Működési költség</v>
      </c>
      <c r="D388" s="160" t="s">
        <v>129</v>
      </c>
      <c r="E388" s="90" t="str">
        <f>VLOOKUP($F388,Admin!$A$16:$E$19,4,FALSE)</f>
        <v>54. Bérköltség - technikus segédszemélyzet</v>
      </c>
      <c r="F388" s="90" t="s">
        <v>173</v>
      </c>
      <c r="G388" s="160" t="s">
        <v>174</v>
      </c>
      <c r="H388" s="160" t="s">
        <v>196</v>
      </c>
      <c r="I388" s="90" t="str">
        <f>VLOOKUP($F388,Admin!$A$16:$E$19,5,FALSE)</f>
        <v>Technikus</v>
      </c>
      <c r="J388" s="160" t="s">
        <v>43</v>
      </c>
      <c r="K388" s="160" t="str">
        <f t="shared" si="267"/>
        <v>2022.04</v>
      </c>
      <c r="L388" s="91" t="s">
        <v>8</v>
      </c>
      <c r="M388" s="92" t="s">
        <v>78</v>
      </c>
      <c r="N388" s="161">
        <v>699999</v>
      </c>
      <c r="O388" s="162">
        <f t="shared" si="268"/>
        <v>91000</v>
      </c>
      <c r="P388" s="20">
        <v>174</v>
      </c>
      <c r="Q388" s="238">
        <v>64</v>
      </c>
      <c r="R388" s="229">
        <f t="shared" si="269"/>
        <v>0.36781609195402298</v>
      </c>
      <c r="S388" s="163">
        <f t="shared" si="270"/>
        <v>257471</v>
      </c>
      <c r="T388" s="164">
        <f t="shared" si="271"/>
        <v>33471</v>
      </c>
      <c r="U388" s="165">
        <f t="shared" si="272"/>
        <v>-1.4778346235644335E-7</v>
      </c>
      <c r="V388" s="87">
        <v>0.13</v>
      </c>
      <c r="W388" s="223"/>
      <c r="X388" s="23">
        <v>44544</v>
      </c>
      <c r="Y388" s="20" t="s">
        <v>197</v>
      </c>
      <c r="Z388" s="20"/>
      <c r="AA388" s="20"/>
    </row>
    <row r="389" spans="1:37" s="167" customFormat="1" x14ac:dyDescent="0.25">
      <c r="A389" s="207">
        <v>1</v>
      </c>
      <c r="B389" s="92" t="s">
        <v>192</v>
      </c>
      <c r="C389" s="90" t="str">
        <f>VLOOKUP($F389,Admin!$A$16:$E$19,2,FALSE)</f>
        <v>Alkalmazott (ipari) kutatás – Működési költség</v>
      </c>
      <c r="D389" s="160" t="s">
        <v>129</v>
      </c>
      <c r="E389" s="90" t="str">
        <f>VLOOKUP($F389,Admin!$A$16:$E$19,4,FALSE)</f>
        <v>54. Bérköltség - technikus segédszemélyzet</v>
      </c>
      <c r="F389" s="90" t="s">
        <v>173</v>
      </c>
      <c r="G389" s="160" t="s">
        <v>174</v>
      </c>
      <c r="H389" s="160" t="s">
        <v>196</v>
      </c>
      <c r="I389" s="90" t="str">
        <f>VLOOKUP($F389,Admin!$A$16:$E$19,5,FALSE)</f>
        <v>Technikus</v>
      </c>
      <c r="J389" s="160" t="s">
        <v>44</v>
      </c>
      <c r="K389" s="160" t="str">
        <f t="shared" si="267"/>
        <v>2022.05</v>
      </c>
      <c r="L389" s="91" t="s">
        <v>8</v>
      </c>
      <c r="M389" s="92" t="s">
        <v>78</v>
      </c>
      <c r="N389" s="161">
        <v>700000</v>
      </c>
      <c r="O389" s="162">
        <f t="shared" si="268"/>
        <v>91000</v>
      </c>
      <c r="P389" s="20">
        <v>174</v>
      </c>
      <c r="Q389" s="238">
        <v>64</v>
      </c>
      <c r="R389" s="229">
        <f t="shared" si="269"/>
        <v>0.36781609195402298</v>
      </c>
      <c r="S389" s="163">
        <f t="shared" si="270"/>
        <v>257471</v>
      </c>
      <c r="T389" s="164">
        <f t="shared" si="271"/>
        <v>33471</v>
      </c>
      <c r="U389" s="165">
        <f t="shared" si="272"/>
        <v>3.7766830868202206E-7</v>
      </c>
      <c r="V389" s="87">
        <v>0.13</v>
      </c>
      <c r="W389" s="223"/>
      <c r="X389" s="23">
        <v>44544</v>
      </c>
      <c r="Y389" s="20" t="s">
        <v>197</v>
      </c>
      <c r="Z389" s="20"/>
      <c r="AA389" s="20"/>
    </row>
    <row r="390" spans="1:37" s="167" customFormat="1" x14ac:dyDescent="0.25">
      <c r="A390" s="207">
        <v>1</v>
      </c>
      <c r="B390" s="92" t="s">
        <v>192</v>
      </c>
      <c r="C390" s="90" t="str">
        <f>VLOOKUP($F390,Admin!$A$16:$E$19,2,FALSE)</f>
        <v>Alkalmazott (ipari) kutatás – Működési költség</v>
      </c>
      <c r="D390" s="160" t="s">
        <v>129</v>
      </c>
      <c r="E390" s="90" t="str">
        <f>VLOOKUP($F390,Admin!$A$16:$E$19,4,FALSE)</f>
        <v>54. Bérköltség - technikus segédszemélyzet</v>
      </c>
      <c r="F390" s="90" t="s">
        <v>173</v>
      </c>
      <c r="G390" s="160" t="s">
        <v>174</v>
      </c>
      <c r="H390" s="160" t="s">
        <v>196</v>
      </c>
      <c r="I390" s="90" t="str">
        <f>VLOOKUP($F390,Admin!$A$16:$E$19,5,FALSE)</f>
        <v>Technikus</v>
      </c>
      <c r="J390" s="160" t="s">
        <v>45</v>
      </c>
      <c r="K390" s="160" t="str">
        <f t="shared" si="267"/>
        <v>2022.06</v>
      </c>
      <c r="L390" s="91" t="s">
        <v>8</v>
      </c>
      <c r="M390" s="92" t="s">
        <v>78</v>
      </c>
      <c r="N390" s="161">
        <v>700000</v>
      </c>
      <c r="O390" s="162">
        <f t="shared" si="268"/>
        <v>91000</v>
      </c>
      <c r="P390" s="20">
        <v>174</v>
      </c>
      <c r="Q390" s="238">
        <v>87</v>
      </c>
      <c r="R390" s="229">
        <f t="shared" si="269"/>
        <v>0.5</v>
      </c>
      <c r="S390" s="163">
        <f t="shared" si="270"/>
        <v>350000</v>
      </c>
      <c r="T390" s="164">
        <f t="shared" si="271"/>
        <v>45500</v>
      </c>
      <c r="U390" s="165">
        <f t="shared" si="272"/>
        <v>0</v>
      </c>
      <c r="V390" s="87">
        <v>0.13</v>
      </c>
      <c r="W390" s="223"/>
      <c r="X390" s="23">
        <v>44712</v>
      </c>
      <c r="Y390" s="20" t="s">
        <v>197</v>
      </c>
      <c r="Z390" s="20"/>
      <c r="AA390" s="20"/>
    </row>
    <row r="391" spans="1:37" s="167" customFormat="1" x14ac:dyDescent="0.25">
      <c r="A391" s="207">
        <v>1</v>
      </c>
      <c r="B391" s="92" t="s">
        <v>192</v>
      </c>
      <c r="C391" s="90" t="str">
        <f>VLOOKUP($F391,Admin!$A$16:$E$19,2,FALSE)</f>
        <v>Alkalmazott (ipari) kutatás – Működési költség</v>
      </c>
      <c r="D391" s="160" t="s">
        <v>129</v>
      </c>
      <c r="E391" s="90" t="str">
        <f>VLOOKUP($F391,Admin!$A$16:$E$19,4,FALSE)</f>
        <v>54. Bérköltség - technikus segédszemélyzet</v>
      </c>
      <c r="F391" s="90" t="s">
        <v>173</v>
      </c>
      <c r="G391" s="160" t="s">
        <v>174</v>
      </c>
      <c r="H391" s="160" t="s">
        <v>196</v>
      </c>
      <c r="I391" s="90" t="str">
        <f>VLOOKUP($F391,Admin!$A$16:$E$19,5,FALSE)</f>
        <v>Technikus</v>
      </c>
      <c r="J391" s="160" t="s">
        <v>46</v>
      </c>
      <c r="K391" s="160" t="str">
        <f t="shared" si="267"/>
        <v>2022.07</v>
      </c>
      <c r="L391" s="91" t="s">
        <v>8</v>
      </c>
      <c r="M391" s="92" t="s">
        <v>78</v>
      </c>
      <c r="N391" s="161">
        <v>700000</v>
      </c>
      <c r="O391" s="162">
        <f t="shared" ref="O391:O395" si="1222">ROUND(N391*V391,0)</f>
        <v>91000</v>
      </c>
      <c r="P391" s="20">
        <v>174</v>
      </c>
      <c r="Q391" s="238">
        <v>87</v>
      </c>
      <c r="R391" s="229">
        <f t="shared" ref="R391:R395" si="1223">Q391/P391</f>
        <v>0.5</v>
      </c>
      <c r="S391" s="163">
        <f t="shared" ref="S391:S395" si="1224">ROUND(N391*Q391/P391,0)</f>
        <v>350000</v>
      </c>
      <c r="T391" s="164">
        <f t="shared" ref="T391:T395" si="1225">ROUND(S391*V391,0)</f>
        <v>45500</v>
      </c>
      <c r="U391" s="165">
        <f t="shared" ref="U391:U395" si="1226">Q391/P391-S391/N391</f>
        <v>0</v>
      </c>
      <c r="V391" s="87">
        <v>0.13</v>
      </c>
      <c r="W391" s="223"/>
      <c r="X391" s="23">
        <v>44712</v>
      </c>
      <c r="Y391" s="20" t="s">
        <v>197</v>
      </c>
      <c r="Z391" s="20"/>
      <c r="AA391" s="20"/>
    </row>
    <row r="392" spans="1:37" s="167" customFormat="1" x14ac:dyDescent="0.25">
      <c r="A392" s="207">
        <v>1</v>
      </c>
      <c r="B392" s="92" t="s">
        <v>192</v>
      </c>
      <c r="C392" s="90" t="str">
        <f>VLOOKUP($F392,Admin!$A$16:$E$19,2,FALSE)</f>
        <v>Alkalmazott (ipari) kutatás – Működési költség</v>
      </c>
      <c r="D392" s="160" t="s">
        <v>129</v>
      </c>
      <c r="E392" s="90" t="str">
        <f>VLOOKUP($F392,Admin!$A$16:$E$19,4,FALSE)</f>
        <v>54. Bérköltség - technikus segédszemélyzet</v>
      </c>
      <c r="F392" s="90" t="s">
        <v>173</v>
      </c>
      <c r="G392" s="160" t="s">
        <v>174</v>
      </c>
      <c r="H392" s="160" t="s">
        <v>196</v>
      </c>
      <c r="I392" s="90" t="str">
        <f>VLOOKUP($F392,Admin!$A$16:$E$19,5,FALSE)</f>
        <v>Technikus</v>
      </c>
      <c r="J392" s="160" t="s">
        <v>47</v>
      </c>
      <c r="K392" s="160" t="str">
        <f t="shared" si="267"/>
        <v>2022.08</v>
      </c>
      <c r="L392" s="91" t="s">
        <v>8</v>
      </c>
      <c r="M392" s="92" t="s">
        <v>78</v>
      </c>
      <c r="N392" s="161">
        <v>578261</v>
      </c>
      <c r="O392" s="162">
        <f t="shared" si="1222"/>
        <v>75174</v>
      </c>
      <c r="P392" s="20">
        <v>174</v>
      </c>
      <c r="Q392" s="238">
        <v>87</v>
      </c>
      <c r="R392" s="229">
        <f t="shared" si="1223"/>
        <v>0.5</v>
      </c>
      <c r="S392" s="163">
        <f t="shared" si="1224"/>
        <v>289131</v>
      </c>
      <c r="T392" s="164">
        <f t="shared" si="1225"/>
        <v>37587</v>
      </c>
      <c r="U392" s="165">
        <f t="shared" si="1226"/>
        <v>-8.6466145909902536E-7</v>
      </c>
      <c r="V392" s="87">
        <v>0.13</v>
      </c>
      <c r="W392" s="223"/>
      <c r="X392" s="23">
        <v>44712</v>
      </c>
      <c r="Y392" s="20" t="s">
        <v>197</v>
      </c>
      <c r="Z392" s="20"/>
      <c r="AA392" s="20"/>
    </row>
    <row r="393" spans="1:37" s="167" customFormat="1" x14ac:dyDescent="0.25">
      <c r="A393" s="207">
        <v>1</v>
      </c>
      <c r="B393" s="92" t="s">
        <v>192</v>
      </c>
      <c r="C393" s="90" t="str">
        <f>VLOOKUP($F393,Admin!$A$16:$E$19,2,FALSE)</f>
        <v>Alkalmazott (ipari) kutatás – Működési költség</v>
      </c>
      <c r="D393" s="160" t="s">
        <v>129</v>
      </c>
      <c r="E393" s="90" t="str">
        <f>VLOOKUP($F393,Admin!$A$16:$E$19,4,FALSE)</f>
        <v>54. Bérköltség - technikus segédszemélyzet</v>
      </c>
      <c r="F393" s="90" t="s">
        <v>173</v>
      </c>
      <c r="G393" s="160" t="s">
        <v>174</v>
      </c>
      <c r="H393" s="160" t="s">
        <v>196</v>
      </c>
      <c r="I393" s="90" t="str">
        <f>VLOOKUP($F393,Admin!$A$16:$E$19,5,FALSE)</f>
        <v>Technikus</v>
      </c>
      <c r="J393" s="160" t="s">
        <v>48</v>
      </c>
      <c r="K393" s="160" t="str">
        <f t="shared" si="267"/>
        <v>2022.09</v>
      </c>
      <c r="L393" s="91" t="s">
        <v>8</v>
      </c>
      <c r="M393" s="92" t="s">
        <v>78</v>
      </c>
      <c r="N393" s="161">
        <v>700000</v>
      </c>
      <c r="O393" s="162">
        <f t="shared" si="1222"/>
        <v>91000</v>
      </c>
      <c r="P393" s="20">
        <v>174</v>
      </c>
      <c r="Q393" s="238">
        <v>87</v>
      </c>
      <c r="R393" s="229">
        <f t="shared" si="1223"/>
        <v>0.5</v>
      </c>
      <c r="S393" s="163">
        <f t="shared" si="1224"/>
        <v>350000</v>
      </c>
      <c r="T393" s="164">
        <f t="shared" si="1225"/>
        <v>45500</v>
      </c>
      <c r="U393" s="165">
        <f t="shared" si="1226"/>
        <v>0</v>
      </c>
      <c r="V393" s="87">
        <v>0.13</v>
      </c>
      <c r="W393" s="223"/>
      <c r="X393" s="23">
        <v>44712</v>
      </c>
      <c r="Y393" s="20" t="s">
        <v>197</v>
      </c>
      <c r="Z393" s="20"/>
      <c r="AA393" s="20"/>
    </row>
    <row r="394" spans="1:37" s="167" customFormat="1" x14ac:dyDescent="0.25">
      <c r="A394" s="207">
        <v>2</v>
      </c>
      <c r="B394" s="92" t="s">
        <v>192</v>
      </c>
      <c r="C394" s="90" t="str">
        <f>VLOOKUP($F394,Admin!$A$16:$E$19,2,FALSE)</f>
        <v>Alkalmazott (ipari) kutatás – Működési költség</v>
      </c>
      <c r="D394" s="160" t="s">
        <v>129</v>
      </c>
      <c r="E394" s="90" t="str">
        <f>VLOOKUP($F394,Admin!$A$16:$E$19,4,FALSE)</f>
        <v>54. Bérköltség - technikus segédszemélyzet</v>
      </c>
      <c r="F394" s="90" t="s">
        <v>173</v>
      </c>
      <c r="G394" s="160" t="s">
        <v>174</v>
      </c>
      <c r="H394" s="160" t="s">
        <v>196</v>
      </c>
      <c r="I394" s="90" t="str">
        <f>VLOOKUP($F394,Admin!$A$16:$E$19,5,FALSE)</f>
        <v>Technikus</v>
      </c>
      <c r="J394" s="160" t="s">
        <v>49</v>
      </c>
      <c r="K394" s="160" t="str">
        <f t="shared" si="267"/>
        <v>2022.10</v>
      </c>
      <c r="L394" s="91" t="s">
        <v>8</v>
      </c>
      <c r="M394" s="92" t="s">
        <v>78</v>
      </c>
      <c r="N394" s="161">
        <v>700000</v>
      </c>
      <c r="O394" s="162">
        <f t="shared" si="1222"/>
        <v>91000</v>
      </c>
      <c r="P394" s="20">
        <v>174</v>
      </c>
      <c r="Q394" s="238">
        <v>87</v>
      </c>
      <c r="R394" s="229">
        <f t="shared" si="1223"/>
        <v>0.5</v>
      </c>
      <c r="S394" s="163">
        <f t="shared" si="1224"/>
        <v>350000</v>
      </c>
      <c r="T394" s="164">
        <f t="shared" si="1225"/>
        <v>45500</v>
      </c>
      <c r="U394" s="165">
        <f t="shared" si="1226"/>
        <v>0</v>
      </c>
      <c r="V394" s="87">
        <v>0.13</v>
      </c>
      <c r="W394" s="223"/>
      <c r="X394" s="23">
        <v>44712</v>
      </c>
      <c r="Y394" s="20" t="s">
        <v>197</v>
      </c>
      <c r="Z394" s="20"/>
      <c r="AA394" s="20"/>
      <c r="AF394" s="8">
        <v>168</v>
      </c>
      <c r="AG394" s="8">
        <f t="shared" ref="AG394:AG405" si="1227">ROUNDUP(AF394*R394,2)</f>
        <v>84</v>
      </c>
      <c r="AH394" s="235">
        <v>44869</v>
      </c>
      <c r="AI394" s="8" t="str">
        <f t="shared" ref="AI394:AI405" si="1228">CONCATENATE(J394,".01")</f>
        <v>2022.10.01</v>
      </c>
      <c r="AJ394" s="235">
        <f t="shared" ref="AJ394:AJ405" si="1229">EOMONTH(AI394,0)</f>
        <v>44865</v>
      </c>
      <c r="AK394" s="8" t="str">
        <f t="shared" ref="AK394:AK405" si="1230">CONCATENATE("A 2020-1.1.2-PIACI-KFI-2021-00219 számú 
támogatás keretében elszámolásra került: 
",TEXT(S394,"# ##0")," bér + ",TEXT(T394,"# ##0")," járulék")</f>
        <v>A 2020-1.1.2-PIACI-KFI-2021-00219 számú 
támogatás keretében elszámolásra került: 
350 000 bér + 45 500 járulék</v>
      </c>
    </row>
    <row r="395" spans="1:37" s="167" customFormat="1" x14ac:dyDescent="0.25">
      <c r="A395" s="207">
        <v>2</v>
      </c>
      <c r="B395" s="92" t="s">
        <v>192</v>
      </c>
      <c r="C395" s="90" t="str">
        <f>VLOOKUP($F395,Admin!$A$16:$E$19,2,FALSE)</f>
        <v>Alkalmazott (ipari) kutatás – Működési költség</v>
      </c>
      <c r="D395" s="160" t="s">
        <v>129</v>
      </c>
      <c r="E395" s="90" t="str">
        <f>VLOOKUP($F395,Admin!$A$16:$E$19,4,FALSE)</f>
        <v>54. Bérköltség - technikus segédszemélyzet</v>
      </c>
      <c r="F395" s="90" t="s">
        <v>173</v>
      </c>
      <c r="G395" s="160" t="s">
        <v>174</v>
      </c>
      <c r="H395" s="160" t="s">
        <v>196</v>
      </c>
      <c r="I395" s="90" t="str">
        <f>VLOOKUP($F395,Admin!$A$16:$E$19,5,FALSE)</f>
        <v>Technikus</v>
      </c>
      <c r="J395" s="160" t="s">
        <v>50</v>
      </c>
      <c r="K395" s="160" t="str">
        <f t="shared" si="267"/>
        <v>2022.11</v>
      </c>
      <c r="L395" s="91" t="s">
        <v>8</v>
      </c>
      <c r="M395" s="92" t="s">
        <v>78</v>
      </c>
      <c r="N395" s="161">
        <v>700000</v>
      </c>
      <c r="O395" s="162">
        <f t="shared" si="1222"/>
        <v>91000</v>
      </c>
      <c r="P395" s="20">
        <v>174</v>
      </c>
      <c r="Q395" s="238">
        <v>87</v>
      </c>
      <c r="R395" s="229">
        <f t="shared" si="1223"/>
        <v>0.5</v>
      </c>
      <c r="S395" s="163">
        <f t="shared" si="1224"/>
        <v>350000</v>
      </c>
      <c r="T395" s="164">
        <f t="shared" si="1225"/>
        <v>45500</v>
      </c>
      <c r="U395" s="165">
        <f t="shared" si="1226"/>
        <v>0</v>
      </c>
      <c r="V395" s="87">
        <v>0.13</v>
      </c>
      <c r="W395" s="223" t="s">
        <v>234</v>
      </c>
      <c r="X395" s="23">
        <v>44712</v>
      </c>
      <c r="Y395" s="20" t="s">
        <v>197</v>
      </c>
      <c r="Z395" s="20"/>
      <c r="AA395" s="20"/>
      <c r="AC395" s="210" t="e">
        <v>#N/A</v>
      </c>
      <c r="AD395" s="211" t="e">
        <v>#N/A</v>
      </c>
      <c r="AE395" s="210" t="e">
        <v>#N/A</v>
      </c>
      <c r="AF395" s="8">
        <v>168</v>
      </c>
      <c r="AG395" s="8">
        <f t="shared" si="1227"/>
        <v>84</v>
      </c>
      <c r="AH395" s="235">
        <v>44900</v>
      </c>
      <c r="AI395" s="8" t="str">
        <f t="shared" si="1228"/>
        <v>2022.11.01</v>
      </c>
      <c r="AJ395" s="235">
        <f t="shared" si="1229"/>
        <v>44895</v>
      </c>
      <c r="AK395" s="8" t="str">
        <f t="shared" si="1230"/>
        <v>A 2020-1.1.2-PIACI-KFI-2021-00219 számú 
támogatás keretében elszámolásra került: 
350 000 bér + 45 500 járulék</v>
      </c>
    </row>
    <row r="396" spans="1:37" s="167" customFormat="1" x14ac:dyDescent="0.25">
      <c r="A396" s="207">
        <v>2</v>
      </c>
      <c r="B396" s="92" t="s">
        <v>192</v>
      </c>
      <c r="C396" s="90" t="str">
        <f>VLOOKUP($F396,Admin!$A$16:$E$19,2,FALSE)</f>
        <v>Alkalmazott (ipari) kutatás – Működési költség</v>
      </c>
      <c r="D396" s="160" t="s">
        <v>129</v>
      </c>
      <c r="E396" s="90" t="str">
        <f>VLOOKUP($F396,Admin!$A$16:$E$19,4,FALSE)</f>
        <v>54. Bérköltség - technikus segédszemélyzet</v>
      </c>
      <c r="F396" s="90" t="s">
        <v>173</v>
      </c>
      <c r="G396" s="160" t="s">
        <v>174</v>
      </c>
      <c r="H396" s="160" t="s">
        <v>196</v>
      </c>
      <c r="I396" s="90" t="str">
        <f>VLOOKUP($F396,Admin!$A$16:$E$19,5,FALSE)</f>
        <v>Technikus</v>
      </c>
      <c r="J396" s="160" t="s">
        <v>51</v>
      </c>
      <c r="K396" s="160" t="str">
        <f t="shared" ref="K396:K412" si="1231">J396</f>
        <v>2022.12</v>
      </c>
      <c r="L396" s="91" t="s">
        <v>8</v>
      </c>
      <c r="M396" s="92" t="s">
        <v>78</v>
      </c>
      <c r="N396" s="161">
        <v>699999</v>
      </c>
      <c r="O396" s="162">
        <f t="shared" ref="O396" si="1232">ROUND(N396*V396,0)</f>
        <v>91000</v>
      </c>
      <c r="P396" s="20">
        <v>174</v>
      </c>
      <c r="Q396" s="238">
        <v>87</v>
      </c>
      <c r="R396" s="229">
        <f t="shared" ref="R396" si="1233">Q396/P396</f>
        <v>0.5</v>
      </c>
      <c r="S396" s="163">
        <f t="shared" ref="S396" si="1234">ROUND(N396*Q396/P396,0)</f>
        <v>350000</v>
      </c>
      <c r="T396" s="164">
        <f t="shared" ref="T396" si="1235">ROUND(S396*V396,0)</f>
        <v>45500</v>
      </c>
      <c r="U396" s="165">
        <f t="shared" ref="U396" si="1236">Q396/P396-S396/N396</f>
        <v>-7.1428673464879466E-7</v>
      </c>
      <c r="V396" s="87">
        <v>0.13</v>
      </c>
      <c r="W396" s="223" t="s">
        <v>234</v>
      </c>
      <c r="X396" s="23">
        <v>44890</v>
      </c>
      <c r="Y396" s="20" t="s">
        <v>197</v>
      </c>
      <c r="Z396" s="20"/>
      <c r="AA396" s="20"/>
      <c r="AC396" s="210" t="s">
        <v>246</v>
      </c>
      <c r="AD396" s="210" t="s">
        <v>247</v>
      </c>
      <c r="AE396" s="210" t="s">
        <v>247</v>
      </c>
      <c r="AF396" s="8">
        <v>168</v>
      </c>
      <c r="AG396" s="8">
        <f t="shared" si="1227"/>
        <v>84</v>
      </c>
      <c r="AH396" s="235">
        <v>44931</v>
      </c>
      <c r="AI396" s="8" t="str">
        <f t="shared" si="1228"/>
        <v>2022.12.01</v>
      </c>
      <c r="AJ396" s="235">
        <f t="shared" si="1229"/>
        <v>44926</v>
      </c>
      <c r="AK396" s="8" t="str">
        <f t="shared" si="1230"/>
        <v>A 2020-1.1.2-PIACI-KFI-2021-00219 számú 
támogatás keretében elszámolásra került: 
350 000 bér + 45 500 járulék</v>
      </c>
    </row>
    <row r="397" spans="1:37" s="167" customFormat="1" x14ac:dyDescent="0.25">
      <c r="A397" s="207">
        <v>2</v>
      </c>
      <c r="B397" s="92" t="s">
        <v>192</v>
      </c>
      <c r="C397" s="90" t="str">
        <f>VLOOKUP($F397,Admin!$A$16:$E$19,2,FALSE)</f>
        <v>Alkalmazott (ipari) kutatás – Működési költség</v>
      </c>
      <c r="D397" s="160" t="s">
        <v>129</v>
      </c>
      <c r="E397" s="90" t="str">
        <f>VLOOKUP($F397,Admin!$A$16:$E$19,4,FALSE)</f>
        <v>54. Bérköltség - technikus segédszemélyzet</v>
      </c>
      <c r="F397" s="90" t="s">
        <v>173</v>
      </c>
      <c r="G397" s="160" t="s">
        <v>174</v>
      </c>
      <c r="H397" s="160" t="s">
        <v>196</v>
      </c>
      <c r="I397" s="90" t="str">
        <f>VLOOKUP($F397,Admin!$A$16:$E$19,5,FALSE)</f>
        <v>Technikus</v>
      </c>
      <c r="J397" s="160" t="s">
        <v>64</v>
      </c>
      <c r="K397" s="160" t="str">
        <f t="shared" si="1231"/>
        <v>2023.01</v>
      </c>
      <c r="L397" s="91" t="s">
        <v>8</v>
      </c>
      <c r="M397" s="92" t="s">
        <v>78</v>
      </c>
      <c r="N397" s="161">
        <v>721000</v>
      </c>
      <c r="O397" s="162">
        <f t="shared" ref="O397" si="1237">ROUND(N397*V397,0)</f>
        <v>93730</v>
      </c>
      <c r="P397" s="20">
        <v>174</v>
      </c>
      <c r="Q397" s="238">
        <v>87</v>
      </c>
      <c r="R397" s="229">
        <f t="shared" ref="R397" si="1238">Q397/P397</f>
        <v>0.5</v>
      </c>
      <c r="S397" s="163">
        <f t="shared" ref="S397" si="1239">ROUND(N397*Q397/P397,0)</f>
        <v>360500</v>
      </c>
      <c r="T397" s="164">
        <f t="shared" ref="T397" si="1240">ROUND(S397*V397,0)</f>
        <v>46865</v>
      </c>
      <c r="U397" s="165">
        <f t="shared" ref="U397" si="1241">Q397/P397-S397/N397</f>
        <v>0</v>
      </c>
      <c r="V397" s="87">
        <v>0.13</v>
      </c>
      <c r="W397" s="223" t="s">
        <v>234</v>
      </c>
      <c r="X397" s="23">
        <v>44949</v>
      </c>
      <c r="Y397" s="20" t="s">
        <v>197</v>
      </c>
      <c r="Z397" s="20"/>
      <c r="AA397" s="20"/>
      <c r="AC397" s="210" t="s">
        <v>246</v>
      </c>
      <c r="AD397" s="210">
        <v>0</v>
      </c>
      <c r="AE397" s="210">
        <v>0</v>
      </c>
      <c r="AF397" s="8">
        <v>176</v>
      </c>
      <c r="AG397" s="8">
        <f t="shared" si="1227"/>
        <v>88</v>
      </c>
      <c r="AH397" s="235">
        <v>44960</v>
      </c>
      <c r="AI397" s="8" t="str">
        <f t="shared" si="1228"/>
        <v>2023.01.01</v>
      </c>
      <c r="AJ397" s="235">
        <f t="shared" si="1229"/>
        <v>44957</v>
      </c>
      <c r="AK397" s="8" t="str">
        <f>CONCATENATE("A 2020-1.1.2-PIACI-KFI-2021-00219 számú 
támogatás keretében elszámolásra került: 
",TEXT(S397,"# ##0")," Ft bér + ",TEXT(T397,"# ##0")," Ft járulék")</f>
        <v>A 2020-1.1.2-PIACI-KFI-2021-00219 számú 
támogatás keretében elszámolásra került: 
360 500 Ft bér + 46 865 Ft járulék</v>
      </c>
    </row>
    <row r="398" spans="1:37" s="167" customFormat="1" x14ac:dyDescent="0.25">
      <c r="A398" s="207">
        <v>2</v>
      </c>
      <c r="B398" s="92" t="s">
        <v>192</v>
      </c>
      <c r="C398" s="90" t="str">
        <f>VLOOKUP($F398,Admin!$A$16:$E$19,2,FALSE)</f>
        <v>Alkalmazott (ipari) kutatás – Működési költség</v>
      </c>
      <c r="D398" s="160" t="s">
        <v>129</v>
      </c>
      <c r="E398" s="90" t="str">
        <f>VLOOKUP($F398,Admin!$A$16:$E$19,4,FALSE)</f>
        <v>54. Bérköltség - technikus segédszemélyzet</v>
      </c>
      <c r="F398" s="90" t="s">
        <v>173</v>
      </c>
      <c r="G398" s="160" t="s">
        <v>174</v>
      </c>
      <c r="H398" s="160" t="s">
        <v>248</v>
      </c>
      <c r="I398" s="90" t="str">
        <f>VLOOKUP($F398,Admin!$A$16:$E$19,5,FALSE)</f>
        <v>Technikus</v>
      </c>
      <c r="J398" s="160" t="s">
        <v>65</v>
      </c>
      <c r="K398" s="160" t="str">
        <f t="shared" si="1231"/>
        <v>2023.02</v>
      </c>
      <c r="L398" s="91" t="s">
        <v>8</v>
      </c>
      <c r="M398" s="92" t="s">
        <v>78</v>
      </c>
      <c r="N398" s="161">
        <v>721000</v>
      </c>
      <c r="O398" s="162">
        <f t="shared" ref="O398:O403" si="1242">ROUND(N398*V398,0)</f>
        <v>93730</v>
      </c>
      <c r="P398" s="20">
        <v>174</v>
      </c>
      <c r="Q398" s="238">
        <v>87</v>
      </c>
      <c r="R398" s="229">
        <f t="shared" ref="R398:R403" si="1243">Q398/P398</f>
        <v>0.5</v>
      </c>
      <c r="S398" s="163">
        <f t="shared" ref="S398:S403" si="1244">ROUND(N398*Q398/P398,0)</f>
        <v>360500</v>
      </c>
      <c r="T398" s="164">
        <f t="shared" ref="T398:T403" si="1245">ROUND(S398*V398,0)</f>
        <v>46865</v>
      </c>
      <c r="U398" s="165">
        <f t="shared" ref="U398:U403" si="1246">Q398/P398-S398/N398</f>
        <v>0</v>
      </c>
      <c r="V398" s="87">
        <v>0.13</v>
      </c>
      <c r="W398" s="223" t="s">
        <v>234</v>
      </c>
      <c r="X398" s="23">
        <v>44949</v>
      </c>
      <c r="Y398" s="20" t="s">
        <v>197</v>
      </c>
      <c r="Z398" s="20"/>
      <c r="AA398" s="20"/>
      <c r="AC398" s="8" t="s">
        <v>246</v>
      </c>
      <c r="AD398" s="8">
        <v>0</v>
      </c>
      <c r="AE398" s="8">
        <v>54600</v>
      </c>
      <c r="AF398" s="8">
        <v>160</v>
      </c>
      <c r="AG398" s="8">
        <f t="shared" si="1227"/>
        <v>80</v>
      </c>
      <c r="AH398" s="235">
        <v>44988</v>
      </c>
      <c r="AI398" s="8" t="str">
        <f t="shared" si="1228"/>
        <v>2023.02.01</v>
      </c>
      <c r="AJ398" s="235">
        <f t="shared" si="1229"/>
        <v>44985</v>
      </c>
      <c r="AK398" s="8" t="str">
        <f t="shared" ref="AK398:AK401" si="1247">CONCATENATE("A 2020-1.1.2-PIACI-KFI-2021-00219 számú 
támogatás keretében elszámolásra került: 
",TEXT(S398,"# ##0")," Ft bér + ",TEXT(T398,"# ##0")," Ft járulék")</f>
        <v>A 2020-1.1.2-PIACI-KFI-2021-00219 számú 
támogatás keretében elszámolásra került: 
360 500 Ft bér + 46 865 Ft járulék</v>
      </c>
    </row>
    <row r="399" spans="1:37" s="167" customFormat="1" x14ac:dyDescent="0.25">
      <c r="A399" s="207">
        <v>2</v>
      </c>
      <c r="B399" s="92" t="s">
        <v>192</v>
      </c>
      <c r="C399" s="90" t="str">
        <f>VLOOKUP($F399,Admin!$A$16:$E$19,2,FALSE)</f>
        <v>Alkalmazott (ipari) kutatás – Működési költség</v>
      </c>
      <c r="D399" s="160" t="s">
        <v>129</v>
      </c>
      <c r="E399" s="90" t="str">
        <f>VLOOKUP($F399,Admin!$A$16:$E$19,4,FALSE)</f>
        <v>54. Bérköltség - technikus segédszemélyzet</v>
      </c>
      <c r="F399" s="90" t="s">
        <v>173</v>
      </c>
      <c r="G399" s="160" t="s">
        <v>174</v>
      </c>
      <c r="H399" s="160" t="s">
        <v>248</v>
      </c>
      <c r="I399" s="90" t="str">
        <f>VLOOKUP($F399,Admin!$A$16:$E$19,5,FALSE)</f>
        <v>Technikus</v>
      </c>
      <c r="J399" s="160" t="s">
        <v>66</v>
      </c>
      <c r="K399" s="160" t="str">
        <f t="shared" si="1231"/>
        <v>2023.03</v>
      </c>
      <c r="L399" s="91" t="s">
        <v>8</v>
      </c>
      <c r="M399" s="92" t="s">
        <v>78</v>
      </c>
      <c r="N399" s="161">
        <v>721000</v>
      </c>
      <c r="O399" s="162">
        <f t="shared" si="1242"/>
        <v>93730</v>
      </c>
      <c r="P399" s="20">
        <v>174</v>
      </c>
      <c r="Q399" s="238">
        <v>87</v>
      </c>
      <c r="R399" s="229">
        <f t="shared" si="1243"/>
        <v>0.5</v>
      </c>
      <c r="S399" s="163">
        <f t="shared" si="1244"/>
        <v>360500</v>
      </c>
      <c r="T399" s="164">
        <f t="shared" si="1245"/>
        <v>46865</v>
      </c>
      <c r="U399" s="165">
        <f t="shared" si="1246"/>
        <v>0</v>
      </c>
      <c r="V399" s="87">
        <v>0.13</v>
      </c>
      <c r="W399" s="223" t="s">
        <v>234</v>
      </c>
      <c r="X399" s="23">
        <v>44949</v>
      </c>
      <c r="Y399" s="20" t="s">
        <v>197</v>
      </c>
      <c r="Z399" s="20"/>
      <c r="AA399" s="20"/>
      <c r="AC399" s="8" t="s">
        <v>246</v>
      </c>
      <c r="AD399" s="8">
        <v>0</v>
      </c>
      <c r="AE399" s="8">
        <v>54600</v>
      </c>
      <c r="AF399" s="8">
        <v>176</v>
      </c>
      <c r="AG399" s="8">
        <f t="shared" si="1227"/>
        <v>88</v>
      </c>
      <c r="AH399" s="235">
        <v>45021</v>
      </c>
      <c r="AI399" s="8" t="str">
        <f t="shared" si="1228"/>
        <v>2023.03.01</v>
      </c>
      <c r="AJ399" s="235">
        <f t="shared" si="1229"/>
        <v>45016</v>
      </c>
      <c r="AK399" s="8" t="str">
        <f t="shared" si="1247"/>
        <v>A 2020-1.1.2-PIACI-KFI-2021-00219 számú 
támogatás keretében elszámolásra került: 
360 500 Ft bér + 46 865 Ft járulék</v>
      </c>
    </row>
    <row r="400" spans="1:37" s="167" customFormat="1" x14ac:dyDescent="0.25">
      <c r="A400" s="207">
        <v>2</v>
      </c>
      <c r="B400" s="92" t="s">
        <v>192</v>
      </c>
      <c r="C400" s="90" t="str">
        <f>VLOOKUP($F400,Admin!$A$16:$E$19,2,FALSE)</f>
        <v>Alkalmazott (ipari) kutatás – Működési költség</v>
      </c>
      <c r="D400" s="160" t="s">
        <v>129</v>
      </c>
      <c r="E400" s="90" t="str">
        <f>VLOOKUP($F400,Admin!$A$16:$E$19,4,FALSE)</f>
        <v>54. Bérköltség - technikus segédszemélyzet</v>
      </c>
      <c r="F400" s="90" t="s">
        <v>173</v>
      </c>
      <c r="G400" s="160" t="s">
        <v>174</v>
      </c>
      <c r="H400" s="160" t="s">
        <v>248</v>
      </c>
      <c r="I400" s="90" t="str">
        <f>VLOOKUP($F400,Admin!$A$16:$E$19,5,FALSE)</f>
        <v>Technikus</v>
      </c>
      <c r="J400" s="160" t="s">
        <v>67</v>
      </c>
      <c r="K400" s="160" t="str">
        <f t="shared" si="1231"/>
        <v>2023.04</v>
      </c>
      <c r="L400" s="91" t="s">
        <v>8</v>
      </c>
      <c r="M400" s="92" t="s">
        <v>78</v>
      </c>
      <c r="N400" s="161">
        <v>721000</v>
      </c>
      <c r="O400" s="162">
        <f t="shared" si="1242"/>
        <v>93730</v>
      </c>
      <c r="P400" s="20">
        <v>174</v>
      </c>
      <c r="Q400" s="238">
        <v>87</v>
      </c>
      <c r="R400" s="229">
        <f t="shared" si="1243"/>
        <v>0.5</v>
      </c>
      <c r="S400" s="163">
        <f t="shared" si="1244"/>
        <v>360500</v>
      </c>
      <c r="T400" s="164">
        <f t="shared" si="1245"/>
        <v>46865</v>
      </c>
      <c r="U400" s="165">
        <f t="shared" si="1246"/>
        <v>0</v>
      </c>
      <c r="V400" s="87">
        <v>0.13</v>
      </c>
      <c r="W400" s="223" t="s">
        <v>234</v>
      </c>
      <c r="X400" s="23">
        <v>44949</v>
      </c>
      <c r="Y400" s="20" t="s">
        <v>197</v>
      </c>
      <c r="Z400" s="20"/>
      <c r="AA400" s="20"/>
      <c r="AC400" s="8" t="s">
        <v>246</v>
      </c>
      <c r="AD400" s="8">
        <v>0</v>
      </c>
      <c r="AE400" s="233">
        <v>54600</v>
      </c>
      <c r="AF400" s="8">
        <v>144</v>
      </c>
      <c r="AG400" s="8">
        <f t="shared" si="1227"/>
        <v>72</v>
      </c>
      <c r="AH400" s="235">
        <v>45051</v>
      </c>
      <c r="AI400" s="8" t="str">
        <f t="shared" si="1228"/>
        <v>2023.04.01</v>
      </c>
      <c r="AJ400" s="235">
        <f t="shared" si="1229"/>
        <v>45046</v>
      </c>
      <c r="AK400" s="8" t="str">
        <f t="shared" si="1247"/>
        <v>A 2020-1.1.2-PIACI-KFI-2021-00219 számú 
támogatás keretében elszámolásra került: 
360 500 Ft bér + 46 865 Ft járulék</v>
      </c>
    </row>
    <row r="401" spans="1:37" s="167" customFormat="1" x14ac:dyDescent="0.25">
      <c r="A401" s="207">
        <v>2</v>
      </c>
      <c r="B401" s="92" t="s">
        <v>192</v>
      </c>
      <c r="C401" s="90" t="str">
        <f>VLOOKUP($F401,Admin!$A$16:$E$19,2,FALSE)</f>
        <v>Alkalmazott (ipari) kutatás – Működési költség</v>
      </c>
      <c r="D401" s="160" t="s">
        <v>129</v>
      </c>
      <c r="E401" s="90" t="str">
        <f>VLOOKUP($F401,Admin!$A$16:$E$19,4,FALSE)</f>
        <v>54. Bérköltség - technikus segédszemélyzet</v>
      </c>
      <c r="F401" s="90" t="s">
        <v>173</v>
      </c>
      <c r="G401" s="160" t="s">
        <v>174</v>
      </c>
      <c r="H401" s="160" t="s">
        <v>248</v>
      </c>
      <c r="I401" s="90" t="str">
        <f>VLOOKUP($F401,Admin!$A$16:$E$19,5,FALSE)</f>
        <v>Technikus</v>
      </c>
      <c r="J401" s="160" t="s">
        <v>68</v>
      </c>
      <c r="K401" s="160" t="str">
        <f t="shared" si="1231"/>
        <v>2023.05</v>
      </c>
      <c r="L401" s="91" t="s">
        <v>8</v>
      </c>
      <c r="M401" s="92" t="s">
        <v>78</v>
      </c>
      <c r="N401" s="161">
        <v>721000</v>
      </c>
      <c r="O401" s="162">
        <f t="shared" si="1242"/>
        <v>93730</v>
      </c>
      <c r="P401" s="20">
        <v>174</v>
      </c>
      <c r="Q401" s="238">
        <v>87</v>
      </c>
      <c r="R401" s="229">
        <f t="shared" si="1243"/>
        <v>0.5</v>
      </c>
      <c r="S401" s="163">
        <f t="shared" si="1244"/>
        <v>360500</v>
      </c>
      <c r="T401" s="164">
        <f t="shared" si="1245"/>
        <v>46865</v>
      </c>
      <c r="U401" s="165">
        <f t="shared" si="1246"/>
        <v>0</v>
      </c>
      <c r="V401" s="87">
        <v>0.13</v>
      </c>
      <c r="W401" s="223" t="s">
        <v>234</v>
      </c>
      <c r="X401" s="23">
        <v>44949</v>
      </c>
      <c r="Y401" s="20" t="s">
        <v>197</v>
      </c>
      <c r="Z401" s="20"/>
      <c r="AA401" s="20"/>
      <c r="AC401" s="8" t="s">
        <v>246</v>
      </c>
      <c r="AD401" s="8">
        <v>0</v>
      </c>
      <c r="AE401" s="8">
        <v>0</v>
      </c>
      <c r="AF401" s="8">
        <v>168</v>
      </c>
      <c r="AG401" s="8">
        <f t="shared" si="1227"/>
        <v>84</v>
      </c>
      <c r="AH401" s="235">
        <v>45082</v>
      </c>
      <c r="AI401" s="8" t="str">
        <f t="shared" si="1228"/>
        <v>2023.05.01</v>
      </c>
      <c r="AJ401" s="235">
        <f t="shared" si="1229"/>
        <v>45077</v>
      </c>
      <c r="AK401" s="8" t="str">
        <f t="shared" si="1247"/>
        <v>A 2020-1.1.2-PIACI-KFI-2021-00219 számú 
támogatás keretében elszámolásra került: 
360 500 Ft bér + 46 865 Ft járulék</v>
      </c>
    </row>
    <row r="402" spans="1:37" s="167" customFormat="1" x14ac:dyDescent="0.25">
      <c r="A402" s="207">
        <v>2</v>
      </c>
      <c r="B402" s="92" t="s">
        <v>192</v>
      </c>
      <c r="C402" s="90" t="str">
        <f>VLOOKUP($F402,Admin!$A$16:$E$19,2,FALSE)</f>
        <v>Alkalmazott (ipari) kutatás – Működési költség</v>
      </c>
      <c r="D402" s="160" t="s">
        <v>129</v>
      </c>
      <c r="E402" s="90" t="str">
        <f>VLOOKUP($F402,Admin!$A$16:$E$19,4,FALSE)</f>
        <v>54. Bérköltség - technikus segédszemélyzet</v>
      </c>
      <c r="F402" s="90" t="s">
        <v>173</v>
      </c>
      <c r="G402" s="160" t="s">
        <v>174</v>
      </c>
      <c r="H402" s="160" t="s">
        <v>248</v>
      </c>
      <c r="I402" s="90" t="str">
        <f>VLOOKUP($F402,Admin!$A$16:$E$19,5,FALSE)</f>
        <v>Technikus</v>
      </c>
      <c r="J402" s="160" t="s">
        <v>69</v>
      </c>
      <c r="K402" s="160" t="str">
        <f t="shared" si="1231"/>
        <v>2023.06</v>
      </c>
      <c r="L402" s="91" t="s">
        <v>8</v>
      </c>
      <c r="M402" s="92" t="s">
        <v>78</v>
      </c>
      <c r="N402" s="161">
        <v>721000</v>
      </c>
      <c r="O402" s="162">
        <f t="shared" si="1242"/>
        <v>93730</v>
      </c>
      <c r="P402" s="20">
        <v>174</v>
      </c>
      <c r="Q402" s="238">
        <v>87</v>
      </c>
      <c r="R402" s="229">
        <f t="shared" si="1243"/>
        <v>0.5</v>
      </c>
      <c r="S402" s="163">
        <f t="shared" si="1244"/>
        <v>360500</v>
      </c>
      <c r="T402" s="164">
        <f t="shared" si="1245"/>
        <v>46865</v>
      </c>
      <c r="U402" s="165">
        <f t="shared" si="1246"/>
        <v>0</v>
      </c>
      <c r="V402" s="87">
        <v>0.13</v>
      </c>
      <c r="W402" s="223" t="s">
        <v>234</v>
      </c>
      <c r="X402" s="23">
        <v>44949</v>
      </c>
      <c r="Y402" s="20" t="s">
        <v>197</v>
      </c>
      <c r="Z402" s="20"/>
      <c r="AA402" s="20"/>
      <c r="AC402" s="8" t="s">
        <v>246</v>
      </c>
      <c r="AD402" s="8">
        <v>0</v>
      </c>
      <c r="AE402" s="8">
        <v>0</v>
      </c>
      <c r="AF402" s="8">
        <v>176</v>
      </c>
      <c r="AG402" s="8">
        <f t="shared" si="1227"/>
        <v>88</v>
      </c>
      <c r="AH402" s="235">
        <v>45112</v>
      </c>
      <c r="AI402" s="8" t="str">
        <f t="shared" si="1228"/>
        <v>2023.06.01</v>
      </c>
      <c r="AJ402" s="235">
        <f t="shared" si="1229"/>
        <v>45107</v>
      </c>
      <c r="AK402" s="8" t="str">
        <f t="shared" si="1230"/>
        <v>A 2020-1.1.2-PIACI-KFI-2021-00219 számú 
támogatás keretében elszámolásra került: 
360 500 bér + 46 865 járulék</v>
      </c>
    </row>
    <row r="403" spans="1:37" s="167" customFormat="1" x14ac:dyDescent="0.25">
      <c r="A403" s="207">
        <v>2</v>
      </c>
      <c r="B403" s="92" t="s">
        <v>192</v>
      </c>
      <c r="C403" s="90" t="str">
        <f>VLOOKUP($F403,Admin!$A$16:$E$19,2,FALSE)</f>
        <v>Alkalmazott (ipari) kutatás – Működési költség</v>
      </c>
      <c r="D403" s="160" t="s">
        <v>129</v>
      </c>
      <c r="E403" s="90" t="str">
        <f>VLOOKUP($F403,Admin!$A$16:$E$19,4,FALSE)</f>
        <v>54. Bérköltség - technikus segédszemélyzet</v>
      </c>
      <c r="F403" s="90" t="s">
        <v>173</v>
      </c>
      <c r="G403" s="160" t="s">
        <v>174</v>
      </c>
      <c r="H403" s="160" t="s">
        <v>248</v>
      </c>
      <c r="I403" s="90" t="str">
        <f>VLOOKUP($F403,Admin!$A$16:$E$19,5,FALSE)</f>
        <v>Technikus</v>
      </c>
      <c r="J403" s="160" t="s">
        <v>70</v>
      </c>
      <c r="K403" s="160" t="str">
        <f t="shared" si="1231"/>
        <v>2023.07</v>
      </c>
      <c r="L403" s="91" t="s">
        <v>8</v>
      </c>
      <c r="M403" s="92" t="s">
        <v>78</v>
      </c>
      <c r="N403" s="161">
        <v>721000</v>
      </c>
      <c r="O403" s="162">
        <f t="shared" si="1242"/>
        <v>93730</v>
      </c>
      <c r="P403" s="20">
        <v>174</v>
      </c>
      <c r="Q403" s="238">
        <v>87</v>
      </c>
      <c r="R403" s="229">
        <f t="shared" si="1243"/>
        <v>0.5</v>
      </c>
      <c r="S403" s="163">
        <f t="shared" si="1244"/>
        <v>360500</v>
      </c>
      <c r="T403" s="164">
        <f t="shared" si="1245"/>
        <v>46865</v>
      </c>
      <c r="U403" s="165">
        <f t="shared" si="1246"/>
        <v>0</v>
      </c>
      <c r="V403" s="87">
        <v>0.13</v>
      </c>
      <c r="W403" s="223" t="s">
        <v>234</v>
      </c>
      <c r="X403" s="23">
        <v>44949</v>
      </c>
      <c r="Y403" s="20" t="s">
        <v>197</v>
      </c>
      <c r="Z403" s="20"/>
      <c r="AA403" s="20"/>
      <c r="AC403" s="8" t="s">
        <v>246</v>
      </c>
      <c r="AD403" s="8">
        <v>0</v>
      </c>
      <c r="AE403" s="8">
        <v>0</v>
      </c>
      <c r="AF403" s="8">
        <v>168</v>
      </c>
      <c r="AG403" s="8">
        <f t="shared" si="1227"/>
        <v>84</v>
      </c>
      <c r="AH403" s="235">
        <v>45142</v>
      </c>
      <c r="AI403" s="8" t="str">
        <f t="shared" si="1228"/>
        <v>2023.07.01</v>
      </c>
      <c r="AJ403" s="235">
        <f t="shared" si="1229"/>
        <v>45138</v>
      </c>
      <c r="AK403" s="8" t="str">
        <f t="shared" si="1230"/>
        <v>A 2020-1.1.2-PIACI-KFI-2021-00219 számú 
támogatás keretében elszámolásra került: 
360 500 bér + 46 865 járulék</v>
      </c>
    </row>
    <row r="404" spans="1:37" s="167" customFormat="1" x14ac:dyDescent="0.25">
      <c r="A404" s="207">
        <v>2</v>
      </c>
      <c r="B404" s="92" t="s">
        <v>192</v>
      </c>
      <c r="C404" s="90" t="str">
        <f>VLOOKUP($F404,Admin!$A$16:$E$19,2,FALSE)</f>
        <v>Alkalmazott (ipari) kutatás – Működési költség</v>
      </c>
      <c r="D404" s="160" t="s">
        <v>129</v>
      </c>
      <c r="E404" s="90" t="str">
        <f>VLOOKUP($F404,Admin!$A$16:$E$19,4,FALSE)</f>
        <v>54. Bérköltség - technikus segédszemélyzet</v>
      </c>
      <c r="F404" s="90" t="s">
        <v>173</v>
      </c>
      <c r="G404" s="160" t="s">
        <v>174</v>
      </c>
      <c r="H404" s="160" t="s">
        <v>248</v>
      </c>
      <c r="I404" s="90" t="str">
        <f>VLOOKUP($F404,Admin!$A$16:$E$19,5,FALSE)</f>
        <v>Technikus</v>
      </c>
      <c r="J404" s="160" t="s">
        <v>71</v>
      </c>
      <c r="K404" s="160" t="str">
        <f t="shared" ref="K404:K407" si="1248">J404</f>
        <v>2023.08</v>
      </c>
      <c r="L404" s="91" t="s">
        <v>8</v>
      </c>
      <c r="M404" s="92" t="s">
        <v>78</v>
      </c>
      <c r="N404" s="161">
        <v>721000</v>
      </c>
      <c r="O404" s="162">
        <f t="shared" ref="O404" si="1249">ROUND(N404*V404,0)</f>
        <v>93730</v>
      </c>
      <c r="P404" s="20">
        <v>174</v>
      </c>
      <c r="Q404" s="238">
        <v>87</v>
      </c>
      <c r="R404" s="229">
        <f t="shared" ref="R404" si="1250">Q404/P404</f>
        <v>0.5</v>
      </c>
      <c r="S404" s="163">
        <f t="shared" ref="S404" si="1251">ROUND(N404*Q404/P404,0)</f>
        <v>360500</v>
      </c>
      <c r="T404" s="164">
        <f t="shared" ref="T404" si="1252">ROUND(S404*V404,0)</f>
        <v>46865</v>
      </c>
      <c r="U404" s="165">
        <f t="shared" ref="U404" si="1253">Q404/P404-S404/N404</f>
        <v>0</v>
      </c>
      <c r="V404" s="87">
        <v>0.13</v>
      </c>
      <c r="W404" s="223" t="s">
        <v>234</v>
      </c>
      <c r="X404" s="23">
        <v>45133</v>
      </c>
      <c r="Y404" s="20" t="s">
        <v>197</v>
      </c>
      <c r="Z404" s="20"/>
      <c r="AA404" s="20"/>
      <c r="AC404" s="8" t="s">
        <v>246</v>
      </c>
      <c r="AD404" s="8">
        <v>0</v>
      </c>
      <c r="AE404" s="8">
        <v>0</v>
      </c>
      <c r="AF404" s="8">
        <v>184</v>
      </c>
      <c r="AG404" s="8">
        <f t="shared" si="1227"/>
        <v>92</v>
      </c>
      <c r="AH404" s="235">
        <v>45174</v>
      </c>
      <c r="AI404" s="8" t="str">
        <f t="shared" si="1228"/>
        <v>2023.08.01</v>
      </c>
      <c r="AJ404" s="235">
        <f t="shared" si="1229"/>
        <v>45169</v>
      </c>
      <c r="AK404" s="8" t="str">
        <f t="shared" si="1230"/>
        <v>A 2020-1.1.2-PIACI-KFI-2021-00219 számú 
támogatás keretében elszámolásra került: 
360 500 bér + 46 865 járulék</v>
      </c>
    </row>
    <row r="405" spans="1:37" s="167" customFormat="1" x14ac:dyDescent="0.25">
      <c r="A405" s="207">
        <v>2</v>
      </c>
      <c r="B405" s="92" t="s">
        <v>192</v>
      </c>
      <c r="C405" s="90" t="str">
        <f>VLOOKUP($F405,Admin!$A$16:$E$19,2,FALSE)</f>
        <v>Alkalmazott (ipari) kutatás – Működési költség</v>
      </c>
      <c r="D405" s="160" t="s">
        <v>129</v>
      </c>
      <c r="E405" s="90" t="str">
        <f>VLOOKUP($F405,Admin!$A$16:$E$19,4,FALSE)</f>
        <v>54. Bérköltség - technikus segédszemélyzet</v>
      </c>
      <c r="F405" s="90" t="s">
        <v>173</v>
      </c>
      <c r="G405" s="160" t="s">
        <v>174</v>
      </c>
      <c r="H405" s="160" t="s">
        <v>248</v>
      </c>
      <c r="I405" s="90" t="str">
        <f>VLOOKUP($F405,Admin!$A$16:$E$19,5,FALSE)</f>
        <v>Technikus</v>
      </c>
      <c r="J405" s="160" t="s">
        <v>72</v>
      </c>
      <c r="K405" s="160" t="str">
        <f t="shared" si="1248"/>
        <v>2023.09</v>
      </c>
      <c r="L405" s="91" t="s">
        <v>8</v>
      </c>
      <c r="M405" s="92" t="s">
        <v>78</v>
      </c>
      <c r="N405" s="161">
        <v>721000</v>
      </c>
      <c r="O405" s="162">
        <f t="shared" ref="O405:O407" si="1254">ROUND(N405*V405,0)</f>
        <v>93730</v>
      </c>
      <c r="P405" s="20">
        <v>174</v>
      </c>
      <c r="Q405" s="238">
        <v>87</v>
      </c>
      <c r="R405" s="229">
        <f t="shared" ref="R405:R407" si="1255">Q405/P405</f>
        <v>0.5</v>
      </c>
      <c r="S405" s="163">
        <f t="shared" ref="S405:S407" si="1256">ROUND(N405*Q405/P405,0)</f>
        <v>360500</v>
      </c>
      <c r="T405" s="164">
        <f t="shared" ref="T405:T407" si="1257">ROUND(S405*V405,0)</f>
        <v>46865</v>
      </c>
      <c r="U405" s="165">
        <f t="shared" ref="U405:U407" si="1258">Q405/P405-S405/N405</f>
        <v>0</v>
      </c>
      <c r="V405" s="87">
        <v>0.13</v>
      </c>
      <c r="W405" s="223" t="s">
        <v>234</v>
      </c>
      <c r="X405" s="23">
        <v>45133</v>
      </c>
      <c r="Y405" s="20" t="s">
        <v>197</v>
      </c>
      <c r="Z405" s="20"/>
      <c r="AA405" s="20"/>
      <c r="AC405" s="8" t="s">
        <v>246</v>
      </c>
      <c r="AD405" s="233">
        <v>1</v>
      </c>
      <c r="AE405" s="8">
        <v>0</v>
      </c>
      <c r="AF405" s="8">
        <v>168</v>
      </c>
      <c r="AG405" s="8">
        <f t="shared" si="1227"/>
        <v>84</v>
      </c>
      <c r="AH405" s="235">
        <v>45204</v>
      </c>
      <c r="AI405" s="8" t="str">
        <f t="shared" si="1228"/>
        <v>2023.09.01</v>
      </c>
      <c r="AJ405" s="235">
        <f t="shared" si="1229"/>
        <v>45199</v>
      </c>
      <c r="AK405" s="8" t="str">
        <f t="shared" si="1230"/>
        <v>A 2020-1.1.2-PIACI-KFI-2021-00219 számú 
támogatás keretében elszámolásra került: 
360 500 bér + 46 865 járulék</v>
      </c>
    </row>
    <row r="406" spans="1:37" s="167" customFormat="1" x14ac:dyDescent="0.25">
      <c r="A406" s="166"/>
      <c r="B406" s="92" t="s">
        <v>192</v>
      </c>
      <c r="C406" s="90" t="str">
        <f>VLOOKUP($F406,Admin!$A$16:$E$19,2,FALSE)</f>
        <v>Alkalmazott (ipari) kutatás – Működési költség</v>
      </c>
      <c r="D406" s="160" t="s">
        <v>129</v>
      </c>
      <c r="E406" s="90" t="str">
        <f>VLOOKUP($F406,Admin!$A$16:$E$19,4,FALSE)</f>
        <v>54. Bérköltség - technikus segédszemélyzet</v>
      </c>
      <c r="F406" s="90" t="s">
        <v>173</v>
      </c>
      <c r="G406" s="160" t="s">
        <v>174</v>
      </c>
      <c r="H406" s="160" t="s">
        <v>248</v>
      </c>
      <c r="I406" s="90" t="str">
        <f>VLOOKUP($F406,Admin!$A$16:$E$19,5,FALSE)</f>
        <v>Technikus</v>
      </c>
      <c r="J406" s="160" t="s">
        <v>73</v>
      </c>
      <c r="K406" s="160" t="str">
        <f t="shared" si="1248"/>
        <v>2023.10</v>
      </c>
      <c r="L406" s="91" t="s">
        <v>8</v>
      </c>
      <c r="M406" s="92" t="s">
        <v>78</v>
      </c>
      <c r="N406" s="161">
        <v>721000</v>
      </c>
      <c r="O406" s="162">
        <f t="shared" si="1254"/>
        <v>93730</v>
      </c>
      <c r="P406" s="20">
        <v>174</v>
      </c>
      <c r="Q406" s="238">
        <v>87</v>
      </c>
      <c r="R406" s="229">
        <f t="shared" si="1255"/>
        <v>0.5</v>
      </c>
      <c r="S406" s="163">
        <f t="shared" si="1256"/>
        <v>360500</v>
      </c>
      <c r="T406" s="164">
        <f t="shared" si="1257"/>
        <v>46865</v>
      </c>
      <c r="U406" s="165">
        <f t="shared" si="1258"/>
        <v>0</v>
      </c>
      <c r="V406" s="87">
        <v>0.13</v>
      </c>
      <c r="W406" s="223" t="s">
        <v>234</v>
      </c>
      <c r="X406" s="23">
        <v>45133</v>
      </c>
      <c r="Y406" s="20" t="s">
        <v>197</v>
      </c>
      <c r="Z406" s="20"/>
      <c r="AA406" s="20"/>
      <c r="AC406" s="8" t="s">
        <v>246</v>
      </c>
      <c r="AD406" s="8">
        <v>0</v>
      </c>
      <c r="AE406" s="8">
        <v>0</v>
      </c>
    </row>
    <row r="407" spans="1:37" s="167" customFormat="1" x14ac:dyDescent="0.25">
      <c r="A407" s="166"/>
      <c r="B407" s="92" t="s">
        <v>192</v>
      </c>
      <c r="C407" s="90" t="str">
        <f>VLOOKUP($F407,Admin!$A$16:$E$19,2,FALSE)</f>
        <v>Alkalmazott (ipari) kutatás – Működési költség</v>
      </c>
      <c r="D407" s="160" t="s">
        <v>129</v>
      </c>
      <c r="E407" s="90" t="str">
        <f>VLOOKUP($F407,Admin!$A$16:$E$19,4,FALSE)</f>
        <v>54. Bérköltség - technikus segédszemélyzet</v>
      </c>
      <c r="F407" s="90" t="s">
        <v>173</v>
      </c>
      <c r="G407" s="160" t="s">
        <v>174</v>
      </c>
      <c r="H407" s="160" t="s">
        <v>248</v>
      </c>
      <c r="I407" s="90" t="str">
        <f>VLOOKUP($F407,Admin!$A$16:$E$19,5,FALSE)</f>
        <v>Technikus</v>
      </c>
      <c r="J407" s="160" t="s">
        <v>74</v>
      </c>
      <c r="K407" s="160" t="str">
        <f t="shared" si="1248"/>
        <v>2023.11</v>
      </c>
      <c r="L407" s="91" t="s">
        <v>8</v>
      </c>
      <c r="M407" s="92" t="s">
        <v>78</v>
      </c>
      <c r="N407" s="161">
        <v>721000</v>
      </c>
      <c r="O407" s="162">
        <f t="shared" si="1254"/>
        <v>93730</v>
      </c>
      <c r="P407" s="20">
        <v>174</v>
      </c>
      <c r="Q407" s="238">
        <v>87</v>
      </c>
      <c r="R407" s="229">
        <f t="shared" si="1255"/>
        <v>0.5</v>
      </c>
      <c r="S407" s="163">
        <f t="shared" si="1256"/>
        <v>360500</v>
      </c>
      <c r="T407" s="164">
        <f t="shared" si="1257"/>
        <v>46865</v>
      </c>
      <c r="U407" s="165">
        <f t="shared" si="1258"/>
        <v>0</v>
      </c>
      <c r="V407" s="87">
        <v>0.13</v>
      </c>
      <c r="W407" s="223" t="s">
        <v>234</v>
      </c>
      <c r="X407" s="23">
        <v>45133</v>
      </c>
      <c r="Y407" s="20" t="s">
        <v>197</v>
      </c>
      <c r="Z407" s="20"/>
      <c r="AA407" s="20"/>
      <c r="AC407" s="8" t="s">
        <v>246</v>
      </c>
      <c r="AD407" s="8">
        <v>0</v>
      </c>
      <c r="AE407" s="8">
        <v>0</v>
      </c>
    </row>
    <row r="408" spans="1:37" s="167" customFormat="1" x14ac:dyDescent="0.25">
      <c r="A408" s="207">
        <v>2</v>
      </c>
      <c r="B408" s="92" t="s">
        <v>257</v>
      </c>
      <c r="C408" s="90" t="str">
        <f>VLOOKUP($F408,Admin!$A$16:$E$19,2,FALSE)</f>
        <v>Alkalmazott (ipari) kutatás – Működési költség</v>
      </c>
      <c r="D408" s="160" t="s">
        <v>129</v>
      </c>
      <c r="E408" s="90" t="str">
        <f>VLOOKUP($F408,Admin!$A$16:$E$19,4,FALSE)</f>
        <v>54. Bérköltség - Kutató-fejlesztő munkatárs</v>
      </c>
      <c r="F408" s="90" t="s">
        <v>171</v>
      </c>
      <c r="G408" s="160" t="s">
        <v>174</v>
      </c>
      <c r="H408" s="160" t="s">
        <v>193</v>
      </c>
      <c r="I408" s="90" t="str">
        <f>VLOOKUP($F408,Admin!$A$16:$E$19,5,FALSE)</f>
        <v>K+F munkatárs</v>
      </c>
      <c r="J408" s="160" t="s">
        <v>69</v>
      </c>
      <c r="K408" s="160" t="str">
        <f t="shared" si="1231"/>
        <v>2023.06</v>
      </c>
      <c r="L408" s="91" t="s">
        <v>8</v>
      </c>
      <c r="M408" s="92" t="s">
        <v>78</v>
      </c>
      <c r="N408" s="161">
        <v>540000</v>
      </c>
      <c r="O408" s="162">
        <f t="shared" ref="O408" si="1259">ROUND(N408*V408,0)</f>
        <v>70200</v>
      </c>
      <c r="P408" s="20">
        <v>174</v>
      </c>
      <c r="Q408" s="238">
        <v>90</v>
      </c>
      <c r="R408" s="229">
        <f t="shared" ref="R408" si="1260">Q408/P408</f>
        <v>0.51724137931034486</v>
      </c>
      <c r="S408" s="163">
        <f t="shared" ref="S408" si="1261">ROUND(N408*Q408/P408,0)</f>
        <v>279310</v>
      </c>
      <c r="T408" s="164">
        <f t="shared" ref="T408" si="1262">ROUND(S408*V408,0)</f>
        <v>36310</v>
      </c>
      <c r="U408" s="165">
        <f t="shared" ref="U408" si="1263">Q408/P408-S408/N408</f>
        <v>6.3856960408337216E-7</v>
      </c>
      <c r="V408" s="87">
        <v>0.13</v>
      </c>
      <c r="W408" s="223" t="s">
        <v>258</v>
      </c>
      <c r="X408" s="23">
        <v>45062</v>
      </c>
      <c r="Y408" s="20" t="s">
        <v>197</v>
      </c>
      <c r="Z408" s="20"/>
      <c r="AA408" s="20"/>
      <c r="AC408" s="8" t="s">
        <v>246</v>
      </c>
      <c r="AD408" s="8">
        <v>0</v>
      </c>
      <c r="AE408" s="8">
        <v>0</v>
      </c>
      <c r="AF408" s="8">
        <v>176</v>
      </c>
      <c r="AG408" s="8">
        <f t="shared" ref="AG408:AG411" si="1264">ROUNDUP(AF408*R408,2)</f>
        <v>91.04</v>
      </c>
      <c r="AH408" s="235">
        <v>45112</v>
      </c>
      <c r="AI408" s="8" t="str">
        <f t="shared" ref="AI408:AI411" si="1265">CONCATENATE(J408,".01")</f>
        <v>2023.06.01</v>
      </c>
      <c r="AJ408" s="235">
        <f t="shared" ref="AJ408:AJ411" si="1266">EOMONTH(AI408,0)</f>
        <v>45107</v>
      </c>
    </row>
    <row r="409" spans="1:37" s="167" customFormat="1" x14ac:dyDescent="0.25">
      <c r="A409" s="207">
        <v>2</v>
      </c>
      <c r="B409" s="92" t="s">
        <v>257</v>
      </c>
      <c r="C409" s="90" t="str">
        <f>VLOOKUP($F409,Admin!$A$16:$E$19,2,FALSE)</f>
        <v>Alkalmazott (ipari) kutatás – Működési költség</v>
      </c>
      <c r="D409" s="160" t="s">
        <v>129</v>
      </c>
      <c r="E409" s="90" t="str">
        <f>VLOOKUP($F409,Admin!$A$16:$E$19,4,FALSE)</f>
        <v>54. Bérköltség - Kutató-fejlesztő munkatárs</v>
      </c>
      <c r="F409" s="90" t="s">
        <v>171</v>
      </c>
      <c r="G409" s="160" t="s">
        <v>174</v>
      </c>
      <c r="H409" s="160" t="s">
        <v>193</v>
      </c>
      <c r="I409" s="90" t="str">
        <f>VLOOKUP($F409,Admin!$A$16:$E$19,5,FALSE)</f>
        <v>K+F munkatárs</v>
      </c>
      <c r="J409" s="160" t="s">
        <v>70</v>
      </c>
      <c r="K409" s="160" t="str">
        <f t="shared" si="1231"/>
        <v>2023.07</v>
      </c>
      <c r="L409" s="91" t="s">
        <v>8</v>
      </c>
      <c r="M409" s="92" t="s">
        <v>78</v>
      </c>
      <c r="N409" s="161">
        <v>540000</v>
      </c>
      <c r="O409" s="162">
        <f t="shared" ref="O409:O412" si="1267">ROUND(N409*V409,0)</f>
        <v>70200</v>
      </c>
      <c r="P409" s="20">
        <v>174</v>
      </c>
      <c r="Q409" s="238">
        <v>90</v>
      </c>
      <c r="R409" s="229">
        <f t="shared" ref="R409:R412" si="1268">Q409/P409</f>
        <v>0.51724137931034486</v>
      </c>
      <c r="S409" s="163">
        <f t="shared" ref="S409:S412" si="1269">ROUND(N409*Q409/P409,0)</f>
        <v>279310</v>
      </c>
      <c r="T409" s="164">
        <f t="shared" ref="T409:T412" si="1270">ROUND(S409*V409,0)</f>
        <v>36310</v>
      </c>
      <c r="U409" s="165">
        <f t="shared" ref="U409:U412" si="1271">Q409/P409-S409/N409</f>
        <v>6.3856960408337216E-7</v>
      </c>
      <c r="V409" s="87">
        <v>0.13</v>
      </c>
      <c r="W409" s="223" t="s">
        <v>258</v>
      </c>
      <c r="X409" s="23">
        <v>45062</v>
      </c>
      <c r="Y409" s="20" t="s">
        <v>197</v>
      </c>
      <c r="Z409" s="20"/>
      <c r="AA409" s="20"/>
      <c r="AC409" s="8" t="s">
        <v>246</v>
      </c>
      <c r="AD409" s="8">
        <v>-1</v>
      </c>
      <c r="AE409" s="8">
        <v>0</v>
      </c>
      <c r="AF409" s="8">
        <v>168</v>
      </c>
      <c r="AG409" s="8">
        <f t="shared" si="1264"/>
        <v>86.9</v>
      </c>
      <c r="AH409" s="235">
        <v>45142</v>
      </c>
      <c r="AI409" s="8" t="str">
        <f t="shared" si="1265"/>
        <v>2023.07.01</v>
      </c>
      <c r="AJ409" s="235">
        <f t="shared" si="1266"/>
        <v>45138</v>
      </c>
    </row>
    <row r="410" spans="1:37" s="167" customFormat="1" x14ac:dyDescent="0.25">
      <c r="A410" s="207">
        <v>2</v>
      </c>
      <c r="B410" s="92" t="s">
        <v>257</v>
      </c>
      <c r="C410" s="90" t="str">
        <f>VLOOKUP($F410,Admin!$A$16:$E$19,2,FALSE)</f>
        <v>Alkalmazott (ipari) kutatás – Működési költség</v>
      </c>
      <c r="D410" s="160" t="s">
        <v>129</v>
      </c>
      <c r="E410" s="90" t="str">
        <f>VLOOKUP($F410,Admin!$A$16:$E$19,4,FALSE)</f>
        <v>54. Bérköltség - Kutató-fejlesztő munkatárs</v>
      </c>
      <c r="F410" s="90" t="s">
        <v>171</v>
      </c>
      <c r="G410" s="160" t="s">
        <v>174</v>
      </c>
      <c r="H410" s="160" t="s">
        <v>193</v>
      </c>
      <c r="I410" s="90" t="str">
        <f>VLOOKUP($F410,Admin!$A$16:$E$19,5,FALSE)</f>
        <v>K+F munkatárs</v>
      </c>
      <c r="J410" s="160" t="s">
        <v>71</v>
      </c>
      <c r="K410" s="160" t="str">
        <f t="shared" si="1231"/>
        <v>2023.08</v>
      </c>
      <c r="L410" s="91" t="s">
        <v>8</v>
      </c>
      <c r="M410" s="92" t="s">
        <v>78</v>
      </c>
      <c r="N410" s="161">
        <v>539999</v>
      </c>
      <c r="O410" s="162">
        <f t="shared" si="1267"/>
        <v>70200</v>
      </c>
      <c r="P410" s="20">
        <v>174</v>
      </c>
      <c r="Q410" s="238">
        <v>90</v>
      </c>
      <c r="R410" s="229">
        <f t="shared" si="1268"/>
        <v>0.51724137931034486</v>
      </c>
      <c r="S410" s="163">
        <f t="shared" si="1269"/>
        <v>279310</v>
      </c>
      <c r="T410" s="164">
        <f t="shared" si="1270"/>
        <v>36310</v>
      </c>
      <c r="U410" s="165">
        <f t="shared" si="1271"/>
        <v>-3.1928539323544669E-7</v>
      </c>
      <c r="V410" s="87">
        <v>0.13</v>
      </c>
      <c r="W410" s="223" t="s">
        <v>258</v>
      </c>
      <c r="X410" s="23">
        <v>45062</v>
      </c>
      <c r="Y410" s="20" t="s">
        <v>197</v>
      </c>
      <c r="Z410" s="20"/>
      <c r="AA410" s="20"/>
      <c r="AC410" s="8" t="s">
        <v>246</v>
      </c>
      <c r="AD410" s="8">
        <v>0</v>
      </c>
      <c r="AE410" s="8">
        <v>0</v>
      </c>
      <c r="AF410" s="8">
        <v>184</v>
      </c>
      <c r="AG410" s="8">
        <f t="shared" si="1264"/>
        <v>95.18</v>
      </c>
      <c r="AH410" s="235">
        <v>45174</v>
      </c>
      <c r="AI410" s="8" t="str">
        <f t="shared" si="1265"/>
        <v>2023.08.01</v>
      </c>
      <c r="AJ410" s="235">
        <f t="shared" si="1266"/>
        <v>45169</v>
      </c>
    </row>
    <row r="411" spans="1:37" s="167" customFormat="1" x14ac:dyDescent="0.25">
      <c r="A411" s="207">
        <v>2</v>
      </c>
      <c r="B411" s="92" t="s">
        <v>257</v>
      </c>
      <c r="C411" s="90" t="str">
        <f>VLOOKUP($F411,Admin!$A$16:$E$19,2,FALSE)</f>
        <v>Alkalmazott (ipari) kutatás – Működési költség</v>
      </c>
      <c r="D411" s="160" t="s">
        <v>129</v>
      </c>
      <c r="E411" s="90" t="str">
        <f>VLOOKUP($F411,Admin!$A$16:$E$19,4,FALSE)</f>
        <v>54. Bérköltség - Kutató-fejlesztő munkatárs</v>
      </c>
      <c r="F411" s="90" t="s">
        <v>171</v>
      </c>
      <c r="G411" s="160" t="s">
        <v>174</v>
      </c>
      <c r="H411" s="160" t="s">
        <v>193</v>
      </c>
      <c r="I411" s="90" t="str">
        <f>VLOOKUP($F411,Admin!$A$16:$E$19,5,FALSE)</f>
        <v>K+F munkatárs</v>
      </c>
      <c r="J411" s="160" t="s">
        <v>72</v>
      </c>
      <c r="K411" s="160" t="str">
        <f t="shared" si="1231"/>
        <v>2023.09</v>
      </c>
      <c r="L411" s="91" t="s">
        <v>8</v>
      </c>
      <c r="M411" s="92" t="s">
        <v>78</v>
      </c>
      <c r="N411" s="161">
        <v>540000</v>
      </c>
      <c r="O411" s="162">
        <f t="shared" si="1267"/>
        <v>70200</v>
      </c>
      <c r="P411" s="20">
        <v>174</v>
      </c>
      <c r="Q411" s="238">
        <v>90</v>
      </c>
      <c r="R411" s="229">
        <f t="shared" si="1268"/>
        <v>0.51724137931034486</v>
      </c>
      <c r="S411" s="163">
        <f t="shared" si="1269"/>
        <v>279310</v>
      </c>
      <c r="T411" s="164">
        <f t="shared" si="1270"/>
        <v>36310</v>
      </c>
      <c r="U411" s="165">
        <f t="shared" si="1271"/>
        <v>6.3856960408337216E-7</v>
      </c>
      <c r="V411" s="87">
        <v>0.13</v>
      </c>
      <c r="W411" s="223" t="s">
        <v>258</v>
      </c>
      <c r="X411" s="23">
        <v>45062</v>
      </c>
      <c r="Y411" s="20" t="s">
        <v>197</v>
      </c>
      <c r="Z411" s="20"/>
      <c r="AA411" s="20"/>
      <c r="AC411" s="8" t="s">
        <v>246</v>
      </c>
      <c r="AD411" s="233">
        <v>1</v>
      </c>
      <c r="AE411" s="8">
        <v>0</v>
      </c>
      <c r="AF411" s="8">
        <v>168</v>
      </c>
      <c r="AG411" s="8">
        <f t="shared" si="1264"/>
        <v>86.9</v>
      </c>
      <c r="AH411" s="235">
        <v>45204</v>
      </c>
      <c r="AI411" s="8" t="str">
        <f t="shared" si="1265"/>
        <v>2023.09.01</v>
      </c>
      <c r="AJ411" s="235">
        <f t="shared" si="1266"/>
        <v>45199</v>
      </c>
    </row>
    <row r="412" spans="1:37" s="167" customFormat="1" x14ac:dyDescent="0.25">
      <c r="A412" s="166"/>
      <c r="B412" s="92" t="s">
        <v>257</v>
      </c>
      <c r="C412" s="90" t="str">
        <f>VLOOKUP($F412,Admin!$A$16:$E$19,2,FALSE)</f>
        <v>Alkalmazott (ipari) kutatás – Működési költség</v>
      </c>
      <c r="D412" s="160" t="s">
        <v>129</v>
      </c>
      <c r="E412" s="90" t="str">
        <f>VLOOKUP($F412,Admin!$A$16:$E$19,4,FALSE)</f>
        <v>54. Bérköltség - Kutató-fejlesztő munkatárs</v>
      </c>
      <c r="F412" s="90" t="s">
        <v>171</v>
      </c>
      <c r="G412" s="160" t="s">
        <v>174</v>
      </c>
      <c r="H412" s="160" t="s">
        <v>193</v>
      </c>
      <c r="I412" s="90" t="str">
        <f>VLOOKUP($F412,Admin!$A$16:$E$19,5,FALSE)</f>
        <v>K+F munkatárs</v>
      </c>
      <c r="J412" s="160" t="s">
        <v>73</v>
      </c>
      <c r="K412" s="160" t="str">
        <f t="shared" si="1231"/>
        <v>2023.10</v>
      </c>
      <c r="L412" s="91" t="s">
        <v>8</v>
      </c>
      <c r="M412" s="92" t="s">
        <v>78</v>
      </c>
      <c r="N412" s="161">
        <v>540000</v>
      </c>
      <c r="O412" s="162">
        <f t="shared" si="1267"/>
        <v>70200</v>
      </c>
      <c r="P412" s="20">
        <v>174</v>
      </c>
      <c r="Q412" s="238">
        <v>90</v>
      </c>
      <c r="R412" s="229">
        <f t="shared" si="1268"/>
        <v>0.51724137931034486</v>
      </c>
      <c r="S412" s="163">
        <f t="shared" si="1269"/>
        <v>279310</v>
      </c>
      <c r="T412" s="164">
        <f t="shared" si="1270"/>
        <v>36310</v>
      </c>
      <c r="U412" s="165">
        <f t="shared" si="1271"/>
        <v>6.3856960408337216E-7</v>
      </c>
      <c r="V412" s="87">
        <v>0.13</v>
      </c>
      <c r="W412" s="223" t="s">
        <v>258</v>
      </c>
      <c r="X412" s="23">
        <v>45062</v>
      </c>
      <c r="Y412" s="20" t="s">
        <v>197</v>
      </c>
      <c r="Z412" s="20"/>
      <c r="AA412" s="20"/>
      <c r="AC412" s="8" t="s">
        <v>246</v>
      </c>
      <c r="AD412" s="8">
        <v>0</v>
      </c>
      <c r="AE412" s="8">
        <v>0</v>
      </c>
    </row>
    <row r="413" spans="1:37" s="167" customFormat="1" x14ac:dyDescent="0.25">
      <c r="A413" s="166"/>
      <c r="B413" s="92" t="s">
        <v>257</v>
      </c>
      <c r="C413" s="90" t="str">
        <f>VLOOKUP($F413,Admin!$A$16:$E$19,2,FALSE)</f>
        <v>Alkalmazott (ipari) kutatás – Működési költség</v>
      </c>
      <c r="D413" s="160" t="s">
        <v>129</v>
      </c>
      <c r="E413" s="90" t="str">
        <f>VLOOKUP($F413,Admin!$A$16:$E$19,4,FALSE)</f>
        <v>54. Bérköltség - Kutató-fejlesztő munkatárs</v>
      </c>
      <c r="F413" s="90" t="s">
        <v>171</v>
      </c>
      <c r="G413" s="160" t="s">
        <v>174</v>
      </c>
      <c r="H413" s="160" t="s">
        <v>193</v>
      </c>
      <c r="I413" s="90" t="str">
        <f>VLOOKUP($F413,Admin!$A$16:$E$19,5,FALSE)</f>
        <v>K+F munkatárs</v>
      </c>
      <c r="J413" s="160" t="s">
        <v>74</v>
      </c>
      <c r="K413" s="160" t="str">
        <f t="shared" ref="K413:K416" si="1272">J413</f>
        <v>2023.11</v>
      </c>
      <c r="L413" s="91" t="s">
        <v>8</v>
      </c>
      <c r="M413" s="92" t="s">
        <v>78</v>
      </c>
      <c r="N413" s="161">
        <v>540000</v>
      </c>
      <c r="O413" s="162">
        <f t="shared" ref="O413:O415" si="1273">ROUND(N413*V413,0)</f>
        <v>70200</v>
      </c>
      <c r="P413" s="20">
        <v>174</v>
      </c>
      <c r="Q413" s="238">
        <v>90</v>
      </c>
      <c r="R413" s="229">
        <f t="shared" ref="R413:R415" si="1274">Q413/P413</f>
        <v>0.51724137931034486</v>
      </c>
      <c r="S413" s="163">
        <f t="shared" ref="S413:S415" si="1275">ROUND(N413*Q413/P413,0)</f>
        <v>279310</v>
      </c>
      <c r="T413" s="164">
        <f t="shared" ref="T413:T415" si="1276">ROUND(S413*V413,0)</f>
        <v>36310</v>
      </c>
      <c r="U413" s="165">
        <f t="shared" ref="U413:U415" si="1277">Q413/P413-S413/N413</f>
        <v>6.3856960408337216E-7</v>
      </c>
      <c r="V413" s="87">
        <v>0.13</v>
      </c>
      <c r="W413" s="223" t="s">
        <v>258</v>
      </c>
      <c r="X413" s="23">
        <v>45211</v>
      </c>
      <c r="Y413" s="20" t="s">
        <v>197</v>
      </c>
      <c r="Z413" s="20"/>
      <c r="AA413" s="20"/>
      <c r="AC413" s="8" t="s">
        <v>246</v>
      </c>
      <c r="AD413" s="8">
        <v>0</v>
      </c>
      <c r="AE413" s="8">
        <v>0</v>
      </c>
    </row>
    <row r="414" spans="1:37" s="167" customFormat="1" x14ac:dyDescent="0.25">
      <c r="A414" s="166"/>
      <c r="B414" s="92" t="s">
        <v>257</v>
      </c>
      <c r="C414" s="90" t="str">
        <f>VLOOKUP($F414,Admin!$A$16:$E$19,2,FALSE)</f>
        <v>Alkalmazott (ipari) kutatás – Működési költség</v>
      </c>
      <c r="D414" s="160" t="s">
        <v>129</v>
      </c>
      <c r="E414" s="90" t="str">
        <f>VLOOKUP($F414,Admin!$A$16:$E$19,4,FALSE)</f>
        <v>54. Bérköltség - Kutató-fejlesztő munkatárs</v>
      </c>
      <c r="F414" s="90" t="s">
        <v>171</v>
      </c>
      <c r="G414" s="160" t="s">
        <v>174</v>
      </c>
      <c r="H414" s="160" t="s">
        <v>193</v>
      </c>
      <c r="I414" s="90" t="str">
        <f>VLOOKUP($F414,Admin!$A$16:$E$19,5,FALSE)</f>
        <v>K+F munkatárs</v>
      </c>
      <c r="J414" s="160" t="s">
        <v>139</v>
      </c>
      <c r="K414" s="160" t="str">
        <f t="shared" si="1272"/>
        <v>2023.12</v>
      </c>
      <c r="L414" s="91" t="s">
        <v>8</v>
      </c>
      <c r="M414" s="92" t="s">
        <v>78</v>
      </c>
      <c r="N414" s="161">
        <v>540000</v>
      </c>
      <c r="O414" s="162">
        <f t="shared" si="1273"/>
        <v>70200</v>
      </c>
      <c r="P414" s="20">
        <v>174</v>
      </c>
      <c r="Q414" s="238">
        <v>90</v>
      </c>
      <c r="R414" s="229">
        <f t="shared" si="1274"/>
        <v>0.51724137931034486</v>
      </c>
      <c r="S414" s="163">
        <f t="shared" si="1275"/>
        <v>279310</v>
      </c>
      <c r="T414" s="164">
        <f t="shared" si="1276"/>
        <v>36310</v>
      </c>
      <c r="U414" s="165">
        <f t="shared" si="1277"/>
        <v>6.3856960408337216E-7</v>
      </c>
      <c r="V414" s="87">
        <v>0.13</v>
      </c>
      <c r="W414" s="223" t="s">
        <v>258</v>
      </c>
      <c r="X414" s="23">
        <v>45211</v>
      </c>
      <c r="Y414" s="20" t="s">
        <v>197</v>
      </c>
      <c r="Z414" s="20"/>
      <c r="AA414" s="20"/>
      <c r="AC414" s="8" t="s">
        <v>246</v>
      </c>
      <c r="AD414" s="8">
        <v>0</v>
      </c>
      <c r="AE414" s="8">
        <v>0</v>
      </c>
    </row>
    <row r="415" spans="1:37" s="167" customFormat="1" x14ac:dyDescent="0.25">
      <c r="A415" s="166"/>
      <c r="B415" s="92" t="s">
        <v>257</v>
      </c>
      <c r="C415" s="90" t="str">
        <f>VLOOKUP($F415,Admin!$A$16:$E$19,2,FALSE)</f>
        <v>Alkalmazott (ipari) kutatás – Működési költség</v>
      </c>
      <c r="D415" s="160" t="s">
        <v>129</v>
      </c>
      <c r="E415" s="90" t="str">
        <f>VLOOKUP($F415,Admin!$A$16:$E$19,4,FALSE)</f>
        <v>54. Bérköltség - Kutató-fejlesztő munkatárs</v>
      </c>
      <c r="F415" s="90" t="s">
        <v>171</v>
      </c>
      <c r="G415" s="160" t="s">
        <v>174</v>
      </c>
      <c r="H415" s="160" t="s">
        <v>193</v>
      </c>
      <c r="I415" s="90" t="str">
        <f>VLOOKUP($F415,Admin!$A$16:$E$19,5,FALSE)</f>
        <v>K+F munkatárs</v>
      </c>
      <c r="J415" s="160" t="s">
        <v>140</v>
      </c>
      <c r="K415" s="160" t="str">
        <f t="shared" si="1272"/>
        <v>2024.01</v>
      </c>
      <c r="L415" s="91" t="s">
        <v>8</v>
      </c>
      <c r="M415" s="92" t="s">
        <v>78</v>
      </c>
      <c r="N415" s="161">
        <v>560000</v>
      </c>
      <c r="O415" s="162">
        <f t="shared" si="1273"/>
        <v>72800</v>
      </c>
      <c r="P415" s="20">
        <v>174</v>
      </c>
      <c r="Q415" s="238">
        <v>19.14</v>
      </c>
      <c r="R415" s="229">
        <f t="shared" si="1274"/>
        <v>0.11</v>
      </c>
      <c r="S415" s="163">
        <f t="shared" si="1275"/>
        <v>61600</v>
      </c>
      <c r="T415" s="164">
        <f t="shared" si="1276"/>
        <v>8008</v>
      </c>
      <c r="U415" s="165">
        <f t="shared" si="1277"/>
        <v>0</v>
      </c>
      <c r="V415" s="87">
        <v>0.13</v>
      </c>
      <c r="W415" s="223" t="s">
        <v>258</v>
      </c>
      <c r="X415" s="23">
        <v>45315</v>
      </c>
      <c r="Y415" s="20" t="s">
        <v>197</v>
      </c>
      <c r="Z415" s="20"/>
      <c r="AA415" s="20"/>
      <c r="AC415" s="8" t="s">
        <v>246</v>
      </c>
      <c r="AD415" s="243">
        <v>0</v>
      </c>
      <c r="AE415" s="243">
        <v>0</v>
      </c>
    </row>
    <row r="416" spans="1:37" s="167" customFormat="1" x14ac:dyDescent="0.25">
      <c r="A416" s="166"/>
      <c r="B416" s="92" t="s">
        <v>257</v>
      </c>
      <c r="C416" s="90" t="str">
        <f>VLOOKUP($F416,Admin!$A$16:$E$19,2,FALSE)</f>
        <v>Alkalmazott (ipari) kutatás – Működési költség</v>
      </c>
      <c r="D416" s="160" t="s">
        <v>129</v>
      </c>
      <c r="E416" s="90" t="str">
        <f>VLOOKUP($F416,Admin!$A$16:$E$19,4,FALSE)</f>
        <v>54. Bérköltség - Kutató-fejlesztő munkatárs</v>
      </c>
      <c r="F416" s="90" t="s">
        <v>171</v>
      </c>
      <c r="G416" s="160" t="s">
        <v>174</v>
      </c>
      <c r="H416" s="160" t="s">
        <v>193</v>
      </c>
      <c r="I416" s="90" t="str">
        <f>VLOOKUP($F416,Admin!$A$16:$E$19,5,FALSE)</f>
        <v>K+F munkatárs</v>
      </c>
      <c r="J416" s="160" t="s">
        <v>141</v>
      </c>
      <c r="K416" s="160" t="str">
        <f t="shared" si="1272"/>
        <v>2024.02</v>
      </c>
      <c r="L416" s="91" t="s">
        <v>8</v>
      </c>
      <c r="M416" s="92" t="s">
        <v>78</v>
      </c>
      <c r="N416" s="161">
        <v>560000</v>
      </c>
      <c r="O416" s="162">
        <f t="shared" ref="O416:O417" si="1278">ROUND(N416*V416,0)</f>
        <v>72800</v>
      </c>
      <c r="P416" s="20">
        <v>174</v>
      </c>
      <c r="Q416" s="238">
        <v>19.14</v>
      </c>
      <c r="R416" s="229">
        <f t="shared" ref="R416:R417" si="1279">Q416/P416</f>
        <v>0.11</v>
      </c>
      <c r="S416" s="163">
        <f t="shared" ref="S416:S417" si="1280">ROUND(N416*Q416/P416,0)</f>
        <v>61600</v>
      </c>
      <c r="T416" s="164">
        <f t="shared" ref="T416:T417" si="1281">ROUND(S416*V416,0)</f>
        <v>8008</v>
      </c>
      <c r="U416" s="165">
        <f t="shared" ref="U416:U417" si="1282">Q416/P416-S416/N416</f>
        <v>0</v>
      </c>
      <c r="V416" s="87">
        <v>0.13</v>
      </c>
      <c r="W416" s="223" t="s">
        <v>258</v>
      </c>
      <c r="X416" s="23">
        <v>45315</v>
      </c>
      <c r="Y416" s="20" t="s">
        <v>197</v>
      </c>
      <c r="Z416" s="20"/>
      <c r="AA416" s="20"/>
      <c r="AC416" s="8" t="s">
        <v>246</v>
      </c>
      <c r="AD416" s="243">
        <v>0</v>
      </c>
      <c r="AE416" s="243">
        <v>0</v>
      </c>
    </row>
    <row r="417" spans="1:31" s="167" customFormat="1" x14ac:dyDescent="0.25">
      <c r="A417" s="166"/>
      <c r="B417" s="92" t="s">
        <v>257</v>
      </c>
      <c r="C417" s="90" t="str">
        <f>VLOOKUP($F417,Admin!$A$16:$E$19,2,FALSE)</f>
        <v>Alkalmazott (ipari) kutatás – Működési költség</v>
      </c>
      <c r="D417" s="160" t="s">
        <v>129</v>
      </c>
      <c r="E417" s="90" t="str">
        <f>VLOOKUP($F417,Admin!$A$16:$E$19,4,FALSE)</f>
        <v>54. Bérköltség - Kutató-fejlesztő munkatárs</v>
      </c>
      <c r="F417" s="90" t="s">
        <v>171</v>
      </c>
      <c r="G417" s="160" t="s">
        <v>174</v>
      </c>
      <c r="H417" s="160" t="s">
        <v>193</v>
      </c>
      <c r="I417" s="90" t="str">
        <f>VLOOKUP($F417,Admin!$A$16:$E$19,5,FALSE)</f>
        <v>K+F munkatárs</v>
      </c>
      <c r="J417" s="160" t="s">
        <v>142</v>
      </c>
      <c r="K417" s="160" t="str">
        <f t="shared" ref="K417" si="1283">J417</f>
        <v>2024.03</v>
      </c>
      <c r="L417" s="91" t="s">
        <v>8</v>
      </c>
      <c r="M417" s="92" t="s">
        <v>78</v>
      </c>
      <c r="N417" s="161">
        <v>560000</v>
      </c>
      <c r="O417" s="162">
        <f t="shared" si="1278"/>
        <v>72800</v>
      </c>
      <c r="P417" s="20">
        <v>174</v>
      </c>
      <c r="Q417" s="238">
        <v>19.14</v>
      </c>
      <c r="R417" s="229">
        <f t="shared" si="1279"/>
        <v>0.11</v>
      </c>
      <c r="S417" s="163">
        <f t="shared" si="1280"/>
        <v>61600</v>
      </c>
      <c r="T417" s="164">
        <f t="shared" si="1281"/>
        <v>8008</v>
      </c>
      <c r="U417" s="165">
        <f t="shared" si="1282"/>
        <v>0</v>
      </c>
      <c r="V417" s="87">
        <v>0.13</v>
      </c>
      <c r="W417" s="223" t="s">
        <v>258</v>
      </c>
      <c r="X417" s="23">
        <v>45315</v>
      </c>
      <c r="Y417" s="20" t="s">
        <v>197</v>
      </c>
      <c r="Z417" s="20"/>
      <c r="AA417" s="20"/>
      <c r="AC417" s="243" t="s">
        <v>246</v>
      </c>
      <c r="AD417" s="243">
        <v>0</v>
      </c>
      <c r="AE417" s="243">
        <v>0</v>
      </c>
    </row>
    <row r="418" spans="1:31" s="167" customFormat="1" x14ac:dyDescent="0.25">
      <c r="A418" s="166"/>
      <c r="B418" s="92" t="s">
        <v>257</v>
      </c>
      <c r="C418" s="90" t="str">
        <f>VLOOKUP($F418,Admin!$A$16:$E$19,2,FALSE)</f>
        <v>Alkalmazott (ipari) kutatás – Működési költség</v>
      </c>
      <c r="D418" s="160" t="s">
        <v>129</v>
      </c>
      <c r="E418" s="90" t="str">
        <f>VLOOKUP($F418,Admin!$A$16:$E$19,4,FALSE)</f>
        <v>54. Bérköltség - Kutató-fejlesztő munkatárs</v>
      </c>
      <c r="F418" s="90" t="s">
        <v>171</v>
      </c>
      <c r="G418" s="160" t="s">
        <v>174</v>
      </c>
      <c r="H418" s="160" t="s">
        <v>193</v>
      </c>
      <c r="I418" s="90" t="str">
        <f>VLOOKUP($F418,Admin!$A$16:$E$19,5,FALSE)</f>
        <v>K+F munkatárs</v>
      </c>
      <c r="J418" s="160" t="s">
        <v>143</v>
      </c>
      <c r="K418" s="160" t="str">
        <f t="shared" ref="K418:K420" si="1284">J418</f>
        <v>2024.04</v>
      </c>
      <c r="L418" s="91" t="s">
        <v>8</v>
      </c>
      <c r="M418" s="92" t="s">
        <v>78</v>
      </c>
      <c r="N418" s="161">
        <v>560000</v>
      </c>
      <c r="O418" s="162">
        <f t="shared" ref="O418" si="1285">ROUND(N418*V418,0)</f>
        <v>72800</v>
      </c>
      <c r="P418" s="20">
        <v>174</v>
      </c>
      <c r="Q418" s="238">
        <v>19.14</v>
      </c>
      <c r="R418" s="229">
        <f t="shared" ref="R418" si="1286">Q418/P418</f>
        <v>0.11</v>
      </c>
      <c r="S418" s="163">
        <f t="shared" ref="S418" si="1287">ROUND(N418*Q418/P418,0)</f>
        <v>61600</v>
      </c>
      <c r="T418" s="164">
        <f t="shared" ref="T418" si="1288">ROUND(S418*V418,0)</f>
        <v>8008</v>
      </c>
      <c r="U418" s="165">
        <f t="shared" ref="U418" si="1289">Q418/P418-S418/N418</f>
        <v>0</v>
      </c>
      <c r="V418" s="87">
        <v>0.13</v>
      </c>
      <c r="W418" s="223" t="s">
        <v>258</v>
      </c>
      <c r="X418" s="23">
        <v>45355</v>
      </c>
      <c r="Y418" s="20" t="s">
        <v>197</v>
      </c>
      <c r="Z418" s="20"/>
      <c r="AA418" s="20"/>
      <c r="AC418" s="8" t="s">
        <v>246</v>
      </c>
      <c r="AD418" s="243">
        <v>0</v>
      </c>
      <c r="AE418" s="243">
        <v>0</v>
      </c>
    </row>
    <row r="419" spans="1:31" s="167" customFormat="1" x14ac:dyDescent="0.25">
      <c r="A419" s="166"/>
      <c r="B419" s="92" t="s">
        <v>257</v>
      </c>
      <c r="C419" s="90" t="str">
        <f>VLOOKUP($F419,Admin!$A$16:$E$19,2,FALSE)</f>
        <v>Alkalmazott (ipari) kutatás – Működési költség</v>
      </c>
      <c r="D419" s="160" t="s">
        <v>129</v>
      </c>
      <c r="E419" s="90" t="str">
        <f>VLOOKUP($F419,Admin!$A$16:$E$19,4,FALSE)</f>
        <v>54. Bérköltség - Kutató-fejlesztő munkatárs</v>
      </c>
      <c r="F419" s="90" t="s">
        <v>171</v>
      </c>
      <c r="G419" s="160" t="s">
        <v>174</v>
      </c>
      <c r="H419" s="160" t="s">
        <v>193</v>
      </c>
      <c r="I419" s="90" t="str">
        <f>VLOOKUP($F419,Admin!$A$16:$E$19,5,FALSE)</f>
        <v>K+F munkatárs</v>
      </c>
      <c r="J419" s="160" t="s">
        <v>144</v>
      </c>
      <c r="K419" s="160" t="str">
        <f t="shared" si="1284"/>
        <v>2024.05</v>
      </c>
      <c r="L419" s="91" t="s">
        <v>8</v>
      </c>
      <c r="M419" s="92" t="s">
        <v>78</v>
      </c>
      <c r="N419" s="161">
        <v>560000</v>
      </c>
      <c r="O419" s="162">
        <f t="shared" ref="O419:O420" si="1290">ROUND(N419*V419,0)</f>
        <v>72800</v>
      </c>
      <c r="P419" s="20">
        <v>174</v>
      </c>
      <c r="Q419" s="238">
        <v>19.14</v>
      </c>
      <c r="R419" s="229">
        <f t="shared" ref="R419:R420" si="1291">Q419/P419</f>
        <v>0.11</v>
      </c>
      <c r="S419" s="163">
        <f t="shared" ref="S419:S420" si="1292">ROUND(N419*Q419/P419,0)</f>
        <v>61600</v>
      </c>
      <c r="T419" s="164">
        <f t="shared" ref="T419:T420" si="1293">ROUND(S419*V419,0)</f>
        <v>8008</v>
      </c>
      <c r="U419" s="165">
        <f t="shared" ref="U419:U420" si="1294">Q419/P419-S419/N419</f>
        <v>0</v>
      </c>
      <c r="V419" s="87">
        <v>0.13</v>
      </c>
      <c r="W419" s="223" t="s">
        <v>258</v>
      </c>
      <c r="X419" s="23">
        <v>45355</v>
      </c>
      <c r="Y419" s="20" t="s">
        <v>197</v>
      </c>
      <c r="Z419" s="20"/>
      <c r="AA419" s="20"/>
      <c r="AC419" s="8" t="s">
        <v>246</v>
      </c>
      <c r="AD419" s="243">
        <v>0</v>
      </c>
      <c r="AE419" s="243">
        <v>0</v>
      </c>
    </row>
    <row r="420" spans="1:31" s="167" customFormat="1" x14ac:dyDescent="0.25">
      <c r="A420" s="166"/>
      <c r="B420" s="92" t="s">
        <v>257</v>
      </c>
      <c r="C420" s="90" t="str">
        <f>VLOOKUP($F420,Admin!$A$16:$E$19,2,FALSE)</f>
        <v>Alkalmazott (ipari) kutatás – Működési költség</v>
      </c>
      <c r="D420" s="160" t="s">
        <v>129</v>
      </c>
      <c r="E420" s="90" t="str">
        <f>VLOOKUP($F420,Admin!$A$16:$E$19,4,FALSE)</f>
        <v>54. Bérköltség - Kutató-fejlesztő munkatárs</v>
      </c>
      <c r="F420" s="90" t="s">
        <v>171</v>
      </c>
      <c r="G420" s="160" t="s">
        <v>174</v>
      </c>
      <c r="H420" s="160" t="s">
        <v>193</v>
      </c>
      <c r="I420" s="90" t="str">
        <f>VLOOKUP($F420,Admin!$A$16:$E$19,5,FALSE)</f>
        <v>K+F munkatárs</v>
      </c>
      <c r="J420" s="160" t="s">
        <v>211</v>
      </c>
      <c r="K420" s="160" t="str">
        <f t="shared" si="1284"/>
        <v>2024.06</v>
      </c>
      <c r="L420" s="91" t="s">
        <v>9</v>
      </c>
      <c r="M420" s="92" t="s">
        <v>78</v>
      </c>
      <c r="N420" s="161">
        <v>572000</v>
      </c>
      <c r="O420" s="162">
        <f t="shared" si="1290"/>
        <v>74360</v>
      </c>
      <c r="P420" s="20">
        <v>174</v>
      </c>
      <c r="Q420" s="238">
        <v>19.14</v>
      </c>
      <c r="R420" s="229">
        <f t="shared" si="1291"/>
        <v>0.11</v>
      </c>
      <c r="S420" s="163">
        <f t="shared" si="1292"/>
        <v>62920</v>
      </c>
      <c r="T420" s="164">
        <f t="shared" si="1293"/>
        <v>8180</v>
      </c>
      <c r="U420" s="165">
        <f t="shared" si="1294"/>
        <v>0</v>
      </c>
      <c r="V420" s="87">
        <v>0.13</v>
      </c>
      <c r="W420" s="223" t="s">
        <v>258</v>
      </c>
      <c r="X420" s="23">
        <v>45434</v>
      </c>
      <c r="Y420" s="20" t="s">
        <v>197</v>
      </c>
      <c r="Z420" s="20"/>
      <c r="AA420" s="20"/>
    </row>
    <row r="421" spans="1:31" s="167" customFormat="1" x14ac:dyDescent="0.25">
      <c r="A421" s="166"/>
      <c r="B421" s="92" t="s">
        <v>257</v>
      </c>
      <c r="C421" s="90" t="str">
        <f>VLOOKUP($F421,Admin!$A$16:$E$19,2,FALSE)</f>
        <v>Alkalmazott (ipari) kutatás – Működési költség</v>
      </c>
      <c r="D421" s="160" t="s">
        <v>129</v>
      </c>
      <c r="E421" s="90" t="str">
        <f>VLOOKUP($F421,Admin!$A$16:$E$19,4,FALSE)</f>
        <v>54. Bérköltség - Kutató-fejlesztő munkatárs</v>
      </c>
      <c r="F421" s="90" t="s">
        <v>171</v>
      </c>
      <c r="G421" s="160" t="s">
        <v>174</v>
      </c>
      <c r="H421" s="160" t="s">
        <v>193</v>
      </c>
      <c r="I421" s="90" t="str">
        <f>VLOOKUP($F421,Admin!$A$16:$E$19,5,FALSE)</f>
        <v>K+F munkatárs</v>
      </c>
      <c r="J421" s="160" t="s">
        <v>212</v>
      </c>
      <c r="K421" s="160" t="str">
        <f t="shared" ref="K421:K423" si="1295">J421</f>
        <v>2024.07</v>
      </c>
      <c r="L421" s="91" t="s">
        <v>9</v>
      </c>
      <c r="M421" s="92" t="s">
        <v>78</v>
      </c>
      <c r="N421" s="161">
        <v>572000</v>
      </c>
      <c r="O421" s="162">
        <f t="shared" ref="O421" si="1296">ROUND(N421*V421,0)</f>
        <v>74360</v>
      </c>
      <c r="P421" s="20">
        <v>174</v>
      </c>
      <c r="Q421" s="238">
        <v>19.14</v>
      </c>
      <c r="R421" s="229">
        <f t="shared" ref="R421" si="1297">Q421/P421</f>
        <v>0.11</v>
      </c>
      <c r="S421" s="163">
        <f t="shared" ref="S421" si="1298">ROUND(N421*Q421/P421,0)</f>
        <v>62920</v>
      </c>
      <c r="T421" s="164">
        <f t="shared" ref="T421" si="1299">ROUND(S421*V421,0)</f>
        <v>8180</v>
      </c>
      <c r="U421" s="165">
        <f t="shared" ref="U421" si="1300">Q421/P421-S421/N421</f>
        <v>0</v>
      </c>
      <c r="V421" s="87">
        <v>0.13</v>
      </c>
      <c r="W421" s="223" t="s">
        <v>258</v>
      </c>
      <c r="X421" s="23">
        <v>45460</v>
      </c>
      <c r="Y421" s="20" t="s">
        <v>197</v>
      </c>
      <c r="Z421" s="20"/>
      <c r="AA421" s="20"/>
    </row>
    <row r="422" spans="1:31" s="167" customFormat="1" x14ac:dyDescent="0.25">
      <c r="A422" s="166"/>
      <c r="B422" s="92" t="s">
        <v>257</v>
      </c>
      <c r="C422" s="90" t="str">
        <f>VLOOKUP($F422,Admin!$A$16:$E$19,2,FALSE)</f>
        <v>Alkalmazott (ipari) kutatás – Működési költség</v>
      </c>
      <c r="D422" s="160" t="s">
        <v>129</v>
      </c>
      <c r="E422" s="90" t="str">
        <f>VLOOKUP($F422,Admin!$A$16:$E$19,4,FALSE)</f>
        <v>54. Bérköltség - Kutató-fejlesztő munkatárs</v>
      </c>
      <c r="F422" s="90" t="s">
        <v>171</v>
      </c>
      <c r="G422" s="160" t="s">
        <v>174</v>
      </c>
      <c r="H422" s="160" t="s">
        <v>193</v>
      </c>
      <c r="I422" s="90" t="str">
        <f>VLOOKUP($F422,Admin!$A$16:$E$19,5,FALSE)</f>
        <v>K+F munkatárs</v>
      </c>
      <c r="J422" s="160" t="s">
        <v>213</v>
      </c>
      <c r="K422" s="160" t="str">
        <f t="shared" si="1295"/>
        <v>2024.08</v>
      </c>
      <c r="L422" s="91" t="s">
        <v>9</v>
      </c>
      <c r="M422" s="92" t="s">
        <v>78</v>
      </c>
      <c r="N422" s="161">
        <v>572000</v>
      </c>
      <c r="O422" s="162">
        <f t="shared" ref="O422:O423" si="1301">ROUND(N422*V422,0)</f>
        <v>74360</v>
      </c>
      <c r="P422" s="20">
        <v>174</v>
      </c>
      <c r="Q422" s="238">
        <v>19.14</v>
      </c>
      <c r="R422" s="229">
        <f t="shared" ref="R422:R423" si="1302">Q422/P422</f>
        <v>0.11</v>
      </c>
      <c r="S422" s="163">
        <f t="shared" ref="S422:S423" si="1303">ROUND(N422*Q422/P422,0)</f>
        <v>62920</v>
      </c>
      <c r="T422" s="164">
        <f t="shared" ref="T422:T423" si="1304">ROUND(S422*V422,0)</f>
        <v>8180</v>
      </c>
      <c r="U422" s="165">
        <f t="shared" ref="U422:U423" si="1305">Q422/P422-S422/N422</f>
        <v>0</v>
      </c>
      <c r="V422" s="87">
        <v>0.13</v>
      </c>
      <c r="W422" s="223" t="s">
        <v>258</v>
      </c>
      <c r="X422" s="23">
        <v>45460</v>
      </c>
      <c r="Y422" s="20" t="s">
        <v>197</v>
      </c>
      <c r="Z422" s="20"/>
      <c r="AA422" s="20"/>
    </row>
    <row r="423" spans="1:31" s="167" customFormat="1" x14ac:dyDescent="0.25">
      <c r="A423" s="166"/>
      <c r="B423" s="92" t="s">
        <v>257</v>
      </c>
      <c r="C423" s="90" t="str">
        <f>VLOOKUP($F423,Admin!$A$16:$E$19,2,FALSE)</f>
        <v>Alkalmazott (ipari) kutatás – Működési költség</v>
      </c>
      <c r="D423" s="160" t="s">
        <v>129</v>
      </c>
      <c r="E423" s="90" t="str">
        <f>VLOOKUP($F423,Admin!$A$16:$E$19,4,FALSE)</f>
        <v>54. Bérköltség - Kutató-fejlesztő munkatárs</v>
      </c>
      <c r="F423" s="90" t="s">
        <v>171</v>
      </c>
      <c r="G423" s="160" t="s">
        <v>174</v>
      </c>
      <c r="H423" s="160" t="s">
        <v>193</v>
      </c>
      <c r="I423" s="90" t="str">
        <f>VLOOKUP($F423,Admin!$A$16:$E$19,5,FALSE)</f>
        <v>K+F munkatárs</v>
      </c>
      <c r="J423" s="160" t="s">
        <v>214</v>
      </c>
      <c r="K423" s="160" t="str">
        <f t="shared" si="1295"/>
        <v>2024.09</v>
      </c>
      <c r="L423" s="91" t="s">
        <v>9</v>
      </c>
      <c r="M423" s="92" t="s">
        <v>78</v>
      </c>
      <c r="N423" s="161">
        <v>572000</v>
      </c>
      <c r="O423" s="162">
        <f t="shared" si="1301"/>
        <v>74360</v>
      </c>
      <c r="P423" s="20">
        <v>174</v>
      </c>
      <c r="Q423" s="238">
        <v>19.14</v>
      </c>
      <c r="R423" s="229">
        <f t="shared" si="1302"/>
        <v>0.11</v>
      </c>
      <c r="S423" s="163">
        <f t="shared" si="1303"/>
        <v>62920</v>
      </c>
      <c r="T423" s="164">
        <f t="shared" si="1304"/>
        <v>8180</v>
      </c>
      <c r="U423" s="165">
        <f t="shared" si="1305"/>
        <v>0</v>
      </c>
      <c r="V423" s="87">
        <v>0.13</v>
      </c>
      <c r="W423" s="223" t="s">
        <v>258</v>
      </c>
      <c r="X423" s="23">
        <v>45460</v>
      </c>
      <c r="Y423" s="20" t="s">
        <v>197</v>
      </c>
      <c r="Z423" s="20"/>
      <c r="AA423" s="20"/>
    </row>
    <row r="424" spans="1:31" s="167" customFormat="1" x14ac:dyDescent="0.25">
      <c r="A424" s="166"/>
      <c r="B424" s="92"/>
      <c r="C424" s="90"/>
      <c r="D424" s="160"/>
      <c r="E424" s="90"/>
      <c r="F424" s="90"/>
      <c r="G424" s="160"/>
      <c r="H424" s="160"/>
      <c r="I424" s="91"/>
      <c r="J424" s="160"/>
      <c r="K424" s="160"/>
      <c r="L424" s="91"/>
      <c r="M424" s="92"/>
      <c r="N424" s="161"/>
      <c r="O424" s="162"/>
      <c r="P424" s="20"/>
      <c r="Q424" s="238"/>
      <c r="R424" s="229"/>
      <c r="S424" s="163"/>
      <c r="T424" s="164"/>
      <c r="U424" s="165"/>
      <c r="V424" s="69"/>
      <c r="W424" s="223"/>
      <c r="X424" s="23"/>
      <c r="Y424" s="20"/>
      <c r="Z424" s="20"/>
      <c r="AA424" s="20"/>
    </row>
    <row r="425" spans="1:31" x14ac:dyDescent="0.25">
      <c r="A425" s="168"/>
      <c r="B425" s="92"/>
      <c r="C425" s="90"/>
      <c r="D425" s="160"/>
      <c r="E425" s="90"/>
      <c r="F425" s="90"/>
      <c r="G425" s="160"/>
      <c r="H425" s="160"/>
      <c r="I425" s="93"/>
      <c r="J425" s="160"/>
      <c r="K425" s="160"/>
      <c r="L425" s="91"/>
      <c r="M425" s="92"/>
      <c r="N425" s="162"/>
      <c r="O425" s="162"/>
      <c r="P425" s="20"/>
      <c r="Q425" s="238"/>
      <c r="R425" s="229"/>
      <c r="S425" s="163"/>
      <c r="T425" s="164"/>
      <c r="U425" s="165"/>
      <c r="V425" s="169"/>
      <c r="W425" s="224"/>
      <c r="X425" s="20"/>
      <c r="Y425" s="20"/>
      <c r="Z425" s="20"/>
      <c r="AA425" s="20"/>
    </row>
    <row r="426" spans="1:31" x14ac:dyDescent="0.25">
      <c r="A426" s="170"/>
      <c r="B426" s="111" t="s">
        <v>29</v>
      </c>
      <c r="C426" s="112"/>
      <c r="D426" s="171"/>
      <c r="E426" s="112"/>
      <c r="F426" s="112"/>
      <c r="G426" s="171"/>
      <c r="H426" s="171"/>
      <c r="I426" s="113"/>
      <c r="J426" s="171"/>
      <c r="K426" s="171"/>
      <c r="L426" s="114"/>
      <c r="M426" s="111"/>
      <c r="N426" s="172"/>
      <c r="O426" s="172"/>
      <c r="P426" s="115"/>
      <c r="Q426" s="239"/>
      <c r="R426" s="230"/>
      <c r="S426" s="173"/>
      <c r="T426" s="174"/>
      <c r="U426" s="175"/>
      <c r="V426" s="176"/>
      <c r="W426" s="225"/>
      <c r="X426" s="115"/>
      <c r="Y426" s="115"/>
      <c r="Z426" s="115"/>
      <c r="AA426" s="115"/>
    </row>
    <row r="427" spans="1:31" x14ac:dyDescent="0.25">
      <c r="A427" s="168"/>
      <c r="B427" s="92"/>
      <c r="C427" s="90"/>
      <c r="D427" s="160"/>
      <c r="E427" s="90"/>
      <c r="F427" s="90"/>
      <c r="G427" s="160"/>
      <c r="H427" s="160"/>
      <c r="I427" s="93"/>
      <c r="J427" s="160"/>
      <c r="K427" s="160"/>
      <c r="L427" s="91"/>
      <c r="M427" s="92"/>
      <c r="N427" s="162"/>
      <c r="O427" s="162"/>
      <c r="P427" s="20"/>
      <c r="Q427" s="238"/>
      <c r="R427" s="229"/>
      <c r="S427" s="163"/>
      <c r="T427" s="164"/>
      <c r="U427" s="177"/>
      <c r="V427" s="169"/>
      <c r="W427" s="224"/>
      <c r="X427" s="20"/>
      <c r="Y427" s="20"/>
      <c r="Z427" s="20"/>
      <c r="AA427" s="20"/>
    </row>
    <row r="428" spans="1:31" x14ac:dyDescent="0.25">
      <c r="A428" s="168"/>
      <c r="B428" s="92"/>
      <c r="C428" s="90"/>
      <c r="D428" s="160"/>
      <c r="E428" s="90"/>
      <c r="F428" s="90"/>
      <c r="G428" s="160"/>
      <c r="H428" s="160"/>
      <c r="I428" s="93"/>
      <c r="J428" s="160"/>
      <c r="K428" s="160"/>
      <c r="L428" s="91"/>
      <c r="M428" s="92"/>
      <c r="N428" s="161"/>
      <c r="O428" s="162"/>
      <c r="P428" s="20"/>
      <c r="Q428" s="238"/>
      <c r="R428" s="229"/>
      <c r="S428" s="163"/>
      <c r="T428" s="164"/>
      <c r="U428" s="177"/>
      <c r="V428" s="69"/>
      <c r="W428" s="223"/>
      <c r="X428" s="23"/>
      <c r="Y428" s="20"/>
      <c r="Z428" s="20"/>
      <c r="AA428" s="20"/>
    </row>
    <row r="429" spans="1:31" x14ac:dyDescent="0.25">
      <c r="A429" s="168"/>
      <c r="B429" s="92"/>
      <c r="C429" s="90"/>
      <c r="D429" s="160"/>
      <c r="E429" s="90"/>
      <c r="F429" s="90"/>
      <c r="G429" s="160"/>
      <c r="H429" s="160"/>
      <c r="I429" s="93"/>
      <c r="J429" s="160"/>
      <c r="K429" s="160"/>
      <c r="L429" s="91"/>
      <c r="M429" s="92"/>
      <c r="N429" s="161"/>
      <c r="O429" s="162"/>
      <c r="P429" s="20"/>
      <c r="Q429" s="238"/>
      <c r="R429" s="229"/>
      <c r="S429" s="163"/>
      <c r="T429" s="164"/>
      <c r="U429" s="177"/>
      <c r="V429" s="169"/>
      <c r="W429" s="224"/>
      <c r="X429" s="20"/>
      <c r="Y429" s="20"/>
      <c r="Z429" s="20"/>
      <c r="AA429" s="20"/>
    </row>
    <row r="430" spans="1:31" s="167" customFormat="1" x14ac:dyDescent="0.25">
      <c r="A430" s="166"/>
      <c r="B430" s="92"/>
      <c r="C430" s="90"/>
      <c r="D430" s="160"/>
      <c r="E430" s="90"/>
      <c r="F430" s="90"/>
      <c r="G430" s="160"/>
      <c r="H430" s="160"/>
      <c r="I430" s="93"/>
      <c r="J430" s="160"/>
      <c r="K430" s="160"/>
      <c r="L430" s="91"/>
      <c r="M430" s="92"/>
      <c r="N430" s="162"/>
      <c r="O430" s="162"/>
      <c r="P430" s="20"/>
      <c r="Q430" s="238"/>
      <c r="R430" s="229"/>
      <c r="S430" s="163"/>
      <c r="T430" s="164"/>
      <c r="U430" s="177"/>
      <c r="V430" s="169"/>
      <c r="W430" s="224"/>
      <c r="X430" s="20"/>
      <c r="Y430" s="20"/>
      <c r="Z430" s="20"/>
      <c r="AA430" s="20"/>
    </row>
    <row r="431" spans="1:31" x14ac:dyDescent="0.25">
      <c r="A431" s="168"/>
      <c r="B431" s="94"/>
      <c r="C431" s="95"/>
      <c r="D431" s="178"/>
      <c r="E431" s="95"/>
      <c r="F431" s="95"/>
      <c r="G431" s="178"/>
      <c r="H431" s="178"/>
      <c r="I431" s="179"/>
      <c r="J431" s="160"/>
      <c r="K431" s="160"/>
      <c r="L431" s="94"/>
      <c r="M431" s="94"/>
      <c r="N431" s="180"/>
      <c r="O431" s="180"/>
      <c r="P431" s="181"/>
      <c r="Q431" s="240"/>
      <c r="R431" s="186"/>
      <c r="S431" s="182"/>
      <c r="T431" s="183"/>
      <c r="U431" s="184"/>
      <c r="V431" s="185"/>
      <c r="W431" s="226"/>
      <c r="X431" s="186"/>
      <c r="Y431" s="186"/>
      <c r="Z431" s="186"/>
      <c r="AA431" s="186"/>
    </row>
    <row r="432" spans="1:31" ht="15.75" thickBot="1" x14ac:dyDescent="0.3">
      <c r="A432" s="96"/>
      <c r="B432" s="97" t="s">
        <v>2</v>
      </c>
      <c r="C432" s="98"/>
      <c r="D432" s="99"/>
      <c r="E432" s="98"/>
      <c r="F432" s="98"/>
      <c r="G432" s="99"/>
      <c r="H432" s="99"/>
      <c r="I432" s="99"/>
      <c r="J432" s="100"/>
      <c r="K432" s="100"/>
      <c r="L432" s="101"/>
      <c r="M432" s="101"/>
      <c r="N432" s="102"/>
      <c r="O432" s="102"/>
      <c r="P432" s="103"/>
      <c r="Q432" s="241"/>
      <c r="R432" s="231"/>
      <c r="S432" s="104">
        <f>SUBTOTAL(109,S6:S431)</f>
        <v>105229200</v>
      </c>
      <c r="T432" s="104">
        <f>SUBTOTAL(109,T6:T431)</f>
        <v>13079645</v>
      </c>
      <c r="U432" s="78"/>
      <c r="V432" s="88"/>
      <c r="W432" s="227"/>
      <c r="X432" s="16"/>
      <c r="Y432" s="16"/>
      <c r="Z432" s="16"/>
      <c r="AA432" s="16"/>
    </row>
    <row r="434" spans="17:20" ht="14.45" customHeight="1" x14ac:dyDescent="0.25">
      <c r="Q434" s="6"/>
      <c r="S434"/>
      <c r="T434"/>
    </row>
    <row r="435" spans="17:20" ht="41.1" customHeight="1" x14ac:dyDescent="0.25"/>
    <row r="436" spans="17:20" ht="41.1" customHeight="1" x14ac:dyDescent="0.25"/>
    <row r="437" spans="17:20" ht="35.1" customHeight="1" x14ac:dyDescent="0.25"/>
    <row r="438" spans="17:20" ht="39.950000000000003" customHeight="1" x14ac:dyDescent="0.25"/>
    <row r="439" spans="17:20" ht="35.1" customHeight="1" x14ac:dyDescent="0.25"/>
    <row r="440" spans="17:20" ht="35.1" customHeight="1" x14ac:dyDescent="0.25"/>
    <row r="444" spans="17:20" ht="36" customHeight="1" x14ac:dyDescent="0.25"/>
    <row r="445" spans="17:20" ht="42.95" customHeight="1" x14ac:dyDescent="0.25"/>
    <row r="446" spans="17:20" ht="42.95" customHeight="1" x14ac:dyDescent="0.25"/>
    <row r="447" spans="17:20" ht="44.1" customHeight="1" x14ac:dyDescent="0.25"/>
    <row r="448" spans="17:20" ht="44.1" customHeight="1" x14ac:dyDescent="0.25"/>
    <row r="449" ht="41.1" customHeight="1" x14ac:dyDescent="0.25"/>
    <row r="450" ht="41.1" customHeight="1" x14ac:dyDescent="0.25"/>
    <row r="451" ht="41.1" customHeight="1" x14ac:dyDescent="0.25"/>
    <row r="452" ht="44.45" customHeight="1" x14ac:dyDescent="0.25"/>
    <row r="453" ht="46.5" customHeight="1" x14ac:dyDescent="0.25"/>
    <row r="454" ht="46.5" customHeight="1" x14ac:dyDescent="0.25"/>
    <row r="455" ht="46.5" customHeight="1" x14ac:dyDescent="0.25"/>
    <row r="456" ht="32.450000000000003" customHeight="1" x14ac:dyDescent="0.25"/>
    <row r="457" ht="40.5" customHeight="1" x14ac:dyDescent="0.25"/>
    <row r="458" ht="40.5" customHeight="1" x14ac:dyDescent="0.25"/>
    <row r="459" ht="43.5" customHeight="1" x14ac:dyDescent="0.25"/>
    <row r="460" ht="43.5" customHeight="1" x14ac:dyDescent="0.25"/>
    <row r="461" ht="38.1" customHeight="1" x14ac:dyDescent="0.25"/>
  </sheetData>
  <autoFilter ref="A5:AS429" xr:uid="{00000000-0001-0000-0200-000000000000}"/>
  <sortState xmlns:xlrd2="http://schemas.microsoft.com/office/spreadsheetml/2017/richdata2" ref="B6:BE398">
    <sortCondition ref="B6:B398"/>
    <sortCondition ref="J6:J398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E3859899-24B2-411A-9270-0C383AAF2B91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3">
    <mergeCell ref="B2:J2"/>
    <mergeCell ref="I3:I4"/>
    <mergeCell ref="R3:R4"/>
  </mergeCells>
  <dataValidations count="3">
    <dataValidation type="list" allowBlank="1" showInputMessage="1" showErrorMessage="1" sqref="B65631:H65631 B65622:H65629 M426:M431 X431:AA431 B65613:H65620" xr:uid="{00000000-0002-0000-0200-000000000000}">
      <formula1>#REF!</formula1>
    </dataValidation>
    <dataValidation type="list" allowBlank="1" showInputMessage="1" showErrorMessage="1" sqref="K424:K431" xr:uid="{00000000-0002-0000-0200-00000A000000}">
      <formula1>$K$435:$K$447</formula1>
    </dataValidation>
    <dataValidation type="list" allowBlank="1" showInputMessage="1" showErrorMessage="1" sqref="H386:H398 H400:H428" xr:uid="{00000000-0002-0000-0200-000005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A6CD55-0245-4BE6-A1BA-75CBF052DE2E}">
          <x14:formula1>
            <xm:f>Admin!$C$16</xm:f>
          </x14:formula1>
          <xm:sqref>D424:D431</xm:sqref>
        </x14:dataValidation>
        <x14:dataValidation type="list" allowBlank="1" showInputMessage="1" showErrorMessage="1" xr:uid="{3F362251-C145-4379-8F77-E3CB395532C0}">
          <x14:formula1>
            <xm:f>Hónapok!$A$1:$A$37</xm:f>
          </x14:formula1>
          <xm:sqref>J214:J234 J236:J431 J6:J27 J29:J212</xm:sqref>
        </x14:dataValidation>
        <x14:dataValidation type="list" allowBlank="1" showInputMessage="1" showErrorMessage="1" xr:uid="{77686C19-E753-4E80-A6C6-AC64CFBBAA62}">
          <x14:formula1>
            <xm:f>Admin!$A$1</xm:f>
          </x14:formula1>
          <xm:sqref>G6:G431</xm:sqref>
        </x14:dataValidation>
        <x14:dataValidation type="list" allowBlank="1" showInputMessage="1" showErrorMessage="1" xr:uid="{00000000-0002-0000-0200-00000E000000}">
          <x14:formula1>
            <xm:f>Admin!$A$8:$A$10</xm:f>
          </x14:formula1>
          <xm:sqref>M6:M425</xm:sqref>
        </x14:dataValidation>
        <x14:dataValidation type="list" allowBlank="1" showInputMessage="1" showErrorMessage="1" xr:uid="{DAF3F8A4-AC46-43A4-AC18-F2244C40FDED}">
          <x14:formula1>
            <xm:f>Admin!$A$5:$A$6</xm:f>
          </x14:formula1>
          <xm:sqref>L6:L431</xm:sqref>
        </x14:dataValidation>
        <x14:dataValidation type="list" allowBlank="1" showInputMessage="1" showErrorMessage="1" xr:uid="{D6BDF20E-986A-4917-BD44-FA9C71893630}">
          <x14:formula1>
            <xm:f>Admin!$A$16:$A$19</xm:f>
          </x14:formula1>
          <xm:sqref>F6:F431</xm:sqref>
        </x14:dataValidation>
        <x14:dataValidation type="list" allowBlank="1" showInputMessage="1" showErrorMessage="1" xr:uid="{62122700-BB30-4D45-A077-D99DA54FE7F8}">
          <x14:formula1>
            <xm:f>Admin!$E$17:$E$18</xm:f>
          </x14:formula1>
          <xm:sqref>I6:I431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>
    <pageSetUpPr fitToPage="1"/>
  </sheetPr>
  <dimension ref="A1:Q24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11.85546875" customWidth="1"/>
    <col min="2" max="2" width="20.5703125" customWidth="1"/>
    <col min="3" max="3" width="20" customWidth="1"/>
    <col min="4" max="5" width="17.7109375" customWidth="1"/>
    <col min="6" max="6" width="22.42578125" bestFit="1" customWidth="1"/>
    <col min="7" max="7" width="27.7109375" bestFit="1" customWidth="1"/>
    <col min="8" max="9" width="22" customWidth="1"/>
    <col min="10" max="10" width="20.85546875" customWidth="1"/>
    <col min="11" max="11" width="32.42578125" customWidth="1"/>
    <col min="12" max="12" width="31.28515625" style="6" customWidth="1"/>
    <col min="13" max="13" width="17.140625" style="3" customWidth="1"/>
    <col min="14" max="14" width="20" style="7" bestFit="1" customWidth="1"/>
    <col min="15" max="15" width="16.85546875" style="6" bestFit="1" customWidth="1"/>
    <col min="16" max="16" width="24.5703125" customWidth="1"/>
    <col min="17" max="17" width="36" customWidth="1"/>
  </cols>
  <sheetData>
    <row r="1" spans="1:17" ht="15.75" thickBot="1" x14ac:dyDescent="0.3">
      <c r="N1" s="28"/>
    </row>
    <row r="2" spans="1:17" s="5" customFormat="1" ht="30" x14ac:dyDescent="0.25">
      <c r="A2" s="55" t="s">
        <v>14</v>
      </c>
      <c r="B2" s="48" t="s">
        <v>53</v>
      </c>
      <c r="C2" s="48" t="s">
        <v>84</v>
      </c>
      <c r="D2" s="48" t="s">
        <v>6</v>
      </c>
      <c r="E2" s="48" t="s">
        <v>85</v>
      </c>
      <c r="F2" s="56" t="s">
        <v>80</v>
      </c>
      <c r="G2" s="56" t="s">
        <v>95</v>
      </c>
      <c r="H2" s="71" t="s">
        <v>86</v>
      </c>
      <c r="I2" s="71" t="s">
        <v>87</v>
      </c>
      <c r="J2" s="47" t="s">
        <v>3</v>
      </c>
      <c r="K2" s="47" t="s">
        <v>4</v>
      </c>
      <c r="L2" s="48" t="s">
        <v>30</v>
      </c>
      <c r="M2" s="80" t="s">
        <v>96</v>
      </c>
      <c r="N2" s="47" t="s">
        <v>13</v>
      </c>
      <c r="O2" s="47" t="s">
        <v>5</v>
      </c>
      <c r="P2" s="51" t="s">
        <v>12</v>
      </c>
      <c r="Q2" s="48" t="s">
        <v>52</v>
      </c>
    </row>
    <row r="3" spans="1:17" s="8" customFormat="1" ht="61.5" customHeight="1" x14ac:dyDescent="0.25">
      <c r="A3" s="52"/>
      <c r="B3" s="52" t="e">
        <f>VLOOKUP($E3,Admin!$A$13:$D$14,2,FALSE)</f>
        <v>#N/A</v>
      </c>
      <c r="C3" s="52" t="e">
        <f>VLOOKUP($E3,Admin!$A$13:$D$14,3,FALSE)</f>
        <v>#N/A</v>
      </c>
      <c r="D3" s="52" t="e">
        <f>VLOOKUP($E3,Admin!$A$13:$D$14,4,FALSE)</f>
        <v>#N/A</v>
      </c>
      <c r="E3" s="52"/>
      <c r="F3" s="57"/>
      <c r="G3" s="57"/>
      <c r="H3" s="57"/>
      <c r="I3" s="57"/>
      <c r="J3" s="49" t="s">
        <v>83</v>
      </c>
      <c r="K3" s="49" t="s">
        <v>81</v>
      </c>
      <c r="L3" s="50" t="s">
        <v>94</v>
      </c>
      <c r="M3" s="59"/>
      <c r="N3" s="52"/>
      <c r="O3" s="52"/>
      <c r="P3" s="53"/>
      <c r="Q3" s="60"/>
    </row>
    <row r="4" spans="1:17" s="8" customFormat="1" ht="105" x14ac:dyDescent="0.25">
      <c r="A4" s="52"/>
      <c r="B4" s="52" t="e">
        <f>VLOOKUP($E4,Admin!$A$13:$D$14,2,FALSE)</f>
        <v>#N/A</v>
      </c>
      <c r="C4" s="52" t="e">
        <f>VLOOKUP($E4,Admin!$A$13:$D$14,3,FALSE)</f>
        <v>#N/A</v>
      </c>
      <c r="D4" s="52" t="e">
        <f>VLOOKUP($E4,Admin!$A$13:$D$14,4,FALSE)</f>
        <v>#N/A</v>
      </c>
      <c r="E4" s="52"/>
      <c r="F4" s="57"/>
      <c r="G4" s="57"/>
      <c r="H4" s="57"/>
      <c r="I4" s="57"/>
      <c r="J4" s="58"/>
      <c r="K4" s="49" t="s">
        <v>82</v>
      </c>
      <c r="L4" s="52"/>
      <c r="M4" s="59"/>
      <c r="N4" s="52"/>
      <c r="O4" s="52"/>
      <c r="P4" s="54"/>
      <c r="Q4" s="52"/>
    </row>
    <row r="5" spans="1:17" s="8" customFormat="1" ht="15" customHeight="1" x14ac:dyDescent="0.25">
      <c r="A5" s="52"/>
      <c r="B5" s="52" t="s">
        <v>121</v>
      </c>
      <c r="C5" s="52" t="s">
        <v>169</v>
      </c>
      <c r="D5" s="52" t="s">
        <v>169</v>
      </c>
      <c r="E5" s="52" t="s">
        <v>167</v>
      </c>
      <c r="F5" s="57" t="s">
        <v>271</v>
      </c>
      <c r="G5" s="57" t="s">
        <v>273</v>
      </c>
      <c r="H5" s="57"/>
      <c r="I5" s="57"/>
      <c r="J5" s="58" t="s">
        <v>274</v>
      </c>
      <c r="K5" s="58" t="s">
        <v>272</v>
      </c>
      <c r="L5" s="52">
        <v>202404252598</v>
      </c>
      <c r="M5" s="59">
        <v>3622606</v>
      </c>
      <c r="N5" s="52" t="s">
        <v>9</v>
      </c>
      <c r="O5" s="52" t="s">
        <v>174</v>
      </c>
      <c r="P5" s="54"/>
      <c r="Q5" s="52"/>
    </row>
    <row r="6" spans="1:17" s="8" customFormat="1" ht="15" customHeight="1" x14ac:dyDescent="0.25">
      <c r="A6" s="52"/>
      <c r="B6" s="52"/>
      <c r="C6" s="52"/>
      <c r="D6" s="52"/>
      <c r="E6" s="52"/>
      <c r="F6" s="57"/>
      <c r="G6" s="57"/>
      <c r="H6" s="57"/>
      <c r="I6" s="57"/>
      <c r="J6" s="58"/>
      <c r="K6" s="58"/>
      <c r="L6" s="52"/>
      <c r="M6" s="59"/>
      <c r="N6" s="52"/>
      <c r="O6" s="52"/>
      <c r="P6" s="54"/>
      <c r="Q6" s="52"/>
    </row>
    <row r="7" spans="1:17" s="8" customFormat="1" ht="15" customHeight="1" x14ac:dyDescent="0.25">
      <c r="A7" s="52"/>
      <c r="B7" s="52"/>
      <c r="C7" s="52"/>
      <c r="D7" s="52"/>
      <c r="E7" s="52"/>
      <c r="F7" s="57"/>
      <c r="G7" s="57"/>
      <c r="H7" s="57"/>
      <c r="I7" s="57"/>
      <c r="J7" s="58"/>
      <c r="K7" s="58"/>
      <c r="L7" s="52"/>
      <c r="M7" s="59"/>
      <c r="N7" s="52"/>
      <c r="O7" s="52"/>
      <c r="P7" s="54"/>
      <c r="Q7" s="52"/>
    </row>
    <row r="8" spans="1:17" s="8" customFormat="1" ht="15" customHeight="1" x14ac:dyDescent="0.25">
      <c r="A8" s="52"/>
      <c r="B8" s="52"/>
      <c r="C8" s="52"/>
      <c r="D8" s="52"/>
      <c r="E8" s="52"/>
      <c r="F8" s="57"/>
      <c r="G8" s="57"/>
      <c r="H8" s="57"/>
      <c r="I8" s="57"/>
      <c r="J8" s="58"/>
      <c r="K8" s="58"/>
      <c r="L8" s="52"/>
      <c r="M8" s="59"/>
      <c r="N8" s="52"/>
      <c r="O8" s="52"/>
      <c r="P8" s="54"/>
      <c r="Q8" s="52"/>
    </row>
    <row r="9" spans="1:17" s="8" customFormat="1" ht="15" customHeight="1" x14ac:dyDescent="0.25">
      <c r="A9" s="52"/>
      <c r="B9" s="52"/>
      <c r="C9" s="52"/>
      <c r="D9" s="52"/>
      <c r="E9" s="52"/>
      <c r="F9" s="57"/>
      <c r="G9" s="57"/>
      <c r="H9" s="57"/>
      <c r="I9" s="57"/>
      <c r="J9" s="58"/>
      <c r="K9" s="58"/>
      <c r="L9" s="52"/>
      <c r="M9" s="59"/>
      <c r="N9" s="52"/>
      <c r="O9" s="52"/>
      <c r="P9" s="54"/>
      <c r="Q9" s="52"/>
    </row>
    <row r="10" spans="1:17" s="8" customFormat="1" ht="15" customHeight="1" x14ac:dyDescent="0.25">
      <c r="A10" s="52"/>
      <c r="B10" s="52"/>
      <c r="C10" s="52"/>
      <c r="D10" s="52"/>
      <c r="E10" s="52"/>
      <c r="F10" s="57"/>
      <c r="G10" s="57"/>
      <c r="H10" s="57"/>
      <c r="I10" s="57"/>
      <c r="J10" s="58"/>
      <c r="K10" s="58"/>
      <c r="L10" s="52"/>
      <c r="M10" s="59"/>
      <c r="N10" s="52"/>
      <c r="O10" s="52"/>
      <c r="P10" s="54"/>
      <c r="Q10" s="52"/>
    </row>
    <row r="11" spans="1:17" s="8" customFormat="1" ht="15" customHeight="1" x14ac:dyDescent="0.25">
      <c r="A11" s="52"/>
      <c r="B11" s="52"/>
      <c r="C11" s="52"/>
      <c r="D11" s="52"/>
      <c r="E11" s="52"/>
      <c r="F11" s="57"/>
      <c r="G11" s="57"/>
      <c r="H11" s="57"/>
      <c r="I11" s="57"/>
      <c r="J11" s="58"/>
      <c r="K11" s="58"/>
      <c r="L11" s="52"/>
      <c r="M11" s="59"/>
      <c r="N11" s="52"/>
      <c r="O11" s="52"/>
      <c r="P11" s="54"/>
      <c r="Q11" s="52"/>
    </row>
    <row r="12" spans="1:17" s="8" customFormat="1" ht="15" customHeight="1" x14ac:dyDescent="0.25">
      <c r="A12" s="52"/>
      <c r="B12" s="52"/>
      <c r="C12" s="52"/>
      <c r="D12" s="52"/>
      <c r="E12" s="52"/>
      <c r="F12" s="57"/>
      <c r="G12" s="57"/>
      <c r="H12" s="57"/>
      <c r="I12" s="57"/>
      <c r="J12" s="58"/>
      <c r="K12" s="58"/>
      <c r="L12" s="52"/>
      <c r="M12" s="59"/>
      <c r="N12" s="52"/>
      <c r="O12" s="52"/>
      <c r="P12" s="54"/>
      <c r="Q12" s="52"/>
    </row>
    <row r="13" spans="1:17" s="8" customFormat="1" ht="15" customHeight="1" x14ac:dyDescent="0.25">
      <c r="A13" s="52"/>
      <c r="B13" s="52"/>
      <c r="C13" s="52"/>
      <c r="D13" s="52"/>
      <c r="E13" s="52"/>
      <c r="F13" s="57"/>
      <c r="G13" s="57"/>
      <c r="H13" s="57"/>
      <c r="I13" s="57"/>
      <c r="J13" s="58"/>
      <c r="K13" s="58"/>
      <c r="L13" s="52"/>
      <c r="M13" s="59"/>
      <c r="N13" s="52"/>
      <c r="O13" s="52"/>
      <c r="P13" s="54"/>
      <c r="Q13" s="52"/>
    </row>
    <row r="14" spans="1:17" s="8" customFormat="1" ht="15" customHeight="1" x14ac:dyDescent="0.25">
      <c r="A14" s="52"/>
      <c r="B14" s="52"/>
      <c r="C14" s="52"/>
      <c r="D14" s="52"/>
      <c r="E14" s="52"/>
      <c r="F14" s="57"/>
      <c r="G14" s="57"/>
      <c r="H14" s="57"/>
      <c r="I14" s="57"/>
      <c r="J14" s="58"/>
      <c r="K14" s="58"/>
      <c r="L14" s="52"/>
      <c r="M14" s="59"/>
      <c r="N14" s="52"/>
      <c r="O14" s="52"/>
      <c r="P14" s="54"/>
      <c r="Q14" s="52"/>
    </row>
    <row r="15" spans="1:17" s="8" customFormat="1" ht="15" customHeight="1" x14ac:dyDescent="0.25">
      <c r="A15" s="52"/>
      <c r="B15" s="52"/>
      <c r="C15" s="52"/>
      <c r="D15" s="52"/>
      <c r="E15" s="52"/>
      <c r="F15" s="57"/>
      <c r="G15" s="57"/>
      <c r="H15" s="57"/>
      <c r="I15" s="57"/>
      <c r="J15" s="58"/>
      <c r="K15" s="58"/>
      <c r="L15" s="52"/>
      <c r="M15" s="59"/>
      <c r="N15" s="52"/>
      <c r="O15" s="52"/>
      <c r="P15" s="54"/>
      <c r="Q15" s="52"/>
    </row>
    <row r="16" spans="1:17" s="8" customFormat="1" ht="15" customHeight="1" x14ac:dyDescent="0.25">
      <c r="A16" s="52"/>
      <c r="B16" s="52"/>
      <c r="C16" s="52"/>
      <c r="D16" s="52"/>
      <c r="E16" s="52"/>
      <c r="F16" s="57"/>
      <c r="G16" s="57"/>
      <c r="H16" s="57"/>
      <c r="I16" s="57"/>
      <c r="J16" s="58"/>
      <c r="K16" s="58"/>
      <c r="L16" s="52"/>
      <c r="M16" s="59"/>
      <c r="N16" s="52"/>
      <c r="O16" s="52"/>
      <c r="P16" s="54"/>
      <c r="Q16" s="52"/>
    </row>
    <row r="17" spans="1:17" s="8" customFormat="1" ht="15" customHeight="1" x14ac:dyDescent="0.25">
      <c r="A17" s="52"/>
      <c r="B17" s="52"/>
      <c r="C17" s="52"/>
      <c r="D17" s="52"/>
      <c r="E17" s="52"/>
      <c r="F17" s="57"/>
      <c r="G17" s="57"/>
      <c r="H17" s="57"/>
      <c r="I17" s="57"/>
      <c r="J17" s="58"/>
      <c r="K17" s="58"/>
      <c r="L17" s="52"/>
      <c r="M17" s="59"/>
      <c r="N17" s="52"/>
      <c r="O17" s="52"/>
      <c r="P17" s="54"/>
      <c r="Q17" s="52"/>
    </row>
    <row r="18" spans="1:17" s="8" customFormat="1" ht="15" customHeight="1" x14ac:dyDescent="0.25">
      <c r="A18" s="52"/>
      <c r="B18" s="52"/>
      <c r="C18" s="52"/>
      <c r="D18" s="52"/>
      <c r="E18" s="52"/>
      <c r="F18" s="57"/>
      <c r="G18" s="57"/>
      <c r="H18" s="57"/>
      <c r="I18" s="57"/>
      <c r="J18" s="58"/>
      <c r="K18" s="58"/>
      <c r="L18" s="52"/>
      <c r="M18" s="59"/>
      <c r="N18" s="52"/>
      <c r="O18" s="52"/>
      <c r="P18" s="54"/>
      <c r="Q18" s="52"/>
    </row>
    <row r="19" spans="1:17" s="8" customFormat="1" ht="15" customHeight="1" x14ac:dyDescent="0.25">
      <c r="A19" s="52"/>
      <c r="B19" s="52"/>
      <c r="C19" s="52"/>
      <c r="D19" s="52"/>
      <c r="E19" s="52"/>
      <c r="F19" s="57"/>
      <c r="G19" s="57"/>
      <c r="H19" s="57"/>
      <c r="I19" s="57"/>
      <c r="J19" s="58"/>
      <c r="K19" s="58"/>
      <c r="L19" s="52"/>
      <c r="M19" s="59"/>
      <c r="N19" s="52"/>
      <c r="O19" s="52"/>
      <c r="P19" s="54"/>
      <c r="Q19" s="52"/>
    </row>
    <row r="20" spans="1:17" s="8" customFormat="1" ht="15" customHeight="1" x14ac:dyDescent="0.25">
      <c r="A20" s="52"/>
      <c r="B20" s="52"/>
      <c r="C20" s="52"/>
      <c r="D20" s="52"/>
      <c r="E20" s="52"/>
      <c r="F20" s="57"/>
      <c r="G20" s="57"/>
      <c r="H20" s="57"/>
      <c r="I20" s="57"/>
      <c r="J20" s="58"/>
      <c r="K20" s="58"/>
      <c r="L20" s="52"/>
      <c r="M20" s="59"/>
      <c r="N20" s="52"/>
      <c r="O20" s="52"/>
      <c r="P20" s="54"/>
      <c r="Q20" s="52"/>
    </row>
    <row r="21" spans="1:17" s="8" customFormat="1" x14ac:dyDescent="0.25">
      <c r="A21" s="52"/>
      <c r="B21" s="52"/>
      <c r="C21" s="52"/>
      <c r="D21" s="52"/>
      <c r="E21" s="52"/>
      <c r="F21" s="57"/>
      <c r="G21" s="57"/>
      <c r="H21" s="57"/>
      <c r="I21" s="57"/>
      <c r="J21" s="58"/>
      <c r="K21" s="58"/>
      <c r="L21" s="52"/>
      <c r="M21" s="59"/>
      <c r="N21" s="52"/>
      <c r="O21" s="52"/>
      <c r="P21" s="58"/>
      <c r="Q21" s="52"/>
    </row>
    <row r="22" spans="1:17" s="8" customFormat="1" x14ac:dyDescent="0.25">
      <c r="A22" s="52"/>
      <c r="B22" s="52"/>
      <c r="C22" s="52"/>
      <c r="D22" s="52"/>
      <c r="E22" s="52"/>
      <c r="F22" s="57"/>
      <c r="G22" s="57"/>
      <c r="H22" s="57"/>
      <c r="I22" s="57"/>
      <c r="J22" s="58"/>
      <c r="K22" s="58"/>
      <c r="L22" s="52"/>
      <c r="M22" s="59"/>
      <c r="N22" s="52"/>
      <c r="O22" s="52"/>
      <c r="P22" s="54"/>
      <c r="Q22" s="52"/>
    </row>
    <row r="23" spans="1:17" s="8" customFormat="1" x14ac:dyDescent="0.25">
      <c r="A23" s="10"/>
      <c r="B23" s="14"/>
      <c r="C23" s="14"/>
      <c r="D23" s="14"/>
      <c r="E23" s="14"/>
      <c r="F23" s="12"/>
      <c r="G23" s="12"/>
      <c r="H23" s="12"/>
      <c r="I23" s="12"/>
      <c r="J23" s="11"/>
      <c r="K23" s="11"/>
      <c r="L23" s="14"/>
      <c r="M23" s="13"/>
      <c r="N23" s="14"/>
      <c r="O23" s="14"/>
      <c r="P23" s="15"/>
      <c r="Q23" s="14"/>
    </row>
    <row r="24" spans="1:17" x14ac:dyDescent="0.25">
      <c r="M24" s="4">
        <f>SUBTOTAL(109,M3:M23)</f>
        <v>3622606</v>
      </c>
    </row>
  </sheetData>
  <autoFilter ref="A2:P3" xr:uid="{00000000-0009-0000-0000-000003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80F48479-DF21-4D97-B24D-09E6C0D355EB}"/>
    </customSheetView>
  </customSheetView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3000000}">
          <x14:formula1>
            <xm:f>Admin!$A$5:$A$6</xm:f>
          </x14:formula1>
          <xm:sqref>N3:N23</xm:sqref>
        </x14:dataValidation>
        <x14:dataValidation type="list" allowBlank="1" showInputMessage="1" showErrorMessage="1" xr:uid="{218F4D29-E213-41E5-917F-0DA7EC059E04}">
          <x14:formula1>
            <xm:f>Admin!$A$1:$A$3</xm:f>
          </x14:formula1>
          <xm:sqref>O3:O23</xm:sqref>
        </x14:dataValidation>
        <x14:dataValidation type="list" allowBlank="1" showInputMessage="1" showErrorMessage="1" xr:uid="{1FDDFCFA-56C5-4F4C-B3B3-7E1CD9A0D346}">
          <x14:formula1>
            <xm:f>Admin!$A$13:$A$14</xm:f>
          </x14:formula1>
          <xm:sqref>E3:E23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F1" sqref="F1:S1048576"/>
    </sheetView>
  </sheetViews>
  <sheetFormatPr defaultColWidth="30.7109375" defaultRowHeight="15" x14ac:dyDescent="0.25"/>
  <cols>
    <col min="3" max="3" width="30.7109375" style="81"/>
    <col min="6" max="6" width="30.7109375" style="81"/>
    <col min="7" max="18" width="30.7109375" customWidth="1"/>
  </cols>
  <sheetData>
    <row r="1" spans="1:28" x14ac:dyDescent="0.25">
      <c r="A1" s="105" t="s">
        <v>97</v>
      </c>
      <c r="B1" s="105" t="s">
        <v>98</v>
      </c>
      <c r="C1" s="105" t="s">
        <v>53</v>
      </c>
      <c r="D1" s="105" t="s">
        <v>84</v>
      </c>
      <c r="E1" s="105" t="s">
        <v>6</v>
      </c>
      <c r="F1" s="105" t="s">
        <v>85</v>
      </c>
      <c r="G1" s="105" t="s">
        <v>99</v>
      </c>
      <c r="H1" s="105" t="s">
        <v>100</v>
      </c>
      <c r="I1" s="105" t="s">
        <v>101</v>
      </c>
      <c r="J1" s="105" t="s">
        <v>102</v>
      </c>
      <c r="K1" s="105" t="s">
        <v>103</v>
      </c>
      <c r="L1" s="105" t="s">
        <v>104</v>
      </c>
      <c r="M1" s="105" t="s">
        <v>105</v>
      </c>
      <c r="N1" s="105" t="s">
        <v>106</v>
      </c>
      <c r="O1" s="105" t="s">
        <v>107</v>
      </c>
      <c r="P1" s="105" t="s">
        <v>108</v>
      </c>
      <c r="Q1" s="105" t="s">
        <v>109</v>
      </c>
      <c r="R1" s="105" t="s">
        <v>110</v>
      </c>
      <c r="S1" s="105" t="s">
        <v>111</v>
      </c>
      <c r="T1" s="105" t="s">
        <v>112</v>
      </c>
      <c r="U1" s="105" t="s">
        <v>113</v>
      </c>
      <c r="V1" s="105" t="s">
        <v>114</v>
      </c>
      <c r="W1" s="105" t="s">
        <v>115</v>
      </c>
      <c r="X1" s="105" t="s">
        <v>116</v>
      </c>
      <c r="Y1" s="105" t="s">
        <v>117</v>
      </c>
      <c r="Z1" s="105" t="s">
        <v>118</v>
      </c>
      <c r="AA1" s="105" t="s">
        <v>119</v>
      </c>
      <c r="AB1" s="105" t="s">
        <v>120</v>
      </c>
    </row>
    <row r="2" spans="1:28" x14ac:dyDescent="0.25">
      <c r="A2" s="106"/>
      <c r="B2" s="106" t="s">
        <v>137</v>
      </c>
      <c r="C2" s="106" t="s">
        <v>121</v>
      </c>
      <c r="D2" s="106" t="s">
        <v>169</v>
      </c>
      <c r="E2" s="106" t="s">
        <v>169</v>
      </c>
      <c r="F2" s="106" t="s">
        <v>167</v>
      </c>
      <c r="G2" s="106" t="s">
        <v>122</v>
      </c>
      <c r="H2" s="106" t="s">
        <v>123</v>
      </c>
      <c r="I2" s="106" t="s">
        <v>175</v>
      </c>
      <c r="J2" s="106" t="s">
        <v>125</v>
      </c>
      <c r="K2" s="106"/>
      <c r="L2" s="107">
        <v>24697408</v>
      </c>
      <c r="M2" s="107">
        <v>6668300</v>
      </c>
      <c r="N2" s="107">
        <v>31365708</v>
      </c>
      <c r="O2" s="107">
        <v>1</v>
      </c>
      <c r="P2" s="107">
        <v>24697408</v>
      </c>
      <c r="Q2" s="107">
        <v>6668300</v>
      </c>
      <c r="R2" s="107">
        <v>31365708</v>
      </c>
      <c r="S2" s="107">
        <v>31365708</v>
      </c>
      <c r="T2" s="107">
        <v>0</v>
      </c>
      <c r="U2" s="107">
        <v>100</v>
      </c>
      <c r="V2" s="107">
        <v>31365708</v>
      </c>
      <c r="W2" s="106"/>
      <c r="X2" s="106"/>
      <c r="Y2" s="106" t="s">
        <v>176</v>
      </c>
      <c r="Z2" s="106"/>
      <c r="AA2" s="106"/>
      <c r="AB2" s="106"/>
    </row>
    <row r="3" spans="1:28" x14ac:dyDescent="0.25">
      <c r="A3" s="108"/>
      <c r="B3" s="108" t="s">
        <v>137</v>
      </c>
      <c r="C3" s="108" t="s">
        <v>126</v>
      </c>
      <c r="D3" s="108" t="s">
        <v>127</v>
      </c>
      <c r="E3" s="108" t="s">
        <v>127</v>
      </c>
      <c r="F3" s="108" t="s">
        <v>168</v>
      </c>
      <c r="G3" s="108" t="s">
        <v>122</v>
      </c>
      <c r="H3" s="108" t="s">
        <v>123</v>
      </c>
      <c r="I3" s="108" t="s">
        <v>124</v>
      </c>
      <c r="J3" s="108" t="s">
        <v>125</v>
      </c>
      <c r="K3" s="108"/>
      <c r="L3" s="109">
        <v>4725000</v>
      </c>
      <c r="M3" s="109">
        <v>1275750</v>
      </c>
      <c r="N3" s="109">
        <v>6000750</v>
      </c>
      <c r="O3" s="109">
        <v>1</v>
      </c>
      <c r="P3" s="109">
        <v>4725000</v>
      </c>
      <c r="Q3" s="109">
        <v>1275750</v>
      </c>
      <c r="R3" s="109">
        <v>6000750</v>
      </c>
      <c r="S3" s="109">
        <v>6000750</v>
      </c>
      <c r="T3" s="109">
        <v>0</v>
      </c>
      <c r="U3" s="109">
        <v>100</v>
      </c>
      <c r="V3" s="109">
        <v>6000750</v>
      </c>
      <c r="W3" s="108"/>
      <c r="X3" s="108"/>
      <c r="Y3" s="108" t="s">
        <v>177</v>
      </c>
      <c r="Z3" s="108"/>
      <c r="AA3" s="108"/>
      <c r="AB3" s="108"/>
    </row>
    <row r="4" spans="1:28" x14ac:dyDescent="0.25">
      <c r="A4" s="106"/>
      <c r="B4" s="106" t="s">
        <v>137</v>
      </c>
      <c r="C4" s="106" t="s">
        <v>126</v>
      </c>
      <c r="D4" s="106" t="s">
        <v>129</v>
      </c>
      <c r="E4" s="106" t="s">
        <v>130</v>
      </c>
      <c r="F4" s="106" t="s">
        <v>170</v>
      </c>
      <c r="G4" s="106" t="s">
        <v>122</v>
      </c>
      <c r="H4" s="106" t="s">
        <v>123</v>
      </c>
      <c r="I4" s="106" t="s">
        <v>131</v>
      </c>
      <c r="J4" s="106" t="s">
        <v>125</v>
      </c>
      <c r="K4" s="106"/>
      <c r="L4" s="107">
        <v>72360000</v>
      </c>
      <c r="M4" s="107">
        <v>0</v>
      </c>
      <c r="N4" s="107">
        <v>72360000</v>
      </c>
      <c r="O4" s="107">
        <v>1</v>
      </c>
      <c r="P4" s="107">
        <v>72360000</v>
      </c>
      <c r="Q4" s="107">
        <v>0</v>
      </c>
      <c r="R4" s="107">
        <v>72360000</v>
      </c>
      <c r="S4" s="107">
        <v>72360000</v>
      </c>
      <c r="T4" s="107">
        <v>0</v>
      </c>
      <c r="U4" s="107">
        <v>100</v>
      </c>
      <c r="V4" s="107">
        <v>72360000</v>
      </c>
      <c r="W4" s="106"/>
      <c r="X4" s="106"/>
      <c r="Y4" s="106" t="s">
        <v>178</v>
      </c>
      <c r="Z4" s="106"/>
      <c r="AA4" s="106"/>
      <c r="AB4" s="106"/>
    </row>
    <row r="5" spans="1:28" x14ac:dyDescent="0.25">
      <c r="A5" s="108"/>
      <c r="B5" s="108" t="s">
        <v>137</v>
      </c>
      <c r="C5" s="108" t="s">
        <v>128</v>
      </c>
      <c r="D5" s="108" t="s">
        <v>129</v>
      </c>
      <c r="E5" s="108" t="s">
        <v>130</v>
      </c>
      <c r="F5" s="108" t="s">
        <v>171</v>
      </c>
      <c r="G5" s="108" t="s">
        <v>122</v>
      </c>
      <c r="H5" s="108" t="s">
        <v>123</v>
      </c>
      <c r="I5" s="108" t="s">
        <v>131</v>
      </c>
      <c r="J5" s="108" t="s">
        <v>125</v>
      </c>
      <c r="K5" s="108"/>
      <c r="L5" s="109">
        <v>35640000</v>
      </c>
      <c r="M5" s="109">
        <v>0</v>
      </c>
      <c r="N5" s="109">
        <v>35640000</v>
      </c>
      <c r="O5" s="109">
        <v>1</v>
      </c>
      <c r="P5" s="109">
        <v>35640000</v>
      </c>
      <c r="Q5" s="109">
        <v>0</v>
      </c>
      <c r="R5" s="109">
        <v>35640000</v>
      </c>
      <c r="S5" s="109">
        <v>35640000</v>
      </c>
      <c r="T5" s="109">
        <v>0</v>
      </c>
      <c r="U5" s="109">
        <v>100</v>
      </c>
      <c r="V5" s="109">
        <v>35640000</v>
      </c>
      <c r="W5" s="108"/>
      <c r="X5" s="108"/>
      <c r="Y5" s="108" t="s">
        <v>179</v>
      </c>
      <c r="Z5" s="108"/>
      <c r="AA5" s="108"/>
      <c r="AB5" s="108"/>
    </row>
    <row r="6" spans="1:28" x14ac:dyDescent="0.25">
      <c r="A6" s="106"/>
      <c r="B6" s="106" t="s">
        <v>137</v>
      </c>
      <c r="C6" s="106" t="s">
        <v>126</v>
      </c>
      <c r="D6" s="106" t="s">
        <v>129</v>
      </c>
      <c r="E6" s="106" t="s">
        <v>132</v>
      </c>
      <c r="F6" s="106" t="s">
        <v>172</v>
      </c>
      <c r="G6" s="106" t="s">
        <v>122</v>
      </c>
      <c r="H6" s="106" t="s">
        <v>123</v>
      </c>
      <c r="I6" s="106" t="s">
        <v>131</v>
      </c>
      <c r="J6" s="106" t="s">
        <v>125</v>
      </c>
      <c r="K6" s="106"/>
      <c r="L6" s="107">
        <v>11934701</v>
      </c>
      <c r="M6" s="107">
        <v>0</v>
      </c>
      <c r="N6" s="107">
        <v>11934701</v>
      </c>
      <c r="O6" s="107">
        <v>1</v>
      </c>
      <c r="P6" s="107">
        <v>11934701</v>
      </c>
      <c r="Q6" s="107">
        <v>0</v>
      </c>
      <c r="R6" s="107">
        <v>11934701</v>
      </c>
      <c r="S6" s="107">
        <v>11934701</v>
      </c>
      <c r="T6" s="107">
        <v>0</v>
      </c>
      <c r="U6" s="107">
        <v>100</v>
      </c>
      <c r="V6" s="107">
        <v>11934701</v>
      </c>
      <c r="W6" s="106"/>
      <c r="X6" s="106"/>
      <c r="Y6" s="106" t="s">
        <v>180</v>
      </c>
      <c r="Z6" s="106"/>
      <c r="AA6" s="106"/>
      <c r="AB6" s="106"/>
    </row>
    <row r="7" spans="1:28" x14ac:dyDescent="0.25">
      <c r="A7" s="108"/>
      <c r="B7" s="108" t="s">
        <v>137</v>
      </c>
      <c r="C7" s="108" t="s">
        <v>128</v>
      </c>
      <c r="D7" s="108" t="s">
        <v>129</v>
      </c>
      <c r="E7" s="108" t="s">
        <v>132</v>
      </c>
      <c r="F7" s="108" t="s">
        <v>173</v>
      </c>
      <c r="G7" s="108" t="s">
        <v>122</v>
      </c>
      <c r="H7" s="108" t="s">
        <v>123</v>
      </c>
      <c r="I7" s="108" t="s">
        <v>131</v>
      </c>
      <c r="J7" s="108" t="s">
        <v>125</v>
      </c>
      <c r="K7" s="108"/>
      <c r="L7" s="109">
        <v>5878286</v>
      </c>
      <c r="M7" s="109">
        <v>0</v>
      </c>
      <c r="N7" s="109">
        <v>5878286</v>
      </c>
      <c r="O7" s="109">
        <v>1</v>
      </c>
      <c r="P7" s="109">
        <v>5878286</v>
      </c>
      <c r="Q7" s="109">
        <v>0</v>
      </c>
      <c r="R7" s="109">
        <v>5878286</v>
      </c>
      <c r="S7" s="109">
        <v>5878286</v>
      </c>
      <c r="T7" s="109">
        <v>0</v>
      </c>
      <c r="U7" s="109">
        <v>100</v>
      </c>
      <c r="V7" s="109">
        <v>5878286</v>
      </c>
      <c r="W7" s="108"/>
      <c r="X7" s="108"/>
      <c r="Y7" s="108" t="s">
        <v>181</v>
      </c>
      <c r="Z7" s="108"/>
      <c r="AA7" s="108"/>
      <c r="AB7" s="108"/>
    </row>
    <row r="8" spans="1:28" x14ac:dyDescent="0.25">
      <c r="A8" s="106"/>
      <c r="B8" s="106" t="s">
        <v>137</v>
      </c>
      <c r="C8" s="106" t="s">
        <v>128</v>
      </c>
      <c r="D8" s="106" t="s">
        <v>133</v>
      </c>
      <c r="E8" s="106" t="s">
        <v>134</v>
      </c>
      <c r="F8" s="106" t="s">
        <v>182</v>
      </c>
      <c r="G8" s="106" t="s">
        <v>122</v>
      </c>
      <c r="H8" s="106" t="s">
        <v>123</v>
      </c>
      <c r="I8" s="106" t="s">
        <v>131</v>
      </c>
      <c r="J8" s="106" t="s">
        <v>125</v>
      </c>
      <c r="K8" s="106"/>
      <c r="L8" s="107">
        <v>5524200</v>
      </c>
      <c r="M8" s="107">
        <v>0</v>
      </c>
      <c r="N8" s="107">
        <v>5524200</v>
      </c>
      <c r="O8" s="107">
        <v>1</v>
      </c>
      <c r="P8" s="107">
        <v>5524200</v>
      </c>
      <c r="Q8" s="107">
        <v>0</v>
      </c>
      <c r="R8" s="107">
        <v>5524200</v>
      </c>
      <c r="S8" s="107">
        <v>5524200</v>
      </c>
      <c r="T8" s="107">
        <v>0</v>
      </c>
      <c r="U8" s="107">
        <v>100</v>
      </c>
      <c r="V8" s="107">
        <v>5524200</v>
      </c>
      <c r="W8" s="106"/>
      <c r="X8" s="106"/>
      <c r="Y8" s="106" t="s">
        <v>183</v>
      </c>
      <c r="Z8" s="106"/>
      <c r="AA8" s="106"/>
      <c r="AB8" s="106"/>
    </row>
    <row r="9" spans="1:28" x14ac:dyDescent="0.25">
      <c r="A9" s="108"/>
      <c r="B9" s="108" t="s">
        <v>137</v>
      </c>
      <c r="C9" s="108" t="s">
        <v>126</v>
      </c>
      <c r="D9" s="108" t="s">
        <v>133</v>
      </c>
      <c r="E9" s="108" t="s">
        <v>134</v>
      </c>
      <c r="F9" s="108" t="s">
        <v>184</v>
      </c>
      <c r="G9" s="108" t="s">
        <v>122</v>
      </c>
      <c r="H9" s="108" t="s">
        <v>123</v>
      </c>
      <c r="I9" s="108" t="s">
        <v>131</v>
      </c>
      <c r="J9" s="108" t="s">
        <v>125</v>
      </c>
      <c r="K9" s="108"/>
      <c r="L9" s="109">
        <v>11215800</v>
      </c>
      <c r="M9" s="109">
        <v>0</v>
      </c>
      <c r="N9" s="109">
        <v>11215800</v>
      </c>
      <c r="O9" s="109">
        <v>1</v>
      </c>
      <c r="P9" s="109">
        <v>11215800</v>
      </c>
      <c r="Q9" s="109">
        <v>0</v>
      </c>
      <c r="R9" s="109">
        <v>11215800</v>
      </c>
      <c r="S9" s="109">
        <v>11215800</v>
      </c>
      <c r="T9" s="109">
        <v>0</v>
      </c>
      <c r="U9" s="109">
        <v>100</v>
      </c>
      <c r="V9" s="109">
        <v>11215800</v>
      </c>
      <c r="W9" s="108"/>
      <c r="X9" s="108"/>
      <c r="Y9" s="108" t="s">
        <v>185</v>
      </c>
      <c r="Z9" s="108"/>
      <c r="AA9" s="108"/>
      <c r="AB9" s="108"/>
    </row>
    <row r="10" spans="1:28" x14ac:dyDescent="0.25">
      <c r="A10" s="106"/>
      <c r="B10" s="106" t="s">
        <v>137</v>
      </c>
      <c r="C10" s="106" t="s">
        <v>128</v>
      </c>
      <c r="D10" s="106" t="s">
        <v>133</v>
      </c>
      <c r="E10" s="106" t="s">
        <v>135</v>
      </c>
      <c r="F10" s="106" t="s">
        <v>186</v>
      </c>
      <c r="G10" s="106" t="s">
        <v>122</v>
      </c>
      <c r="H10" s="106" t="s">
        <v>123</v>
      </c>
      <c r="I10" s="106" t="s">
        <v>131</v>
      </c>
      <c r="J10" s="106" t="s">
        <v>125</v>
      </c>
      <c r="K10" s="106"/>
      <c r="L10" s="107">
        <v>911134</v>
      </c>
      <c r="M10" s="107">
        <v>0</v>
      </c>
      <c r="N10" s="107">
        <v>911134</v>
      </c>
      <c r="O10" s="107">
        <v>1</v>
      </c>
      <c r="P10" s="107">
        <v>911134</v>
      </c>
      <c r="Q10" s="107">
        <v>0</v>
      </c>
      <c r="R10" s="107">
        <v>911134</v>
      </c>
      <c r="S10" s="107">
        <v>911134</v>
      </c>
      <c r="T10" s="107">
        <v>0</v>
      </c>
      <c r="U10" s="107">
        <v>100</v>
      </c>
      <c r="V10" s="107">
        <v>911134</v>
      </c>
      <c r="W10" s="106"/>
      <c r="X10" s="106"/>
      <c r="Y10" s="106" t="s">
        <v>181</v>
      </c>
      <c r="Z10" s="106"/>
      <c r="AA10" s="106"/>
      <c r="AB10" s="106"/>
    </row>
    <row r="11" spans="1:28" x14ac:dyDescent="0.25">
      <c r="A11" s="108"/>
      <c r="B11" s="108" t="s">
        <v>137</v>
      </c>
      <c r="C11" s="108" t="s">
        <v>126</v>
      </c>
      <c r="D11" s="108" t="s">
        <v>133</v>
      </c>
      <c r="E11" s="108" t="s">
        <v>135</v>
      </c>
      <c r="F11" s="108" t="s">
        <v>187</v>
      </c>
      <c r="G11" s="108" t="s">
        <v>122</v>
      </c>
      <c r="H11" s="108" t="s">
        <v>123</v>
      </c>
      <c r="I11" s="108" t="s">
        <v>131</v>
      </c>
      <c r="J11" s="108" t="s">
        <v>125</v>
      </c>
      <c r="K11" s="108"/>
      <c r="L11" s="109">
        <v>1849879</v>
      </c>
      <c r="M11" s="109">
        <v>0</v>
      </c>
      <c r="N11" s="109">
        <v>1849879</v>
      </c>
      <c r="O11" s="109">
        <v>1</v>
      </c>
      <c r="P11" s="109">
        <v>1849879</v>
      </c>
      <c r="Q11" s="109">
        <v>0</v>
      </c>
      <c r="R11" s="109">
        <v>1849879</v>
      </c>
      <c r="S11" s="109">
        <v>1849879</v>
      </c>
      <c r="T11" s="109">
        <v>0</v>
      </c>
      <c r="U11" s="109">
        <v>100</v>
      </c>
      <c r="V11" s="109">
        <v>1849879</v>
      </c>
      <c r="W11" s="108"/>
      <c r="X11" s="108"/>
      <c r="Y11" s="108" t="s">
        <v>180</v>
      </c>
      <c r="Z11" s="108"/>
      <c r="AA11" s="108"/>
      <c r="AB11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7"/>
  <sheetViews>
    <sheetView topLeftCell="A4" workbookViewId="0">
      <selection activeCell="A35" sqref="A35:A37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s="45" t="s">
        <v>64</v>
      </c>
    </row>
    <row r="18" spans="1:1" x14ac:dyDescent="0.25">
      <c r="A18" s="46" t="s">
        <v>65</v>
      </c>
    </row>
    <row r="19" spans="1:1" x14ac:dyDescent="0.25">
      <c r="A19" s="45" t="s">
        <v>66</v>
      </c>
    </row>
    <row r="20" spans="1:1" x14ac:dyDescent="0.25">
      <c r="A20" s="46" t="s">
        <v>67</v>
      </c>
    </row>
    <row r="21" spans="1:1" x14ac:dyDescent="0.25">
      <c r="A21" s="45" t="s">
        <v>68</v>
      </c>
    </row>
    <row r="22" spans="1:1" x14ac:dyDescent="0.25">
      <c r="A22" s="46" t="s">
        <v>69</v>
      </c>
    </row>
    <row r="23" spans="1:1" x14ac:dyDescent="0.25">
      <c r="A23" s="45" t="s">
        <v>70</v>
      </c>
    </row>
    <row r="24" spans="1:1" x14ac:dyDescent="0.25">
      <c r="A24" s="46" t="s">
        <v>71</v>
      </c>
    </row>
    <row r="25" spans="1:1" x14ac:dyDescent="0.25">
      <c r="A25" s="45" t="s">
        <v>72</v>
      </c>
    </row>
    <row r="26" spans="1:1" x14ac:dyDescent="0.25">
      <c r="A26" s="46" t="s">
        <v>73</v>
      </c>
    </row>
    <row r="27" spans="1:1" x14ac:dyDescent="0.25">
      <c r="A27" s="45" t="s">
        <v>74</v>
      </c>
    </row>
    <row r="28" spans="1:1" x14ac:dyDescent="0.25">
      <c r="A28" s="46" t="s">
        <v>139</v>
      </c>
    </row>
    <row r="29" spans="1:1" x14ac:dyDescent="0.25">
      <c r="A29" s="46" t="s">
        <v>140</v>
      </c>
    </row>
    <row r="30" spans="1:1" x14ac:dyDescent="0.25">
      <c r="A30" s="46" t="s">
        <v>141</v>
      </c>
    </row>
    <row r="31" spans="1:1" x14ac:dyDescent="0.25">
      <c r="A31" s="46" t="s">
        <v>142</v>
      </c>
    </row>
    <row r="32" spans="1:1" x14ac:dyDescent="0.25">
      <c r="A32" s="46" t="s">
        <v>143</v>
      </c>
    </row>
    <row r="33" spans="1:1" x14ac:dyDescent="0.25">
      <c r="A33" s="46" t="s">
        <v>144</v>
      </c>
    </row>
    <row r="34" spans="1:1" x14ac:dyDescent="0.25">
      <c r="A34" s="46" t="s">
        <v>211</v>
      </c>
    </row>
    <row r="35" spans="1:1" x14ac:dyDescent="0.25">
      <c r="A35" s="46" t="s">
        <v>212</v>
      </c>
    </row>
    <row r="36" spans="1:1" x14ac:dyDescent="0.25">
      <c r="A36" s="46" t="s">
        <v>213</v>
      </c>
    </row>
    <row r="37" spans="1:1" x14ac:dyDescent="0.25">
      <c r="A37" s="46" t="s">
        <v>214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3" sqref="A13"/>
    </sheetView>
  </sheetViews>
  <sheetFormatPr defaultRowHeight="15" x14ac:dyDescent="0.25"/>
  <cols>
    <col min="1" max="1" width="42.7109375" customWidth="1"/>
    <col min="2" max="2" width="35.85546875" customWidth="1"/>
    <col min="3" max="3" width="31.140625" customWidth="1"/>
    <col min="4" max="4" width="53.5703125" customWidth="1"/>
    <col min="5" max="5" width="28.5703125" customWidth="1"/>
  </cols>
  <sheetData>
    <row r="1" spans="1:5" s="8" customFormat="1" ht="18.75" customHeight="1" x14ac:dyDescent="0.25">
      <c r="A1" s="8" t="s">
        <v>174</v>
      </c>
      <c r="B1" s="72" t="s">
        <v>90</v>
      </c>
    </row>
    <row r="2" spans="1:5" s="8" customFormat="1" ht="18.75" customHeight="1" x14ac:dyDescent="0.25">
      <c r="B2" s="73" t="s">
        <v>76</v>
      </c>
    </row>
    <row r="3" spans="1:5" s="8" customFormat="1" ht="18.75" customHeight="1" x14ac:dyDescent="0.25">
      <c r="B3" s="73" t="s">
        <v>77</v>
      </c>
    </row>
    <row r="4" spans="1:5" s="8" customFormat="1" ht="18.75" customHeight="1" x14ac:dyDescent="0.25">
      <c r="B4" s="73" t="s">
        <v>91</v>
      </c>
    </row>
    <row r="5" spans="1:5" s="8" customFormat="1" ht="18.75" customHeight="1" thickBot="1" x14ac:dyDescent="0.3">
      <c r="A5" s="8" t="s">
        <v>8</v>
      </c>
      <c r="B5" s="74" t="s">
        <v>92</v>
      </c>
    </row>
    <row r="6" spans="1:5" s="8" customFormat="1" ht="18.75" customHeight="1" x14ac:dyDescent="0.25">
      <c r="A6" s="8" t="s">
        <v>9</v>
      </c>
    </row>
    <row r="7" spans="1:5" s="8" customFormat="1" ht="18.75" customHeight="1" thickBot="1" x14ac:dyDescent="0.3"/>
    <row r="8" spans="1:5" s="8" customFormat="1" ht="18.75" customHeight="1" x14ac:dyDescent="0.25">
      <c r="A8" s="75" t="s">
        <v>78</v>
      </c>
    </row>
    <row r="9" spans="1:5" s="8" customFormat="1" ht="18.75" customHeight="1" x14ac:dyDescent="0.25">
      <c r="A9" s="76" t="s">
        <v>17</v>
      </c>
    </row>
    <row r="10" spans="1:5" s="8" customFormat="1" ht="18.75" customHeight="1" thickBot="1" x14ac:dyDescent="0.3">
      <c r="A10" s="77" t="s">
        <v>89</v>
      </c>
    </row>
    <row r="12" spans="1:5" x14ac:dyDescent="0.25">
      <c r="A12" s="105" t="s">
        <v>85</v>
      </c>
      <c r="B12" s="105" t="s">
        <v>53</v>
      </c>
      <c r="C12" s="105" t="s">
        <v>84</v>
      </c>
      <c r="D12" s="105" t="s">
        <v>6</v>
      </c>
      <c r="E12" s="110" t="s">
        <v>138</v>
      </c>
    </row>
    <row r="13" spans="1:5" x14ac:dyDescent="0.25">
      <c r="A13" s="106" t="s">
        <v>167</v>
      </c>
      <c r="B13" s="106" t="s">
        <v>121</v>
      </c>
      <c r="C13" s="106" t="s">
        <v>169</v>
      </c>
      <c r="D13" s="106" t="s">
        <v>169</v>
      </c>
    </row>
    <row r="14" spans="1:5" x14ac:dyDescent="0.25">
      <c r="A14" s="108" t="s">
        <v>168</v>
      </c>
      <c r="B14" s="108" t="s">
        <v>126</v>
      </c>
      <c r="C14" s="108" t="s">
        <v>127</v>
      </c>
      <c r="D14" s="108" t="s">
        <v>127</v>
      </c>
    </row>
    <row r="15" spans="1:5" x14ac:dyDescent="0.25">
      <c r="A15" s="108"/>
      <c r="B15" s="108"/>
      <c r="C15" s="108"/>
      <c r="D15" s="108"/>
    </row>
    <row r="16" spans="1:5" x14ac:dyDescent="0.25">
      <c r="A16" s="106" t="s">
        <v>170</v>
      </c>
      <c r="B16" s="106" t="s">
        <v>126</v>
      </c>
      <c r="C16" s="106" t="s">
        <v>129</v>
      </c>
      <c r="D16" s="106" t="s">
        <v>130</v>
      </c>
      <c r="E16" t="s">
        <v>90</v>
      </c>
    </row>
    <row r="17" spans="1:5" x14ac:dyDescent="0.25">
      <c r="A17" s="108" t="s">
        <v>171</v>
      </c>
      <c r="B17" s="108" t="s">
        <v>128</v>
      </c>
      <c r="C17" s="108" t="s">
        <v>129</v>
      </c>
      <c r="D17" s="108" t="s">
        <v>130</v>
      </c>
      <c r="E17" t="s">
        <v>90</v>
      </c>
    </row>
    <row r="18" spans="1:5" x14ac:dyDescent="0.25">
      <c r="A18" s="106" t="s">
        <v>172</v>
      </c>
      <c r="B18" s="106" t="s">
        <v>126</v>
      </c>
      <c r="C18" s="106" t="s">
        <v>129</v>
      </c>
      <c r="D18" s="106" t="s">
        <v>132</v>
      </c>
      <c r="E18" t="s">
        <v>76</v>
      </c>
    </row>
    <row r="19" spans="1:5" x14ac:dyDescent="0.25">
      <c r="A19" s="108" t="s">
        <v>173</v>
      </c>
      <c r="B19" s="108" t="s">
        <v>128</v>
      </c>
      <c r="C19" s="108" t="s">
        <v>129</v>
      </c>
      <c r="D19" s="108" t="s">
        <v>132</v>
      </c>
      <c r="E19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20C8-2CDE-4460-93C5-F00BB9632BBD}">
  <dimension ref="A1:E31"/>
  <sheetViews>
    <sheetView workbookViewId="0">
      <selection activeCell="C22" sqref="C22"/>
    </sheetView>
  </sheetViews>
  <sheetFormatPr defaultRowHeight="15" x14ac:dyDescent="0.25"/>
  <cols>
    <col min="1" max="1" width="28.7109375" customWidth="1"/>
    <col min="2" max="2" width="20.28515625" customWidth="1"/>
    <col min="3" max="5" width="18.5703125" customWidth="1"/>
  </cols>
  <sheetData>
    <row r="1" spans="1:5" x14ac:dyDescent="0.25">
      <c r="A1" s="213" t="s">
        <v>238</v>
      </c>
      <c r="B1" s="213" t="s">
        <v>239</v>
      </c>
      <c r="C1" s="213" t="s">
        <v>240</v>
      </c>
      <c r="D1" s="213" t="s">
        <v>236</v>
      </c>
      <c r="E1" s="213" t="s">
        <v>237</v>
      </c>
    </row>
    <row r="2" spans="1:5" x14ac:dyDescent="0.25">
      <c r="A2" s="242" t="s">
        <v>200</v>
      </c>
      <c r="B2" s="214" t="s">
        <v>222</v>
      </c>
      <c r="C2" s="89" t="s">
        <v>195</v>
      </c>
      <c r="D2" s="215">
        <v>650000</v>
      </c>
      <c r="E2" s="215">
        <v>84500</v>
      </c>
    </row>
    <row r="3" spans="1:5" x14ac:dyDescent="0.25">
      <c r="A3" s="242" t="s">
        <v>241</v>
      </c>
      <c r="B3" s="214" t="s">
        <v>223</v>
      </c>
      <c r="C3" s="89" t="s">
        <v>193</v>
      </c>
      <c r="D3" s="215">
        <v>1070000</v>
      </c>
      <c r="E3" s="215">
        <v>139100</v>
      </c>
    </row>
    <row r="4" spans="1:5" x14ac:dyDescent="0.25">
      <c r="A4" s="242" t="s">
        <v>242</v>
      </c>
      <c r="B4" s="214" t="s">
        <v>224</v>
      </c>
      <c r="C4" s="89" t="s">
        <v>194</v>
      </c>
      <c r="D4" s="215">
        <v>1714000</v>
      </c>
      <c r="E4" s="215">
        <v>222820</v>
      </c>
    </row>
    <row r="5" spans="1:5" x14ac:dyDescent="0.25">
      <c r="A5" s="242" t="s">
        <v>243</v>
      </c>
      <c r="B5" s="214" t="s">
        <v>232</v>
      </c>
      <c r="C5" s="89" t="s">
        <v>193</v>
      </c>
      <c r="D5" s="215">
        <v>0</v>
      </c>
      <c r="E5" s="215">
        <v>0</v>
      </c>
    </row>
    <row r="6" spans="1:5" x14ac:dyDescent="0.25">
      <c r="A6" s="242" t="s">
        <v>202</v>
      </c>
      <c r="B6" s="214" t="s">
        <v>226</v>
      </c>
      <c r="C6" s="89" t="s">
        <v>203</v>
      </c>
      <c r="D6" s="215">
        <v>567315</v>
      </c>
      <c r="E6" s="215">
        <v>73751</v>
      </c>
    </row>
    <row r="7" spans="1:5" x14ac:dyDescent="0.25">
      <c r="A7" s="242" t="s">
        <v>205</v>
      </c>
      <c r="B7" s="214" t="s">
        <v>230</v>
      </c>
      <c r="C7" s="89" t="s">
        <v>203</v>
      </c>
      <c r="D7" s="215">
        <v>1208000</v>
      </c>
      <c r="E7" s="215">
        <v>157040</v>
      </c>
    </row>
    <row r="8" spans="1:5" x14ac:dyDescent="0.25">
      <c r="A8" s="242" t="s">
        <v>210</v>
      </c>
      <c r="B8" s="214" t="s">
        <v>231</v>
      </c>
      <c r="C8" s="89" t="s">
        <v>195</v>
      </c>
      <c r="D8" s="215">
        <v>544000</v>
      </c>
      <c r="E8" s="215">
        <v>70720</v>
      </c>
    </row>
    <row r="9" spans="1:5" x14ac:dyDescent="0.25">
      <c r="A9" s="242" t="s">
        <v>275</v>
      </c>
      <c r="B9" s="214" t="s">
        <v>270</v>
      </c>
      <c r="C9" s="89" t="s">
        <v>193</v>
      </c>
      <c r="D9" s="215">
        <v>1499999</v>
      </c>
      <c r="E9" s="215">
        <v>195000</v>
      </c>
    </row>
    <row r="10" spans="1:5" x14ac:dyDescent="0.25">
      <c r="A10" s="242" t="s">
        <v>244</v>
      </c>
      <c r="B10" s="214" t="s">
        <v>245</v>
      </c>
      <c r="C10" s="89" t="s">
        <v>203</v>
      </c>
      <c r="D10" s="215">
        <v>298000</v>
      </c>
      <c r="E10" s="215">
        <v>4056</v>
      </c>
    </row>
    <row r="11" spans="1:5" x14ac:dyDescent="0.25">
      <c r="A11" s="214" t="s">
        <v>249</v>
      </c>
      <c r="B11" s="214"/>
      <c r="C11" s="89"/>
      <c r="D11" s="215">
        <v>0</v>
      </c>
      <c r="E11" s="215">
        <v>0</v>
      </c>
    </row>
    <row r="12" spans="1:5" x14ac:dyDescent="0.25">
      <c r="A12" s="214" t="s">
        <v>249</v>
      </c>
      <c r="B12" s="214" t="s">
        <v>250</v>
      </c>
      <c r="C12" s="89" t="s">
        <v>276</v>
      </c>
      <c r="D12" s="215">
        <v>798000</v>
      </c>
      <c r="E12" s="215">
        <v>103740</v>
      </c>
    </row>
    <row r="13" spans="1:5" x14ac:dyDescent="0.25">
      <c r="A13" s="242" t="s">
        <v>254</v>
      </c>
      <c r="B13" s="214" t="s">
        <v>256</v>
      </c>
      <c r="C13" s="89" t="s">
        <v>255</v>
      </c>
      <c r="D13" s="215">
        <v>475000</v>
      </c>
      <c r="E13" s="215">
        <v>61750</v>
      </c>
    </row>
    <row r="14" spans="1:5" x14ac:dyDescent="0.25">
      <c r="A14" s="242" t="s">
        <v>259</v>
      </c>
      <c r="B14" s="214" t="s">
        <v>258</v>
      </c>
      <c r="C14" s="89" t="s">
        <v>193</v>
      </c>
      <c r="D14" s="215">
        <v>560000</v>
      </c>
      <c r="E14" s="215">
        <v>72800</v>
      </c>
    </row>
    <row r="15" spans="1:5" x14ac:dyDescent="0.25">
      <c r="A15" s="242" t="s">
        <v>265</v>
      </c>
      <c r="B15" s="214" t="s">
        <v>266</v>
      </c>
      <c r="C15" s="89" t="s">
        <v>203</v>
      </c>
      <c r="D15" s="215">
        <v>325000</v>
      </c>
      <c r="E15" s="215">
        <v>7566</v>
      </c>
    </row>
    <row r="16" spans="1:5" x14ac:dyDescent="0.25">
      <c r="A16" s="242" t="s">
        <v>267</v>
      </c>
      <c r="B16" s="214" t="s">
        <v>268</v>
      </c>
      <c r="C16" s="89" t="s">
        <v>255</v>
      </c>
      <c r="D16" s="215">
        <v>470000</v>
      </c>
      <c r="E16" s="215">
        <v>61100</v>
      </c>
    </row>
    <row r="17" spans="1:5" x14ac:dyDescent="0.25">
      <c r="A17" s="216"/>
      <c r="B17" s="217"/>
      <c r="C17" s="89"/>
      <c r="D17" s="215"/>
      <c r="E17" s="215"/>
    </row>
    <row r="18" spans="1:5" x14ac:dyDescent="0.25">
      <c r="A18" s="214"/>
      <c r="B18" s="214"/>
      <c r="C18" s="89"/>
      <c r="D18" s="215"/>
      <c r="E18" s="215"/>
    </row>
    <row r="19" spans="1:5" x14ac:dyDescent="0.25">
      <c r="A19" s="216"/>
      <c r="B19" s="217"/>
      <c r="C19" s="89"/>
      <c r="D19" s="215"/>
      <c r="E19" s="215"/>
    </row>
    <row r="20" spans="1:5" x14ac:dyDescent="0.25">
      <c r="A20" s="214"/>
      <c r="B20" s="214"/>
      <c r="C20" s="89"/>
      <c r="D20" s="215"/>
      <c r="E20" s="215"/>
    </row>
    <row r="21" spans="1:5" x14ac:dyDescent="0.25">
      <c r="A21" s="216"/>
      <c r="B21" s="217"/>
      <c r="C21" s="89"/>
      <c r="D21" s="215"/>
      <c r="E21" s="215"/>
    </row>
    <row r="22" spans="1:5" x14ac:dyDescent="0.25">
      <c r="A22" s="214"/>
      <c r="B22" s="214"/>
      <c r="C22" s="89"/>
      <c r="D22" s="215"/>
      <c r="E22" s="215"/>
    </row>
    <row r="23" spans="1:5" x14ac:dyDescent="0.25">
      <c r="A23" s="217"/>
      <c r="B23" s="217"/>
      <c r="C23" s="89"/>
      <c r="D23" s="215"/>
      <c r="E23" s="215"/>
    </row>
    <row r="24" spans="1:5" x14ac:dyDescent="0.25">
      <c r="A24" s="216"/>
      <c r="B24" s="217"/>
      <c r="C24" s="89"/>
      <c r="D24" s="215"/>
      <c r="E24" s="215"/>
    </row>
    <row r="25" spans="1:5" x14ac:dyDescent="0.25">
      <c r="A25" s="214"/>
      <c r="B25" s="214"/>
      <c r="C25" s="89"/>
      <c r="D25" s="215"/>
      <c r="E25" s="215"/>
    </row>
    <row r="26" spans="1:5" x14ac:dyDescent="0.25">
      <c r="A26" s="216"/>
      <c r="B26" s="217"/>
      <c r="C26" s="89"/>
      <c r="D26" s="215"/>
      <c r="E26" s="215"/>
    </row>
    <row r="27" spans="1:5" x14ac:dyDescent="0.25">
      <c r="A27" s="214"/>
      <c r="B27" s="214"/>
      <c r="C27" s="89"/>
      <c r="D27" s="215"/>
      <c r="E27" s="215"/>
    </row>
    <row r="28" spans="1:5" x14ac:dyDescent="0.25">
      <c r="A28" s="216"/>
      <c r="B28" s="217"/>
      <c r="C28" s="89"/>
      <c r="D28" s="215"/>
      <c r="E28" s="215"/>
    </row>
    <row r="29" spans="1:5" x14ac:dyDescent="0.25">
      <c r="A29" s="214"/>
      <c r="B29" s="214"/>
      <c r="C29" s="89"/>
      <c r="D29" s="215"/>
      <c r="E29" s="215"/>
    </row>
    <row r="30" spans="1:5" x14ac:dyDescent="0.25">
      <c r="A30" s="217"/>
      <c r="B30" s="217"/>
      <c r="C30" s="89"/>
      <c r="D30" s="215"/>
      <c r="E30" s="215"/>
    </row>
    <row r="31" spans="1:5" x14ac:dyDescent="0.25">
      <c r="A31" s="216"/>
      <c r="B31" s="217"/>
      <c r="C31" s="89"/>
      <c r="D31" s="215"/>
      <c r="E31" s="2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Összesítő_Terv-tény</vt:lpstr>
      <vt:lpstr>Bérköltség</vt:lpstr>
      <vt:lpstr>Dologi_felhalm.</vt:lpstr>
      <vt:lpstr>EPTK költségvetés export fájl</vt:lpstr>
      <vt:lpstr>Hónapok</vt:lpstr>
      <vt:lpstr>Admin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2024-07-03T06:00:05Z</dcterms:modified>
</cp:coreProperties>
</file>