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OTKA\OTKA_137743\"/>
    </mc:Choice>
  </mc:AlternateContent>
  <xr:revisionPtr revIDLastSave="0" documentId="13_ncr:1_{DF71BF81-D0EE-4F9C-851E-676DBB133CA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Információk" sheetId="18" r:id="rId5"/>
    <sheet name="Havi béradatok" sheetId="19" r:id="rId6"/>
  </sheets>
  <definedNames>
    <definedName name="_xlnm._FilterDatabase" localSheetId="1" hidden="1">Bérköltség!$A$5:$AN$54</definedName>
    <definedName name="_xlnm._FilterDatabase" localSheetId="2" hidden="1">Dologi_felhalm.!$A$6:$I$20</definedName>
    <definedName name="_xlnm._FilterDatabase" localSheetId="0" hidden="1">'Terv-tény'!$A$3:$H$19</definedName>
    <definedName name="Z_B3053EE5_F487_4331_B4B6_28A1F2EF1617_.wvu.Cols" localSheetId="1" hidden="1">Bérköltség!$E:$E,Bérköltség!#REF!,Bérköltség!$M:$N,Bérköltség!$R:$R,Bérköltség!#REF!</definedName>
    <definedName name="Z_B3053EE5_F487_4331_B4B6_28A1F2EF1617_.wvu.FilterData" localSheetId="1" hidden="1">Bérköltség!$A$5:$AN$54</definedName>
    <definedName name="Z_B3053EE5_F487_4331_B4B6_28A1F2EF1617_.wvu.FilterData" localSheetId="2" hidden="1">Dologi_felhalm.!$A$6:$I$7</definedName>
    <definedName name="Z_B3053EE5_F487_4331_B4B6_28A1F2EF1617_.wvu.FilterData" localSheetId="0" hidden="1">'Terv-tény'!$A$3:$G$11</definedName>
    <definedName name="Z_B3053EE5_F487_4331_B4B6_28A1F2EF1617_.wvu.Rows" localSheetId="1" hidden="1">Bérköltség!$58:$90</definedName>
    <definedName name="Z_B3053EE5_F487_4331_B4B6_28A1F2EF1617_.wvu.Rows" localSheetId="2" hidden="1">Dologi_felhalm.!$1:$4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11" l="1"/>
  <c r="I48" i="11"/>
  <c r="W38" i="11"/>
  <c r="V38" i="11"/>
  <c r="W8" i="11"/>
  <c r="V8" i="11"/>
  <c r="G23" i="13"/>
  <c r="N51" i="11"/>
  <c r="I51" i="11"/>
  <c r="N50" i="11"/>
  <c r="I50" i="11"/>
  <c r="N49" i="11"/>
  <c r="I49" i="11"/>
  <c r="W37" i="11"/>
  <c r="V37" i="11"/>
  <c r="W7" i="11"/>
  <c r="V7" i="11"/>
  <c r="X2" i="11"/>
  <c r="W2" i="11"/>
  <c r="L38" i="11" l="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M16" i="11" l="1"/>
  <c r="O16" i="11" s="1"/>
  <c r="I16" i="11"/>
  <c r="M15" i="11"/>
  <c r="N15" i="11" s="1"/>
  <c r="I15" i="11"/>
  <c r="M14" i="11"/>
  <c r="O14" i="11" s="1"/>
  <c r="I14" i="11"/>
  <c r="M13" i="11"/>
  <c r="O13" i="11" s="1"/>
  <c r="I13" i="11"/>
  <c r="M12" i="11"/>
  <c r="N12" i="11" s="1"/>
  <c r="I12" i="11"/>
  <c r="M11" i="11"/>
  <c r="O11" i="11" s="1"/>
  <c r="I11" i="11"/>
  <c r="M10" i="11"/>
  <c r="O10" i="11" s="1"/>
  <c r="I10" i="11"/>
  <c r="M9" i="11"/>
  <c r="N9" i="11" s="1"/>
  <c r="I9" i="11"/>
  <c r="M8" i="11"/>
  <c r="N8" i="11" s="1"/>
  <c r="I8" i="11"/>
  <c r="X8" i="11" s="1"/>
  <c r="M7" i="11"/>
  <c r="O7" i="11" s="1"/>
  <c r="I7" i="11"/>
  <c r="X7" i="11" s="1"/>
  <c r="M17" i="11"/>
  <c r="N17" i="11" s="1"/>
  <c r="I17" i="11"/>
  <c r="M35" i="11"/>
  <c r="O35" i="11" s="1"/>
  <c r="I35" i="11"/>
  <c r="V2" i="11"/>
  <c r="N11" i="11" l="1"/>
  <c r="O8" i="11"/>
  <c r="O12" i="11"/>
  <c r="O9" i="11"/>
  <c r="N14" i="11"/>
  <c r="O15" i="11"/>
  <c r="N7" i="11"/>
  <c r="N10" i="11"/>
  <c r="N13" i="11"/>
  <c r="N16" i="11"/>
  <c r="O17" i="11"/>
  <c r="N35" i="11"/>
  <c r="M38" i="11"/>
  <c r="O38" i="11" s="1"/>
  <c r="I38" i="11"/>
  <c r="X38" i="11" s="1"/>
  <c r="M37" i="11"/>
  <c r="O37" i="11" s="1"/>
  <c r="I37" i="11"/>
  <c r="X37" i="11" s="1"/>
  <c r="N47" i="11"/>
  <c r="I47" i="11"/>
  <c r="M36" i="11"/>
  <c r="O36" i="11" s="1"/>
  <c r="I36" i="11"/>
  <c r="M34" i="11"/>
  <c r="O34" i="11" s="1"/>
  <c r="I34" i="11"/>
  <c r="N46" i="11"/>
  <c r="I46" i="11"/>
  <c r="M33" i="11"/>
  <c r="O33" i="11" s="1"/>
  <c r="I33" i="11"/>
  <c r="M32" i="11"/>
  <c r="N32" i="11" s="1"/>
  <c r="I32" i="11"/>
  <c r="O31" i="11"/>
  <c r="I31" i="11"/>
  <c r="D5" i="2"/>
  <c r="N45" i="11"/>
  <c r="O23" i="11"/>
  <c r="N23" i="11"/>
  <c r="I23" i="11"/>
  <c r="O22" i="11"/>
  <c r="N22" i="11"/>
  <c r="I22" i="11"/>
  <c r="O21" i="11"/>
  <c r="N21" i="11"/>
  <c r="I21" i="11"/>
  <c r="N37" i="11" l="1"/>
  <c r="N38" i="11"/>
  <c r="N36" i="11"/>
  <c r="N34" i="11"/>
  <c r="O32" i="11"/>
  <c r="N33" i="11"/>
  <c r="N31" i="11"/>
  <c r="M30" i="11"/>
  <c r="O30" i="11" s="1"/>
  <c r="I30" i="11"/>
  <c r="M29" i="11"/>
  <c r="O29" i="11" s="1"/>
  <c r="I29" i="11"/>
  <c r="M28" i="11"/>
  <c r="O28" i="11" s="1"/>
  <c r="I28" i="11"/>
  <c r="M27" i="11"/>
  <c r="O27" i="11" s="1"/>
  <c r="I27" i="11"/>
  <c r="M26" i="11"/>
  <c r="O26" i="11" s="1"/>
  <c r="I26" i="11"/>
  <c r="M25" i="11"/>
  <c r="O25" i="11" s="1"/>
  <c r="I25" i="11"/>
  <c r="M24" i="11"/>
  <c r="O24" i="11" s="1"/>
  <c r="I24" i="11"/>
  <c r="F43" i="2"/>
  <c r="D43" i="2"/>
  <c r="F30" i="2"/>
  <c r="D30" i="2"/>
  <c r="F17" i="2"/>
  <c r="D17" i="2"/>
  <c r="O20" i="11"/>
  <c r="I20" i="11"/>
  <c r="M19" i="11"/>
  <c r="O19" i="11" s="1"/>
  <c r="I19" i="11"/>
  <c r="M18" i="11"/>
  <c r="O18" i="11" s="1"/>
  <c r="I18" i="11"/>
  <c r="C61" i="2"/>
  <c r="C59" i="2"/>
  <c r="C58" i="2"/>
  <c r="C57" i="2"/>
  <c r="C56" i="2"/>
  <c r="F48" i="2"/>
  <c r="F49" i="2" s="1"/>
  <c r="F46" i="2"/>
  <c r="F45" i="2"/>
  <c r="F44" i="2"/>
  <c r="D48" i="2"/>
  <c r="D49" i="2" s="1"/>
  <c r="D46" i="2"/>
  <c r="E46" i="2" s="1"/>
  <c r="D45" i="2"/>
  <c r="E45" i="2" s="1"/>
  <c r="D44" i="2"/>
  <c r="E44" i="2" s="1"/>
  <c r="C49" i="2"/>
  <c r="C50" i="2" s="1"/>
  <c r="C47" i="2"/>
  <c r="F35" i="2"/>
  <c r="F36" i="2" s="1"/>
  <c r="F33" i="2"/>
  <c r="F31" i="2"/>
  <c r="F32" i="2"/>
  <c r="D35" i="2"/>
  <c r="D36" i="2" s="1"/>
  <c r="D33" i="2"/>
  <c r="E33" i="2" s="1"/>
  <c r="D32" i="2"/>
  <c r="E32" i="2" s="1"/>
  <c r="D31" i="2"/>
  <c r="E31" i="2" s="1"/>
  <c r="F22" i="2"/>
  <c r="F23" i="2" s="1"/>
  <c r="F20" i="2"/>
  <c r="F19" i="2"/>
  <c r="F18" i="2"/>
  <c r="D22" i="2"/>
  <c r="E22" i="2" s="1"/>
  <c r="D20" i="2"/>
  <c r="E20" i="2" s="1"/>
  <c r="D19" i="2"/>
  <c r="E19" i="2" s="1"/>
  <c r="D18" i="2"/>
  <c r="E18" i="2" s="1"/>
  <c r="C36" i="2"/>
  <c r="C34" i="2"/>
  <c r="C23" i="2"/>
  <c r="C21" i="2"/>
  <c r="F7" i="2"/>
  <c r="F6" i="2"/>
  <c r="F5" i="2"/>
  <c r="F9" i="2"/>
  <c r="D7" i="2"/>
  <c r="D6" i="2"/>
  <c r="D9" i="2"/>
  <c r="C8" i="2"/>
  <c r="C60" i="2" s="1"/>
  <c r="C24" i="2" l="1"/>
  <c r="G45" i="2"/>
  <c r="N26" i="11"/>
  <c r="N27" i="11"/>
  <c r="N28" i="11"/>
  <c r="N29" i="11"/>
  <c r="N30" i="11"/>
  <c r="N24" i="11"/>
  <c r="N25" i="11"/>
  <c r="N18" i="11"/>
  <c r="N19" i="11"/>
  <c r="N20" i="11"/>
  <c r="F61" i="2"/>
  <c r="D57" i="2"/>
  <c r="G46" i="2"/>
  <c r="D58" i="2"/>
  <c r="F58" i="2"/>
  <c r="F57" i="2"/>
  <c r="D61" i="2"/>
  <c r="G33" i="2"/>
  <c r="F59" i="2"/>
  <c r="D59" i="2"/>
  <c r="C37" i="2"/>
  <c r="G44" i="2"/>
  <c r="D47" i="2"/>
  <c r="D50" i="2" s="1"/>
  <c r="E43" i="2"/>
  <c r="E48" i="2"/>
  <c r="G32" i="2"/>
  <c r="G31" i="2"/>
  <c r="D34" i="2"/>
  <c r="D37" i="2" s="1"/>
  <c r="G22" i="2"/>
  <c r="G23" i="2" s="1"/>
  <c r="G20" i="2"/>
  <c r="G19" i="2"/>
  <c r="G18" i="2"/>
  <c r="D23" i="2"/>
  <c r="D21" i="2"/>
  <c r="E30" i="2"/>
  <c r="E35" i="2"/>
  <c r="E23" i="2"/>
  <c r="E17" i="2"/>
  <c r="D4" i="2" l="1"/>
  <c r="D56" i="2" s="1"/>
  <c r="F21" i="2"/>
  <c r="F24" i="2" s="1"/>
  <c r="F47" i="2"/>
  <c r="F50" i="2" s="1"/>
  <c r="F34" i="2"/>
  <c r="F37" i="2" s="1"/>
  <c r="D24" i="2"/>
  <c r="E49" i="2"/>
  <c r="G48" i="2"/>
  <c r="G49" i="2" s="1"/>
  <c r="E47" i="2"/>
  <c r="E34" i="2"/>
  <c r="E36" i="2"/>
  <c r="G35" i="2"/>
  <c r="G36" i="2" s="1"/>
  <c r="E21" i="2"/>
  <c r="E24" i="2" s="1"/>
  <c r="G17" i="2" l="1"/>
  <c r="G21" i="2" s="1"/>
  <c r="G24" i="2" s="1"/>
  <c r="G30" i="2"/>
  <c r="G34" i="2" s="1"/>
  <c r="G37" i="2" s="1"/>
  <c r="G43" i="2"/>
  <c r="G47" i="2" s="1"/>
  <c r="G50" i="2" s="1"/>
  <c r="E37" i="2"/>
  <c r="E50" i="2"/>
  <c r="F10" i="2"/>
  <c r="F62" i="2" s="1"/>
  <c r="E9" i="2"/>
  <c r="C10" i="2"/>
  <c r="C11" i="2" l="1"/>
  <c r="C63" i="2" s="1"/>
  <c r="C62" i="2"/>
  <c r="E10" i="2"/>
  <c r="E62" i="2" s="1"/>
  <c r="E61" i="2"/>
  <c r="D10" i="2"/>
  <c r="D62" i="2" s="1"/>
  <c r="G9" i="2"/>
  <c r="G10" i="2" l="1"/>
  <c r="G62" i="2" s="1"/>
  <c r="G61" i="2"/>
  <c r="F4" i="2"/>
  <c r="F56" i="2" s="1"/>
  <c r="I45" i="11"/>
  <c r="D8" i="2" l="1"/>
  <c r="E6" i="2"/>
  <c r="E58" i="2" s="1"/>
  <c r="D11" i="2" l="1"/>
  <c r="D63" i="2" s="1"/>
  <c r="D60" i="2"/>
  <c r="G6" i="2"/>
  <c r="G58" i="2" s="1"/>
  <c r="E5" i="2" l="1"/>
  <c r="E57" i="2" s="1"/>
  <c r="G5" i="2" l="1"/>
  <c r="G57" i="2" s="1"/>
  <c r="E4" i="2" l="1"/>
  <c r="E56" i="2" s="1"/>
  <c r="G4" i="2" l="1"/>
  <c r="G56" i="2" s="1"/>
  <c r="G33" i="13" l="1"/>
  <c r="E7" i="2" l="1"/>
  <c r="E8" i="2" l="1"/>
  <c r="E59" i="2"/>
  <c r="M55" i="11"/>
  <c r="F8" i="2"/>
  <c r="F11" i="2" l="1"/>
  <c r="F63" i="2" s="1"/>
  <c r="F60" i="2"/>
  <c r="E11" i="2"/>
  <c r="E63" i="2" s="1"/>
  <c r="E60" i="2"/>
  <c r="N55" i="11"/>
  <c r="G7" i="2"/>
  <c r="G8" i="2" l="1"/>
  <c r="G59" i="2"/>
  <c r="G11" i="2" l="1"/>
  <c r="G63" i="2" s="1"/>
  <c r="G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W2" authorId="0" shapeId="0" xr:uid="{C2E58515-5795-435E-B1DC-347477A10162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7" authorId="0" shapeId="0" xr:uid="{A1E9DA87-F232-43F6-B35B-1AEDC846E984}">
      <text>
        <r>
          <rPr>
            <b/>
            <sz val="9"/>
            <color indexed="81"/>
            <rFont val="Tahoma"/>
            <family val="2"/>
            <charset val="238"/>
          </rPr>
          <t>tört hónap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23" authorId="0" shapeId="0" xr:uid="{0F598064-2654-4C9F-90DD-A995A754C72A}">
      <text>
        <r>
          <rPr>
            <b/>
            <sz val="9"/>
            <color indexed="81"/>
            <rFont val="Tahoma"/>
            <family val="2"/>
            <charset val="238"/>
          </rPr>
          <t>fél hónapig szabin volt, utána megszűnt a munkaviszonya. Nem dolgozott egy napot sem.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7" authorId="0" shapeId="0" xr:uid="{00000000-0006-0000-0200-000001000000}">
      <text>
        <r>
          <rPr>
            <b/>
            <sz val="9"/>
            <color indexed="81"/>
            <rFont val="Segoe UI"/>
            <family val="2"/>
            <charset val="238"/>
          </rPr>
          <t xml:space="preserve">50 euró, 21870 Ft-ot utaltunk, de elszámolni csak ennyi t tudunk
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<sst xmlns="http://schemas.openxmlformats.org/spreadsheetml/2006/main" count="751" uniqueCount="215">
  <si>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</si>
  <si>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</si>
  <si>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</si>
  <si>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</si>
  <si>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</si>
  <si>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</si>
  <si>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</si>
  <si>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</si>
  <si>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</si>
  <si>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</si>
  <si>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</si>
  <si>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</si>
  <si>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</si>
  <si>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</si>
  <si>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Tény/Köt. váll.</t>
  </si>
  <si>
    <t>Kifizetési kérelem</t>
  </si>
  <si>
    <t>Felhasználás</t>
  </si>
  <si>
    <t>Pénzügyi</t>
  </si>
  <si>
    <t>költségsor</t>
  </si>
  <si>
    <t>Sorszám/SAP</t>
  </si>
  <si>
    <t>Mindösszesen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</si>
  <si>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</si>
  <si>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</si>
  <si>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</si>
  <si>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</si>
  <si>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</si>
  <si>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</si>
  <si>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</si>
  <si>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</si>
  <si>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</si>
  <si>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NR</t>
  </si>
  <si>
    <t>dátuma</t>
  </si>
  <si>
    <t>közreműködő munkatársak (Név)</t>
  </si>
  <si>
    <t>(Hónap)</t>
  </si>
  <si>
    <t>központ (számfejtés)</t>
  </si>
  <si>
    <t>MEGBÍZÁSOK</t>
  </si>
  <si>
    <t>Megrendelés/ szerződés száma</t>
  </si>
  <si>
    <t>mértéke</t>
  </si>
  <si>
    <t>bruttó járuléka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</si>
  <si>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</si>
  <si>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</si>
  <si>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</si>
  <si>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</si>
  <si>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</si>
  <si>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</si>
  <si>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</si>
  <si>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</si>
  <si>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</si>
  <si>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</si>
  <si>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</si>
  <si>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</si>
  <si>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</si>
  <si>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</si>
  <si>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</si>
  <si>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Tevékenység neve</t>
  </si>
  <si>
    <t>Keret</t>
  </si>
  <si>
    <t>óra arány</t>
  </si>
  <si>
    <t>különbsége</t>
  </si>
  <si>
    <t>Alap dokumentum</t>
  </si>
  <si>
    <t>Aláírt</t>
  </si>
  <si>
    <t>kinevezés</t>
  </si>
  <si>
    <t>KÖLTSÉGEK</t>
  </si>
  <si>
    <t>Szoc. Ho.</t>
  </si>
  <si>
    <t>adó</t>
  </si>
  <si>
    <t>Pályázat benyújtásának időpontja:</t>
  </si>
  <si>
    <t>Konzorcium vezetője:</t>
  </si>
  <si>
    <t>Futamidő:</t>
  </si>
  <si>
    <t>elszámolás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</si>
  <si>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</si>
  <si>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</si>
  <si>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</si>
  <si>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</si>
  <si>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</si>
  <si>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</si>
  <si>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</si>
  <si>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</si>
  <si>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</si>
  <si>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</si>
  <si>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</si>
  <si>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</si>
  <si>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</si>
  <si>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</si>
  <si>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</si>
  <si>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</si>
  <si>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</si>
  <si>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i</t>
  </si>
  <si>
    <t>2021.10.01-2025.09.30</t>
  </si>
  <si>
    <t>Befektetett eszközök</t>
  </si>
  <si>
    <t>Vezető kutató</t>
  </si>
  <si>
    <t>Teljes munkaidős kutató</t>
  </si>
  <si>
    <t>Személyi jellegű költségek</t>
  </si>
  <si>
    <t>Dologi költségek</t>
  </si>
  <si>
    <t>Általános költségek</t>
  </si>
  <si>
    <t>Működési költségek összesen</t>
  </si>
  <si>
    <t>Felhalmozási költségek összesen</t>
  </si>
  <si>
    <t>2021.10.01-2022.09.30</t>
  </si>
  <si>
    <t>Munkaszakasz</t>
  </si>
  <si>
    <t>C247400053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</si>
  <si>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</si>
  <si>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</si>
  <si>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</si>
  <si>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</si>
  <si>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</si>
  <si>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</si>
  <si>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</si>
  <si>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</si>
  <si>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</si>
  <si>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</si>
  <si>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</si>
  <si>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</si>
  <si>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</si>
  <si>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</si>
  <si>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</si>
  <si>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</si>
  <si>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2022.10.01-2023.09.30</t>
  </si>
  <si>
    <t>2023.10.01-2024.09.30</t>
  </si>
  <si>
    <t>2024.10.01-2025.09.30</t>
  </si>
  <si>
    <r>
      <rPr>
        <b/>
        <sz val="14"/>
        <rFont val="Times New Roman"/>
        <family val="1"/>
        <charset val="238"/>
      </rPr>
      <t>OTKA_137743</t>
    </r>
    <r>
      <rPr>
        <sz val="14"/>
        <rFont val="Times New Roman"/>
        <family val="1"/>
        <charset val="238"/>
      </rPr>
      <t xml:space="preserve"> (2021.10.01-2025.09.30) - C247400053</t>
    </r>
  </si>
  <si>
    <t>MINDÖSSZESEN</t>
  </si>
  <si>
    <t>British Ornithologists Union</t>
  </si>
  <si>
    <t>pályázati anyag benyújtásához reg. Díj</t>
  </si>
  <si>
    <t>Open Access, tud. Információk beszerzése</t>
  </si>
  <si>
    <t>5100002148</t>
  </si>
  <si>
    <t>Szintézis Informatikai Zrt.</t>
  </si>
  <si>
    <t>Külső merevlemez beszerzése</t>
  </si>
  <si>
    <t>KKB/SZGRK/2021/106.C24</t>
  </si>
  <si>
    <t>Sándor Krisztina</t>
  </si>
  <si>
    <t>C241100000</t>
  </si>
  <si>
    <t>SH/C24.751</t>
  </si>
  <si>
    <t>Seress Gábor László</t>
  </si>
  <si>
    <t>5100002858</t>
  </si>
  <si>
    <t>MOL Nyrt</t>
  </si>
  <si>
    <t>Gépkocsi üzemanyag</t>
  </si>
  <si>
    <t>Beosztás</t>
  </si>
  <si>
    <t>Magyar Madártani és Természetvédelmi Egyesület</t>
  </si>
  <si>
    <t>madárgyűrűzési reg. Díj</t>
  </si>
  <si>
    <t>202202022528</t>
  </si>
  <si>
    <t>Pályázat azonosítója:</t>
  </si>
  <si>
    <t>FK_137743</t>
  </si>
  <si>
    <t>5100003512</t>
  </si>
  <si>
    <t>5100003288</t>
  </si>
  <si>
    <t>Terepi asszisztens</t>
  </si>
  <si>
    <t>Ölvedi Szilárd-Zsolt</t>
  </si>
  <si>
    <t>részvételi díj online kurzuson</t>
  </si>
  <si>
    <t>C241110000</t>
  </si>
  <si>
    <t>5100004468</t>
  </si>
  <si>
    <t>Bukor Boglárka</t>
  </si>
  <si>
    <t>Budapesti utazások költségei</t>
  </si>
  <si>
    <t>20220425258</t>
  </si>
  <si>
    <t>Szappantartó fali</t>
  </si>
  <si>
    <t>OBI Hungary Retail Kft.</t>
  </si>
  <si>
    <t>5100004886</t>
  </si>
  <si>
    <t>5100005168</t>
  </si>
  <si>
    <t>Sándor Krisztina(Magyar Ökológusok Tudományos Egyesülete)</t>
  </si>
  <si>
    <t>Kowa Genesis binokulár</t>
  </si>
  <si>
    <t>Bété-Ker Kft.</t>
  </si>
  <si>
    <t>5100005812</t>
  </si>
  <si>
    <t>5100006091</t>
  </si>
  <si>
    <t>2022.04.04-2022.06.30</t>
  </si>
  <si>
    <t>Dr. Seress Gábor</t>
  </si>
  <si>
    <t>5100007289</t>
  </si>
  <si>
    <t>gépkocsiköltség elszámolása (terepmunkák)</t>
  </si>
  <si>
    <t>5100008133</t>
  </si>
  <si>
    <t>Az Open Access-t csak a projekt legvégén számoljuk el, egyben az összes munkaszakaszra jutó összeget. Elsősorban a projekttel</t>
  </si>
  <si>
    <t>Beérkezett támogatás:</t>
  </si>
  <si>
    <t>kapcsolatos publikációt, ha nincs annyi, akkor mehet mindenféle Open Acces és MTA-s számla.</t>
  </si>
  <si>
    <t>5100006586</t>
  </si>
  <si>
    <t>MVM Next Energiakereskedelmi Zrt.</t>
  </si>
  <si>
    <t>rezsiköltség elszámolása</t>
  </si>
  <si>
    <t>5100009361</t>
  </si>
  <si>
    <t>Seress Gábor</t>
  </si>
  <si>
    <t>MET XXIV. Konferencia részvételi díj</t>
  </si>
  <si>
    <t>2022.10.15-2022.11.15</t>
  </si>
  <si>
    <t>2022.11.16-2022.12.15</t>
  </si>
  <si>
    <t>5100010308</t>
  </si>
  <si>
    <t>Dolgozó</t>
  </si>
  <si>
    <t>adóazonosító</t>
  </si>
  <si>
    <t>8424702352</t>
  </si>
  <si>
    <t>Témaszám</t>
  </si>
  <si>
    <t>Bér</t>
  </si>
  <si>
    <t>Járulék</t>
  </si>
  <si>
    <t>eltérés</t>
  </si>
  <si>
    <t>Név</t>
  </si>
  <si>
    <t>Adóazonosító</t>
  </si>
  <si>
    <t>Számfejtés</t>
  </si>
  <si>
    <t>Kovács Bálint</t>
  </si>
  <si>
    <t>8458363844</t>
  </si>
  <si>
    <t>2023.02.13-02.28</t>
  </si>
  <si>
    <t>munkaidő</t>
  </si>
  <si>
    <t>arány</t>
  </si>
  <si>
    <t>EGYEZIK</t>
  </si>
  <si>
    <t>HIBÁS</t>
  </si>
  <si>
    <t>5100012328</t>
  </si>
  <si>
    <t>5100012902</t>
  </si>
  <si>
    <t>Prohászka Viola Judit</t>
  </si>
  <si>
    <t>2023.04.03-2023.05.03</t>
  </si>
  <si>
    <t>2023.05.04-2023.06.03</t>
  </si>
  <si>
    <t>2023.06.04-2023.07.03</t>
  </si>
  <si>
    <t>cég</t>
  </si>
  <si>
    <t>anyagok (szigetelőszalag, pohár, csavarok sb)</t>
  </si>
  <si>
    <t>belső igény</t>
  </si>
  <si>
    <t>5100013253</t>
  </si>
  <si>
    <t>László Csavar Kft.</t>
  </si>
  <si>
    <t>5100013251</t>
  </si>
  <si>
    <t>Wohlfart Richárt EV</t>
  </si>
  <si>
    <t>Jeladó cinegére</t>
  </si>
  <si>
    <t>Pirex</t>
  </si>
  <si>
    <t>jelölőfilc</t>
  </si>
  <si>
    <t>központ (terhelés)</t>
  </si>
  <si>
    <t>Terhelés</t>
  </si>
  <si>
    <t>Hónap</t>
  </si>
  <si>
    <t>Kihagyás</t>
  </si>
  <si>
    <t>2023.05.15-2023.06.30</t>
  </si>
  <si>
    <t>5100014023</t>
  </si>
  <si>
    <t>megbízás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</si>
</sst>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5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3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1" fillId="22" borderId="20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1" applyNumberFormat="0" applyAlignment="0" applyProtection="0"/>
    <xf numFmtId="0" fontId="27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4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7" fillId="12" borderId="14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8" fillId="0" borderId="0"/>
    <xf numFmtId="164" fontId="3" fillId="0" borderId="0" applyFont="0" applyFill="0" applyBorder="0" applyAlignment="0" applyProtection="0"/>
    <xf numFmtId="0" fontId="40" fillId="0" borderId="0"/>
  </cellStyleXfs>
  <cellXfs count="201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49" fontId="0" fillId="30" borderId="0" xfId="0" applyNumberFormat="1" applyFill="1"/>
    <xf numFmtId="0" fontId="36" fillId="30" borderId="0" xfId="0" applyFont="1" applyFill="1" applyAlignment="1">
      <alignment horizontal="center"/>
    </xf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39" fillId="0" borderId="1" xfId="0" applyFont="1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165" fontId="0" fillId="0" borderId="25" xfId="2" applyNumberFormat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2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0" borderId="0" xfId="0" applyNumberFormat="1"/>
    <xf numFmtId="3" fontId="0" fillId="30" borderId="0" xfId="0" applyNumberFormat="1" applyFill="1"/>
    <xf numFmtId="3" fontId="39" fillId="0" borderId="1" xfId="1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 wrapText="1"/>
    </xf>
    <xf numFmtId="0" fontId="39" fillId="0" borderId="23" xfId="0" applyFont="1" applyBorder="1"/>
    <xf numFmtId="3" fontId="39" fillId="0" borderId="23" xfId="1" applyNumberFormat="1" applyFont="1" applyFill="1" applyBorder="1" applyAlignment="1" applyProtection="1">
      <alignment horizontal="center" wrapText="1"/>
      <protection locked="0"/>
    </xf>
    <xf numFmtId="3" fontId="39" fillId="0" borderId="23" xfId="1" applyNumberFormat="1" applyFont="1" applyFill="1" applyBorder="1" applyAlignment="1" applyProtection="1">
      <alignment wrapText="1"/>
      <protection locked="0"/>
    </xf>
    <xf numFmtId="3" fontId="43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30" borderId="0" xfId="0" applyNumberFormat="1" applyFill="1" applyAlignment="1">
      <alignment horizontal="center"/>
    </xf>
    <xf numFmtId="3" fontId="3" fillId="2" borderId="5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9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4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3" xfId="2" applyNumberFormat="1" applyFont="1" applyFill="1" applyBorder="1" applyAlignment="1">
      <alignment wrapText="1"/>
    </xf>
    <xf numFmtId="0" fontId="13" fillId="0" borderId="23" xfId="0" applyFont="1" applyBorder="1" applyAlignment="1">
      <alignment horizontal="center" wrapText="1"/>
    </xf>
    <xf numFmtId="166" fontId="44" fillId="0" borderId="23" xfId="0" applyNumberFormat="1" applyFont="1" applyBorder="1" applyAlignment="1">
      <alignment wrapText="1"/>
    </xf>
    <xf numFmtId="10" fontId="13" fillId="0" borderId="23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39" fillId="33" borderId="1" xfId="0" applyFont="1" applyFill="1" applyBorder="1"/>
    <xf numFmtId="3" fontId="39" fillId="33" borderId="1" xfId="1" applyNumberFormat="1" applyFont="1" applyFill="1" applyBorder="1" applyAlignment="1" applyProtection="1">
      <alignment horizontal="center" wrapText="1"/>
      <protection locked="0"/>
    </xf>
    <xf numFmtId="3" fontId="3" fillId="33" borderId="1" xfId="0" applyNumberFormat="1" applyFont="1" applyFill="1" applyBorder="1" applyAlignment="1">
      <alignment horizontal="left"/>
    </xf>
    <xf numFmtId="3" fontId="39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166" fontId="44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65" fontId="36" fillId="0" borderId="11" xfId="2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1" fillId="30" borderId="0" xfId="0" applyFont="1" applyFill="1"/>
    <xf numFmtId="165" fontId="0" fillId="0" borderId="0" xfId="0" applyNumberFormat="1" applyAlignment="1">
      <alignment horizontal="center" vertical="center"/>
    </xf>
    <xf numFmtId="17" fontId="0" fillId="30" borderId="0" xfId="0" quotePrefix="1" applyNumberFormat="1" applyFill="1" applyAlignment="1">
      <alignment horizontal="center"/>
    </xf>
    <xf numFmtId="0" fontId="0" fillId="30" borderId="0" xfId="0" quotePrefix="1" applyFill="1" applyAlignment="1">
      <alignment horizontal="center"/>
    </xf>
    <xf numFmtId="168" fontId="13" fillId="0" borderId="7" xfId="0" applyNumberFormat="1" applyFont="1" applyBorder="1" applyAlignment="1">
      <alignment horizontal="center"/>
    </xf>
    <xf numFmtId="3" fontId="4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3" xfId="138" applyNumberFormat="1" applyFont="1" applyFill="1" applyBorder="1" applyAlignment="1">
      <alignment horizontal="center" wrapText="1"/>
    </xf>
    <xf numFmtId="0" fontId="5" fillId="36" borderId="1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vertical="center" wrapText="1"/>
    </xf>
    <xf numFmtId="3" fontId="5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3" fontId="5" fillId="29" borderId="7" xfId="0" applyNumberFormat="1" applyFont="1" applyFill="1" applyBorder="1" applyAlignment="1">
      <alignment horizontal="center" vertical="center" wrapText="1"/>
    </xf>
    <xf numFmtId="3" fontId="3" fillId="29" borderId="7" xfId="0" applyNumberFormat="1" applyFont="1" applyFill="1" applyBorder="1" applyAlignment="1">
      <alignment horizontal="center" vertical="center" wrapText="1"/>
    </xf>
    <xf numFmtId="49" fontId="3" fillId="29" borderId="7" xfId="0" applyNumberFormat="1" applyFont="1" applyFill="1" applyBorder="1" applyAlignment="1">
      <alignment horizontal="center" vertical="center"/>
    </xf>
    <xf numFmtId="3" fontId="3" fillId="29" borderId="7" xfId="0" applyNumberFormat="1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 wrapText="1"/>
    </xf>
    <xf numFmtId="0" fontId="41" fillId="0" borderId="1" xfId="0" applyFont="1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3" fontId="0" fillId="31" borderId="1" xfId="0" applyNumberFormat="1" applyFill="1" applyBorder="1"/>
    <xf numFmtId="0" fontId="0" fillId="31" borderId="1" xfId="0" applyFill="1" applyBorder="1" applyAlignment="1">
      <alignment wrapText="1"/>
    </xf>
    <xf numFmtId="3" fontId="36" fillId="32" borderId="1" xfId="0" applyNumberFormat="1" applyFont="1" applyFill="1" applyBorder="1" applyAlignment="1">
      <alignment vertical="center"/>
    </xf>
    <xf numFmtId="3" fontId="5" fillId="37" borderId="5" xfId="0" applyNumberFormat="1" applyFont="1" applyFill="1" applyBorder="1" applyAlignment="1">
      <alignment horizontal="center" vertical="center"/>
    </xf>
    <xf numFmtId="3" fontId="5" fillId="37" borderId="6" xfId="0" applyNumberFormat="1" applyFont="1" applyFill="1" applyBorder="1" applyAlignment="1">
      <alignment horizontal="center" vertical="center" wrapText="1"/>
    </xf>
    <xf numFmtId="3" fontId="5" fillId="37" borderId="7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165" fontId="0" fillId="0" borderId="0" xfId="2" applyNumberFormat="1" applyFont="1" applyAlignment="1">
      <alignment horizontal="center"/>
    </xf>
    <xf numFmtId="165" fontId="0" fillId="0" borderId="0" xfId="2" applyNumberFormat="1" applyFont="1"/>
    <xf numFmtId="14" fontId="0" fillId="0" borderId="0" xfId="2" applyNumberFormat="1" applyFont="1" applyAlignment="1">
      <alignment horizontal="center"/>
    </xf>
    <xf numFmtId="165" fontId="36" fillId="0" borderId="0" xfId="2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14" fontId="0" fillId="0" borderId="0" xfId="0" applyNumberFormat="1"/>
    <xf numFmtId="17" fontId="0" fillId="0" borderId="0" xfId="0" quotePrefix="1" applyNumberFormat="1"/>
    <xf numFmtId="0" fontId="0" fillId="0" borderId="0" xfId="0" quotePrefix="1"/>
    <xf numFmtId="0" fontId="48" fillId="35" borderId="0" xfId="0" applyFont="1" applyFill="1"/>
    <xf numFmtId="0" fontId="36" fillId="0" borderId="0" xfId="0" applyFont="1"/>
    <xf numFmtId="0" fontId="48" fillId="39" borderId="27" xfId="0" applyFont="1" applyFill="1" applyBorder="1"/>
    <xf numFmtId="0" fontId="36" fillId="39" borderId="28" xfId="0" applyFont="1" applyFill="1" applyBorder="1"/>
    <xf numFmtId="0" fontId="0" fillId="39" borderId="28" xfId="0" applyFill="1" applyBorder="1" applyAlignment="1">
      <alignment horizontal="center"/>
    </xf>
    <xf numFmtId="167" fontId="13" fillId="39" borderId="28" xfId="0" applyNumberFormat="1" applyFont="1" applyFill="1" applyBorder="1"/>
    <xf numFmtId="167" fontId="13" fillId="39" borderId="29" xfId="0" applyNumberFormat="1" applyFont="1" applyFill="1" applyBorder="1"/>
    <xf numFmtId="3" fontId="2" fillId="0" borderId="30" xfId="0" applyNumberFormat="1" applyFont="1" applyBorder="1" applyAlignment="1">
      <alignment horizontal="left" vertical="center" wrapText="1"/>
    </xf>
    <xf numFmtId="167" fontId="2" fillId="0" borderId="31" xfId="0" applyNumberFormat="1" applyFont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left"/>
    </xf>
    <xf numFmtId="167" fontId="13" fillId="4" borderId="31" xfId="0" applyNumberFormat="1" applyFont="1" applyFill="1" applyBorder="1"/>
    <xf numFmtId="0" fontId="41" fillId="0" borderId="30" xfId="0" applyFont="1" applyBorder="1"/>
    <xf numFmtId="167" fontId="13" fillId="0" borderId="31" xfId="0" applyNumberFormat="1" applyFont="1" applyBorder="1"/>
    <xf numFmtId="0" fontId="0" fillId="31" borderId="30" xfId="0" applyFill="1" applyBorder="1"/>
    <xf numFmtId="3" fontId="0" fillId="31" borderId="31" xfId="0" applyNumberFormat="1" applyFill="1" applyBorder="1"/>
    <xf numFmtId="0" fontId="0" fillId="31" borderId="30" xfId="0" applyFill="1" applyBorder="1" applyAlignment="1">
      <alignment wrapText="1"/>
    </xf>
    <xf numFmtId="3" fontId="13" fillId="31" borderId="31" xfId="0" applyNumberFormat="1" applyFont="1" applyFill="1" applyBorder="1"/>
    <xf numFmtId="3" fontId="36" fillId="32" borderId="33" xfId="0" applyNumberFormat="1" applyFont="1" applyFill="1" applyBorder="1" applyAlignment="1">
      <alignment vertical="center"/>
    </xf>
    <xf numFmtId="3" fontId="36" fillId="32" borderId="34" xfId="0" applyNumberFormat="1" applyFont="1" applyFill="1" applyBorder="1" applyAlignment="1">
      <alignment vertical="center"/>
    </xf>
    <xf numFmtId="14" fontId="0" fillId="0" borderId="0" xfId="2" applyNumberFormat="1" applyFont="1"/>
    <xf numFmtId="165" fontId="36" fillId="0" borderId="0" xfId="2" applyNumberFormat="1" applyFont="1"/>
    <xf numFmtId="0" fontId="48" fillId="4" borderId="0" xfId="0" applyFont="1" applyFill="1"/>
    <xf numFmtId="165" fontId="48" fillId="0" borderId="0" xfId="2" applyNumberFormat="1" applyFont="1"/>
    <xf numFmtId="0" fontId="0" fillId="0" borderId="0" xfId="0" quotePrefix="1" applyAlignment="1">
      <alignment horizontal="center" vertical="center" wrapText="1"/>
    </xf>
    <xf numFmtId="165" fontId="0" fillId="4" borderId="0" xfId="2" applyNumberFormat="1" applyFont="1" applyFill="1" applyBorder="1" applyAlignment="1">
      <alignment vertical="center" wrapText="1"/>
    </xf>
    <xf numFmtId="14" fontId="11" fillId="0" borderId="0" xfId="2" applyNumberFormat="1" applyFont="1" applyAlignment="1">
      <alignment horizontal="left"/>
    </xf>
    <xf numFmtId="0" fontId="8" fillId="0" borderId="0" xfId="0" applyFont="1" applyAlignment="1">
      <alignment vertical="center"/>
    </xf>
    <xf numFmtId="0" fontId="0" fillId="40" borderId="0" xfId="0" applyFill="1" applyAlignment="1">
      <alignment vertical="center"/>
    </xf>
    <xf numFmtId="0" fontId="36" fillId="40" borderId="0" xfId="0" applyFont="1" applyFill="1" applyAlignment="1">
      <alignment horizontal="center" vertical="center"/>
    </xf>
    <xf numFmtId="0" fontId="52" fillId="40" borderId="0" xfId="0" applyFont="1" applyFill="1" applyAlignment="1">
      <alignment horizontal="center" vertical="center" wrapText="1"/>
    </xf>
    <xf numFmtId="0" fontId="36" fillId="29" borderId="0" xfId="0" applyFont="1" applyFill="1" applyAlignment="1">
      <alignment horizontal="center"/>
    </xf>
    <xf numFmtId="0" fontId="53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49" fontId="13" fillId="0" borderId="7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wrapText="1"/>
    </xf>
    <xf numFmtId="10" fontId="13" fillId="0" borderId="1" xfId="138" applyNumberFormat="1" applyFont="1" applyBorder="1" applyAlignment="1">
      <alignment horizontal="center" wrapText="1"/>
    </xf>
    <xf numFmtId="3" fontId="8" fillId="0" borderId="0" xfId="0" applyNumberFormat="1" applyFont="1" applyAlignment="1">
      <alignment vertical="center"/>
    </xf>
    <xf numFmtId="0" fontId="53" fillId="0" borderId="35" xfId="0" applyFont="1" applyBorder="1" applyAlignment="1">
      <alignment horizontal="left"/>
    </xf>
    <xf numFmtId="0" fontId="39" fillId="0" borderId="1" xfId="0" applyFont="1" applyBorder="1" applyAlignment="1">
      <alignment horizontal="center"/>
    </xf>
    <xf numFmtId="0" fontId="39" fillId="33" borderId="1" xfId="0" applyFont="1" applyFill="1" applyBorder="1" applyAlignment="1">
      <alignment horizontal="center"/>
    </xf>
    <xf numFmtId="0" fontId="39" fillId="0" borderId="2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6" fillId="32" borderId="32" xfId="0" applyFont="1" applyFill="1" applyBorder="1" applyAlignment="1">
      <alignment horizontal="left" vertical="center"/>
    </xf>
    <xf numFmtId="0" fontId="36" fillId="32" borderId="33" xfId="0" applyFont="1" applyFill="1" applyBorder="1" applyAlignment="1">
      <alignment horizontal="left" vertical="center"/>
    </xf>
    <xf numFmtId="0" fontId="36" fillId="32" borderId="1" xfId="0" applyFont="1" applyFill="1" applyBorder="1" applyAlignment="1">
      <alignment horizontal="left" vertical="center"/>
    </xf>
    <xf numFmtId="0" fontId="4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7" fillId="30" borderId="0" xfId="0" applyFont="1" applyFill="1" applyAlignment="1">
      <alignment horizontal="center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2000000}"/>
    <cellStyle name="Pénznem 3" xfId="5" xr:uid="{00000000-0005-0000-0000-000083000000}"/>
    <cellStyle name="Rossz 2" xfId="47" xr:uid="{00000000-0005-0000-0000-000084000000}"/>
    <cellStyle name="Semleges 2" xfId="48" xr:uid="{00000000-0005-0000-0000-000085000000}"/>
    <cellStyle name="Számítás 2" xfId="49" xr:uid="{00000000-0005-0000-0000-000086000000}"/>
    <cellStyle name="Számítás 2 2" xfId="60" xr:uid="{00000000-0005-0000-0000-000087000000}"/>
    <cellStyle name="Számítás 2 2 2" xfId="102" xr:uid="{00000000-0005-0000-0000-000088000000}"/>
    <cellStyle name="Számítás 2 2 3" xfId="112" xr:uid="{00000000-0005-0000-0000-000089000000}"/>
    <cellStyle name="Számítás 2 2 4" xfId="123" xr:uid="{00000000-0005-0000-0000-00008A000000}"/>
    <cellStyle name="Számítás 2 2 5" xfId="133" xr:uid="{00000000-0005-0000-0000-00008B000000}"/>
    <cellStyle name="Számítás 2 3" xfId="124" xr:uid="{00000000-0005-0000-0000-00008C000000}"/>
    <cellStyle name="Számítás 2 4" xfId="127" xr:uid="{00000000-0005-0000-0000-00008D000000}"/>
    <cellStyle name="Számítás 2 5" xfId="113" xr:uid="{00000000-0005-0000-0000-00008E000000}"/>
    <cellStyle name="Százalék" xfId="138" builtinId="5"/>
    <cellStyle name="Százalék 2" xfId="51" xr:uid="{00000000-0005-0000-0000-000090000000}"/>
    <cellStyle name="Százalék 3" xfId="6" xr:uid="{00000000-0005-0000-0000-000091000000}"/>
    <cellStyle name="TableStyleLight1" xfId="55" xr:uid="{00000000-0005-0000-0000-00009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63"/>
  <sheetViews>
    <sheetView zoomScaleNormal="100" workbookViewId="0">
      <selection activeCell="I20" sqref="I20"/>
    </sheetView>
  </sheetViews>
  <sheetFormatPr defaultRowHeight="15" x14ac:dyDescent="0.25"/>
  <cols>
    <col min="1" max="1" width="31" customWidth="1"/>
    <col min="2" max="2" width="34.5703125" customWidth="1"/>
    <col min="3" max="3" width="15.85546875" style="56" customWidth="1"/>
    <col min="4" max="4" width="15.42578125" style="52" customWidth="1"/>
    <col min="5" max="5" width="16.5703125" style="52" customWidth="1"/>
    <col min="6" max="6" width="14.85546875" style="52" customWidth="1"/>
    <col min="7" max="7" width="15" style="52" customWidth="1"/>
    <col min="8" max="8" width="4.85546875" customWidth="1"/>
    <col min="9" max="9" width="14.140625" style="27" customWidth="1"/>
    <col min="10" max="11" width="14.85546875" style="27" customWidth="1"/>
    <col min="12" max="15" width="13.28515625" customWidth="1"/>
  </cols>
  <sheetData>
    <row r="1" spans="1:16" ht="15" customHeight="1" x14ac:dyDescent="0.25">
      <c r="A1" s="152" t="s">
        <v>61</v>
      </c>
      <c r="B1" s="173" t="s">
        <v>95</v>
      </c>
      <c r="C1" s="99"/>
      <c r="D1" s="100"/>
      <c r="E1" s="100"/>
      <c r="F1" s="100"/>
      <c r="G1" s="100"/>
      <c r="I1" s="174" t="s">
        <v>97</v>
      </c>
      <c r="J1" s="145"/>
      <c r="K1" s="145"/>
      <c r="L1" s="145"/>
      <c r="M1" s="145"/>
      <c r="N1" s="145"/>
      <c r="O1" s="145"/>
      <c r="P1" s="100"/>
    </row>
    <row r="2" spans="1:16" ht="39.75" customHeight="1" x14ac:dyDescent="0.25">
      <c r="A2" s="1" t="s">
        <v>8</v>
      </c>
      <c r="B2" s="2" t="s">
        <v>54</v>
      </c>
      <c r="C2" s="2" t="s">
        <v>55</v>
      </c>
      <c r="D2" s="93" t="s">
        <v>16</v>
      </c>
      <c r="E2" s="93" t="s">
        <v>0</v>
      </c>
      <c r="F2" s="93" t="s">
        <v>12</v>
      </c>
      <c r="G2" s="93" t="s">
        <v>13</v>
      </c>
      <c r="I2" s="145"/>
      <c r="J2" s="145"/>
      <c r="K2" s="145"/>
      <c r="L2" s="145"/>
      <c r="M2" s="145"/>
      <c r="N2" s="145"/>
      <c r="O2" s="145"/>
    </row>
    <row r="3" spans="1:16" x14ac:dyDescent="0.25">
      <c r="A3" s="3"/>
      <c r="B3" s="3"/>
      <c r="C3" s="92"/>
      <c r="D3" s="53"/>
      <c r="E3" s="53"/>
      <c r="F3" s="53"/>
      <c r="G3" s="53"/>
      <c r="I3" s="172" t="s">
        <v>164</v>
      </c>
      <c r="J3" s="145"/>
      <c r="K3" s="145"/>
      <c r="L3" s="145"/>
      <c r="M3" s="145"/>
      <c r="N3" s="145"/>
      <c r="O3" s="145"/>
    </row>
    <row r="4" spans="1:16" x14ac:dyDescent="0.25">
      <c r="A4" s="132" t="s">
        <v>90</v>
      </c>
      <c r="B4" s="132" t="s">
        <v>90</v>
      </c>
      <c r="C4" s="133">
        <v>5233000</v>
      </c>
      <c r="D4" s="54">
        <f>SUMIFS(Bérköltség!$M$6:$M$54,Bérköltség!$D$6:$D$54,$B$1,Bérköltség!$G$6:$G$54,"Tény")+SUMIFS(Bérköltség!$N$6:$N$54,Bérköltség!$D$6:$D$54,$B$1,Bérköltség!$G$6:$G$54,"Tény")</f>
        <v>3891378</v>
      </c>
      <c r="E4" s="54">
        <f>C4-D4</f>
        <v>1341622</v>
      </c>
      <c r="F4" s="54">
        <f>SUMIFS(Bérköltség!$M$6:$M$54,Bérköltség!$D$6:$D$54,$B$1,Bérköltség!$G$6:$G$54,"Köt. váll.")+SUMIFS(Bérköltség!$N$6:$N$54,Bérköltség!$D$6:$D$54,$B$1,Bérköltség!$G$6:$G$54,"Köt. váll.")</f>
        <v>0</v>
      </c>
      <c r="G4" s="54">
        <f>E4-F4</f>
        <v>1341622</v>
      </c>
      <c r="I4" s="171">
        <v>44489</v>
      </c>
      <c r="J4" s="145">
        <v>9996000</v>
      </c>
      <c r="K4" s="145"/>
      <c r="L4" s="145"/>
      <c r="M4" s="145"/>
      <c r="N4" s="145"/>
      <c r="O4" s="145"/>
    </row>
    <row r="5" spans="1:16" x14ac:dyDescent="0.25">
      <c r="A5" s="132" t="s">
        <v>91</v>
      </c>
      <c r="B5" s="132" t="s">
        <v>91</v>
      </c>
      <c r="C5" s="133">
        <v>2655000</v>
      </c>
      <c r="D5" s="54">
        <f>SUMIFS(Dologi_felhalm.!$G$7:$G$32,Dologi_felhalm.!$B$7:$B$32,$B5,Dologi_felhalm.!$H$7:$H$32,"Tény",Dologi_felhalm.!$I$7:$I$32,$B$1)</f>
        <v>178257</v>
      </c>
      <c r="E5" s="54">
        <f t="shared" ref="E5:E7" si="0">C5-D5</f>
        <v>2476743</v>
      </c>
      <c r="F5" s="54">
        <f>SUMIFS(Dologi_felhalm.!$G$7:$G$32,Dologi_felhalm.!$B$7:$B$32,$B5,Dologi_felhalm.!$H$7:$H$32,"Köt. váll.",Dologi_felhalm.!$I$7:$I$32,$B$1)</f>
        <v>0</v>
      </c>
      <c r="G5" s="54">
        <f t="shared" ref="G5:G7" si="1">E5-F5</f>
        <v>2476743</v>
      </c>
      <c r="I5" s="171">
        <v>44964</v>
      </c>
      <c r="J5" s="145">
        <v>9995000</v>
      </c>
      <c r="K5" s="145"/>
      <c r="L5" s="145"/>
      <c r="M5" s="145"/>
      <c r="N5" s="145"/>
      <c r="O5" s="145"/>
    </row>
    <row r="6" spans="1:16" x14ac:dyDescent="0.25">
      <c r="A6" s="132" t="s">
        <v>92</v>
      </c>
      <c r="B6" s="132" t="s">
        <v>92</v>
      </c>
      <c r="C6" s="133">
        <v>1199000</v>
      </c>
      <c r="D6" s="54">
        <f>SUMIFS(Dologi_felhalm.!$G$7:$G$32,Dologi_felhalm.!$B$7:$B$32,$B6,Dologi_felhalm.!$H$7:$H$32,"Tény",Dologi_felhalm.!$I$7:$I$32,$B$1)</f>
        <v>1199000</v>
      </c>
      <c r="E6" s="54">
        <f t="shared" ref="E6" si="2">C6-D6</f>
        <v>0</v>
      </c>
      <c r="F6" s="54">
        <f>SUMIFS(Dologi_felhalm.!$G$7:$G$32,Dologi_felhalm.!$B$7:$B$32,$B6,Dologi_felhalm.!$H$7:$H$32,"Köt. váll.",Dologi_felhalm.!$I$7:$I$32,$B$1)</f>
        <v>0</v>
      </c>
      <c r="G6" s="54">
        <f t="shared" ref="G6" si="3">E6-F6</f>
        <v>0</v>
      </c>
      <c r="I6" s="171"/>
      <c r="J6" s="145"/>
      <c r="K6" s="145"/>
      <c r="L6" s="145"/>
      <c r="M6" s="145"/>
      <c r="N6" s="145"/>
      <c r="O6" s="145"/>
    </row>
    <row r="7" spans="1:16" x14ac:dyDescent="0.25">
      <c r="A7" s="132" t="s">
        <v>121</v>
      </c>
      <c r="B7" s="132" t="s">
        <v>121</v>
      </c>
      <c r="C7" s="133">
        <v>799000</v>
      </c>
      <c r="D7" s="54">
        <f>SUMIFS(Dologi_felhalm.!$G$7:$G$32,Dologi_felhalm.!$B$7:$B$32,$B7,Dologi_felhalm.!$H$7:$H$32,"Tény",Dologi_felhalm.!$I$7:$I$32,$B$1)</f>
        <v>0</v>
      </c>
      <c r="E7" s="54">
        <f t="shared" si="0"/>
        <v>799000</v>
      </c>
      <c r="F7" s="54">
        <f>SUMIFS(Dologi_felhalm.!$G$7:$G$32,Dologi_felhalm.!$B$7:$B$32,$B7,Dologi_felhalm.!$H$7:$H$32,"Köt. váll.",Dologi_felhalm.!$I$7:$I$32,$B$1)</f>
        <v>0</v>
      </c>
      <c r="G7" s="54">
        <f t="shared" si="1"/>
        <v>799000</v>
      </c>
      <c r="I7" s="171" t="s">
        <v>163</v>
      </c>
      <c r="J7" s="145"/>
      <c r="K7" s="145"/>
      <c r="L7" s="145"/>
      <c r="M7" s="145"/>
      <c r="N7" s="145"/>
      <c r="O7" s="145"/>
    </row>
    <row r="8" spans="1:16" x14ac:dyDescent="0.25">
      <c r="A8" s="134" t="s">
        <v>93</v>
      </c>
      <c r="B8" s="134"/>
      <c r="C8" s="135">
        <f>SUM(C4:C7)</f>
        <v>9886000</v>
      </c>
      <c r="D8" s="136">
        <f>SUM(D4:D7)</f>
        <v>5268635</v>
      </c>
      <c r="E8" s="136">
        <f>SUM(E4:E7)</f>
        <v>4617365</v>
      </c>
      <c r="F8" s="136">
        <f>SUM(F4:F7)</f>
        <v>0</v>
      </c>
      <c r="G8" s="136">
        <f>SUM(G4:G7)</f>
        <v>4617365</v>
      </c>
      <c r="I8" s="177" t="s">
        <v>165</v>
      </c>
    </row>
    <row r="9" spans="1:16" x14ac:dyDescent="0.25">
      <c r="A9" s="132" t="s">
        <v>87</v>
      </c>
      <c r="B9" s="132" t="s">
        <v>87</v>
      </c>
      <c r="C9" s="133">
        <v>110000</v>
      </c>
      <c r="D9" s="54">
        <f>SUMIFS(Dologi_felhalm.!$G$7:$G$32,Dologi_felhalm.!$B$7:$B$32,$B9,Dologi_felhalm.!$H$7:$H$32,"Tény",Dologi_felhalm.!$I$7:$I$32,$B$1)</f>
        <v>462332</v>
      </c>
      <c r="E9" s="54">
        <f t="shared" ref="E9" si="4">C9-D9</f>
        <v>-352332</v>
      </c>
      <c r="F9" s="54">
        <f>SUMIFS(Dologi_felhalm.!$G$7:$G$32,Dologi_felhalm.!$B$7:$B$32,$B9,Dologi_felhalm.!$H$7:$H$32,"Köt. váll.",Dologi_felhalm.!$I$7:$I$32,$B$1)</f>
        <v>0</v>
      </c>
      <c r="G9" s="54">
        <f t="shared" ref="G9" si="5">E9-F9</f>
        <v>-352332</v>
      </c>
      <c r="I9" s="146"/>
      <c r="J9" s="147"/>
      <c r="K9" s="144"/>
      <c r="L9" s="145"/>
      <c r="M9" s="145"/>
      <c r="N9" s="145"/>
      <c r="O9" s="145"/>
    </row>
    <row r="10" spans="1:16" x14ac:dyDescent="0.25">
      <c r="A10" s="137" t="s">
        <v>94</v>
      </c>
      <c r="B10" s="137"/>
      <c r="C10" s="135">
        <f t="shared" ref="C10:G10" si="6">C9</f>
        <v>110000</v>
      </c>
      <c r="D10" s="135">
        <f t="shared" si="6"/>
        <v>462332</v>
      </c>
      <c r="E10" s="135">
        <f t="shared" si="6"/>
        <v>-352332</v>
      </c>
      <c r="F10" s="135">
        <f t="shared" si="6"/>
        <v>0</v>
      </c>
      <c r="G10" s="135">
        <f t="shared" si="6"/>
        <v>-352332</v>
      </c>
      <c r="I10" s="146"/>
      <c r="J10" s="144"/>
      <c r="K10" s="144"/>
      <c r="L10" s="145"/>
      <c r="M10" s="145"/>
      <c r="N10" s="145"/>
      <c r="O10" s="145"/>
    </row>
    <row r="11" spans="1:16" s="36" customFormat="1" ht="21.75" customHeight="1" x14ac:dyDescent="0.25">
      <c r="A11" s="197" t="s">
        <v>20</v>
      </c>
      <c r="B11" s="197"/>
      <c r="C11" s="138">
        <f>C8+C10</f>
        <v>9996000</v>
      </c>
      <c r="D11" s="138">
        <f t="shared" ref="D11:G11" si="7">D8+D10</f>
        <v>5730967</v>
      </c>
      <c r="E11" s="138">
        <f t="shared" si="7"/>
        <v>4265033</v>
      </c>
      <c r="F11" s="138">
        <f t="shared" si="7"/>
        <v>0</v>
      </c>
      <c r="G11" s="138">
        <f t="shared" si="7"/>
        <v>4265033</v>
      </c>
      <c r="I11" s="146"/>
      <c r="J11" s="144"/>
      <c r="K11" s="144"/>
      <c r="L11" s="145"/>
      <c r="M11" s="145"/>
      <c r="N11" s="145"/>
      <c r="O11" s="145"/>
    </row>
    <row r="12" spans="1:16" x14ac:dyDescent="0.25">
      <c r="I12" s="146"/>
      <c r="J12" s="144"/>
      <c r="K12" s="144"/>
      <c r="L12" s="145"/>
      <c r="M12" s="145"/>
      <c r="N12" s="145"/>
      <c r="O12" s="145"/>
    </row>
    <row r="13" spans="1:16" x14ac:dyDescent="0.25">
      <c r="I13" s="146"/>
      <c r="J13" s="144"/>
      <c r="K13" s="144"/>
      <c r="L13" s="145"/>
      <c r="M13" s="145"/>
      <c r="N13" s="145"/>
      <c r="O13" s="145"/>
    </row>
    <row r="14" spans="1:16" ht="15.75" x14ac:dyDescent="0.25">
      <c r="A14" s="152" t="s">
        <v>61</v>
      </c>
      <c r="B14" s="173" t="s">
        <v>114</v>
      </c>
      <c r="C14" s="99"/>
      <c r="D14" s="100"/>
      <c r="E14" s="100"/>
      <c r="F14" s="100"/>
      <c r="G14" s="100"/>
      <c r="I14" s="146"/>
      <c r="J14" s="144"/>
      <c r="K14" s="144"/>
      <c r="L14" s="145"/>
      <c r="M14" s="145"/>
      <c r="N14" s="145"/>
      <c r="O14" s="145"/>
    </row>
    <row r="15" spans="1:16" ht="25.5" x14ac:dyDescent="0.25">
      <c r="A15" s="1" t="s">
        <v>8</v>
      </c>
      <c r="B15" s="2" t="s">
        <v>54</v>
      </c>
      <c r="C15" s="2" t="s">
        <v>55</v>
      </c>
      <c r="D15" s="93" t="s">
        <v>16</v>
      </c>
      <c r="E15" s="93" t="s">
        <v>0</v>
      </c>
      <c r="F15" s="93" t="s">
        <v>12</v>
      </c>
      <c r="G15" s="93" t="s">
        <v>13</v>
      </c>
      <c r="I15" s="146"/>
      <c r="J15" s="144"/>
      <c r="K15" s="144"/>
      <c r="L15" s="145"/>
      <c r="M15" s="145"/>
      <c r="N15" s="145"/>
      <c r="O15" s="145"/>
    </row>
    <row r="16" spans="1:16" x14ac:dyDescent="0.25">
      <c r="A16" s="3"/>
      <c r="B16" s="3"/>
      <c r="C16" s="92"/>
      <c r="D16" s="53"/>
      <c r="E16" s="53"/>
      <c r="F16" s="53"/>
      <c r="G16" s="53"/>
      <c r="I16" s="172"/>
      <c r="J16" s="145"/>
    </row>
    <row r="17" spans="1:10" x14ac:dyDescent="0.25">
      <c r="A17" s="132" t="s">
        <v>90</v>
      </c>
      <c r="B17" s="132" t="s">
        <v>90</v>
      </c>
      <c r="C17" s="133">
        <v>5551000</v>
      </c>
      <c r="D17" s="54">
        <f>SUMIFS(Bérköltség!$M$6:$M$54,Bérköltség!$D$6:$D$54,$B$14,Bérköltség!$G$6:$G$54,"Tény")+SUMIFS(Bérköltség!$N$6:$N$54,Bérköltség!$D$6:$D$54,$B$14,Bérköltség!$G$6:$G$54,"Tény")</f>
        <v>1381357</v>
      </c>
      <c r="E17" s="54">
        <f>C17-D17</f>
        <v>4169643</v>
      </c>
      <c r="F17" s="54">
        <f>SUMIFS(Bérköltség!$M$6:$M$54,Bérköltség!$D$6:$D$54,$B$14,Bérköltség!$G$6:$G$54,"Köt. váll.")+SUMIFS(Bérköltség!$N$6:$N$54,Bérköltség!$D$6:$D$54,$B$14,Bérköltség!$G$6:$G$54,"Köt. váll.")</f>
        <v>2817463</v>
      </c>
      <c r="G17" s="54">
        <f>E17-F17</f>
        <v>1352180</v>
      </c>
      <c r="I17" s="171"/>
      <c r="J17" s="145"/>
    </row>
    <row r="18" spans="1:10" x14ac:dyDescent="0.25">
      <c r="A18" s="132" t="s">
        <v>91</v>
      </c>
      <c r="B18" s="132" t="s">
        <v>91</v>
      </c>
      <c r="C18" s="133">
        <v>2446000</v>
      </c>
      <c r="D18" s="54">
        <f>SUMIFS(Dologi_felhalm.!$G$7:$G$32,Dologi_felhalm.!$B$7:$B$32,$B18,Dologi_felhalm.!$H$7:$H$32,"Tény",Dologi_felhalm.!$I$7:$I$32,$B$14)</f>
        <v>2848900</v>
      </c>
      <c r="E18" s="54">
        <f t="shared" ref="E18:E20" si="8">C18-D18</f>
        <v>-402900</v>
      </c>
      <c r="F18" s="54">
        <f>SUMIFS(Dologi_felhalm.!$G$7:$G$32,Dologi_felhalm.!$B$7:$B$32,$B18,Dologi_felhalm.!$H$7:$H$32,"Köt. váll.",Dologi_felhalm.!$I$7:$I$32,$B$14)</f>
        <v>59443</v>
      </c>
      <c r="G18" s="54">
        <f t="shared" ref="G18:G20" si="9">E18-F18</f>
        <v>-462343</v>
      </c>
      <c r="I18" s="171"/>
      <c r="J18" s="145"/>
    </row>
    <row r="19" spans="1:10" x14ac:dyDescent="0.25">
      <c r="A19" s="132" t="s">
        <v>92</v>
      </c>
      <c r="B19" s="132" t="s">
        <v>92</v>
      </c>
      <c r="C19" s="133">
        <v>1199000</v>
      </c>
      <c r="D19" s="54">
        <f>SUMIFS(Dologi_felhalm.!$G$7:$G$32,Dologi_felhalm.!$B$7:$B$32,$B19,Dologi_felhalm.!$H$7:$H$32,"Tény",Dologi_felhalm.!$I$7:$I$32,$B$14)</f>
        <v>0</v>
      </c>
      <c r="E19" s="54">
        <f t="shared" si="8"/>
        <v>1199000</v>
      </c>
      <c r="F19" s="54">
        <f>SUMIFS(Dologi_felhalm.!$G$7:$G$32,Dologi_felhalm.!$B$7:$B$32,$B19,Dologi_felhalm.!$H$7:$H$32,"Köt. váll.",Dologi_felhalm.!$I$7:$I$32,$B$14)</f>
        <v>0</v>
      </c>
      <c r="G19" s="54">
        <f t="shared" si="9"/>
        <v>1199000</v>
      </c>
      <c r="I19" s="171"/>
      <c r="J19" s="145"/>
    </row>
    <row r="20" spans="1:10" x14ac:dyDescent="0.25">
      <c r="A20" s="132" t="s">
        <v>121</v>
      </c>
      <c r="B20" s="132" t="s">
        <v>121</v>
      </c>
      <c r="C20" s="133">
        <v>799000</v>
      </c>
      <c r="D20" s="54">
        <f>SUMIFS(Dologi_felhalm.!$G$7:$G$32,Dologi_felhalm.!$B$7:$B$32,$B20,Dologi_felhalm.!$H$7:$H$32,"Tény",Dologi_felhalm.!$I$7:$I$32,$B$14)</f>
        <v>0</v>
      </c>
      <c r="E20" s="54">
        <f t="shared" si="8"/>
        <v>799000</v>
      </c>
      <c r="F20" s="54">
        <f>SUMIFS(Dologi_felhalm.!$G$7:$G$32,Dologi_felhalm.!$B$7:$B$32,$B20,Dologi_felhalm.!$H$7:$H$32,"Köt. váll.",Dologi_felhalm.!$I$7:$I$32,$B$14)</f>
        <v>0</v>
      </c>
      <c r="G20" s="54">
        <f t="shared" si="9"/>
        <v>799000</v>
      </c>
      <c r="I20" s="171"/>
      <c r="J20" s="145"/>
    </row>
    <row r="21" spans="1:10" x14ac:dyDescent="0.25">
      <c r="A21" s="134" t="s">
        <v>93</v>
      </c>
      <c r="B21" s="134"/>
      <c r="C21" s="135">
        <f>SUM(C17:C20)</f>
        <v>9995000</v>
      </c>
      <c r="D21" s="136">
        <f>SUM(D17:D20)</f>
        <v>4230257</v>
      </c>
      <c r="E21" s="136">
        <f>SUM(E17:E20)</f>
        <v>5764743</v>
      </c>
      <c r="F21" s="136">
        <f>SUM(F17:F20)</f>
        <v>2876906</v>
      </c>
      <c r="G21" s="136">
        <f>SUM(G17:G20)</f>
        <v>2887837</v>
      </c>
      <c r="I21" s="177"/>
    </row>
    <row r="22" spans="1:10" x14ac:dyDescent="0.25">
      <c r="A22" s="132" t="s">
        <v>87</v>
      </c>
      <c r="B22" s="132" t="s">
        <v>87</v>
      </c>
      <c r="C22" s="133">
        <v>0</v>
      </c>
      <c r="D22" s="54">
        <f>SUMIFS(Dologi_felhalm.!$G$7:$G$32,Dologi_felhalm.!$B$7:$B$32,$B22,Dologi_felhalm.!$H$7:$H$32,"Tény",Dologi_felhalm.!$I$7:$I$32,$B$14)</f>
        <v>0</v>
      </c>
      <c r="E22" s="54">
        <f t="shared" ref="E22" si="10">C22-D22</f>
        <v>0</v>
      </c>
      <c r="F22" s="54">
        <f>SUMIFS(Dologi_felhalm.!$G$7:$G$32,Dologi_felhalm.!$B$7:$B$32,$B22,Dologi_felhalm.!$H$7:$H$32,"Köt. váll.",Dologi_felhalm.!$I$7:$I$32,$B$14)</f>
        <v>0</v>
      </c>
      <c r="G22" s="54">
        <f t="shared" ref="G22" si="11">E22-F22</f>
        <v>0</v>
      </c>
      <c r="I22" s="146"/>
      <c r="J22" s="147"/>
    </row>
    <row r="23" spans="1:10" x14ac:dyDescent="0.25">
      <c r="A23" s="137" t="s">
        <v>94</v>
      </c>
      <c r="B23" s="137"/>
      <c r="C23" s="135">
        <f t="shared" ref="C23:G23" si="12">C22</f>
        <v>0</v>
      </c>
      <c r="D23" s="135">
        <f t="shared" si="12"/>
        <v>0</v>
      </c>
      <c r="E23" s="135">
        <f t="shared" si="12"/>
        <v>0</v>
      </c>
      <c r="F23" s="135">
        <f t="shared" si="12"/>
        <v>0</v>
      </c>
      <c r="G23" s="135">
        <f t="shared" si="12"/>
        <v>0</v>
      </c>
    </row>
    <row r="24" spans="1:10" x14ac:dyDescent="0.25">
      <c r="A24" s="197" t="s">
        <v>20</v>
      </c>
      <c r="B24" s="197"/>
      <c r="C24" s="138">
        <f>C21+C23</f>
        <v>9995000</v>
      </c>
      <c r="D24" s="138">
        <f t="shared" ref="D24" si="13">D21+D23</f>
        <v>4230257</v>
      </c>
      <c r="E24" s="138">
        <f t="shared" ref="E24" si="14">E21+E23</f>
        <v>5764743</v>
      </c>
      <c r="F24" s="138">
        <f t="shared" ref="F24" si="15">F21+F23</f>
        <v>2876906</v>
      </c>
      <c r="G24" s="138">
        <f t="shared" ref="G24" si="16">G21+G23</f>
        <v>2887837</v>
      </c>
    </row>
    <row r="27" spans="1:10" ht="15.75" x14ac:dyDescent="0.25">
      <c r="A27" s="152" t="s">
        <v>61</v>
      </c>
      <c r="B27" s="173" t="s">
        <v>115</v>
      </c>
      <c r="C27" s="99"/>
      <c r="D27" s="100"/>
      <c r="E27" s="100"/>
      <c r="F27" s="100"/>
      <c r="G27" s="100"/>
    </row>
    <row r="28" spans="1:10" ht="25.5" x14ac:dyDescent="0.25">
      <c r="A28" s="1" t="s">
        <v>8</v>
      </c>
      <c r="B28" s="2" t="s">
        <v>54</v>
      </c>
      <c r="C28" s="2" t="s">
        <v>55</v>
      </c>
      <c r="D28" s="93" t="s">
        <v>16</v>
      </c>
      <c r="E28" s="93" t="s">
        <v>0</v>
      </c>
      <c r="F28" s="93" t="s">
        <v>12</v>
      </c>
      <c r="G28" s="93" t="s">
        <v>13</v>
      </c>
    </row>
    <row r="29" spans="1:10" x14ac:dyDescent="0.25">
      <c r="A29" s="3"/>
      <c r="B29" s="3"/>
      <c r="C29" s="92"/>
      <c r="D29" s="53"/>
      <c r="E29" s="53"/>
      <c r="F29" s="53"/>
      <c r="G29" s="53"/>
    </row>
    <row r="30" spans="1:10" x14ac:dyDescent="0.25">
      <c r="A30" s="132" t="s">
        <v>90</v>
      </c>
      <c r="B30" s="132" t="s">
        <v>90</v>
      </c>
      <c r="C30" s="133">
        <v>5806000</v>
      </c>
      <c r="D30" s="54">
        <f>SUMIFS(Bérköltség!$M$6:$M$54,Bérköltség!$D$6:$D$54,$B$27,Bérköltség!$G$6:$G$54,"Tény")+SUMIFS(Bérköltség!$N$6:$N$54,Bérköltség!$D$6:$D$54,$B$27,Bérköltség!$G$6:$G$54,"Tény")</f>
        <v>0</v>
      </c>
      <c r="E30" s="54">
        <f>C30-D30</f>
        <v>5806000</v>
      </c>
      <c r="F30" s="54">
        <f>SUMIFS(Bérköltség!$M$6:$M$54,Bérköltség!$D$6:$D$54,$B$27,Bérköltség!$G$6:$G$54,"Köt. váll.")+SUMIFS(Bérköltség!$N$6:$N$54,Bérköltség!$D$6:$D$54,$B$27,Bérköltség!$G$6:$G$54,"Köt. váll.")</f>
        <v>451480</v>
      </c>
      <c r="G30" s="54">
        <f>E30-F30</f>
        <v>5354520</v>
      </c>
    </row>
    <row r="31" spans="1:10" x14ac:dyDescent="0.25">
      <c r="A31" s="132" t="s">
        <v>91</v>
      </c>
      <c r="B31" s="132" t="s">
        <v>91</v>
      </c>
      <c r="C31" s="133">
        <v>1171000</v>
      </c>
      <c r="D31" s="54">
        <f>SUMIFS(Dologi_felhalm.!$G$7:$G$32,Dologi_felhalm.!$B$7:$B$32,$B31,Dologi_felhalm.!$H$7:$H$32,"Tény",Dologi_felhalm.!$I$7:$I$32,$B$27)</f>
        <v>0</v>
      </c>
      <c r="E31" s="54">
        <f t="shared" ref="E31:E33" si="17">C31-D31</f>
        <v>1171000</v>
      </c>
      <c r="F31" s="54">
        <f>SUMIFS(Dologi_felhalm.!$G$7:$G$32,Dologi_felhalm.!$B$7:$B$32,$B31,Dologi_felhalm.!$H$7:$H$32,"Köt. váll.",Dologi_felhalm.!$I$7:$I$32,$B$27)</f>
        <v>0</v>
      </c>
      <c r="G31" s="54">
        <f t="shared" ref="G31:G33" si="18">E31-F31</f>
        <v>1171000</v>
      </c>
    </row>
    <row r="32" spans="1:10" x14ac:dyDescent="0.25">
      <c r="A32" s="132" t="s">
        <v>92</v>
      </c>
      <c r="B32" s="132" t="s">
        <v>92</v>
      </c>
      <c r="C32" s="133">
        <v>1199000</v>
      </c>
      <c r="D32" s="54">
        <f>SUMIFS(Dologi_felhalm.!$G$7:$G$32,Dologi_felhalm.!$B$7:$B$32,$B32,Dologi_felhalm.!$H$7:$H$32,"Tény",Dologi_felhalm.!$I$7:$I$32,$B$27)</f>
        <v>0</v>
      </c>
      <c r="E32" s="54">
        <f t="shared" si="17"/>
        <v>1199000</v>
      </c>
      <c r="F32" s="54">
        <f>SUMIFS(Dologi_felhalm.!$G$7:$G$32,Dologi_felhalm.!$B$7:$B$32,$B32,Dologi_felhalm.!$H$7:$H$32,"Köt. váll.",Dologi_felhalm.!$I$7:$I$32,$B$27)</f>
        <v>0</v>
      </c>
      <c r="G32" s="54">
        <f t="shared" si="18"/>
        <v>1199000</v>
      </c>
    </row>
    <row r="33" spans="1:7" x14ac:dyDescent="0.25">
      <c r="A33" s="132" t="s">
        <v>121</v>
      </c>
      <c r="B33" s="132" t="s">
        <v>121</v>
      </c>
      <c r="C33" s="133">
        <v>799000</v>
      </c>
      <c r="D33" s="54">
        <f>SUMIFS(Dologi_felhalm.!$G$7:$G$32,Dologi_felhalm.!$B$7:$B$32,$B33,Dologi_felhalm.!$H$7:$H$32,"Tény",Dologi_felhalm.!$I$7:$I$32,$B$27)</f>
        <v>0</v>
      </c>
      <c r="E33" s="54">
        <f t="shared" si="17"/>
        <v>799000</v>
      </c>
      <c r="F33" s="54">
        <f>SUMIFS(Dologi_felhalm.!$G$7:$G$32,Dologi_felhalm.!$B$7:$B$32,$B33,Dologi_felhalm.!$H$7:$H$32,"Köt. váll.",Dologi_felhalm.!$I$7:$I$32,$B$27)</f>
        <v>0</v>
      </c>
      <c r="G33" s="54">
        <f t="shared" si="18"/>
        <v>799000</v>
      </c>
    </row>
    <row r="34" spans="1:7" x14ac:dyDescent="0.25">
      <c r="A34" s="134" t="s">
        <v>93</v>
      </c>
      <c r="B34" s="134"/>
      <c r="C34" s="135">
        <f>SUM(C30:C33)</f>
        <v>8975000</v>
      </c>
      <c r="D34" s="136">
        <f>SUM(D30:D33)</f>
        <v>0</v>
      </c>
      <c r="E34" s="136">
        <f>SUM(E30:E33)</f>
        <v>8975000</v>
      </c>
      <c r="F34" s="136">
        <f>SUM(F30:F33)</f>
        <v>451480</v>
      </c>
      <c r="G34" s="136">
        <f>SUM(G30:G33)</f>
        <v>8523520</v>
      </c>
    </row>
    <row r="35" spans="1:7" x14ac:dyDescent="0.25">
      <c r="A35" s="132" t="s">
        <v>87</v>
      </c>
      <c r="B35" s="132" t="s">
        <v>87</v>
      </c>
      <c r="C35" s="133">
        <v>1019000</v>
      </c>
      <c r="D35" s="54">
        <f>SUMIFS(Dologi_felhalm.!$G$7:$G$32,Dologi_felhalm.!$B$7:$B$32,$B35,Dologi_felhalm.!$H$7:$H$32,"Tény",Dologi_felhalm.!$I$7:$I$32,$B$27)</f>
        <v>0</v>
      </c>
      <c r="E35" s="54">
        <f t="shared" ref="E35" si="19">C35-D35</f>
        <v>1019000</v>
      </c>
      <c r="F35" s="54">
        <f>SUMIFS(Dologi_felhalm.!$G$7:$G$32,Dologi_felhalm.!$B$7:$B$32,$B35,Dologi_felhalm.!$H$7:$H$32,"Köt. váll.",Dologi_felhalm.!$I$7:$I$32,$B$27)</f>
        <v>0</v>
      </c>
      <c r="G35" s="54">
        <f t="shared" ref="G35" si="20">E35-F35</f>
        <v>1019000</v>
      </c>
    </row>
    <row r="36" spans="1:7" x14ac:dyDescent="0.25">
      <c r="A36" s="137" t="s">
        <v>94</v>
      </c>
      <c r="B36" s="137"/>
      <c r="C36" s="135">
        <f t="shared" ref="C36:G36" si="21">C35</f>
        <v>1019000</v>
      </c>
      <c r="D36" s="135">
        <f t="shared" si="21"/>
        <v>0</v>
      </c>
      <c r="E36" s="135">
        <f t="shared" si="21"/>
        <v>1019000</v>
      </c>
      <c r="F36" s="135">
        <f t="shared" si="21"/>
        <v>0</v>
      </c>
      <c r="G36" s="135">
        <f t="shared" si="21"/>
        <v>1019000</v>
      </c>
    </row>
    <row r="37" spans="1:7" x14ac:dyDescent="0.25">
      <c r="A37" s="197" t="s">
        <v>20</v>
      </c>
      <c r="B37" s="197"/>
      <c r="C37" s="138">
        <f>C34+C36</f>
        <v>9994000</v>
      </c>
      <c r="D37" s="138">
        <f t="shared" ref="D37" si="22">D34+D36</f>
        <v>0</v>
      </c>
      <c r="E37" s="138">
        <f t="shared" ref="E37" si="23">E34+E36</f>
        <v>9994000</v>
      </c>
      <c r="F37" s="138">
        <f t="shared" ref="F37" si="24">F34+F36</f>
        <v>451480</v>
      </c>
      <c r="G37" s="138">
        <f t="shared" ref="G37" si="25">G34+G36</f>
        <v>9542520</v>
      </c>
    </row>
    <row r="40" spans="1:7" ht="15.75" x14ac:dyDescent="0.25">
      <c r="A40" s="152" t="s">
        <v>61</v>
      </c>
      <c r="B40" s="173" t="s">
        <v>116</v>
      </c>
      <c r="C40" s="99"/>
      <c r="D40" s="100"/>
      <c r="E40" s="100"/>
      <c r="F40" s="100"/>
      <c r="G40" s="100"/>
    </row>
    <row r="41" spans="1:7" ht="25.5" x14ac:dyDescent="0.25">
      <c r="A41" s="1" t="s">
        <v>8</v>
      </c>
      <c r="B41" s="2" t="s">
        <v>54</v>
      </c>
      <c r="C41" s="2" t="s">
        <v>55</v>
      </c>
      <c r="D41" s="93" t="s">
        <v>16</v>
      </c>
      <c r="E41" s="93" t="s">
        <v>0</v>
      </c>
      <c r="F41" s="93" t="s">
        <v>12</v>
      </c>
      <c r="G41" s="93" t="s">
        <v>13</v>
      </c>
    </row>
    <row r="42" spans="1:7" x14ac:dyDescent="0.25">
      <c r="A42" s="3"/>
      <c r="B42" s="3"/>
      <c r="C42" s="92"/>
      <c r="D42" s="53"/>
      <c r="E42" s="53"/>
      <c r="F42" s="53"/>
      <c r="G42" s="53"/>
    </row>
    <row r="43" spans="1:7" x14ac:dyDescent="0.25">
      <c r="A43" s="132" t="s">
        <v>90</v>
      </c>
      <c r="B43" s="132" t="s">
        <v>90</v>
      </c>
      <c r="C43" s="133">
        <v>5878000</v>
      </c>
      <c r="D43" s="54">
        <f>SUMIFS(Bérköltség!$M$6:$M$54,Bérköltség!$D$6:$D$54,$B$40,Bérköltség!$G$6:$G$54,"Tény")+SUMIFS(Bérköltség!$N$6:$N$54,Bérköltség!$D$6:$D$54,$B$40,Bérköltség!$G$6:$G$54,"Tény")</f>
        <v>0</v>
      </c>
      <c r="E43" s="54">
        <f>C43-D43</f>
        <v>5878000</v>
      </c>
      <c r="F43" s="54">
        <f>SUMIFS(Bérköltség!$M$6:$M$54,Bérköltség!$D$6:$D$54,$B$40,Bérköltség!$G$6:$G$54,"Köt. váll.")+SUMIFS(Bérköltség!$N$6:$N$54,Bérköltség!$D$6:$D$54,$B$40,Bérköltség!$G$6:$G$54,"Köt. váll.")</f>
        <v>0</v>
      </c>
      <c r="G43" s="54">
        <f>E43-F43</f>
        <v>5878000</v>
      </c>
    </row>
    <row r="44" spans="1:7" x14ac:dyDescent="0.25">
      <c r="A44" s="132" t="s">
        <v>91</v>
      </c>
      <c r="B44" s="132" t="s">
        <v>91</v>
      </c>
      <c r="C44" s="133">
        <v>1101000</v>
      </c>
      <c r="D44" s="54">
        <f>SUMIFS(Dologi_felhalm.!$G$7:$G$32,Dologi_felhalm.!$B$7:$B$32,$B44,Dologi_felhalm.!$H$7:$H$32,"Tény",Dologi_felhalm.!$I$7:$I$32,$B$40)</f>
        <v>0</v>
      </c>
      <c r="E44" s="54">
        <f t="shared" ref="E44:E46" si="26">C44-D44</f>
        <v>1101000</v>
      </c>
      <c r="F44" s="54">
        <f>SUMIFS(Dologi_felhalm.!$G$7:$G$32,Dologi_felhalm.!$B$7:$B$32,$B44,Dologi_felhalm.!$H$7:$H$32,"Köt. váll.",Dologi_felhalm.!$I$7:$I$32,$B$40)</f>
        <v>0</v>
      </c>
      <c r="G44" s="54">
        <f t="shared" ref="G44:G46" si="27">E44-F44</f>
        <v>1101000</v>
      </c>
    </row>
    <row r="45" spans="1:7" x14ac:dyDescent="0.25">
      <c r="A45" s="132" t="s">
        <v>92</v>
      </c>
      <c r="B45" s="132" t="s">
        <v>92</v>
      </c>
      <c r="C45" s="133">
        <v>1199000</v>
      </c>
      <c r="D45" s="54">
        <f>SUMIFS(Dologi_felhalm.!$G$7:$G$32,Dologi_felhalm.!$B$7:$B$32,$B45,Dologi_felhalm.!$H$7:$H$32,"Tény",Dologi_felhalm.!$I$7:$I$32,$B$40)</f>
        <v>0</v>
      </c>
      <c r="E45" s="54">
        <f t="shared" si="26"/>
        <v>1199000</v>
      </c>
      <c r="F45" s="54">
        <f>SUMIFS(Dologi_felhalm.!$G$7:$G$32,Dologi_felhalm.!$B$7:$B$32,$B45,Dologi_felhalm.!$H$7:$H$32,"Köt. váll.",Dologi_felhalm.!$I$7:$I$32,$B$40)</f>
        <v>0</v>
      </c>
      <c r="G45" s="54">
        <f t="shared" si="27"/>
        <v>1199000</v>
      </c>
    </row>
    <row r="46" spans="1:7" x14ac:dyDescent="0.25">
      <c r="A46" s="132" t="s">
        <v>121</v>
      </c>
      <c r="B46" s="132" t="s">
        <v>121</v>
      </c>
      <c r="C46" s="133">
        <v>799000</v>
      </c>
      <c r="D46" s="54">
        <f>SUMIFS(Dologi_felhalm.!$G$7:$G$32,Dologi_felhalm.!$B$7:$B$32,$B46,Dologi_felhalm.!$H$7:$H$32,"Tény",Dologi_felhalm.!$I$7:$I$32,$B$40)</f>
        <v>0</v>
      </c>
      <c r="E46" s="54">
        <f t="shared" si="26"/>
        <v>799000</v>
      </c>
      <c r="F46" s="54">
        <f>SUMIFS(Dologi_felhalm.!$G$7:$G$32,Dologi_felhalm.!$B$7:$B$32,$B46,Dologi_felhalm.!$H$7:$H$32,"Köt. váll.",Dologi_felhalm.!$I$7:$I$32,$B$40)</f>
        <v>0</v>
      </c>
      <c r="G46" s="54">
        <f t="shared" si="27"/>
        <v>799000</v>
      </c>
    </row>
    <row r="47" spans="1:7" x14ac:dyDescent="0.25">
      <c r="A47" s="134" t="s">
        <v>93</v>
      </c>
      <c r="B47" s="134"/>
      <c r="C47" s="135">
        <f>SUM(C43:C46)</f>
        <v>8977000</v>
      </c>
      <c r="D47" s="136">
        <f>SUM(D43:D46)</f>
        <v>0</v>
      </c>
      <c r="E47" s="136">
        <f>SUM(E43:E46)</f>
        <v>8977000</v>
      </c>
      <c r="F47" s="136">
        <f>SUM(F43:F46)</f>
        <v>0</v>
      </c>
      <c r="G47" s="136">
        <f>SUM(G43:G46)</f>
        <v>8977000</v>
      </c>
    </row>
    <row r="48" spans="1:7" x14ac:dyDescent="0.25">
      <c r="A48" s="132" t="s">
        <v>87</v>
      </c>
      <c r="B48" s="132" t="s">
        <v>87</v>
      </c>
      <c r="C48" s="133">
        <v>1019000</v>
      </c>
      <c r="D48" s="54">
        <f>SUMIFS(Dologi_felhalm.!$G$7:$G$32,Dologi_felhalm.!$B$7:$B$32,$B48,Dologi_felhalm.!$H$7:$H$32,"Tény",Dologi_felhalm.!$I$7:$I$32,$B$40)</f>
        <v>0</v>
      </c>
      <c r="E48" s="54">
        <f t="shared" ref="E48" si="28">C48-D48</f>
        <v>1019000</v>
      </c>
      <c r="F48" s="54">
        <f>SUMIFS(Dologi_felhalm.!$G$7:$G$32,Dologi_felhalm.!$B$7:$B$32,$B48,Dologi_felhalm.!$H$7:$H$32,"Köt. váll.",Dologi_felhalm.!$I$7:$I$32,$B$40)</f>
        <v>0</v>
      </c>
      <c r="G48" s="54">
        <f t="shared" ref="G48" si="29">E48-F48</f>
        <v>1019000</v>
      </c>
    </row>
    <row r="49" spans="1:7" x14ac:dyDescent="0.25">
      <c r="A49" s="137" t="s">
        <v>94</v>
      </c>
      <c r="B49" s="137"/>
      <c r="C49" s="135">
        <f t="shared" ref="C49:G49" si="30">C48</f>
        <v>1019000</v>
      </c>
      <c r="D49" s="135">
        <f t="shared" si="30"/>
        <v>0</v>
      </c>
      <c r="E49" s="135">
        <f t="shared" si="30"/>
        <v>1019000</v>
      </c>
      <c r="F49" s="135">
        <f t="shared" si="30"/>
        <v>0</v>
      </c>
      <c r="G49" s="135">
        <f t="shared" si="30"/>
        <v>1019000</v>
      </c>
    </row>
    <row r="50" spans="1:7" x14ac:dyDescent="0.25">
      <c r="A50" s="197" t="s">
        <v>20</v>
      </c>
      <c r="B50" s="197"/>
      <c r="C50" s="138">
        <f>C47+C49</f>
        <v>9996000</v>
      </c>
      <c r="D50" s="138">
        <f t="shared" ref="D50" si="31">D47+D49</f>
        <v>0</v>
      </c>
      <c r="E50" s="138">
        <f t="shared" ref="E50" si="32">E47+E49</f>
        <v>9996000</v>
      </c>
      <c r="F50" s="138">
        <f t="shared" ref="F50" si="33">F47+F49</f>
        <v>0</v>
      </c>
      <c r="G50" s="138">
        <f t="shared" ref="G50" si="34">G47+G49</f>
        <v>9996000</v>
      </c>
    </row>
    <row r="52" spans="1:7" ht="15.75" thickBot="1" x14ac:dyDescent="0.3"/>
    <row r="53" spans="1:7" ht="15.75" x14ac:dyDescent="0.25">
      <c r="A53" s="154" t="s">
        <v>61</v>
      </c>
      <c r="B53" s="155" t="s">
        <v>118</v>
      </c>
      <c r="C53" s="156"/>
      <c r="D53" s="157"/>
      <c r="E53" s="157"/>
      <c r="F53" s="157"/>
      <c r="G53" s="158"/>
    </row>
    <row r="54" spans="1:7" ht="25.5" x14ac:dyDescent="0.25">
      <c r="A54" s="159" t="s">
        <v>8</v>
      </c>
      <c r="B54" s="2" t="s">
        <v>54</v>
      </c>
      <c r="C54" s="2" t="s">
        <v>55</v>
      </c>
      <c r="D54" s="93" t="s">
        <v>16</v>
      </c>
      <c r="E54" s="93" t="s">
        <v>0</v>
      </c>
      <c r="F54" s="93" t="s">
        <v>12</v>
      </c>
      <c r="G54" s="160" t="s">
        <v>13</v>
      </c>
    </row>
    <row r="55" spans="1:7" x14ac:dyDescent="0.25">
      <c r="A55" s="161"/>
      <c r="B55" s="3"/>
      <c r="C55" s="92"/>
      <c r="D55" s="53"/>
      <c r="E55" s="53"/>
      <c r="F55" s="53"/>
      <c r="G55" s="162"/>
    </row>
    <row r="56" spans="1:7" x14ac:dyDescent="0.25">
      <c r="A56" s="163" t="s">
        <v>90</v>
      </c>
      <c r="B56" s="132" t="s">
        <v>90</v>
      </c>
      <c r="C56" s="133">
        <f>C4+C17+C30+C43</f>
        <v>22468000</v>
      </c>
      <c r="D56" s="54">
        <f t="shared" ref="D56:G56" si="35">D4+D17+D30+D43</f>
        <v>5272735</v>
      </c>
      <c r="E56" s="54">
        <f t="shared" si="35"/>
        <v>17195265</v>
      </c>
      <c r="F56" s="54">
        <f t="shared" si="35"/>
        <v>3268943</v>
      </c>
      <c r="G56" s="164">
        <f t="shared" si="35"/>
        <v>13926322</v>
      </c>
    </row>
    <row r="57" spans="1:7" x14ac:dyDescent="0.25">
      <c r="A57" s="163" t="s">
        <v>91</v>
      </c>
      <c r="B57" s="132" t="s">
        <v>91</v>
      </c>
      <c r="C57" s="133">
        <f t="shared" ref="C57:G57" si="36">C5+C18+C31+C44</f>
        <v>7373000</v>
      </c>
      <c r="D57" s="54">
        <f t="shared" si="36"/>
        <v>3027157</v>
      </c>
      <c r="E57" s="54">
        <f t="shared" si="36"/>
        <v>4345843</v>
      </c>
      <c r="F57" s="54">
        <f t="shared" si="36"/>
        <v>59443</v>
      </c>
      <c r="G57" s="164">
        <f t="shared" si="36"/>
        <v>4286400</v>
      </c>
    </row>
    <row r="58" spans="1:7" x14ac:dyDescent="0.25">
      <c r="A58" s="163" t="s">
        <v>92</v>
      </c>
      <c r="B58" s="132" t="s">
        <v>92</v>
      </c>
      <c r="C58" s="133">
        <f t="shared" ref="C58:G58" si="37">C6+C19+C32+C45</f>
        <v>4796000</v>
      </c>
      <c r="D58" s="54">
        <f t="shared" si="37"/>
        <v>1199000</v>
      </c>
      <c r="E58" s="54">
        <f t="shared" si="37"/>
        <v>3597000</v>
      </c>
      <c r="F58" s="54">
        <f t="shared" si="37"/>
        <v>0</v>
      </c>
      <c r="G58" s="164">
        <f t="shared" si="37"/>
        <v>3597000</v>
      </c>
    </row>
    <row r="59" spans="1:7" x14ac:dyDescent="0.25">
      <c r="A59" s="163" t="s">
        <v>121</v>
      </c>
      <c r="B59" s="132" t="s">
        <v>121</v>
      </c>
      <c r="C59" s="133">
        <f t="shared" ref="C59:G59" si="38">C7+C20+C33+C46</f>
        <v>3196000</v>
      </c>
      <c r="D59" s="54">
        <f t="shared" si="38"/>
        <v>0</v>
      </c>
      <c r="E59" s="54">
        <f t="shared" si="38"/>
        <v>3196000</v>
      </c>
      <c r="F59" s="54">
        <f t="shared" si="38"/>
        <v>0</v>
      </c>
      <c r="G59" s="164">
        <f t="shared" si="38"/>
        <v>3196000</v>
      </c>
    </row>
    <row r="60" spans="1:7" x14ac:dyDescent="0.25">
      <c r="A60" s="165" t="s">
        <v>93</v>
      </c>
      <c r="B60" s="134"/>
      <c r="C60" s="135">
        <f t="shared" ref="C60:G60" si="39">C8+C21+C34+C47</f>
        <v>37833000</v>
      </c>
      <c r="D60" s="136">
        <f t="shared" si="39"/>
        <v>9498892</v>
      </c>
      <c r="E60" s="136">
        <f t="shared" si="39"/>
        <v>28334108</v>
      </c>
      <c r="F60" s="136">
        <f t="shared" si="39"/>
        <v>3328386</v>
      </c>
      <c r="G60" s="166">
        <f t="shared" si="39"/>
        <v>25005722</v>
      </c>
    </row>
    <row r="61" spans="1:7" x14ac:dyDescent="0.25">
      <c r="A61" s="163" t="s">
        <v>87</v>
      </c>
      <c r="B61" s="132" t="s">
        <v>87</v>
      </c>
      <c r="C61" s="133">
        <f t="shared" ref="C61:G61" si="40">C9+C22+C35+C48</f>
        <v>2148000</v>
      </c>
      <c r="D61" s="54">
        <f t="shared" si="40"/>
        <v>462332</v>
      </c>
      <c r="E61" s="54">
        <f t="shared" si="40"/>
        <v>1685668</v>
      </c>
      <c r="F61" s="54">
        <f t="shared" si="40"/>
        <v>0</v>
      </c>
      <c r="G61" s="164">
        <f t="shared" si="40"/>
        <v>1685668</v>
      </c>
    </row>
    <row r="62" spans="1:7" x14ac:dyDescent="0.25">
      <c r="A62" s="167" t="s">
        <v>94</v>
      </c>
      <c r="B62" s="137"/>
      <c r="C62" s="135">
        <f t="shared" ref="C62:G62" si="41">C10+C23+C36+C49</f>
        <v>2148000</v>
      </c>
      <c r="D62" s="135">
        <f t="shared" si="41"/>
        <v>462332</v>
      </c>
      <c r="E62" s="135">
        <f t="shared" si="41"/>
        <v>1685668</v>
      </c>
      <c r="F62" s="135">
        <f t="shared" si="41"/>
        <v>0</v>
      </c>
      <c r="G62" s="168">
        <f t="shared" si="41"/>
        <v>1685668</v>
      </c>
    </row>
    <row r="63" spans="1:7" ht="15.75" thickBot="1" x14ac:dyDescent="0.3">
      <c r="A63" s="195" t="s">
        <v>20</v>
      </c>
      <c r="B63" s="196"/>
      <c r="C63" s="169">
        <f t="shared" ref="C63:G63" si="42">C11+C24+C37+C50</f>
        <v>39981000</v>
      </c>
      <c r="D63" s="169">
        <f t="shared" si="42"/>
        <v>9961224</v>
      </c>
      <c r="E63" s="169">
        <f t="shared" si="42"/>
        <v>30019776</v>
      </c>
      <c r="F63" s="169">
        <f t="shared" si="42"/>
        <v>3328386</v>
      </c>
      <c r="G63" s="170">
        <f t="shared" si="42"/>
        <v>26691390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AB3AD125-A9A4-4497-8E05-753BBDCB5CDA}"/>
    </customSheetView>
  </customSheetViews>
  <mergeCells count="5">
    <mergeCell ref="A63:B63"/>
    <mergeCell ref="A11:B11"/>
    <mergeCell ref="A24:B24"/>
    <mergeCell ref="A37:B37"/>
    <mergeCell ref="A50:B50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AN106"/>
  <sheetViews>
    <sheetView tabSelected="1" topLeftCell="F1" zoomScaleNormal="100" workbookViewId="0">
      <pane ySplit="5" topLeftCell="A26" activePane="bottomLeft" state="frozen"/>
      <selection pane="bottomLeft" activeCell="R46" sqref="R46"/>
    </sheetView>
  </sheetViews>
  <sheetFormatPr defaultRowHeight="15" outlineLevelRow="1" x14ac:dyDescent="0.25"/>
  <cols>
    <col min="1" max="1" width="31" bestFit="1" customWidth="1"/>
    <col min="2" max="2" width="19.140625" customWidth="1"/>
    <col min="3" max="3" width="17.28515625" customWidth="1"/>
    <col min="4" max="4" width="22.85546875" customWidth="1"/>
    <col min="5" max="5" width="23" bestFit="1" customWidth="1"/>
    <col min="6" max="6" width="22.7109375" style="27" customWidth="1"/>
    <col min="7" max="7" width="11.140625" customWidth="1"/>
    <col min="8" max="8" width="11.85546875" style="56" customWidth="1"/>
    <col min="9" max="9" width="10.7109375" style="56" customWidth="1"/>
    <col min="10" max="10" width="11.140625" style="27" customWidth="1"/>
    <col min="11" max="12" width="11" style="68" customWidth="1"/>
    <col min="13" max="13" width="13.85546875" style="4" customWidth="1"/>
    <col min="14" max="14" width="14.5703125" style="4" customWidth="1"/>
    <col min="15" max="15" width="12.28515625" style="107" customWidth="1"/>
    <col min="16" max="16" width="10.5703125" style="27" customWidth="1"/>
    <col min="17" max="17" width="12.5703125" style="27" customWidth="1"/>
    <col min="18" max="18" width="16.42578125" style="27" customWidth="1"/>
    <col min="19" max="19" width="10.5703125" style="27" customWidth="1"/>
    <col min="20" max="20" width="9.7109375" style="27" bestFit="1" customWidth="1"/>
    <col min="21" max="21" width="8.85546875"/>
    <col min="22" max="24" width="12" customWidth="1"/>
    <col min="25" max="40" width="8.85546875"/>
  </cols>
  <sheetData>
    <row r="1" spans="1:24" x14ac:dyDescent="0.25">
      <c r="A1" t="s">
        <v>182</v>
      </c>
      <c r="B1" t="s">
        <v>209</v>
      </c>
      <c r="C1" t="s">
        <v>184</v>
      </c>
      <c r="F1" s="27" t="s">
        <v>210</v>
      </c>
      <c r="M1" s="4" t="s">
        <v>179</v>
      </c>
      <c r="N1" s="4" t="s">
        <v>180</v>
      </c>
      <c r="Q1" s="27" t="s">
        <v>183</v>
      </c>
      <c r="T1" s="27" t="s">
        <v>211</v>
      </c>
    </row>
    <row r="2" spans="1:24" ht="18.75" x14ac:dyDescent="0.3">
      <c r="A2" s="198" t="s">
        <v>117</v>
      </c>
      <c r="B2" s="198"/>
      <c r="C2" s="198"/>
      <c r="D2" s="198"/>
      <c r="E2" s="199"/>
      <c r="F2" s="198"/>
      <c r="G2" s="94"/>
      <c r="H2" s="148"/>
      <c r="I2" s="65"/>
      <c r="O2" s="106"/>
      <c r="V2" s="178" t="e">
        <f>IF(VLOOKUP($Q2,'Havi béradatok'!$B:$E,2,FALSE)=C2,"EGYEZIK","HIBÁS")</f>
        <v>#N/A</v>
      </c>
      <c r="W2" s="189" t="e">
        <f>VLOOKUP($Q2,'Havi béradatok'!$B:$E,3,FALSE)-H2</f>
        <v>#N/A</v>
      </c>
      <c r="X2" s="189" t="e">
        <f>VLOOKUP($Q2,'Havi béradatok'!$B:$E,4,FALSE)-I2</f>
        <v>#N/A</v>
      </c>
    </row>
    <row r="3" spans="1:24" ht="15" customHeight="1" x14ac:dyDescent="0.25">
      <c r="A3" s="9" t="s">
        <v>1</v>
      </c>
      <c r="B3" s="9"/>
      <c r="C3" s="9"/>
      <c r="D3" s="9"/>
      <c r="E3" s="143"/>
      <c r="F3" s="61"/>
      <c r="G3" s="70"/>
      <c r="H3" s="115"/>
      <c r="I3" s="116"/>
      <c r="J3" s="117" t="s">
        <v>24</v>
      </c>
      <c r="K3" s="117" t="s">
        <v>29</v>
      </c>
      <c r="L3" s="117"/>
      <c r="M3" s="118"/>
      <c r="N3" s="118"/>
      <c r="O3" s="117" t="s">
        <v>56</v>
      </c>
      <c r="P3" s="139" t="s">
        <v>62</v>
      </c>
      <c r="Q3" s="139"/>
      <c r="R3" s="119"/>
      <c r="S3" s="112" t="s">
        <v>59</v>
      </c>
      <c r="V3" s="179"/>
      <c r="W3" s="179"/>
      <c r="X3" s="179"/>
    </row>
    <row r="4" spans="1:24" ht="24.75" customHeight="1" x14ac:dyDescent="0.25">
      <c r="A4" s="10" t="s">
        <v>9</v>
      </c>
      <c r="B4" s="7" t="s">
        <v>17</v>
      </c>
      <c r="C4" s="7" t="s">
        <v>17</v>
      </c>
      <c r="D4" s="7" t="s">
        <v>96</v>
      </c>
      <c r="E4" s="7" t="s">
        <v>133</v>
      </c>
      <c r="F4" s="7" t="s">
        <v>4</v>
      </c>
      <c r="G4" s="7" t="s">
        <v>10</v>
      </c>
      <c r="H4" s="120" t="s">
        <v>22</v>
      </c>
      <c r="I4" s="121" t="s">
        <v>38</v>
      </c>
      <c r="J4" s="122" t="s">
        <v>25</v>
      </c>
      <c r="K4" s="123" t="s">
        <v>27</v>
      </c>
      <c r="L4" s="123" t="s">
        <v>188</v>
      </c>
      <c r="M4" s="124" t="s">
        <v>27</v>
      </c>
      <c r="N4" s="124" t="s">
        <v>27</v>
      </c>
      <c r="O4" s="124" t="s">
        <v>2</v>
      </c>
      <c r="P4" s="140" t="s">
        <v>63</v>
      </c>
      <c r="Q4" s="140" t="s">
        <v>175</v>
      </c>
      <c r="R4" s="125" t="s">
        <v>58</v>
      </c>
      <c r="S4" s="113" t="s">
        <v>60</v>
      </c>
      <c r="V4" s="180" t="s">
        <v>178</v>
      </c>
      <c r="W4" s="180" t="s">
        <v>179</v>
      </c>
      <c r="X4" s="180" t="s">
        <v>180</v>
      </c>
    </row>
    <row r="5" spans="1:24" ht="18.75" customHeight="1" x14ac:dyDescent="0.25">
      <c r="A5" s="11" t="s">
        <v>32</v>
      </c>
      <c r="B5" s="11" t="s">
        <v>208</v>
      </c>
      <c r="C5" s="11" t="s">
        <v>34</v>
      </c>
      <c r="D5" s="11"/>
      <c r="E5" s="8"/>
      <c r="F5" s="8" t="s">
        <v>33</v>
      </c>
      <c r="G5" s="8" t="s">
        <v>11</v>
      </c>
      <c r="H5" s="126" t="s">
        <v>23</v>
      </c>
      <c r="I5" s="127"/>
      <c r="J5" s="128" t="s">
        <v>26</v>
      </c>
      <c r="K5" s="129" t="s">
        <v>26</v>
      </c>
      <c r="L5" s="129" t="s">
        <v>189</v>
      </c>
      <c r="M5" s="128" t="s">
        <v>22</v>
      </c>
      <c r="N5" s="128" t="s">
        <v>28</v>
      </c>
      <c r="O5" s="130" t="s">
        <v>57</v>
      </c>
      <c r="P5" s="141" t="s">
        <v>37</v>
      </c>
      <c r="Q5" s="141" t="s">
        <v>176</v>
      </c>
      <c r="R5" s="131" t="s">
        <v>31</v>
      </c>
      <c r="S5" s="114" t="s">
        <v>21</v>
      </c>
      <c r="U5" t="s">
        <v>67</v>
      </c>
      <c r="V5" s="181" t="s">
        <v>181</v>
      </c>
      <c r="W5" s="181" t="s">
        <v>181</v>
      </c>
      <c r="X5" s="181" t="s">
        <v>181</v>
      </c>
    </row>
    <row r="6" spans="1:24" s="14" customFormat="1" ht="14.45" customHeight="1" x14ac:dyDescent="0.25">
      <c r="A6" s="38"/>
      <c r="B6" s="191"/>
      <c r="C6" s="58"/>
      <c r="D6" s="58"/>
      <c r="E6" s="73"/>
      <c r="F6" s="58"/>
      <c r="G6" s="73"/>
      <c r="H6" s="5"/>
      <c r="I6" s="74"/>
      <c r="J6" s="75"/>
      <c r="K6" s="75"/>
      <c r="L6" s="75"/>
      <c r="M6" s="76"/>
      <c r="N6" s="76"/>
      <c r="O6" s="142"/>
      <c r="P6" s="105"/>
      <c r="Q6" s="105"/>
      <c r="R6" s="82"/>
      <c r="S6" s="60"/>
      <c r="T6" s="194"/>
    </row>
    <row r="7" spans="1:24" s="14" customFormat="1" ht="14.45" customHeight="1" x14ac:dyDescent="0.25">
      <c r="A7" s="38" t="s">
        <v>185</v>
      </c>
      <c r="B7" s="191" t="s">
        <v>97</v>
      </c>
      <c r="C7" s="58" t="s">
        <v>127</v>
      </c>
      <c r="D7" s="58" t="s">
        <v>114</v>
      </c>
      <c r="E7" s="73" t="s">
        <v>89</v>
      </c>
      <c r="F7" s="58" t="s">
        <v>187</v>
      </c>
      <c r="G7" s="73" t="s">
        <v>10</v>
      </c>
      <c r="H7" s="5">
        <v>264000</v>
      </c>
      <c r="I7" s="74">
        <f t="shared" ref="I7:I16" si="0">ROUND(H7*P7,0)</f>
        <v>34320</v>
      </c>
      <c r="J7" s="75">
        <v>174</v>
      </c>
      <c r="K7" s="75">
        <v>79</v>
      </c>
      <c r="L7" s="188">
        <f>K7/J7</f>
        <v>0.45402298850574713</v>
      </c>
      <c r="M7" s="76">
        <f t="shared" ref="M7:M16" si="1">ROUND(H7*K7/J7,0)</f>
        <v>119862</v>
      </c>
      <c r="N7" s="76">
        <f t="shared" ref="N7:N16" si="2">ROUND(M7*P7,0)</f>
        <v>15582</v>
      </c>
      <c r="O7" s="142">
        <f t="shared" ref="O7:O16" si="3">K7/J7-M7/H7</f>
        <v>2.6123301982705627E-7</v>
      </c>
      <c r="P7" s="105">
        <v>0.13</v>
      </c>
      <c r="Q7" s="186" t="s">
        <v>186</v>
      </c>
      <c r="R7" s="82">
        <v>44951</v>
      </c>
      <c r="S7" s="60" t="s">
        <v>85</v>
      </c>
      <c r="T7" s="194"/>
      <c r="V7" s="178" t="str">
        <f>IF(VLOOKUP($Q7,'Havi béradatok'!$B:$E,2,FALSE)=C7,"EGYEZIK","HIBÁS")</f>
        <v>EGYEZIK</v>
      </c>
      <c r="W7" s="178">
        <f>VLOOKUP($Q7,'Havi béradatok'!$B:$E,3,FALSE)-H7</f>
        <v>176000</v>
      </c>
      <c r="X7" s="178">
        <f>VLOOKUP($Q7,'Havi béradatok'!$B:$E,4,FALSE)-I7</f>
        <v>22880</v>
      </c>
    </row>
    <row r="8" spans="1:24" s="14" customFormat="1" ht="14.45" customHeight="1" x14ac:dyDescent="0.25">
      <c r="A8" s="38" t="s">
        <v>185</v>
      </c>
      <c r="B8" s="191" t="s">
        <v>97</v>
      </c>
      <c r="C8" s="58" t="s">
        <v>127</v>
      </c>
      <c r="D8" s="58" t="s">
        <v>114</v>
      </c>
      <c r="E8" s="73" t="s">
        <v>89</v>
      </c>
      <c r="F8" s="58" t="s">
        <v>70</v>
      </c>
      <c r="G8" s="73" t="s">
        <v>10</v>
      </c>
      <c r="H8" s="5">
        <v>440000</v>
      </c>
      <c r="I8" s="74">
        <f t="shared" si="0"/>
        <v>57200</v>
      </c>
      <c r="J8" s="75">
        <v>174</v>
      </c>
      <c r="K8" s="75">
        <v>79</v>
      </c>
      <c r="L8" s="188">
        <f t="shared" ref="L8:L38" si="4">K8/J8</f>
        <v>0.45402298850574713</v>
      </c>
      <c r="M8" s="76">
        <f t="shared" si="1"/>
        <v>199770</v>
      </c>
      <c r="N8" s="76">
        <f t="shared" si="2"/>
        <v>25970</v>
      </c>
      <c r="O8" s="142">
        <f t="shared" si="3"/>
        <v>2.6123301982705627E-7</v>
      </c>
      <c r="P8" s="105">
        <v>0.13</v>
      </c>
      <c r="Q8" s="186" t="s">
        <v>186</v>
      </c>
      <c r="R8" s="82">
        <v>44951</v>
      </c>
      <c r="S8" s="60" t="s">
        <v>85</v>
      </c>
      <c r="T8" s="194"/>
      <c r="V8" s="178" t="str">
        <f>IF(VLOOKUP($Q8,'Havi béradatok'!$B:$E,2,FALSE)=C8,"EGYEZIK","HIBÁS")</f>
        <v>EGYEZIK</v>
      </c>
      <c r="W8" s="178">
        <f>VLOOKUP($Q8,'Havi béradatok'!$B:$E,3,FALSE)-H8</f>
        <v>0</v>
      </c>
      <c r="X8" s="178">
        <f>VLOOKUP($Q8,'Havi béradatok'!$B:$E,4,FALSE)-I8</f>
        <v>0</v>
      </c>
    </row>
    <row r="9" spans="1:24" s="14" customFormat="1" ht="14.45" customHeight="1" x14ac:dyDescent="0.25">
      <c r="A9" s="38" t="s">
        <v>185</v>
      </c>
      <c r="B9" s="191" t="s">
        <v>97</v>
      </c>
      <c r="C9" s="58" t="s">
        <v>127</v>
      </c>
      <c r="D9" s="58" t="s">
        <v>114</v>
      </c>
      <c r="E9" s="73" t="s">
        <v>89</v>
      </c>
      <c r="F9" s="58" t="s">
        <v>71</v>
      </c>
      <c r="G9" s="73" t="s">
        <v>11</v>
      </c>
      <c r="H9" s="5">
        <v>440000</v>
      </c>
      <c r="I9" s="74">
        <f t="shared" si="0"/>
        <v>57200</v>
      </c>
      <c r="J9" s="75">
        <v>174</v>
      </c>
      <c r="K9" s="75">
        <v>79</v>
      </c>
      <c r="L9" s="188">
        <f t="shared" si="4"/>
        <v>0.45402298850574713</v>
      </c>
      <c r="M9" s="76">
        <f t="shared" si="1"/>
        <v>199770</v>
      </c>
      <c r="N9" s="76">
        <f t="shared" si="2"/>
        <v>25970</v>
      </c>
      <c r="O9" s="142">
        <f t="shared" si="3"/>
        <v>2.6123301982705627E-7</v>
      </c>
      <c r="P9" s="105">
        <v>0.13</v>
      </c>
      <c r="Q9" s="186" t="s">
        <v>186</v>
      </c>
      <c r="R9" s="82">
        <v>44951</v>
      </c>
      <c r="S9" s="60" t="s">
        <v>85</v>
      </c>
      <c r="T9" s="194"/>
      <c r="V9" s="178"/>
      <c r="W9" s="178"/>
      <c r="X9" s="178"/>
    </row>
    <row r="10" spans="1:24" s="14" customFormat="1" ht="14.45" customHeight="1" x14ac:dyDescent="0.25">
      <c r="A10" s="38" t="s">
        <v>185</v>
      </c>
      <c r="B10" s="191" t="s">
        <v>97</v>
      </c>
      <c r="C10" s="58" t="s">
        <v>127</v>
      </c>
      <c r="D10" s="58" t="s">
        <v>114</v>
      </c>
      <c r="E10" s="73" t="s">
        <v>89</v>
      </c>
      <c r="F10" s="58" t="s">
        <v>72</v>
      </c>
      <c r="G10" s="73" t="s">
        <v>11</v>
      </c>
      <c r="H10" s="5">
        <v>440000</v>
      </c>
      <c r="I10" s="74">
        <f t="shared" si="0"/>
        <v>57200</v>
      </c>
      <c r="J10" s="75">
        <v>174</v>
      </c>
      <c r="K10" s="75">
        <v>79</v>
      </c>
      <c r="L10" s="188">
        <f t="shared" si="4"/>
        <v>0.45402298850574713</v>
      </c>
      <c r="M10" s="76">
        <f t="shared" si="1"/>
        <v>199770</v>
      </c>
      <c r="N10" s="76">
        <f t="shared" si="2"/>
        <v>25970</v>
      </c>
      <c r="O10" s="142">
        <f t="shared" si="3"/>
        <v>2.6123301982705627E-7</v>
      </c>
      <c r="P10" s="105">
        <v>0.13</v>
      </c>
      <c r="Q10" s="186" t="s">
        <v>186</v>
      </c>
      <c r="R10" s="82">
        <v>44951</v>
      </c>
      <c r="S10" s="60" t="s">
        <v>85</v>
      </c>
      <c r="T10" s="194"/>
      <c r="V10" s="178"/>
      <c r="W10" s="178"/>
      <c r="X10" s="178"/>
    </row>
    <row r="11" spans="1:24" s="14" customFormat="1" ht="14.45" customHeight="1" x14ac:dyDescent="0.25">
      <c r="A11" s="38" t="s">
        <v>185</v>
      </c>
      <c r="B11" s="191" t="s">
        <v>97</v>
      </c>
      <c r="C11" s="58" t="s">
        <v>127</v>
      </c>
      <c r="D11" s="58" t="s">
        <v>114</v>
      </c>
      <c r="E11" s="73" t="s">
        <v>89</v>
      </c>
      <c r="F11" s="58" t="s">
        <v>73</v>
      </c>
      <c r="G11" s="73" t="s">
        <v>11</v>
      </c>
      <c r="H11" s="5">
        <v>440000</v>
      </c>
      <c r="I11" s="74">
        <f t="shared" si="0"/>
        <v>57200</v>
      </c>
      <c r="J11" s="75">
        <v>174</v>
      </c>
      <c r="K11" s="75">
        <v>79</v>
      </c>
      <c r="L11" s="188">
        <f t="shared" si="4"/>
        <v>0.45402298850574713</v>
      </c>
      <c r="M11" s="76">
        <f t="shared" si="1"/>
        <v>199770</v>
      </c>
      <c r="N11" s="76">
        <f t="shared" si="2"/>
        <v>25970</v>
      </c>
      <c r="O11" s="142">
        <f t="shared" si="3"/>
        <v>2.6123301982705627E-7</v>
      </c>
      <c r="P11" s="105">
        <v>0.13</v>
      </c>
      <c r="Q11" s="186" t="s">
        <v>186</v>
      </c>
      <c r="R11" s="82">
        <v>44951</v>
      </c>
      <c r="S11" s="60" t="s">
        <v>85</v>
      </c>
      <c r="T11" s="194"/>
      <c r="V11" s="178"/>
      <c r="W11" s="178"/>
      <c r="X11" s="178"/>
    </row>
    <row r="12" spans="1:24" s="14" customFormat="1" ht="14.45" customHeight="1" x14ac:dyDescent="0.25">
      <c r="A12" s="38" t="s">
        <v>185</v>
      </c>
      <c r="B12" s="191" t="s">
        <v>97</v>
      </c>
      <c r="C12" s="58" t="s">
        <v>127</v>
      </c>
      <c r="D12" s="58" t="s">
        <v>114</v>
      </c>
      <c r="E12" s="73" t="s">
        <v>89</v>
      </c>
      <c r="F12" s="58" t="s">
        <v>74</v>
      </c>
      <c r="G12" s="73" t="s">
        <v>11</v>
      </c>
      <c r="H12" s="5">
        <v>440000</v>
      </c>
      <c r="I12" s="74">
        <f t="shared" si="0"/>
        <v>57200</v>
      </c>
      <c r="J12" s="75">
        <v>174</v>
      </c>
      <c r="K12" s="75">
        <v>79</v>
      </c>
      <c r="L12" s="188">
        <f t="shared" si="4"/>
        <v>0.45402298850574713</v>
      </c>
      <c r="M12" s="76">
        <f t="shared" si="1"/>
        <v>199770</v>
      </c>
      <c r="N12" s="76">
        <f t="shared" si="2"/>
        <v>25970</v>
      </c>
      <c r="O12" s="142">
        <f t="shared" si="3"/>
        <v>2.6123301982705627E-7</v>
      </c>
      <c r="P12" s="105">
        <v>0.13</v>
      </c>
      <c r="Q12" s="186" t="s">
        <v>186</v>
      </c>
      <c r="R12" s="82">
        <v>44951</v>
      </c>
      <c r="S12" s="60" t="s">
        <v>85</v>
      </c>
      <c r="T12" s="194"/>
      <c r="V12" s="178"/>
      <c r="W12" s="178"/>
      <c r="X12" s="178"/>
    </row>
    <row r="13" spans="1:24" s="14" customFormat="1" ht="14.45" customHeight="1" x14ac:dyDescent="0.25">
      <c r="A13" s="38" t="s">
        <v>185</v>
      </c>
      <c r="B13" s="191" t="s">
        <v>97</v>
      </c>
      <c r="C13" s="58" t="s">
        <v>127</v>
      </c>
      <c r="D13" s="58" t="s">
        <v>114</v>
      </c>
      <c r="E13" s="73" t="s">
        <v>89</v>
      </c>
      <c r="F13" s="58" t="s">
        <v>75</v>
      </c>
      <c r="G13" s="73" t="s">
        <v>11</v>
      </c>
      <c r="H13" s="5">
        <v>440000</v>
      </c>
      <c r="I13" s="74">
        <f t="shared" si="0"/>
        <v>57200</v>
      </c>
      <c r="J13" s="75">
        <v>174</v>
      </c>
      <c r="K13" s="75">
        <v>79</v>
      </c>
      <c r="L13" s="188">
        <f t="shared" si="4"/>
        <v>0.45402298850574713</v>
      </c>
      <c r="M13" s="76">
        <f t="shared" si="1"/>
        <v>199770</v>
      </c>
      <c r="N13" s="76">
        <f t="shared" si="2"/>
        <v>25970</v>
      </c>
      <c r="O13" s="142">
        <f t="shared" si="3"/>
        <v>2.6123301982705627E-7</v>
      </c>
      <c r="P13" s="105">
        <v>0.13</v>
      </c>
      <c r="Q13" s="186" t="s">
        <v>186</v>
      </c>
      <c r="R13" s="82">
        <v>44951</v>
      </c>
      <c r="S13" s="60" t="s">
        <v>85</v>
      </c>
      <c r="T13" s="194"/>
      <c r="V13" s="178"/>
      <c r="W13" s="178"/>
      <c r="X13" s="178"/>
    </row>
    <row r="14" spans="1:24" s="14" customFormat="1" ht="14.45" customHeight="1" x14ac:dyDescent="0.25">
      <c r="A14" s="38" t="s">
        <v>185</v>
      </c>
      <c r="B14" s="191" t="s">
        <v>97</v>
      </c>
      <c r="C14" s="58" t="s">
        <v>127</v>
      </c>
      <c r="D14" s="58" t="s">
        <v>114</v>
      </c>
      <c r="E14" s="73" t="s">
        <v>89</v>
      </c>
      <c r="F14" s="58" t="s">
        <v>76</v>
      </c>
      <c r="G14" s="73" t="s">
        <v>11</v>
      </c>
      <c r="H14" s="5">
        <v>440000</v>
      </c>
      <c r="I14" s="74">
        <f t="shared" si="0"/>
        <v>57200</v>
      </c>
      <c r="J14" s="75">
        <v>174</v>
      </c>
      <c r="K14" s="75">
        <v>79</v>
      </c>
      <c r="L14" s="188">
        <f t="shared" si="4"/>
        <v>0.45402298850574713</v>
      </c>
      <c r="M14" s="76">
        <f t="shared" si="1"/>
        <v>199770</v>
      </c>
      <c r="N14" s="76">
        <f t="shared" si="2"/>
        <v>25970</v>
      </c>
      <c r="O14" s="142">
        <f t="shared" si="3"/>
        <v>2.6123301982705627E-7</v>
      </c>
      <c r="P14" s="105">
        <v>0.13</v>
      </c>
      <c r="Q14" s="186" t="s">
        <v>186</v>
      </c>
      <c r="R14" s="82">
        <v>44951</v>
      </c>
      <c r="S14" s="60" t="s">
        <v>85</v>
      </c>
      <c r="T14" s="194"/>
      <c r="V14" s="178"/>
      <c r="W14" s="178"/>
      <c r="X14" s="178"/>
    </row>
    <row r="15" spans="1:24" s="14" customFormat="1" ht="14.45" customHeight="1" x14ac:dyDescent="0.25">
      <c r="A15" s="38" t="s">
        <v>185</v>
      </c>
      <c r="B15" s="191" t="s">
        <v>97</v>
      </c>
      <c r="C15" s="58" t="s">
        <v>127</v>
      </c>
      <c r="D15" s="58" t="s">
        <v>115</v>
      </c>
      <c r="E15" s="73" t="s">
        <v>89</v>
      </c>
      <c r="F15" s="58" t="s">
        <v>77</v>
      </c>
      <c r="G15" s="73" t="s">
        <v>11</v>
      </c>
      <c r="H15" s="5">
        <v>440000</v>
      </c>
      <c r="I15" s="74">
        <f t="shared" si="0"/>
        <v>57200</v>
      </c>
      <c r="J15" s="75">
        <v>174</v>
      </c>
      <c r="K15" s="75">
        <v>79</v>
      </c>
      <c r="L15" s="188">
        <f t="shared" si="4"/>
        <v>0.45402298850574713</v>
      </c>
      <c r="M15" s="76">
        <f t="shared" si="1"/>
        <v>199770</v>
      </c>
      <c r="N15" s="76">
        <f t="shared" si="2"/>
        <v>25970</v>
      </c>
      <c r="O15" s="142">
        <f t="shared" si="3"/>
        <v>2.6123301982705627E-7</v>
      </c>
      <c r="P15" s="105">
        <v>0.13</v>
      </c>
      <c r="Q15" s="186" t="s">
        <v>186</v>
      </c>
      <c r="R15" s="82">
        <v>44951</v>
      </c>
      <c r="S15" s="60" t="s">
        <v>85</v>
      </c>
      <c r="T15" s="194"/>
      <c r="V15" s="178"/>
      <c r="W15" s="178"/>
      <c r="X15" s="178"/>
    </row>
    <row r="16" spans="1:24" s="14" customFormat="1" ht="14.45" customHeight="1" x14ac:dyDescent="0.25">
      <c r="A16" s="38" t="s">
        <v>185</v>
      </c>
      <c r="B16" s="191" t="s">
        <v>97</v>
      </c>
      <c r="C16" s="58" t="s">
        <v>127</v>
      </c>
      <c r="D16" s="58" t="s">
        <v>115</v>
      </c>
      <c r="E16" s="73" t="s">
        <v>89</v>
      </c>
      <c r="F16" s="58" t="s">
        <v>78</v>
      </c>
      <c r="G16" s="73" t="s">
        <v>11</v>
      </c>
      <c r="H16" s="5">
        <v>440000</v>
      </c>
      <c r="I16" s="74">
        <f t="shared" si="0"/>
        <v>57200</v>
      </c>
      <c r="J16" s="75">
        <v>174</v>
      </c>
      <c r="K16" s="75">
        <v>79</v>
      </c>
      <c r="L16" s="188">
        <f t="shared" si="4"/>
        <v>0.45402298850574713</v>
      </c>
      <c r="M16" s="76">
        <f t="shared" si="1"/>
        <v>199770</v>
      </c>
      <c r="N16" s="76">
        <f t="shared" si="2"/>
        <v>25970</v>
      </c>
      <c r="O16" s="142">
        <f t="shared" si="3"/>
        <v>2.6123301982705627E-7</v>
      </c>
      <c r="P16" s="105">
        <v>0.13</v>
      </c>
      <c r="Q16" s="186" t="s">
        <v>186</v>
      </c>
      <c r="R16" s="82">
        <v>44951</v>
      </c>
      <c r="S16" s="60" t="s">
        <v>85</v>
      </c>
      <c r="T16" s="194"/>
      <c r="V16" s="178"/>
      <c r="W16" s="178"/>
      <c r="X16" s="178"/>
    </row>
    <row r="17" spans="1:21" s="14" customFormat="1" ht="14.45" customHeight="1" x14ac:dyDescent="0.25">
      <c r="A17" s="38" t="s">
        <v>126</v>
      </c>
      <c r="B17" s="191" t="s">
        <v>97</v>
      </c>
      <c r="C17" s="58" t="s">
        <v>144</v>
      </c>
      <c r="D17" s="58" t="s">
        <v>95</v>
      </c>
      <c r="E17" s="73" t="s">
        <v>89</v>
      </c>
      <c r="F17" s="58" t="s">
        <v>41</v>
      </c>
      <c r="G17" s="73" t="s">
        <v>10</v>
      </c>
      <c r="H17" s="5">
        <v>314399</v>
      </c>
      <c r="I17" s="74">
        <f t="shared" ref="I17" si="5">ROUND(H17*P17,0)</f>
        <v>48732</v>
      </c>
      <c r="J17" s="75">
        <v>174</v>
      </c>
      <c r="K17" s="75">
        <v>174</v>
      </c>
      <c r="L17" s="188">
        <f t="shared" si="4"/>
        <v>1</v>
      </c>
      <c r="M17" s="76">
        <f t="shared" ref="M17" si="6">ROUND(H17*K17/J17,0)</f>
        <v>314399</v>
      </c>
      <c r="N17" s="76">
        <f t="shared" ref="N17" si="7">ROUND(M17*P17,0)</f>
        <v>48732</v>
      </c>
      <c r="O17" s="142">
        <f t="shared" ref="O17" si="8">K17/J17-M17/H17</f>
        <v>0</v>
      </c>
      <c r="P17" s="105">
        <v>0.155</v>
      </c>
      <c r="Q17" s="105"/>
      <c r="R17" s="82"/>
      <c r="S17" s="60" t="s">
        <v>85</v>
      </c>
      <c r="T17" s="194"/>
      <c r="U17" s="14">
        <v>1</v>
      </c>
    </row>
    <row r="18" spans="1:21" s="14" customFormat="1" ht="14.45" customHeight="1" x14ac:dyDescent="0.25">
      <c r="A18" s="38" t="s">
        <v>126</v>
      </c>
      <c r="B18" s="191" t="s">
        <v>97</v>
      </c>
      <c r="C18" s="58" t="s">
        <v>144</v>
      </c>
      <c r="D18" s="58" t="s">
        <v>95</v>
      </c>
      <c r="E18" s="73" t="s">
        <v>89</v>
      </c>
      <c r="F18" s="58" t="s">
        <v>42</v>
      </c>
      <c r="G18" s="73" t="s">
        <v>10</v>
      </c>
      <c r="H18" s="5">
        <v>359300</v>
      </c>
      <c r="I18" s="74">
        <f t="shared" ref="I18:I20" si="9">ROUND(H18*P18,0)</f>
        <v>46709</v>
      </c>
      <c r="J18" s="75">
        <v>174</v>
      </c>
      <c r="K18" s="75">
        <v>174</v>
      </c>
      <c r="L18" s="188">
        <f t="shared" si="4"/>
        <v>1</v>
      </c>
      <c r="M18" s="76">
        <f t="shared" ref="M18:M19" si="10">ROUND(H18*K18/J18,0)</f>
        <v>359300</v>
      </c>
      <c r="N18" s="76">
        <f t="shared" ref="N18:N20" si="11">ROUND(M18*P18,0)</f>
        <v>46709</v>
      </c>
      <c r="O18" s="142">
        <f t="shared" ref="O18:O20" si="12">K18/J18-M18/H18</f>
        <v>0</v>
      </c>
      <c r="P18" s="105">
        <v>0.13</v>
      </c>
      <c r="Q18" s="105"/>
      <c r="R18" s="82"/>
      <c r="S18" s="60" t="s">
        <v>85</v>
      </c>
      <c r="T18" s="194"/>
      <c r="U18" s="14">
        <v>1</v>
      </c>
    </row>
    <row r="19" spans="1:21" s="14" customFormat="1" ht="14.45" customHeight="1" x14ac:dyDescent="0.25">
      <c r="A19" s="38" t="s">
        <v>126</v>
      </c>
      <c r="B19" s="191" t="s">
        <v>97</v>
      </c>
      <c r="C19" s="58" t="s">
        <v>144</v>
      </c>
      <c r="D19" s="58" t="s">
        <v>95</v>
      </c>
      <c r="E19" s="73" t="s">
        <v>89</v>
      </c>
      <c r="F19" s="58" t="s">
        <v>43</v>
      </c>
      <c r="G19" s="73" t="s">
        <v>10</v>
      </c>
      <c r="H19" s="5">
        <v>314400</v>
      </c>
      <c r="I19" s="74">
        <f t="shared" si="9"/>
        <v>40872</v>
      </c>
      <c r="J19" s="75">
        <v>174</v>
      </c>
      <c r="K19" s="75">
        <v>174</v>
      </c>
      <c r="L19" s="188">
        <f t="shared" si="4"/>
        <v>1</v>
      </c>
      <c r="M19" s="76">
        <f t="shared" si="10"/>
        <v>314400</v>
      </c>
      <c r="N19" s="76">
        <f t="shared" si="11"/>
        <v>40872</v>
      </c>
      <c r="O19" s="142">
        <f t="shared" si="12"/>
        <v>0</v>
      </c>
      <c r="P19" s="105">
        <v>0.13</v>
      </c>
      <c r="Q19" s="105"/>
      <c r="R19" s="82"/>
      <c r="S19" s="60" t="s">
        <v>85</v>
      </c>
      <c r="T19" s="194"/>
      <c r="U19" s="14">
        <v>1</v>
      </c>
    </row>
    <row r="20" spans="1:21" s="14" customFormat="1" ht="14.45" customHeight="1" x14ac:dyDescent="0.25">
      <c r="A20" s="38" t="s">
        <v>126</v>
      </c>
      <c r="B20" s="191" t="s">
        <v>97</v>
      </c>
      <c r="C20" s="58" t="s">
        <v>127</v>
      </c>
      <c r="D20" s="58" t="s">
        <v>95</v>
      </c>
      <c r="E20" s="73" t="s">
        <v>89</v>
      </c>
      <c r="F20" s="58" t="s">
        <v>44</v>
      </c>
      <c r="G20" s="73" t="s">
        <v>10</v>
      </c>
      <c r="H20" s="5">
        <v>344400</v>
      </c>
      <c r="I20" s="74">
        <f t="shared" si="9"/>
        <v>44772</v>
      </c>
      <c r="J20" s="75">
        <v>174</v>
      </c>
      <c r="K20" s="75">
        <v>159</v>
      </c>
      <c r="L20" s="188">
        <f t="shared" si="4"/>
        <v>0.91379310344827591</v>
      </c>
      <c r="M20" s="76">
        <v>314400</v>
      </c>
      <c r="N20" s="76">
        <f t="shared" si="11"/>
        <v>40872</v>
      </c>
      <c r="O20" s="142">
        <f t="shared" si="12"/>
        <v>9.0111738555809229E-4</v>
      </c>
      <c r="P20" s="105">
        <v>0.13</v>
      </c>
      <c r="Q20" s="105"/>
      <c r="R20" s="82">
        <v>44595</v>
      </c>
      <c r="S20" s="60" t="s">
        <v>85</v>
      </c>
      <c r="T20" s="194"/>
      <c r="U20" s="14">
        <v>1</v>
      </c>
    </row>
    <row r="21" spans="1:21" s="14" customFormat="1" ht="14.45" customHeight="1" x14ac:dyDescent="0.25">
      <c r="A21" s="38" t="s">
        <v>126</v>
      </c>
      <c r="B21" s="191" t="s">
        <v>97</v>
      </c>
      <c r="C21" s="58" t="s">
        <v>144</v>
      </c>
      <c r="D21" s="58" t="s">
        <v>95</v>
      </c>
      <c r="E21" s="73" t="s">
        <v>89</v>
      </c>
      <c r="F21" s="58" t="s">
        <v>45</v>
      </c>
      <c r="G21" s="73" t="s">
        <v>10</v>
      </c>
      <c r="H21" s="5">
        <v>344400</v>
      </c>
      <c r="I21" s="74">
        <f t="shared" ref="I21:I23" si="13">ROUND(H21*P21,0)</f>
        <v>44772</v>
      </c>
      <c r="J21" s="75">
        <v>174</v>
      </c>
      <c r="K21" s="75">
        <v>159</v>
      </c>
      <c r="L21" s="188">
        <f t="shared" si="4"/>
        <v>0.91379310344827591</v>
      </c>
      <c r="M21" s="76">
        <v>314400</v>
      </c>
      <c r="N21" s="76">
        <f t="shared" ref="N21:N23" si="14">ROUND(M21*P21,0)</f>
        <v>40872</v>
      </c>
      <c r="O21" s="142">
        <f t="shared" ref="O21:O23" si="15">K21/J21-M21/H21</f>
        <v>9.0111738555809229E-4</v>
      </c>
      <c r="P21" s="105">
        <v>0.13</v>
      </c>
      <c r="Q21" s="105"/>
      <c r="R21" s="82">
        <v>44595</v>
      </c>
      <c r="S21" s="60" t="s">
        <v>85</v>
      </c>
      <c r="T21" s="194"/>
      <c r="U21" s="14">
        <v>1</v>
      </c>
    </row>
    <row r="22" spans="1:21" s="14" customFormat="1" ht="14.45" customHeight="1" x14ac:dyDescent="0.25">
      <c r="A22" s="38" t="s">
        <v>126</v>
      </c>
      <c r="B22" s="191" t="s">
        <v>97</v>
      </c>
      <c r="C22" s="58" t="s">
        <v>144</v>
      </c>
      <c r="D22" s="58" t="s">
        <v>95</v>
      </c>
      <c r="E22" s="73" t="s">
        <v>89</v>
      </c>
      <c r="F22" s="58" t="s">
        <v>46</v>
      </c>
      <c r="G22" s="73" t="s">
        <v>10</v>
      </c>
      <c r="H22" s="5">
        <v>344400</v>
      </c>
      <c r="I22" s="74">
        <f t="shared" si="13"/>
        <v>44772</v>
      </c>
      <c r="J22" s="75">
        <v>174</v>
      </c>
      <c r="K22" s="75">
        <v>159</v>
      </c>
      <c r="L22" s="188">
        <f t="shared" si="4"/>
        <v>0.91379310344827591</v>
      </c>
      <c r="M22" s="76">
        <v>314400</v>
      </c>
      <c r="N22" s="76">
        <f t="shared" si="14"/>
        <v>40872</v>
      </c>
      <c r="O22" s="142">
        <f t="shared" si="15"/>
        <v>9.0111738555809229E-4</v>
      </c>
      <c r="P22" s="105">
        <v>0.13</v>
      </c>
      <c r="Q22" s="105"/>
      <c r="R22" s="82">
        <v>44595</v>
      </c>
      <c r="S22" s="60" t="s">
        <v>85</v>
      </c>
      <c r="T22" s="194"/>
      <c r="U22" s="14">
        <v>1</v>
      </c>
    </row>
    <row r="23" spans="1:21" s="14" customFormat="1" ht="14.45" customHeight="1" x14ac:dyDescent="0.25">
      <c r="A23" s="38" t="s">
        <v>126</v>
      </c>
      <c r="B23" s="191" t="s">
        <v>97</v>
      </c>
      <c r="C23" s="58" t="s">
        <v>144</v>
      </c>
      <c r="D23" s="58" t="s">
        <v>95</v>
      </c>
      <c r="E23" s="73" t="s">
        <v>89</v>
      </c>
      <c r="F23" s="58" t="s">
        <v>47</v>
      </c>
      <c r="G23" s="73" t="s">
        <v>10</v>
      </c>
      <c r="H23" s="5">
        <v>0</v>
      </c>
      <c r="I23" s="74">
        <f t="shared" si="13"/>
        <v>0</v>
      </c>
      <c r="J23" s="75">
        <v>174</v>
      </c>
      <c r="K23" s="75">
        <v>159</v>
      </c>
      <c r="L23" s="188">
        <f t="shared" si="4"/>
        <v>0.91379310344827591</v>
      </c>
      <c r="M23" s="76">
        <v>0</v>
      </c>
      <c r="N23" s="76">
        <f t="shared" si="14"/>
        <v>0</v>
      </c>
      <c r="O23" s="142" t="e">
        <f t="shared" si="15"/>
        <v>#DIV/0!</v>
      </c>
      <c r="P23" s="105">
        <v>0.13</v>
      </c>
      <c r="Q23" s="105"/>
      <c r="R23" s="82">
        <v>44595</v>
      </c>
      <c r="S23" s="60" t="s">
        <v>85</v>
      </c>
      <c r="T23" s="194"/>
      <c r="U23" s="14">
        <v>1</v>
      </c>
    </row>
    <row r="24" spans="1:21" s="14" customFormat="1" ht="14.45" customHeight="1" x14ac:dyDescent="0.25">
      <c r="A24" s="38" t="s">
        <v>129</v>
      </c>
      <c r="B24" s="191" t="s">
        <v>97</v>
      </c>
      <c r="C24" s="58" t="s">
        <v>127</v>
      </c>
      <c r="D24" s="58" t="s">
        <v>95</v>
      </c>
      <c r="E24" s="73" t="s">
        <v>88</v>
      </c>
      <c r="F24" s="58" t="s">
        <v>42</v>
      </c>
      <c r="G24" s="73" t="s">
        <v>10</v>
      </c>
      <c r="H24" s="5">
        <v>130300</v>
      </c>
      <c r="I24" s="74">
        <f t="shared" ref="I24:I25" si="16">ROUND(H24*P24,0)</f>
        <v>16939</v>
      </c>
      <c r="J24" s="75">
        <v>44</v>
      </c>
      <c r="K24" s="75">
        <v>32</v>
      </c>
      <c r="L24" s="188">
        <f t="shared" si="4"/>
        <v>0.72727272727272729</v>
      </c>
      <c r="M24" s="76">
        <f t="shared" ref="M24:M25" si="17">ROUND(H24*K24/J24,0)</f>
        <v>94764</v>
      </c>
      <c r="N24" s="76">
        <f t="shared" ref="N24:N25" si="18">ROUND(M24*P24,0)</f>
        <v>12319</v>
      </c>
      <c r="O24" s="142">
        <f t="shared" ref="O24:O25" si="19">K24/J24-M24/H24</f>
        <v>-2.7907625758105681E-6</v>
      </c>
      <c r="P24" s="105">
        <v>0.13</v>
      </c>
      <c r="Q24" s="105"/>
      <c r="R24" s="82"/>
      <c r="S24" s="60" t="s">
        <v>85</v>
      </c>
      <c r="T24" s="194"/>
      <c r="U24" s="14">
        <v>1</v>
      </c>
    </row>
    <row r="25" spans="1:21" s="14" customFormat="1" ht="14.45" customHeight="1" x14ac:dyDescent="0.25">
      <c r="A25" s="38" t="s">
        <v>129</v>
      </c>
      <c r="B25" s="191" t="s">
        <v>97</v>
      </c>
      <c r="C25" s="58" t="s">
        <v>127</v>
      </c>
      <c r="D25" s="58" t="s">
        <v>95</v>
      </c>
      <c r="E25" s="73" t="s">
        <v>88</v>
      </c>
      <c r="F25" s="58" t="s">
        <v>43</v>
      </c>
      <c r="G25" s="73" t="s">
        <v>10</v>
      </c>
      <c r="H25" s="5">
        <v>130300</v>
      </c>
      <c r="I25" s="74">
        <f t="shared" si="16"/>
        <v>16939</v>
      </c>
      <c r="J25" s="75">
        <v>44</v>
      </c>
      <c r="K25" s="75">
        <v>27</v>
      </c>
      <c r="L25" s="188">
        <f t="shared" si="4"/>
        <v>0.61363636363636365</v>
      </c>
      <c r="M25" s="76">
        <f t="shared" si="17"/>
        <v>79957</v>
      </c>
      <c r="N25" s="76">
        <f t="shared" si="18"/>
        <v>10394</v>
      </c>
      <c r="O25" s="142">
        <f t="shared" si="19"/>
        <v>-1.3953812879607952E-6</v>
      </c>
      <c r="P25" s="105">
        <v>0.13</v>
      </c>
      <c r="Q25" s="105"/>
      <c r="R25" s="82"/>
      <c r="S25" s="60" t="s">
        <v>85</v>
      </c>
      <c r="T25" s="194"/>
      <c r="U25" s="14">
        <v>1</v>
      </c>
    </row>
    <row r="26" spans="1:21" s="14" customFormat="1" ht="14.45" customHeight="1" x14ac:dyDescent="0.25">
      <c r="A26" s="38" t="s">
        <v>129</v>
      </c>
      <c r="B26" s="191" t="s">
        <v>97</v>
      </c>
      <c r="C26" s="58" t="s">
        <v>127</v>
      </c>
      <c r="D26" s="58" t="s">
        <v>95</v>
      </c>
      <c r="E26" s="73" t="s">
        <v>88</v>
      </c>
      <c r="F26" s="58" t="s">
        <v>44</v>
      </c>
      <c r="G26" s="73" t="s">
        <v>10</v>
      </c>
      <c r="H26" s="5">
        <v>130300</v>
      </c>
      <c r="I26" s="74">
        <f t="shared" ref="I26:I30" si="20">ROUND(H26*P26,0)</f>
        <v>16939</v>
      </c>
      <c r="J26" s="75">
        <v>44</v>
      </c>
      <c r="K26" s="75">
        <v>27</v>
      </c>
      <c r="L26" s="188">
        <f t="shared" si="4"/>
        <v>0.61363636363636365</v>
      </c>
      <c r="M26" s="76">
        <f t="shared" ref="M26:M30" si="21">ROUND(H26*K26/J26,0)</f>
        <v>79957</v>
      </c>
      <c r="N26" s="76">
        <f t="shared" ref="N26:N30" si="22">ROUND(M26*P26,0)</f>
        <v>10394</v>
      </c>
      <c r="O26" s="142">
        <f t="shared" ref="O26:O30" si="23">K26/J26-M26/H26</f>
        <v>-1.3953812879607952E-6</v>
      </c>
      <c r="P26" s="105">
        <v>0.13</v>
      </c>
      <c r="Q26" s="105"/>
      <c r="R26" s="82"/>
      <c r="S26" s="60" t="s">
        <v>85</v>
      </c>
      <c r="T26" s="194"/>
      <c r="U26" s="14">
        <v>1</v>
      </c>
    </row>
    <row r="27" spans="1:21" s="14" customFormat="1" ht="14.45" customHeight="1" x14ac:dyDescent="0.25">
      <c r="A27" s="38" t="s">
        <v>129</v>
      </c>
      <c r="B27" s="191" t="s">
        <v>97</v>
      </c>
      <c r="C27" s="58" t="s">
        <v>127</v>
      </c>
      <c r="D27" s="58" t="s">
        <v>95</v>
      </c>
      <c r="E27" s="73" t="s">
        <v>88</v>
      </c>
      <c r="F27" s="58" t="s">
        <v>45</v>
      </c>
      <c r="G27" s="73" t="s">
        <v>10</v>
      </c>
      <c r="H27" s="5">
        <v>130300</v>
      </c>
      <c r="I27" s="74">
        <f t="shared" si="20"/>
        <v>16939</v>
      </c>
      <c r="J27" s="75">
        <v>44</v>
      </c>
      <c r="K27" s="75">
        <v>27</v>
      </c>
      <c r="L27" s="188">
        <f t="shared" si="4"/>
        <v>0.61363636363636365</v>
      </c>
      <c r="M27" s="76">
        <f t="shared" si="21"/>
        <v>79957</v>
      </c>
      <c r="N27" s="76">
        <f t="shared" si="22"/>
        <v>10394</v>
      </c>
      <c r="O27" s="142">
        <f t="shared" si="23"/>
        <v>-1.3953812879607952E-6</v>
      </c>
      <c r="P27" s="105">
        <v>0.13</v>
      </c>
      <c r="Q27" s="105"/>
      <c r="R27" s="82"/>
      <c r="S27" s="60" t="s">
        <v>85</v>
      </c>
      <c r="T27" s="194"/>
      <c r="U27" s="14">
        <v>1</v>
      </c>
    </row>
    <row r="28" spans="1:21" s="14" customFormat="1" ht="14.45" customHeight="1" x14ac:dyDescent="0.25">
      <c r="A28" s="38" t="s">
        <v>129</v>
      </c>
      <c r="B28" s="191" t="s">
        <v>97</v>
      </c>
      <c r="C28" s="58" t="s">
        <v>127</v>
      </c>
      <c r="D28" s="58" t="s">
        <v>95</v>
      </c>
      <c r="E28" s="73" t="s">
        <v>88</v>
      </c>
      <c r="F28" s="58" t="s">
        <v>46</v>
      </c>
      <c r="G28" s="73" t="s">
        <v>10</v>
      </c>
      <c r="H28" s="5">
        <v>130300</v>
      </c>
      <c r="I28" s="74">
        <f t="shared" si="20"/>
        <v>16939</v>
      </c>
      <c r="J28" s="75">
        <v>44</v>
      </c>
      <c r="K28" s="75">
        <v>27</v>
      </c>
      <c r="L28" s="188">
        <f t="shared" si="4"/>
        <v>0.61363636363636365</v>
      </c>
      <c r="M28" s="76">
        <f t="shared" si="21"/>
        <v>79957</v>
      </c>
      <c r="N28" s="76">
        <f t="shared" si="22"/>
        <v>10394</v>
      </c>
      <c r="O28" s="142">
        <f t="shared" si="23"/>
        <v>-1.3953812879607952E-6</v>
      </c>
      <c r="P28" s="105">
        <v>0.13</v>
      </c>
      <c r="Q28" s="105"/>
      <c r="R28" s="82"/>
      <c r="S28" s="60" t="s">
        <v>85</v>
      </c>
      <c r="T28" s="194"/>
      <c r="U28" s="14">
        <v>1</v>
      </c>
    </row>
    <row r="29" spans="1:21" s="14" customFormat="1" ht="14.45" customHeight="1" x14ac:dyDescent="0.25">
      <c r="A29" s="38" t="s">
        <v>129</v>
      </c>
      <c r="B29" s="191" t="s">
        <v>97</v>
      </c>
      <c r="C29" s="58" t="s">
        <v>127</v>
      </c>
      <c r="D29" s="58" t="s">
        <v>95</v>
      </c>
      <c r="E29" s="73" t="s">
        <v>88</v>
      </c>
      <c r="F29" s="58" t="s">
        <v>47</v>
      </c>
      <c r="G29" s="73" t="s">
        <v>10</v>
      </c>
      <c r="H29" s="5">
        <v>130300</v>
      </c>
      <c r="I29" s="74">
        <f t="shared" si="20"/>
        <v>16939</v>
      </c>
      <c r="J29" s="75">
        <v>44</v>
      </c>
      <c r="K29" s="75">
        <v>27</v>
      </c>
      <c r="L29" s="188">
        <f t="shared" si="4"/>
        <v>0.61363636363636365</v>
      </c>
      <c r="M29" s="76">
        <f t="shared" si="21"/>
        <v>79957</v>
      </c>
      <c r="N29" s="76">
        <f t="shared" si="22"/>
        <v>10394</v>
      </c>
      <c r="O29" s="142">
        <f t="shared" si="23"/>
        <v>-1.3953812879607952E-6</v>
      </c>
      <c r="P29" s="105">
        <v>0.13</v>
      </c>
      <c r="Q29" s="105"/>
      <c r="R29" s="82"/>
      <c r="S29" s="60" t="s">
        <v>85</v>
      </c>
      <c r="T29" s="194"/>
      <c r="U29" s="14">
        <v>1</v>
      </c>
    </row>
    <row r="30" spans="1:21" s="14" customFormat="1" ht="14.45" customHeight="1" x14ac:dyDescent="0.25">
      <c r="A30" s="38" t="s">
        <v>129</v>
      </c>
      <c r="B30" s="191" t="s">
        <v>97</v>
      </c>
      <c r="C30" s="58" t="s">
        <v>127</v>
      </c>
      <c r="D30" s="58" t="s">
        <v>95</v>
      </c>
      <c r="E30" s="73" t="s">
        <v>88</v>
      </c>
      <c r="F30" s="58" t="s">
        <v>48</v>
      </c>
      <c r="G30" s="73" t="s">
        <v>10</v>
      </c>
      <c r="H30" s="5">
        <v>130300</v>
      </c>
      <c r="I30" s="74">
        <f t="shared" si="20"/>
        <v>16939</v>
      </c>
      <c r="J30" s="75">
        <v>44</v>
      </c>
      <c r="K30" s="75">
        <v>27</v>
      </c>
      <c r="L30" s="188">
        <f t="shared" si="4"/>
        <v>0.61363636363636365</v>
      </c>
      <c r="M30" s="76">
        <f t="shared" si="21"/>
        <v>79957</v>
      </c>
      <c r="N30" s="76">
        <f t="shared" si="22"/>
        <v>10394</v>
      </c>
      <c r="O30" s="142">
        <f t="shared" si="23"/>
        <v>-1.3953812879607952E-6</v>
      </c>
      <c r="P30" s="105">
        <v>0.13</v>
      </c>
      <c r="Q30" s="105"/>
      <c r="R30" s="82"/>
      <c r="S30" s="60" t="s">
        <v>85</v>
      </c>
      <c r="T30" s="194"/>
      <c r="U30" s="14">
        <v>1</v>
      </c>
    </row>
    <row r="31" spans="1:21" s="14" customFormat="1" ht="14.45" customHeight="1" x14ac:dyDescent="0.25">
      <c r="A31" s="38" t="s">
        <v>129</v>
      </c>
      <c r="B31" s="191" t="s">
        <v>97</v>
      </c>
      <c r="C31" s="58" t="s">
        <v>127</v>
      </c>
      <c r="D31" s="58" t="s">
        <v>95</v>
      </c>
      <c r="E31" s="73" t="s">
        <v>88</v>
      </c>
      <c r="F31" s="58" t="s">
        <v>49</v>
      </c>
      <c r="G31" s="73" t="s">
        <v>10</v>
      </c>
      <c r="H31" s="5">
        <v>130300</v>
      </c>
      <c r="I31" s="74">
        <f t="shared" ref="I31" si="24">ROUND(H31*P31,0)</f>
        <v>16939</v>
      </c>
      <c r="J31" s="75">
        <v>44</v>
      </c>
      <c r="K31" s="75">
        <v>27</v>
      </c>
      <c r="L31" s="188">
        <f t="shared" si="4"/>
        <v>0.61363636363636365</v>
      </c>
      <c r="M31" s="76">
        <v>79956</v>
      </c>
      <c r="N31" s="76">
        <f t="shared" ref="N31" si="25">ROUND(M31*P31,0)</f>
        <v>10394</v>
      </c>
      <c r="O31" s="142">
        <f t="shared" ref="O31" si="26">K31/J31-M31/H31</f>
        <v>6.2792157957680672E-6</v>
      </c>
      <c r="P31" s="105">
        <v>0.13</v>
      </c>
      <c r="Q31" s="105"/>
      <c r="R31" s="82">
        <v>44753</v>
      </c>
      <c r="S31" s="60" t="s">
        <v>85</v>
      </c>
      <c r="T31" s="194"/>
      <c r="U31" s="14">
        <v>1</v>
      </c>
    </row>
    <row r="32" spans="1:21" s="14" customFormat="1" ht="14.45" customHeight="1" x14ac:dyDescent="0.25">
      <c r="A32" s="38" t="s">
        <v>129</v>
      </c>
      <c r="B32" s="191" t="s">
        <v>97</v>
      </c>
      <c r="C32" s="58" t="s">
        <v>127</v>
      </c>
      <c r="D32" s="58" t="s">
        <v>95</v>
      </c>
      <c r="E32" s="73" t="s">
        <v>88</v>
      </c>
      <c r="F32" s="58" t="s">
        <v>50</v>
      </c>
      <c r="G32" s="73" t="s">
        <v>10</v>
      </c>
      <c r="H32" s="5">
        <v>130300</v>
      </c>
      <c r="I32" s="74">
        <f t="shared" ref="I32:I33" si="27">ROUND(H32*P32,0)</f>
        <v>16939</v>
      </c>
      <c r="J32" s="75">
        <v>44</v>
      </c>
      <c r="K32" s="75">
        <v>27</v>
      </c>
      <c r="L32" s="188">
        <f t="shared" si="4"/>
        <v>0.61363636363636365</v>
      </c>
      <c r="M32" s="76">
        <f t="shared" ref="M32:M33" si="28">ROUND(H32*K32/J32,0)</f>
        <v>79957</v>
      </c>
      <c r="N32" s="76">
        <f t="shared" ref="N32:N33" si="29">ROUND(M32*P32,0)</f>
        <v>10394</v>
      </c>
      <c r="O32" s="142">
        <f t="shared" ref="O32:O33" si="30">K32/J32-M32/H32</f>
        <v>-1.3953812879607952E-6</v>
      </c>
      <c r="P32" s="105">
        <v>0.13</v>
      </c>
      <c r="Q32" s="105"/>
      <c r="R32" s="82">
        <v>44753</v>
      </c>
      <c r="S32" s="60" t="s">
        <v>85</v>
      </c>
      <c r="T32" s="194"/>
      <c r="U32" s="14">
        <v>1</v>
      </c>
    </row>
    <row r="33" spans="1:24" s="14" customFormat="1" ht="14.45" customHeight="1" x14ac:dyDescent="0.25">
      <c r="A33" s="38" t="s">
        <v>129</v>
      </c>
      <c r="B33" s="191" t="s">
        <v>97</v>
      </c>
      <c r="C33" s="58" t="s">
        <v>127</v>
      </c>
      <c r="D33" s="58" t="s">
        <v>114</v>
      </c>
      <c r="E33" s="73" t="s">
        <v>88</v>
      </c>
      <c r="F33" s="58" t="s">
        <v>51</v>
      </c>
      <c r="G33" s="73" t="s">
        <v>10</v>
      </c>
      <c r="H33" s="5">
        <v>130300</v>
      </c>
      <c r="I33" s="74">
        <f t="shared" si="27"/>
        <v>16939</v>
      </c>
      <c r="J33" s="75">
        <v>44</v>
      </c>
      <c r="K33" s="75">
        <v>27</v>
      </c>
      <c r="L33" s="188">
        <f t="shared" si="4"/>
        <v>0.61363636363636365</v>
      </c>
      <c r="M33" s="76">
        <f t="shared" si="28"/>
        <v>79957</v>
      </c>
      <c r="N33" s="76">
        <f t="shared" si="29"/>
        <v>10394</v>
      </c>
      <c r="O33" s="142">
        <f t="shared" si="30"/>
        <v>-1.3953812879607952E-6</v>
      </c>
      <c r="P33" s="105">
        <v>0.13</v>
      </c>
      <c r="Q33" s="105"/>
      <c r="R33" s="82">
        <v>44753</v>
      </c>
      <c r="S33" s="60" t="s">
        <v>85</v>
      </c>
      <c r="T33" s="194"/>
    </row>
    <row r="34" spans="1:24" s="14" customFormat="1" ht="14.45" customHeight="1" x14ac:dyDescent="0.25">
      <c r="A34" s="38" t="s">
        <v>129</v>
      </c>
      <c r="B34" s="191" t="s">
        <v>97</v>
      </c>
      <c r="C34" s="58" t="s">
        <v>127</v>
      </c>
      <c r="D34" s="58" t="s">
        <v>114</v>
      </c>
      <c r="E34" s="73" t="s">
        <v>88</v>
      </c>
      <c r="F34" s="58" t="s">
        <v>52</v>
      </c>
      <c r="G34" s="73" t="s">
        <v>10</v>
      </c>
      <c r="H34" s="5">
        <v>100000</v>
      </c>
      <c r="I34" s="74">
        <f t="shared" ref="I34" si="31">ROUND(H34*P34,0)</f>
        <v>13000</v>
      </c>
      <c r="J34" s="75">
        <v>44</v>
      </c>
      <c r="K34" s="75">
        <v>26</v>
      </c>
      <c r="L34" s="188">
        <f t="shared" si="4"/>
        <v>0.59090909090909094</v>
      </c>
      <c r="M34" s="76">
        <f t="shared" ref="M34" si="32">ROUND(H34*K34/J34,0)</f>
        <v>59091</v>
      </c>
      <c r="N34" s="76">
        <f t="shared" ref="N34" si="33">ROUND(M34*P34,0)</f>
        <v>7682</v>
      </c>
      <c r="O34" s="142">
        <f t="shared" ref="O34" si="34">K34/J34-M34/H34</f>
        <v>-9.0909090910695767E-7</v>
      </c>
      <c r="P34" s="105">
        <v>0.13</v>
      </c>
      <c r="Q34" s="105" t="s">
        <v>177</v>
      </c>
      <c r="R34" s="82">
        <v>44847</v>
      </c>
      <c r="S34" s="60" t="s">
        <v>85</v>
      </c>
      <c r="T34" s="194"/>
      <c r="V34" s="178" t="s">
        <v>190</v>
      </c>
      <c r="W34" s="178" t="s">
        <v>190</v>
      </c>
      <c r="X34" s="178" t="s">
        <v>190</v>
      </c>
    </row>
    <row r="35" spans="1:24" s="14" customFormat="1" ht="14.45" customHeight="1" x14ac:dyDescent="0.25">
      <c r="A35" s="38" t="s">
        <v>129</v>
      </c>
      <c r="B35" s="191" t="s">
        <v>97</v>
      </c>
      <c r="C35" s="58" t="s">
        <v>127</v>
      </c>
      <c r="D35" s="58" t="s">
        <v>114</v>
      </c>
      <c r="E35" s="73" t="s">
        <v>88</v>
      </c>
      <c r="F35" s="58" t="s">
        <v>53</v>
      </c>
      <c r="G35" s="73" t="s">
        <v>11</v>
      </c>
      <c r="H35" s="5">
        <v>100000</v>
      </c>
      <c r="I35" s="74">
        <f t="shared" ref="I35" si="35">ROUND(H35*P35,0)</f>
        <v>13000</v>
      </c>
      <c r="J35" s="75">
        <v>44</v>
      </c>
      <c r="K35" s="75">
        <v>26</v>
      </c>
      <c r="L35" s="188">
        <f t="shared" si="4"/>
        <v>0.59090909090909094</v>
      </c>
      <c r="M35" s="76">
        <f t="shared" ref="M35" si="36">ROUND(H35*K35/J35,0)</f>
        <v>59091</v>
      </c>
      <c r="N35" s="76">
        <f t="shared" ref="N35" si="37">ROUND(M35*P35,0)</f>
        <v>7682</v>
      </c>
      <c r="O35" s="142">
        <f t="shared" ref="O35" si="38">K35/J35-M35/H35</f>
        <v>-9.0909090910695767E-7</v>
      </c>
      <c r="P35" s="105">
        <v>0.13</v>
      </c>
      <c r="Q35" s="105" t="s">
        <v>177</v>
      </c>
      <c r="R35" s="82">
        <v>44847</v>
      </c>
      <c r="S35" s="60" t="s">
        <v>85</v>
      </c>
      <c r="T35" s="194"/>
      <c r="V35" s="178" t="s">
        <v>190</v>
      </c>
      <c r="W35" s="178" t="s">
        <v>191</v>
      </c>
      <c r="X35" s="178" t="s">
        <v>191</v>
      </c>
    </row>
    <row r="36" spans="1:24" s="14" customFormat="1" ht="14.45" customHeight="1" x14ac:dyDescent="0.25">
      <c r="A36" s="38" t="s">
        <v>129</v>
      </c>
      <c r="B36" s="191" t="s">
        <v>97</v>
      </c>
      <c r="C36" s="58" t="s">
        <v>127</v>
      </c>
      <c r="D36" s="58" t="s">
        <v>114</v>
      </c>
      <c r="E36" s="73" t="s">
        <v>88</v>
      </c>
      <c r="F36" s="58" t="s">
        <v>68</v>
      </c>
      <c r="G36" s="73" t="s">
        <v>10</v>
      </c>
      <c r="H36" s="5">
        <v>113000</v>
      </c>
      <c r="I36" s="74">
        <f t="shared" ref="I36" si="39">ROUND(H36*P36,0)</f>
        <v>14690</v>
      </c>
      <c r="J36" s="75">
        <v>44</v>
      </c>
      <c r="K36" s="75">
        <v>26</v>
      </c>
      <c r="L36" s="188">
        <f t="shared" si="4"/>
        <v>0.59090909090909094</v>
      </c>
      <c r="M36" s="76">
        <f t="shared" ref="M36" si="40">ROUND(H36*K36/J36,0)</f>
        <v>66773</v>
      </c>
      <c r="N36" s="76">
        <f t="shared" ref="N36" si="41">ROUND(M36*P36,0)</f>
        <v>8680</v>
      </c>
      <c r="O36" s="142">
        <f t="shared" ref="O36" si="42">K36/J36-M36/H36</f>
        <v>-2.4135156878601904E-6</v>
      </c>
      <c r="P36" s="105">
        <v>0.13</v>
      </c>
      <c r="Q36" s="105" t="s">
        <v>177</v>
      </c>
      <c r="R36" s="82">
        <v>44938</v>
      </c>
      <c r="S36" s="60" t="s">
        <v>85</v>
      </c>
      <c r="T36" s="194"/>
      <c r="V36" s="14" t="s">
        <v>190</v>
      </c>
      <c r="W36" s="14">
        <v>0</v>
      </c>
      <c r="X36" s="14">
        <v>0</v>
      </c>
    </row>
    <row r="37" spans="1:24" s="14" customFormat="1" ht="14.45" customHeight="1" x14ac:dyDescent="0.25">
      <c r="A37" s="38" t="s">
        <v>129</v>
      </c>
      <c r="B37" s="191" t="s">
        <v>97</v>
      </c>
      <c r="C37" s="58" t="s">
        <v>127</v>
      </c>
      <c r="D37" s="58" t="s">
        <v>114</v>
      </c>
      <c r="E37" s="73" t="s">
        <v>88</v>
      </c>
      <c r="F37" s="58" t="s">
        <v>69</v>
      </c>
      <c r="G37" s="73" t="s">
        <v>10</v>
      </c>
      <c r="H37" s="5">
        <v>113000</v>
      </c>
      <c r="I37" s="74">
        <f t="shared" ref="I37:I38" si="43">ROUND(H37*P37,0)</f>
        <v>14690</v>
      </c>
      <c r="J37" s="75">
        <v>44</v>
      </c>
      <c r="K37" s="75">
        <v>26</v>
      </c>
      <c r="L37" s="188">
        <f t="shared" si="4"/>
        <v>0.59090909090909094</v>
      </c>
      <c r="M37" s="76">
        <f t="shared" ref="M37:M38" si="44">ROUND(H37*K37/J37,0)</f>
        <v>66773</v>
      </c>
      <c r="N37" s="76">
        <f t="shared" ref="N37:N38" si="45">ROUND(M37*P37,0)</f>
        <v>8680</v>
      </c>
      <c r="O37" s="142">
        <f t="shared" ref="O37:O38" si="46">K37/J37-M37/H37</f>
        <v>-2.4135156878601904E-6</v>
      </c>
      <c r="P37" s="105">
        <v>0.13</v>
      </c>
      <c r="Q37" s="105" t="s">
        <v>177</v>
      </c>
      <c r="R37" s="82">
        <v>44938</v>
      </c>
      <c r="S37" s="60" t="s">
        <v>85</v>
      </c>
      <c r="T37" s="194"/>
      <c r="V37" s="178" t="str">
        <f>IF(VLOOKUP($Q37,'Havi béradatok'!$B:$E,2,FALSE)=C37,"EGYEZIK","HIBÁS")</f>
        <v>EGYEZIK</v>
      </c>
      <c r="W37" s="178">
        <f>VLOOKUP($Q37,'Havi béradatok'!$B:$E,3,FALSE)-H37</f>
        <v>0</v>
      </c>
      <c r="X37" s="178">
        <f>VLOOKUP($Q37,'Havi béradatok'!$B:$E,4,FALSE)-I37</f>
        <v>0</v>
      </c>
    </row>
    <row r="38" spans="1:24" s="14" customFormat="1" ht="14.45" customHeight="1" x14ac:dyDescent="0.25">
      <c r="A38" s="38" t="s">
        <v>129</v>
      </c>
      <c r="B38" s="191" t="s">
        <v>97</v>
      </c>
      <c r="C38" s="58" t="s">
        <v>127</v>
      </c>
      <c r="D38" s="58" t="s">
        <v>114</v>
      </c>
      <c r="E38" s="73" t="s">
        <v>88</v>
      </c>
      <c r="F38" s="58" t="s">
        <v>70</v>
      </c>
      <c r="G38" s="73" t="s">
        <v>10</v>
      </c>
      <c r="H38" s="5">
        <v>113000</v>
      </c>
      <c r="I38" s="74">
        <f t="shared" si="43"/>
        <v>14690</v>
      </c>
      <c r="J38" s="75">
        <v>44</v>
      </c>
      <c r="K38" s="75">
        <v>26</v>
      </c>
      <c r="L38" s="188">
        <f t="shared" si="4"/>
        <v>0.59090909090909094</v>
      </c>
      <c r="M38" s="76">
        <f t="shared" si="44"/>
        <v>66773</v>
      </c>
      <c r="N38" s="76">
        <f t="shared" si="45"/>
        <v>8680</v>
      </c>
      <c r="O38" s="142">
        <f t="shared" si="46"/>
        <v>-2.4135156878601904E-6</v>
      </c>
      <c r="P38" s="105">
        <v>0.13</v>
      </c>
      <c r="Q38" s="105" t="s">
        <v>177</v>
      </c>
      <c r="R38" s="82">
        <v>44938</v>
      </c>
      <c r="S38" s="60" t="s">
        <v>85</v>
      </c>
      <c r="T38" s="194"/>
      <c r="V38" s="178" t="str">
        <f>IF(VLOOKUP($Q38,'Havi béradatok'!$B:$E,2,FALSE)=C38,"EGYEZIK","HIBÁS")</f>
        <v>EGYEZIK</v>
      </c>
      <c r="W38" s="178">
        <f>VLOOKUP($Q38,'Havi béradatok'!$B:$E,3,FALSE)-H38</f>
        <v>0</v>
      </c>
      <c r="X38" s="178">
        <f>VLOOKUP($Q38,'Havi béradatok'!$B:$E,4,FALSE)-I38</f>
        <v>0</v>
      </c>
    </row>
    <row r="39" spans="1:24" s="14" customFormat="1" ht="14.45" customHeight="1" x14ac:dyDescent="0.25">
      <c r="A39" s="38"/>
      <c r="B39" s="191"/>
      <c r="C39" s="58"/>
      <c r="D39" s="58"/>
      <c r="E39" s="73"/>
      <c r="F39" s="58"/>
      <c r="G39" s="73"/>
      <c r="H39" s="5"/>
      <c r="I39" s="74"/>
      <c r="J39" s="75"/>
      <c r="K39" s="75"/>
      <c r="L39" s="75"/>
      <c r="M39" s="76"/>
      <c r="N39" s="76"/>
      <c r="O39" s="142"/>
      <c r="P39" s="105"/>
      <c r="Q39" s="186"/>
      <c r="R39" s="82"/>
      <c r="S39" s="60"/>
      <c r="T39" s="194"/>
    </row>
    <row r="40" spans="1:24" s="14" customFormat="1" ht="14.45" customHeight="1" x14ac:dyDescent="0.25">
      <c r="A40" s="38"/>
      <c r="B40" s="191"/>
      <c r="C40" s="58"/>
      <c r="D40" s="58"/>
      <c r="E40" s="73"/>
      <c r="F40" s="58"/>
      <c r="G40" s="73"/>
      <c r="H40" s="5"/>
      <c r="I40" s="74"/>
      <c r="J40" s="75"/>
      <c r="K40" s="75"/>
      <c r="L40" s="75"/>
      <c r="M40" s="76"/>
      <c r="N40" s="76"/>
      <c r="O40" s="142"/>
      <c r="P40" s="105"/>
      <c r="Q40" s="186"/>
      <c r="R40" s="82"/>
      <c r="S40" s="60"/>
      <c r="T40" s="194"/>
    </row>
    <row r="41" spans="1:24" s="14" customFormat="1" ht="14.45" customHeight="1" x14ac:dyDescent="0.25">
      <c r="A41" s="38"/>
      <c r="B41" s="191"/>
      <c r="C41" s="58"/>
      <c r="D41" s="58"/>
      <c r="E41" s="73"/>
      <c r="F41" s="58"/>
      <c r="G41" s="73"/>
      <c r="H41" s="5"/>
      <c r="I41" s="74"/>
      <c r="J41" s="75"/>
      <c r="K41" s="75"/>
      <c r="L41" s="75"/>
      <c r="M41" s="76"/>
      <c r="N41" s="76"/>
      <c r="O41" s="142"/>
      <c r="P41" s="105"/>
      <c r="Q41" s="186"/>
      <c r="R41" s="82"/>
      <c r="S41" s="60"/>
      <c r="T41" s="194"/>
    </row>
    <row r="42" spans="1:24" ht="14.45" customHeight="1" x14ac:dyDescent="0.25">
      <c r="A42" s="38"/>
      <c r="B42" s="191"/>
      <c r="C42" s="58"/>
      <c r="D42" s="58"/>
      <c r="E42" s="59"/>
      <c r="F42" s="58"/>
      <c r="G42" s="73"/>
      <c r="H42" s="74"/>
      <c r="I42" s="74"/>
      <c r="J42" s="75"/>
      <c r="K42" s="75"/>
      <c r="L42" s="75"/>
      <c r="M42" s="76"/>
      <c r="N42" s="76"/>
      <c r="O42" s="142"/>
      <c r="P42" s="77"/>
      <c r="Q42" s="187"/>
      <c r="R42" s="60"/>
      <c r="S42" s="60"/>
    </row>
    <row r="43" spans="1:24" ht="14.45" customHeight="1" x14ac:dyDescent="0.25">
      <c r="A43" s="83" t="s">
        <v>35</v>
      </c>
      <c r="B43" s="192"/>
      <c r="C43" s="84"/>
      <c r="D43" s="84"/>
      <c r="E43" s="85"/>
      <c r="F43" s="84"/>
      <c r="G43" s="86"/>
      <c r="H43" s="87"/>
      <c r="I43" s="87"/>
      <c r="J43" s="88"/>
      <c r="K43" s="88"/>
      <c r="L43" s="88"/>
      <c r="M43" s="89"/>
      <c r="N43" s="89"/>
      <c r="O43" s="110"/>
      <c r="P43" s="91"/>
      <c r="Q43" s="91"/>
      <c r="R43" s="90"/>
      <c r="S43" s="90"/>
    </row>
    <row r="44" spans="1:24" ht="14.45" customHeight="1" x14ac:dyDescent="0.25">
      <c r="A44" s="38"/>
      <c r="B44" s="191"/>
      <c r="C44" s="58"/>
      <c r="D44" s="58"/>
      <c r="E44" s="59"/>
      <c r="F44" s="58"/>
      <c r="G44" s="73"/>
      <c r="H44" s="74"/>
      <c r="I44" s="74"/>
      <c r="J44" s="75"/>
      <c r="K44" s="75"/>
      <c r="L44" s="75"/>
      <c r="M44" s="76"/>
      <c r="N44" s="76"/>
      <c r="O44" s="109"/>
      <c r="P44" s="77"/>
      <c r="Q44" s="77"/>
      <c r="R44" s="60"/>
      <c r="S44" s="60"/>
    </row>
    <row r="45" spans="1:24" ht="14.45" customHeight="1" x14ac:dyDescent="0.25">
      <c r="A45" s="38" t="s">
        <v>142</v>
      </c>
      <c r="B45" s="191" t="s">
        <v>97</v>
      </c>
      <c r="C45" s="58" t="s">
        <v>97</v>
      </c>
      <c r="D45" s="58" t="s">
        <v>95</v>
      </c>
      <c r="E45" s="59" t="s">
        <v>141</v>
      </c>
      <c r="F45" s="5" t="s">
        <v>158</v>
      </c>
      <c r="G45" s="73" t="s">
        <v>10</v>
      </c>
      <c r="H45" s="5">
        <v>780000</v>
      </c>
      <c r="I45" s="74">
        <f>ROUND(H45*0.9*P45,0)</f>
        <v>91260</v>
      </c>
      <c r="J45" s="75" t="s">
        <v>30</v>
      </c>
      <c r="K45" s="75" t="s">
        <v>30</v>
      </c>
      <c r="L45" s="75"/>
      <c r="M45" s="76">
        <v>780000</v>
      </c>
      <c r="N45" s="76">
        <f>ROUND(M45*0.9*P45,0)</f>
        <v>91260</v>
      </c>
      <c r="O45" s="109"/>
      <c r="P45" s="105">
        <v>0.13</v>
      </c>
      <c r="Q45" s="105"/>
      <c r="R45" s="82">
        <v>44642</v>
      </c>
      <c r="S45" s="60" t="s">
        <v>85</v>
      </c>
      <c r="T45" s="27" t="s">
        <v>214</v>
      </c>
      <c r="U45" s="14">
        <v>1</v>
      </c>
    </row>
    <row r="46" spans="1:24" ht="14.45" customHeight="1" x14ac:dyDescent="0.25">
      <c r="A46" s="38" t="s">
        <v>126</v>
      </c>
      <c r="B46" s="191" t="s">
        <v>97</v>
      </c>
      <c r="C46" s="58" t="s">
        <v>97</v>
      </c>
      <c r="D46" s="58" t="s">
        <v>114</v>
      </c>
      <c r="E46" s="59" t="s">
        <v>141</v>
      </c>
      <c r="F46" s="5" t="s">
        <v>172</v>
      </c>
      <c r="G46" s="73" t="s">
        <v>10</v>
      </c>
      <c r="H46" s="5">
        <v>285000</v>
      </c>
      <c r="I46" s="74">
        <f>ROUND(H46*0.9*P46,0)</f>
        <v>33345</v>
      </c>
      <c r="J46" s="75" t="s">
        <v>30</v>
      </c>
      <c r="K46" s="75" t="s">
        <v>30</v>
      </c>
      <c r="L46" s="75"/>
      <c r="M46" s="76">
        <v>285000</v>
      </c>
      <c r="N46" s="76">
        <f>ROUND(M46*0.9*P46,0)</f>
        <v>33345</v>
      </c>
      <c r="O46" s="109"/>
      <c r="P46" s="105">
        <v>0.13</v>
      </c>
      <c r="Q46" s="105"/>
      <c r="R46" s="82">
        <v>44831</v>
      </c>
      <c r="S46" s="60" t="s">
        <v>85</v>
      </c>
      <c r="T46" s="27" t="s">
        <v>214</v>
      </c>
    </row>
    <row r="47" spans="1:24" ht="14.45" customHeight="1" x14ac:dyDescent="0.25">
      <c r="A47" s="38" t="s">
        <v>126</v>
      </c>
      <c r="B47" s="191" t="s">
        <v>97</v>
      </c>
      <c r="C47" s="58" t="s">
        <v>97</v>
      </c>
      <c r="D47" s="58" t="s">
        <v>114</v>
      </c>
      <c r="E47" s="59" t="s">
        <v>141</v>
      </c>
      <c r="F47" s="5" t="s">
        <v>173</v>
      </c>
      <c r="G47" s="73" t="s">
        <v>10</v>
      </c>
      <c r="H47" s="5">
        <v>285000</v>
      </c>
      <c r="I47" s="74">
        <f t="shared" ref="I47:I49" si="47">ROUND(H47*0.9*P47,0)</f>
        <v>33345</v>
      </c>
      <c r="J47" s="75" t="s">
        <v>30</v>
      </c>
      <c r="K47" s="75" t="s">
        <v>30</v>
      </c>
      <c r="L47" s="75"/>
      <c r="M47" s="76">
        <v>285000</v>
      </c>
      <c r="N47" s="76">
        <f t="shared" ref="N47:N49" si="48">ROUND(M47*0.9*P47,0)</f>
        <v>33345</v>
      </c>
      <c r="O47" s="109"/>
      <c r="P47" s="105">
        <v>0.13</v>
      </c>
      <c r="Q47" s="105"/>
      <c r="R47" s="82">
        <v>44831</v>
      </c>
      <c r="S47" s="60" t="s">
        <v>85</v>
      </c>
      <c r="T47" s="27" t="s">
        <v>214</v>
      </c>
    </row>
    <row r="48" spans="1:24" ht="14.45" customHeight="1" x14ac:dyDescent="0.25">
      <c r="A48" s="38" t="s">
        <v>126</v>
      </c>
      <c r="B48" s="191" t="s">
        <v>97</v>
      </c>
      <c r="C48" s="58" t="s">
        <v>97</v>
      </c>
      <c r="D48" s="58" t="s">
        <v>114</v>
      </c>
      <c r="E48" s="59" t="s">
        <v>141</v>
      </c>
      <c r="F48" s="5" t="s">
        <v>212</v>
      </c>
      <c r="G48" s="73" t="s">
        <v>11</v>
      </c>
      <c r="H48" s="5">
        <v>200000</v>
      </c>
      <c r="I48" s="74">
        <f t="shared" si="47"/>
        <v>23400</v>
      </c>
      <c r="J48" s="75" t="s">
        <v>30</v>
      </c>
      <c r="K48" s="75" t="s">
        <v>30</v>
      </c>
      <c r="L48" s="75"/>
      <c r="M48" s="76">
        <v>200000</v>
      </c>
      <c r="N48" s="76">
        <f t="shared" ref="N48" si="49">ROUND(M48*0.9*P48,0)</f>
        <v>23400</v>
      </c>
      <c r="O48" s="109"/>
      <c r="P48" s="105">
        <v>0.13</v>
      </c>
      <c r="Q48" s="105"/>
      <c r="R48" s="82">
        <v>45050</v>
      </c>
      <c r="S48" s="60"/>
      <c r="T48" s="27" t="s">
        <v>214</v>
      </c>
    </row>
    <row r="49" spans="1:40" ht="14.45" customHeight="1" x14ac:dyDescent="0.25">
      <c r="A49" s="38" t="s">
        <v>194</v>
      </c>
      <c r="B49" s="191" t="s">
        <v>97</v>
      </c>
      <c r="C49" s="58" t="s">
        <v>97</v>
      </c>
      <c r="D49" s="58" t="s">
        <v>114</v>
      </c>
      <c r="E49" s="59" t="s">
        <v>141</v>
      </c>
      <c r="F49" s="5" t="s">
        <v>195</v>
      </c>
      <c r="G49" s="73" t="s">
        <v>11</v>
      </c>
      <c r="H49" s="5">
        <v>350000</v>
      </c>
      <c r="I49" s="74">
        <f t="shared" si="47"/>
        <v>40950</v>
      </c>
      <c r="J49" s="75" t="s">
        <v>30</v>
      </c>
      <c r="K49" s="75" t="s">
        <v>30</v>
      </c>
      <c r="L49" s="75"/>
      <c r="M49" s="76">
        <v>350000</v>
      </c>
      <c r="N49" s="76">
        <f t="shared" si="48"/>
        <v>40950</v>
      </c>
      <c r="O49" s="109"/>
      <c r="P49" s="105">
        <v>0.13</v>
      </c>
      <c r="Q49" s="105"/>
      <c r="R49" s="82">
        <v>45005</v>
      </c>
      <c r="S49" s="60" t="s">
        <v>85</v>
      </c>
      <c r="T49" s="27" t="s">
        <v>214</v>
      </c>
    </row>
    <row r="50" spans="1:40" ht="14.45" customHeight="1" x14ac:dyDescent="0.25">
      <c r="A50" s="38" t="s">
        <v>194</v>
      </c>
      <c r="B50" s="191" t="s">
        <v>97</v>
      </c>
      <c r="C50" s="58" t="s">
        <v>97</v>
      </c>
      <c r="D50" s="58" t="s">
        <v>114</v>
      </c>
      <c r="E50" s="59" t="s">
        <v>141</v>
      </c>
      <c r="F50" s="5" t="s">
        <v>196</v>
      </c>
      <c r="G50" s="73" t="s">
        <v>11</v>
      </c>
      <c r="H50" s="5">
        <v>350000</v>
      </c>
      <c r="I50" s="74">
        <f t="shared" ref="I50:I51" si="50">ROUND(H50*0.9*P50,0)</f>
        <v>40950</v>
      </c>
      <c r="J50" s="75" t="s">
        <v>30</v>
      </c>
      <c r="K50" s="75" t="s">
        <v>30</v>
      </c>
      <c r="L50" s="75"/>
      <c r="M50" s="76">
        <v>350000</v>
      </c>
      <c r="N50" s="76">
        <f t="shared" ref="N50:N51" si="51">ROUND(M50*0.9*P50,0)</f>
        <v>40950</v>
      </c>
      <c r="O50" s="109"/>
      <c r="P50" s="105">
        <v>0.13</v>
      </c>
      <c r="Q50" s="105"/>
      <c r="R50" s="82">
        <v>45005</v>
      </c>
      <c r="S50" s="60" t="s">
        <v>85</v>
      </c>
      <c r="T50" s="27" t="s">
        <v>214</v>
      </c>
    </row>
    <row r="51" spans="1:40" ht="14.45" customHeight="1" x14ac:dyDescent="0.25">
      <c r="A51" s="38" t="s">
        <v>194</v>
      </c>
      <c r="B51" s="191" t="s">
        <v>97</v>
      </c>
      <c r="C51" s="58" t="s">
        <v>97</v>
      </c>
      <c r="D51" s="58" t="s">
        <v>114</v>
      </c>
      <c r="E51" s="59" t="s">
        <v>141</v>
      </c>
      <c r="F51" s="5" t="s">
        <v>197</v>
      </c>
      <c r="G51" s="73" t="s">
        <v>11</v>
      </c>
      <c r="H51" s="5">
        <v>350000</v>
      </c>
      <c r="I51" s="74">
        <f t="shared" si="50"/>
        <v>40950</v>
      </c>
      <c r="J51" s="75" t="s">
        <v>30</v>
      </c>
      <c r="K51" s="75" t="s">
        <v>30</v>
      </c>
      <c r="L51" s="75"/>
      <c r="M51" s="76">
        <v>350000</v>
      </c>
      <c r="N51" s="76">
        <f t="shared" si="51"/>
        <v>40950</v>
      </c>
      <c r="O51" s="109"/>
      <c r="P51" s="105">
        <v>0.13</v>
      </c>
      <c r="Q51" s="105"/>
      <c r="R51" s="82">
        <v>45005</v>
      </c>
      <c r="S51" s="60" t="s">
        <v>85</v>
      </c>
      <c r="T51" s="27" t="s">
        <v>214</v>
      </c>
    </row>
    <row r="52" spans="1:40" ht="14.45" customHeight="1" x14ac:dyDescent="0.25">
      <c r="A52" s="38"/>
      <c r="B52" s="191"/>
      <c r="C52" s="58"/>
      <c r="D52" s="58"/>
      <c r="E52" s="59"/>
      <c r="F52" s="5"/>
      <c r="G52" s="73"/>
      <c r="H52" s="5"/>
      <c r="I52" s="74"/>
      <c r="J52" s="75"/>
      <c r="K52" s="75"/>
      <c r="L52" s="75"/>
      <c r="M52" s="76"/>
      <c r="N52" s="76"/>
      <c r="O52" s="109"/>
      <c r="P52" s="105"/>
      <c r="Q52" s="105"/>
      <c r="R52" s="82"/>
      <c r="S52" s="60"/>
    </row>
    <row r="53" spans="1:40" s="14" customFormat="1" ht="15" customHeight="1" x14ac:dyDescent="0.25">
      <c r="A53" s="38"/>
      <c r="B53" s="191"/>
      <c r="C53" s="58"/>
      <c r="D53" s="58"/>
      <c r="E53" s="59"/>
      <c r="F53" s="58"/>
      <c r="G53" s="73"/>
      <c r="H53" s="74"/>
      <c r="I53" s="74"/>
      <c r="J53" s="75"/>
      <c r="K53" s="75"/>
      <c r="L53" s="75"/>
      <c r="M53" s="76"/>
      <c r="N53" s="76"/>
      <c r="O53" s="109"/>
      <c r="P53" s="77"/>
      <c r="Q53" s="77"/>
      <c r="R53" s="60"/>
      <c r="S53" s="60"/>
      <c r="T53" s="194"/>
    </row>
    <row r="54" spans="1:40" ht="15" customHeight="1" x14ac:dyDescent="0.25">
      <c r="A54" s="62"/>
      <c r="B54" s="193"/>
      <c r="C54" s="63"/>
      <c r="D54" s="63"/>
      <c r="E54" s="64"/>
      <c r="F54" s="63"/>
      <c r="G54" s="62"/>
      <c r="H54" s="78"/>
      <c r="I54" s="78"/>
      <c r="J54" s="79"/>
      <c r="K54" s="79"/>
      <c r="L54" s="79"/>
      <c r="M54" s="80"/>
      <c r="N54" s="80"/>
      <c r="O54" s="111"/>
      <c r="P54" s="81"/>
      <c r="Q54" s="81"/>
      <c r="R54" s="81"/>
      <c r="S54" s="81"/>
    </row>
    <row r="55" spans="1:40" x14ac:dyDescent="0.25">
      <c r="A55" s="12" t="s">
        <v>3</v>
      </c>
      <c r="B55" s="12"/>
      <c r="C55" s="5"/>
      <c r="D55" s="5"/>
      <c r="E55" s="5"/>
      <c r="F55" s="71"/>
      <c r="G55" s="6"/>
      <c r="H55" s="55"/>
      <c r="I55" s="55"/>
      <c r="J55" s="67"/>
      <c r="K55" s="66"/>
      <c r="L55" s="66"/>
      <c r="M55" s="13">
        <f>SUBTOTAL(109,M6:M54)</f>
        <v>7581968</v>
      </c>
      <c r="N55" s="13">
        <f>SUBTOTAL(109,N6:N54)</f>
        <v>959710</v>
      </c>
      <c r="O55" s="45"/>
      <c r="P55" s="45"/>
      <c r="Q55" s="45"/>
      <c r="R55" s="45"/>
      <c r="S55" s="45"/>
    </row>
    <row r="57" spans="1:40" ht="14.45" customHeight="1" x14ac:dyDescent="0.25">
      <c r="K57" s="27"/>
      <c r="L57" s="27"/>
      <c r="M57"/>
      <c r="N57"/>
    </row>
    <row r="58" spans="1:40" s="17" customFormat="1" ht="15" hidden="1" customHeight="1" outlineLevel="1" x14ac:dyDescent="0.25">
      <c r="D58" s="17" t="s">
        <v>95</v>
      </c>
      <c r="E58" s="17" t="s">
        <v>88</v>
      </c>
      <c r="F58" s="72"/>
      <c r="G58" s="17" t="s">
        <v>10</v>
      </c>
      <c r="H58" s="57"/>
      <c r="I58" s="57"/>
      <c r="J58" s="26"/>
      <c r="K58" s="69"/>
      <c r="L58" s="69"/>
      <c r="M58" s="20"/>
      <c r="N58" s="21"/>
      <c r="O58" s="108"/>
      <c r="P58" s="26"/>
      <c r="Q58" s="26"/>
      <c r="R58" s="26"/>
      <c r="S58" s="26"/>
      <c r="T58" s="27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</row>
    <row r="59" spans="1:40" s="17" customFormat="1" ht="15" hidden="1" customHeight="1" outlineLevel="1" x14ac:dyDescent="0.25">
      <c r="D59" s="17" t="s">
        <v>114</v>
      </c>
      <c r="E59" s="17" t="s">
        <v>89</v>
      </c>
      <c r="F59" s="72"/>
      <c r="G59" s="17" t="s">
        <v>11</v>
      </c>
      <c r="H59" s="57"/>
      <c r="I59" s="57"/>
      <c r="J59" s="26"/>
      <c r="K59" s="69"/>
      <c r="L59" s="69"/>
      <c r="M59" s="20"/>
      <c r="N59" s="21"/>
      <c r="O59" s="108"/>
      <c r="P59" s="26"/>
      <c r="Q59" s="26"/>
      <c r="R59" s="26"/>
      <c r="S59" s="26"/>
      <c r="T59" s="27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</row>
    <row r="60" spans="1:40" s="17" customFormat="1" ht="15" hidden="1" customHeight="1" outlineLevel="1" x14ac:dyDescent="0.25">
      <c r="D60" s="17" t="s">
        <v>115</v>
      </c>
      <c r="E60" s="17" t="s">
        <v>141</v>
      </c>
      <c r="F60" s="72"/>
      <c r="H60" s="57"/>
      <c r="I60" s="57"/>
      <c r="J60" s="26"/>
      <c r="K60" s="69"/>
      <c r="L60" s="69"/>
      <c r="M60" s="20"/>
      <c r="N60" s="21"/>
      <c r="O60" s="108"/>
      <c r="P60" s="26"/>
      <c r="Q60" s="26"/>
      <c r="R60" s="26"/>
      <c r="S60" s="26"/>
      <c r="T60" s="27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  <row r="61" spans="1:40" s="17" customFormat="1" ht="15" hidden="1" customHeight="1" outlineLevel="1" x14ac:dyDescent="0.25">
      <c r="D61" s="17" t="s">
        <v>116</v>
      </c>
      <c r="F61" s="72"/>
      <c r="H61" s="57"/>
      <c r="I61" s="57"/>
      <c r="J61" s="26"/>
      <c r="K61" s="69"/>
      <c r="L61" s="69"/>
      <c r="M61" s="20"/>
      <c r="N61" s="21"/>
      <c r="O61" s="108"/>
      <c r="P61" s="26"/>
      <c r="Q61" s="26"/>
      <c r="R61" s="26"/>
      <c r="S61" s="26"/>
      <c r="T61" s="27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</row>
    <row r="62" spans="1:40" s="17" customFormat="1" ht="15" hidden="1" customHeight="1" outlineLevel="1" x14ac:dyDescent="0.25">
      <c r="F62" s="72"/>
      <c r="H62" s="57"/>
      <c r="I62" s="57"/>
      <c r="J62" s="26"/>
      <c r="K62" s="69"/>
      <c r="L62" s="69"/>
      <c r="M62" s="20"/>
      <c r="N62" s="21"/>
      <c r="O62" s="108"/>
      <c r="P62" s="26"/>
      <c r="Q62" s="26"/>
      <c r="R62" s="26"/>
      <c r="S62" s="26"/>
      <c r="T62" s="27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</row>
    <row r="63" spans="1:40" s="17" customFormat="1" ht="15" hidden="1" customHeight="1" outlineLevel="1" x14ac:dyDescent="0.25">
      <c r="F63" s="72"/>
      <c r="H63" s="57"/>
      <c r="I63" s="57"/>
      <c r="J63" s="26"/>
      <c r="K63" s="69"/>
      <c r="L63" s="69"/>
      <c r="M63" s="20"/>
      <c r="N63" s="21"/>
      <c r="O63" s="108"/>
      <c r="P63" s="26"/>
      <c r="Q63" s="26"/>
      <c r="R63" s="26"/>
      <c r="S63" s="26"/>
      <c r="T63" s="27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</row>
    <row r="64" spans="1:40" s="17" customFormat="1" ht="15" hidden="1" customHeight="1" outlineLevel="1" x14ac:dyDescent="0.25">
      <c r="F64" s="72"/>
      <c r="H64" s="57"/>
      <c r="I64" s="57"/>
      <c r="J64" s="26"/>
      <c r="K64" s="69"/>
      <c r="L64" s="69"/>
      <c r="M64" s="20"/>
      <c r="N64" s="21"/>
      <c r="O64" s="108"/>
      <c r="P64" s="26"/>
      <c r="Q64" s="26"/>
      <c r="R64" s="26"/>
      <c r="S64" s="26"/>
      <c r="T64" s="27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</row>
    <row r="65" spans="6:40" s="17" customFormat="1" ht="15" hidden="1" customHeight="1" outlineLevel="1" x14ac:dyDescent="0.25">
      <c r="F65" s="103"/>
      <c r="H65" s="57"/>
      <c r="I65" s="57"/>
      <c r="J65" s="26"/>
      <c r="K65" s="69"/>
      <c r="L65" s="69"/>
      <c r="M65" s="20"/>
      <c r="N65" s="21"/>
      <c r="O65" s="108"/>
      <c r="P65" s="26"/>
      <c r="Q65" s="26"/>
      <c r="R65" s="26"/>
      <c r="S65" s="26"/>
      <c r="T65" s="27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</row>
    <row r="66" spans="6:40" s="17" customFormat="1" ht="15" hidden="1" customHeight="1" outlineLevel="1" x14ac:dyDescent="0.25">
      <c r="F66" s="103"/>
      <c r="H66" s="57"/>
      <c r="I66" s="57"/>
      <c r="J66" s="26"/>
      <c r="K66" s="69"/>
      <c r="L66" s="69"/>
      <c r="M66" s="20"/>
      <c r="N66" s="21"/>
      <c r="O66" s="108"/>
      <c r="P66" s="26"/>
      <c r="Q66" s="26"/>
      <c r="R66" s="26"/>
      <c r="S66" s="26"/>
      <c r="T66" s="27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</row>
    <row r="67" spans="6:40" s="17" customFormat="1" ht="15" hidden="1" customHeight="1" outlineLevel="1" x14ac:dyDescent="0.25">
      <c r="F67" s="103"/>
      <c r="H67" s="57"/>
      <c r="I67" s="57"/>
      <c r="J67" s="26"/>
      <c r="K67" s="69"/>
      <c r="L67" s="69"/>
      <c r="M67" s="20"/>
      <c r="N67" s="21"/>
      <c r="O67" s="108"/>
      <c r="P67" s="26"/>
      <c r="Q67" s="26"/>
      <c r="R67" s="26"/>
      <c r="S67" s="26"/>
      <c r="T67" s="2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</row>
    <row r="68" spans="6:40" s="17" customFormat="1" ht="15" hidden="1" customHeight="1" outlineLevel="1" x14ac:dyDescent="0.25">
      <c r="F68" s="72"/>
      <c r="H68" s="57"/>
      <c r="I68" s="57"/>
      <c r="J68" s="26"/>
      <c r="K68" s="69"/>
      <c r="L68" s="69"/>
      <c r="M68" s="20"/>
      <c r="N68" s="21"/>
      <c r="O68" s="108"/>
      <c r="P68" s="26"/>
      <c r="Q68" s="26"/>
      <c r="R68" s="26"/>
      <c r="S68" s="26"/>
      <c r="T68" s="27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</row>
    <row r="69" spans="6:40" s="17" customFormat="1" ht="15" hidden="1" customHeight="1" outlineLevel="1" x14ac:dyDescent="0.25">
      <c r="F69" s="72"/>
      <c r="H69" s="57"/>
      <c r="I69" s="57"/>
      <c r="J69" s="26"/>
      <c r="K69" s="69"/>
      <c r="L69" s="69"/>
      <c r="M69" s="20"/>
      <c r="N69" s="21"/>
      <c r="O69" s="108"/>
      <c r="P69" s="26"/>
      <c r="Q69" s="26"/>
      <c r="R69" s="26"/>
      <c r="S69" s="26"/>
      <c r="T69" s="27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</row>
    <row r="70" spans="6:40" s="17" customFormat="1" ht="15" hidden="1" customHeight="1" outlineLevel="1" x14ac:dyDescent="0.25">
      <c r="F70" s="72"/>
      <c r="H70" s="57"/>
      <c r="I70" s="57"/>
      <c r="J70" s="26"/>
      <c r="K70" s="69"/>
      <c r="L70" s="69"/>
      <c r="M70" s="20"/>
      <c r="N70" s="21"/>
      <c r="O70" s="108"/>
      <c r="P70" s="26"/>
      <c r="Q70" s="26"/>
      <c r="R70" s="26"/>
      <c r="S70" s="26"/>
      <c r="T70" s="27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</row>
    <row r="71" spans="6:40" s="17" customFormat="1" ht="15" hidden="1" customHeight="1" outlineLevel="1" x14ac:dyDescent="0.25">
      <c r="F71" s="72"/>
      <c r="H71" s="57"/>
      <c r="I71" s="57"/>
      <c r="J71" s="26"/>
      <c r="K71" s="69"/>
      <c r="L71" s="69"/>
      <c r="M71" s="20"/>
      <c r="N71" s="21"/>
      <c r="O71" s="108"/>
      <c r="P71" s="26"/>
      <c r="Q71" s="26"/>
      <c r="R71" s="26"/>
      <c r="S71" s="26"/>
      <c r="T71" s="27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</row>
    <row r="72" spans="6:40" s="17" customFormat="1" ht="15" hidden="1" customHeight="1" outlineLevel="1" x14ac:dyDescent="0.25">
      <c r="F72" s="72"/>
      <c r="H72" s="57"/>
      <c r="I72" s="57"/>
      <c r="J72" s="26"/>
      <c r="K72" s="69"/>
      <c r="L72" s="69"/>
      <c r="M72" s="20"/>
      <c r="N72" s="21"/>
      <c r="O72" s="108"/>
      <c r="P72" s="26"/>
      <c r="Q72" s="26"/>
      <c r="R72" s="26"/>
      <c r="S72" s="26"/>
      <c r="T72" s="27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</row>
    <row r="73" spans="6:40" s="17" customFormat="1" ht="15" hidden="1" customHeight="1" outlineLevel="1" x14ac:dyDescent="0.25">
      <c r="F73" s="72"/>
      <c r="H73" s="57"/>
      <c r="I73" s="57"/>
      <c r="J73" s="26"/>
      <c r="K73" s="69"/>
      <c r="L73" s="69"/>
      <c r="M73" s="20"/>
      <c r="N73" s="21"/>
      <c r="O73" s="108"/>
      <c r="P73" s="26"/>
      <c r="Q73" s="26"/>
      <c r="R73" s="26"/>
      <c r="S73" s="26"/>
      <c r="T73" s="27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</row>
    <row r="74" spans="6:40" s="17" customFormat="1" ht="15" hidden="1" customHeight="1" outlineLevel="1" x14ac:dyDescent="0.25">
      <c r="F74" s="72"/>
      <c r="H74" s="57"/>
      <c r="I74" s="57"/>
      <c r="J74" s="26"/>
      <c r="K74" s="69"/>
      <c r="L74" s="69"/>
      <c r="M74" s="20"/>
      <c r="N74" s="21"/>
      <c r="O74" s="108"/>
      <c r="P74" s="26"/>
      <c r="Q74" s="26"/>
      <c r="R74" s="26"/>
      <c r="S74" s="26"/>
      <c r="T74" s="27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</row>
    <row r="75" spans="6:40" s="17" customFormat="1" ht="15" hidden="1" customHeight="1" outlineLevel="1" x14ac:dyDescent="0.25">
      <c r="F75" s="72"/>
      <c r="H75" s="57"/>
      <c r="I75" s="57"/>
      <c r="J75" s="26"/>
      <c r="K75" s="69"/>
      <c r="L75" s="69"/>
      <c r="M75" s="20"/>
      <c r="N75" s="21"/>
      <c r="O75" s="108"/>
      <c r="P75" s="26"/>
      <c r="Q75" s="26"/>
      <c r="R75" s="26"/>
      <c r="S75" s="26"/>
      <c r="T75" s="27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</row>
    <row r="76" spans="6:40" s="17" customFormat="1" ht="15" hidden="1" customHeight="1" outlineLevel="1" x14ac:dyDescent="0.25">
      <c r="F76" s="72"/>
      <c r="H76" s="57"/>
      <c r="I76" s="57"/>
      <c r="J76" s="26"/>
      <c r="K76" s="69"/>
      <c r="L76" s="69"/>
      <c r="M76" s="20"/>
      <c r="N76" s="21"/>
      <c r="O76" s="108"/>
      <c r="P76" s="26"/>
      <c r="Q76" s="26"/>
      <c r="R76" s="26"/>
      <c r="S76" s="26"/>
      <c r="T76" s="27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</row>
    <row r="77" spans="6:40" s="17" customFormat="1" ht="15" hidden="1" customHeight="1" outlineLevel="1" x14ac:dyDescent="0.25">
      <c r="F77" s="72"/>
      <c r="H77" s="57"/>
      <c r="I77" s="57"/>
      <c r="J77" s="26"/>
      <c r="K77" s="69"/>
      <c r="L77" s="69"/>
      <c r="M77" s="20"/>
      <c r="N77" s="22"/>
      <c r="O77" s="108"/>
      <c r="P77" s="26"/>
      <c r="Q77" s="26"/>
      <c r="R77" s="26"/>
      <c r="S77" s="26"/>
      <c r="T77" s="2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</row>
    <row r="78" spans="6:40" s="17" customFormat="1" ht="15" hidden="1" customHeight="1" outlineLevel="1" x14ac:dyDescent="0.25">
      <c r="F78" s="72"/>
      <c r="H78" s="57"/>
      <c r="I78" s="57"/>
      <c r="J78" s="26"/>
      <c r="K78" s="69"/>
      <c r="L78" s="69"/>
      <c r="M78" s="18"/>
      <c r="O78" s="108"/>
      <c r="P78" s="26"/>
      <c r="Q78" s="26"/>
      <c r="R78" s="26"/>
      <c r="S78" s="26"/>
      <c r="T78" s="27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</row>
    <row r="79" spans="6:40" s="17" customFormat="1" ht="15" hidden="1" customHeight="1" outlineLevel="1" x14ac:dyDescent="0.25">
      <c r="F79" s="72"/>
      <c r="H79" s="57"/>
      <c r="I79" s="57"/>
      <c r="J79" s="26"/>
      <c r="K79" s="69"/>
      <c r="L79" s="69"/>
      <c r="M79" s="200"/>
      <c r="N79" s="200"/>
      <c r="O79" s="108"/>
      <c r="P79" s="26"/>
      <c r="Q79" s="26"/>
      <c r="R79" s="26"/>
      <c r="S79" s="26"/>
      <c r="T79" s="27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</row>
    <row r="80" spans="6:40" s="17" customFormat="1" ht="15" hidden="1" customHeight="1" outlineLevel="1" x14ac:dyDescent="0.25">
      <c r="F80" s="103"/>
      <c r="H80" s="57"/>
      <c r="I80" s="57"/>
      <c r="J80" s="26"/>
      <c r="K80" s="69"/>
      <c r="L80" s="69"/>
      <c r="M80" s="19"/>
      <c r="N80" s="19"/>
      <c r="O80" s="108"/>
      <c r="P80" s="26"/>
      <c r="Q80" s="26"/>
      <c r="R80" s="26"/>
      <c r="S80" s="26"/>
      <c r="T80" s="27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</row>
    <row r="81" spans="6:40" s="17" customFormat="1" ht="15" hidden="1" customHeight="1" outlineLevel="1" x14ac:dyDescent="0.25">
      <c r="F81" s="104"/>
      <c r="H81" s="57"/>
      <c r="I81" s="57"/>
      <c r="J81" s="26"/>
      <c r="K81" s="69"/>
      <c r="L81" s="69"/>
      <c r="M81" s="20"/>
      <c r="N81" s="21"/>
      <c r="O81" s="108"/>
      <c r="P81" s="26"/>
      <c r="Q81" s="26"/>
      <c r="R81" s="26"/>
      <c r="S81" s="26"/>
      <c r="T81" s="27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</row>
    <row r="82" spans="6:40" s="17" customFormat="1" ht="15" hidden="1" customHeight="1" outlineLevel="1" x14ac:dyDescent="0.25">
      <c r="F82" s="103"/>
      <c r="H82" s="57"/>
      <c r="I82" s="57"/>
      <c r="J82" s="26"/>
      <c r="K82" s="69"/>
      <c r="L82" s="69"/>
      <c r="M82" s="20"/>
      <c r="N82" s="21"/>
      <c r="O82" s="108"/>
      <c r="P82" s="26"/>
      <c r="Q82" s="26"/>
      <c r="R82" s="26"/>
      <c r="S82" s="26"/>
      <c r="T82" s="27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</row>
    <row r="83" spans="6:40" s="17" customFormat="1" ht="15" hidden="1" customHeight="1" outlineLevel="1" x14ac:dyDescent="0.25">
      <c r="F83" s="103"/>
      <c r="H83" s="57"/>
      <c r="I83" s="57"/>
      <c r="J83" s="26"/>
      <c r="K83" s="69"/>
      <c r="L83" s="69"/>
      <c r="M83" s="20"/>
      <c r="N83" s="21"/>
      <c r="O83" s="108"/>
      <c r="P83" s="26"/>
      <c r="Q83" s="26"/>
      <c r="R83" s="26"/>
      <c r="S83" s="26"/>
      <c r="T83" s="27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</row>
    <row r="84" spans="6:40" s="17" customFormat="1" ht="15" hidden="1" customHeight="1" outlineLevel="1" x14ac:dyDescent="0.25">
      <c r="F84" s="103"/>
      <c r="H84" s="57"/>
      <c r="I84" s="57"/>
      <c r="J84" s="26"/>
      <c r="K84" s="69"/>
      <c r="L84" s="69"/>
      <c r="M84" s="20"/>
      <c r="N84" s="21"/>
      <c r="O84" s="108"/>
      <c r="P84" s="26"/>
      <c r="Q84" s="26"/>
      <c r="R84" s="26"/>
      <c r="S84" s="26"/>
      <c r="T84" s="27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</row>
    <row r="85" spans="6:40" s="17" customFormat="1" ht="15" hidden="1" customHeight="1" outlineLevel="1" x14ac:dyDescent="0.25">
      <c r="F85" s="103"/>
      <c r="H85" s="57"/>
      <c r="I85" s="57"/>
      <c r="J85" s="26"/>
      <c r="K85" s="69"/>
      <c r="L85" s="69"/>
      <c r="M85" s="20"/>
      <c r="N85" s="21"/>
      <c r="O85" s="108"/>
      <c r="P85" s="26"/>
      <c r="Q85" s="26"/>
      <c r="R85" s="26"/>
      <c r="S85" s="26"/>
      <c r="T85" s="27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</row>
    <row r="86" spans="6:40" s="17" customFormat="1" ht="15" hidden="1" customHeight="1" outlineLevel="1" x14ac:dyDescent="0.25">
      <c r="F86" s="103"/>
      <c r="H86" s="57"/>
      <c r="I86" s="57"/>
      <c r="J86" s="26"/>
      <c r="K86" s="69"/>
      <c r="L86" s="69"/>
      <c r="M86" s="20"/>
      <c r="N86" s="21"/>
      <c r="O86" s="108"/>
      <c r="P86" s="26"/>
      <c r="Q86" s="26"/>
      <c r="R86" s="26"/>
      <c r="S86" s="26"/>
      <c r="T86" s="27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</row>
    <row r="87" spans="6:40" s="17" customFormat="1" ht="15" hidden="1" customHeight="1" outlineLevel="1" x14ac:dyDescent="0.25">
      <c r="F87" s="103"/>
      <c r="H87" s="57"/>
      <c r="I87" s="57"/>
      <c r="J87" s="26"/>
      <c r="K87" s="69"/>
      <c r="L87" s="69"/>
      <c r="M87" s="20"/>
      <c r="N87" s="21"/>
      <c r="O87" s="108"/>
      <c r="P87" s="26"/>
      <c r="Q87" s="26"/>
      <c r="R87" s="26"/>
      <c r="S87" s="26"/>
      <c r="T87" s="2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</row>
    <row r="88" spans="6:40" s="17" customFormat="1" ht="15" hidden="1" customHeight="1" outlineLevel="1" x14ac:dyDescent="0.25">
      <c r="F88" s="103"/>
      <c r="H88" s="57"/>
      <c r="I88" s="57"/>
      <c r="J88" s="26"/>
      <c r="K88" s="69"/>
      <c r="L88" s="69"/>
      <c r="M88" s="20"/>
      <c r="N88" s="21"/>
      <c r="O88" s="108"/>
      <c r="P88" s="26"/>
      <c r="Q88" s="26"/>
      <c r="R88" s="26"/>
      <c r="S88" s="26"/>
      <c r="T88" s="27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</row>
    <row r="89" spans="6:40" s="17" customFormat="1" ht="15" hidden="1" customHeight="1" outlineLevel="1" x14ac:dyDescent="0.25">
      <c r="F89" s="103"/>
      <c r="H89" s="57"/>
      <c r="I89" s="57"/>
      <c r="J89" s="26"/>
      <c r="K89" s="69"/>
      <c r="L89" s="69"/>
      <c r="M89" s="20"/>
      <c r="N89" s="21"/>
      <c r="O89" s="108"/>
      <c r="P89" s="26"/>
      <c r="Q89" s="26"/>
      <c r="R89" s="26"/>
      <c r="S89" s="26"/>
      <c r="T89" s="27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</row>
    <row r="90" spans="6:40" s="17" customFormat="1" ht="15" hidden="1" customHeight="1" outlineLevel="1" x14ac:dyDescent="0.25">
      <c r="F90" s="103"/>
      <c r="H90" s="57"/>
      <c r="I90" s="57"/>
      <c r="J90" s="26"/>
      <c r="K90" s="69"/>
      <c r="L90" s="69"/>
      <c r="M90" s="20"/>
      <c r="N90" s="21"/>
      <c r="O90" s="108"/>
      <c r="P90" s="26"/>
      <c r="Q90" s="26"/>
      <c r="R90" s="26"/>
      <c r="S90" s="26"/>
      <c r="T90" s="27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</row>
    <row r="91" spans="6:40" s="17" customFormat="1" hidden="1" outlineLevel="1" x14ac:dyDescent="0.25">
      <c r="F91" s="103"/>
      <c r="H91" s="57"/>
      <c r="I91" s="57"/>
      <c r="J91" s="26"/>
      <c r="K91" s="69"/>
      <c r="L91" s="69"/>
      <c r="M91" s="18"/>
      <c r="N91" s="18"/>
      <c r="O91" s="108"/>
      <c r="P91" s="26"/>
      <c r="Q91" s="26"/>
      <c r="R91" s="26"/>
      <c r="S91" s="26"/>
      <c r="T91" s="26"/>
    </row>
    <row r="92" spans="6:40" s="17" customFormat="1" hidden="1" outlineLevel="1" x14ac:dyDescent="0.25">
      <c r="F92" s="103"/>
      <c r="H92" s="57"/>
      <c r="I92" s="57"/>
      <c r="J92" s="26"/>
      <c r="K92" s="69"/>
      <c r="L92" s="69"/>
      <c r="M92" s="18"/>
      <c r="N92" s="18"/>
      <c r="O92" s="108"/>
      <c r="P92" s="26"/>
      <c r="Q92" s="26"/>
      <c r="R92" s="26"/>
      <c r="S92" s="26"/>
      <c r="T92" s="26"/>
    </row>
    <row r="93" spans="6:40" s="17" customFormat="1" hidden="1" outlineLevel="1" x14ac:dyDescent="0.25">
      <c r="F93" s="103"/>
      <c r="H93" s="57"/>
      <c r="I93" s="57"/>
      <c r="J93" s="26"/>
      <c r="K93" s="69"/>
      <c r="L93" s="69"/>
      <c r="M93" s="18"/>
      <c r="N93" s="18"/>
      <c r="O93" s="108"/>
      <c r="P93" s="26"/>
      <c r="Q93" s="26"/>
      <c r="R93" s="26"/>
      <c r="S93" s="26"/>
      <c r="T93" s="26"/>
    </row>
    <row r="94" spans="6:40" s="17" customFormat="1" hidden="1" outlineLevel="1" x14ac:dyDescent="0.25">
      <c r="F94" s="103"/>
      <c r="H94" s="57"/>
      <c r="I94" s="57"/>
      <c r="J94" s="26"/>
      <c r="K94" s="69"/>
      <c r="L94" s="69"/>
      <c r="M94" s="18"/>
      <c r="N94" s="18"/>
      <c r="O94" s="108"/>
      <c r="P94" s="26"/>
      <c r="Q94" s="26"/>
      <c r="R94" s="26"/>
      <c r="S94" s="26"/>
      <c r="T94" s="26"/>
    </row>
    <row r="95" spans="6:40" s="17" customFormat="1" hidden="1" outlineLevel="1" x14ac:dyDescent="0.25">
      <c r="F95" s="103"/>
      <c r="H95" s="57"/>
      <c r="I95" s="57"/>
      <c r="J95" s="26"/>
      <c r="K95" s="69"/>
      <c r="L95" s="69"/>
      <c r="M95" s="18"/>
      <c r="N95" s="18"/>
      <c r="O95" s="108"/>
      <c r="P95" s="26"/>
      <c r="Q95" s="26"/>
      <c r="R95" s="26"/>
      <c r="S95" s="26"/>
      <c r="T95" s="26"/>
    </row>
    <row r="96" spans="6:40" s="17" customFormat="1" hidden="1" outlineLevel="1" x14ac:dyDescent="0.25">
      <c r="F96" s="103"/>
      <c r="H96" s="57"/>
      <c r="I96" s="57"/>
      <c r="J96" s="26"/>
      <c r="K96" s="69"/>
      <c r="L96" s="69"/>
      <c r="M96" s="18"/>
      <c r="N96" s="18"/>
      <c r="O96" s="108"/>
      <c r="P96" s="26"/>
      <c r="Q96" s="26"/>
      <c r="R96" s="26"/>
      <c r="S96" s="26"/>
      <c r="T96" s="26"/>
    </row>
    <row r="97" spans="6:20" s="17" customFormat="1" hidden="1" outlineLevel="1" x14ac:dyDescent="0.25">
      <c r="F97" s="103"/>
      <c r="H97" s="57"/>
      <c r="I97" s="57"/>
      <c r="J97" s="26"/>
      <c r="K97" s="69"/>
      <c r="L97" s="69"/>
      <c r="M97" s="18"/>
      <c r="N97" s="18"/>
      <c r="O97" s="108"/>
      <c r="P97" s="26"/>
      <c r="Q97" s="26"/>
      <c r="R97" s="26"/>
      <c r="S97" s="26"/>
      <c r="T97" s="26"/>
    </row>
    <row r="98" spans="6:20" s="17" customFormat="1" hidden="1" outlineLevel="1" x14ac:dyDescent="0.25">
      <c r="F98" s="104"/>
      <c r="H98" s="57"/>
      <c r="I98" s="57"/>
      <c r="J98" s="26"/>
      <c r="K98" s="69"/>
      <c r="L98" s="69"/>
      <c r="M98" s="18"/>
      <c r="N98" s="18"/>
      <c r="O98" s="108"/>
      <c r="P98" s="26"/>
      <c r="Q98" s="26"/>
      <c r="R98" s="26"/>
      <c r="S98" s="26"/>
      <c r="T98" s="26"/>
    </row>
    <row r="99" spans="6:20" s="17" customFormat="1" hidden="1" outlineLevel="1" x14ac:dyDescent="0.25">
      <c r="F99" s="103"/>
      <c r="H99" s="57"/>
      <c r="I99" s="57"/>
      <c r="J99" s="26"/>
      <c r="K99" s="69"/>
      <c r="L99" s="69"/>
      <c r="M99" s="18"/>
      <c r="N99" s="18"/>
      <c r="O99" s="108"/>
      <c r="P99" s="26"/>
      <c r="Q99" s="26"/>
      <c r="R99" s="26"/>
      <c r="S99" s="26"/>
      <c r="T99" s="26"/>
    </row>
    <row r="100" spans="6:20" s="17" customFormat="1" hidden="1" outlineLevel="1" x14ac:dyDescent="0.25">
      <c r="F100" s="104"/>
      <c r="H100" s="57"/>
      <c r="I100" s="57"/>
      <c r="J100" s="26"/>
      <c r="K100" s="69"/>
      <c r="L100" s="69"/>
      <c r="M100" s="18"/>
      <c r="N100" s="18"/>
      <c r="O100" s="108"/>
      <c r="P100" s="26"/>
      <c r="Q100" s="26"/>
      <c r="R100" s="26"/>
      <c r="S100" s="26"/>
      <c r="T100" s="26"/>
    </row>
    <row r="101" spans="6:20" s="17" customFormat="1" hidden="1" outlineLevel="1" x14ac:dyDescent="0.25">
      <c r="F101" s="103"/>
      <c r="H101" s="57"/>
      <c r="I101" s="57"/>
      <c r="J101" s="26"/>
      <c r="K101" s="69"/>
      <c r="L101" s="69"/>
      <c r="M101" s="18"/>
      <c r="N101" s="18"/>
      <c r="O101" s="108"/>
      <c r="P101" s="26"/>
      <c r="Q101" s="26"/>
      <c r="R101" s="26"/>
      <c r="S101" s="26"/>
      <c r="T101" s="26"/>
    </row>
    <row r="102" spans="6:20" s="17" customFormat="1" hidden="1" outlineLevel="1" x14ac:dyDescent="0.25">
      <c r="F102" s="104"/>
      <c r="H102" s="57"/>
      <c r="I102" s="57"/>
      <c r="J102" s="26"/>
      <c r="K102" s="69"/>
      <c r="L102" s="69"/>
      <c r="M102" s="18"/>
      <c r="N102" s="18"/>
      <c r="O102" s="108"/>
      <c r="P102" s="26"/>
      <c r="Q102" s="26"/>
      <c r="R102" s="26"/>
      <c r="S102" s="26"/>
      <c r="T102" s="26"/>
    </row>
    <row r="103" spans="6:20" s="17" customFormat="1" hidden="1" outlineLevel="1" x14ac:dyDescent="0.25">
      <c r="F103" s="103"/>
      <c r="H103" s="57"/>
      <c r="I103" s="57"/>
      <c r="J103" s="26"/>
      <c r="K103" s="69"/>
      <c r="L103" s="69"/>
      <c r="M103" s="18"/>
      <c r="N103" s="18"/>
      <c r="O103" s="108"/>
      <c r="P103" s="26"/>
      <c r="Q103" s="26"/>
      <c r="R103" s="26"/>
      <c r="S103" s="26"/>
      <c r="T103" s="26"/>
    </row>
    <row r="104" spans="6:20" s="17" customFormat="1" hidden="1" outlineLevel="1" x14ac:dyDescent="0.25">
      <c r="F104" s="104"/>
      <c r="H104" s="57"/>
      <c r="I104" s="57"/>
      <c r="J104" s="26"/>
      <c r="K104" s="69"/>
      <c r="L104" s="69"/>
      <c r="M104" s="18"/>
      <c r="N104" s="18"/>
      <c r="O104" s="108"/>
      <c r="P104" s="26"/>
      <c r="Q104" s="26"/>
      <c r="R104" s="26"/>
      <c r="S104" s="26"/>
      <c r="T104" s="26"/>
    </row>
    <row r="105" spans="6:20" s="17" customFormat="1" hidden="1" outlineLevel="1" x14ac:dyDescent="0.25">
      <c r="F105" s="103"/>
      <c r="H105" s="57"/>
      <c r="I105" s="57"/>
      <c r="J105" s="26"/>
      <c r="K105" s="69"/>
      <c r="L105" s="69"/>
      <c r="M105" s="18"/>
      <c r="N105" s="18"/>
      <c r="O105" s="108"/>
      <c r="P105" s="26"/>
      <c r="Q105" s="26"/>
      <c r="R105" s="26"/>
      <c r="S105" s="26"/>
      <c r="T105" s="26"/>
    </row>
    <row r="106" spans="6:20" collapsed="1" x14ac:dyDescent="0.25"/>
  </sheetData>
  <autoFilter ref="A5:AN54" xr:uid="{00000000-0009-0000-0000-000001000000}"/>
  <sortState xmlns:xlrd2="http://schemas.microsoft.com/office/spreadsheetml/2017/richdata2" ref="A18:BA129">
    <sortCondition ref="A18:A129"/>
    <sortCondition ref="F18:F129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9035B14F-8FA7-4C4F-B915-3368689FED04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2">
    <mergeCell ref="A2:F2"/>
    <mergeCell ref="M79:N79"/>
  </mergeCells>
  <dataValidations count="7">
    <dataValidation type="list" allowBlank="1" showInputMessage="1" showErrorMessage="1" sqref="R54:S54" xr:uid="{00000000-0002-0000-0100-000000000000}">
      <formula1>$S$58:$S$59</formula1>
    </dataValidation>
    <dataValidation type="list" allowBlank="1" showInputMessage="1" showErrorMessage="1" sqref="A65279:D65286 A65297:D65297 A65288:D65295" xr:uid="{00000000-0002-0000-0100-000001000000}">
      <formula1>#REF!</formula1>
    </dataValidation>
    <dataValidation type="list" allowBlank="1" showInputMessage="1" showErrorMessage="1" sqref="F53:F54 F43:F44" xr:uid="{00000000-0002-0000-0100-000004000000}">
      <formula1>$F$58:$F$105</formula1>
    </dataValidation>
    <dataValidation type="list" allowBlank="1" showInputMessage="1" showErrorMessage="1" sqref="G6:G54" xr:uid="{00000000-0002-0000-0100-000002000000}">
      <formula1>$G$58:$G$59</formula1>
    </dataValidation>
    <dataValidation type="list" allowBlank="1" showInputMessage="1" showErrorMessage="1" sqref="E6:E54" xr:uid="{00000000-0002-0000-0100-000003000000}">
      <formula1>$E$58:$E$60</formula1>
    </dataValidation>
    <dataValidation type="list" allowBlank="1" showInputMessage="1" showErrorMessage="1" sqref="D6:D54" xr:uid="{00000000-0002-0000-0100-000005000000}">
      <formula1>$D$58:$D$61</formula1>
    </dataValidation>
    <dataValidation type="list" allowBlank="1" showInputMessage="1" showErrorMessage="1" sqref="B6:B54" xr:uid="{38F7F025-9E6C-4772-A59F-0D129BD99048}">
      <formula1>"C247400053"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61F28F-36A8-4BC2-A194-07474C426BA3}">
          <x14:formula1>
            <xm:f>Hónapok!$A$1:$A$48</xm:f>
          </x14:formula1>
          <xm:sqref>F6:F42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I33"/>
  <sheetViews>
    <sheetView topLeftCell="A9" workbookViewId="0">
      <selection activeCell="H27" sqref="H27"/>
    </sheetView>
  </sheetViews>
  <sheetFormatPr defaultColWidth="9.140625" defaultRowHeight="15" outlineLevelRow="1" x14ac:dyDescent="0.25"/>
  <cols>
    <col min="1" max="1" width="11.85546875" customWidth="1"/>
    <col min="2" max="2" width="21.28515625" customWidth="1"/>
    <col min="3" max="3" width="22" customWidth="1"/>
    <col min="4" max="4" width="29.7109375" customWidth="1"/>
    <col min="5" max="5" width="32.42578125" customWidth="1"/>
    <col min="6" max="6" width="28.85546875" style="27" customWidth="1"/>
    <col min="7" max="7" width="17.140625" style="15" customWidth="1"/>
    <col min="8" max="8" width="17.140625" style="29" customWidth="1"/>
    <col min="9" max="10" width="36" customWidth="1"/>
  </cols>
  <sheetData>
    <row r="1" spans="1:9" s="17" customFormat="1" hidden="1" outlineLevel="1" x14ac:dyDescent="0.25">
      <c r="B1" s="101" t="s">
        <v>91</v>
      </c>
      <c r="F1" s="26"/>
      <c r="G1" s="23"/>
      <c r="H1" s="28" t="s">
        <v>10</v>
      </c>
      <c r="I1" s="17" t="s">
        <v>95</v>
      </c>
    </row>
    <row r="2" spans="1:9" s="17" customFormat="1" hidden="1" outlineLevel="1" x14ac:dyDescent="0.25">
      <c r="B2" s="101" t="s">
        <v>92</v>
      </c>
      <c r="F2" s="26"/>
      <c r="G2" s="23"/>
      <c r="H2" s="28" t="s">
        <v>11</v>
      </c>
      <c r="I2" s="17" t="s">
        <v>114</v>
      </c>
    </row>
    <row r="3" spans="1:9" s="17" customFormat="1" hidden="1" outlineLevel="1" x14ac:dyDescent="0.25">
      <c r="B3" s="101" t="s">
        <v>121</v>
      </c>
      <c r="F3" s="26"/>
      <c r="G3" s="23"/>
      <c r="H3" s="28"/>
      <c r="I3" s="17" t="s">
        <v>115</v>
      </c>
    </row>
    <row r="4" spans="1:9" s="17" customFormat="1" hidden="1" outlineLevel="1" x14ac:dyDescent="0.25">
      <c r="B4" s="101" t="s">
        <v>87</v>
      </c>
      <c r="F4" s="26"/>
      <c r="G4" s="23"/>
      <c r="H4" s="28"/>
      <c r="I4" s="17" t="s">
        <v>116</v>
      </c>
    </row>
    <row r="5" spans="1:9" collapsed="1" x14ac:dyDescent="0.25">
      <c r="A5" s="153"/>
      <c r="B5" s="153"/>
      <c r="C5" s="153" t="s">
        <v>97</v>
      </c>
      <c r="H5" s="102"/>
    </row>
    <row r="6" spans="1:9" s="24" customFormat="1" ht="30" x14ac:dyDescent="0.25">
      <c r="A6" s="25" t="s">
        <v>15</v>
      </c>
      <c r="B6" s="25" t="s">
        <v>18</v>
      </c>
      <c r="C6" s="95" t="s">
        <v>19</v>
      </c>
      <c r="D6" s="95" t="s">
        <v>6</v>
      </c>
      <c r="E6" s="95" t="s">
        <v>7</v>
      </c>
      <c r="F6" s="96" t="s">
        <v>36</v>
      </c>
      <c r="G6" s="97" t="s">
        <v>5</v>
      </c>
      <c r="H6" s="95" t="s">
        <v>14</v>
      </c>
      <c r="I6" s="98" t="s">
        <v>96</v>
      </c>
    </row>
    <row r="7" spans="1:9" s="36" customFormat="1" ht="30" x14ac:dyDescent="0.25">
      <c r="A7" s="31">
        <v>1</v>
      </c>
      <c r="B7" s="30" t="s">
        <v>91</v>
      </c>
      <c r="C7" s="33" t="s">
        <v>140</v>
      </c>
      <c r="D7" s="32" t="s">
        <v>119</v>
      </c>
      <c r="E7" s="32" t="s">
        <v>120</v>
      </c>
      <c r="F7" s="30" t="s">
        <v>128</v>
      </c>
      <c r="G7" s="176">
        <v>21583</v>
      </c>
      <c r="H7" s="30" t="s">
        <v>10</v>
      </c>
      <c r="I7" s="37" t="s">
        <v>95</v>
      </c>
    </row>
    <row r="8" spans="1:9" s="36" customFormat="1" ht="15" customHeight="1" x14ac:dyDescent="0.25">
      <c r="A8" s="31">
        <v>1</v>
      </c>
      <c r="B8" s="30" t="s">
        <v>87</v>
      </c>
      <c r="C8" s="33" t="s">
        <v>122</v>
      </c>
      <c r="D8" s="32" t="s">
        <v>123</v>
      </c>
      <c r="E8" s="32" t="s">
        <v>124</v>
      </c>
      <c r="F8" s="30" t="s">
        <v>125</v>
      </c>
      <c r="G8" s="176">
        <v>77432</v>
      </c>
      <c r="H8" s="30" t="s">
        <v>10</v>
      </c>
      <c r="I8" s="35" t="s">
        <v>95</v>
      </c>
    </row>
    <row r="9" spans="1:9" s="36" customFormat="1" ht="15" customHeight="1" x14ac:dyDescent="0.25">
      <c r="A9" s="31">
        <v>1</v>
      </c>
      <c r="B9" s="30" t="s">
        <v>91</v>
      </c>
      <c r="C9" s="33" t="s">
        <v>130</v>
      </c>
      <c r="D9" s="32" t="s">
        <v>131</v>
      </c>
      <c r="E9" s="32" t="s">
        <v>132</v>
      </c>
      <c r="F9" s="30"/>
      <c r="G9" s="176">
        <v>1924</v>
      </c>
      <c r="H9" s="30" t="s">
        <v>10</v>
      </c>
      <c r="I9" s="35" t="s">
        <v>95</v>
      </c>
    </row>
    <row r="10" spans="1:9" s="36" customFormat="1" ht="30" x14ac:dyDescent="0.25">
      <c r="A10" s="31">
        <v>1</v>
      </c>
      <c r="B10" s="30" t="s">
        <v>91</v>
      </c>
      <c r="C10" s="33" t="s">
        <v>139</v>
      </c>
      <c r="D10" s="32" t="s">
        <v>134</v>
      </c>
      <c r="E10" s="32" t="s">
        <v>135</v>
      </c>
      <c r="F10" s="175" t="s">
        <v>136</v>
      </c>
      <c r="G10" s="176">
        <v>12700</v>
      </c>
      <c r="H10" s="30" t="s">
        <v>10</v>
      </c>
      <c r="I10" s="35" t="s">
        <v>95</v>
      </c>
    </row>
    <row r="11" spans="1:9" s="36" customFormat="1" ht="45" x14ac:dyDescent="0.25">
      <c r="A11" s="31">
        <v>1</v>
      </c>
      <c r="B11" s="30" t="s">
        <v>91</v>
      </c>
      <c r="C11" s="33" t="s">
        <v>151</v>
      </c>
      <c r="D11" s="32" t="s">
        <v>153</v>
      </c>
      <c r="E11" s="32" t="s">
        <v>143</v>
      </c>
      <c r="F11" s="175">
        <v>202203182520</v>
      </c>
      <c r="G11" s="176">
        <v>6000</v>
      </c>
      <c r="H11" s="30" t="s">
        <v>10</v>
      </c>
      <c r="I11" s="35" t="s">
        <v>95</v>
      </c>
    </row>
    <row r="12" spans="1:9" s="36" customFormat="1" x14ac:dyDescent="0.25">
      <c r="A12" s="31">
        <v>1</v>
      </c>
      <c r="B12" s="30" t="s">
        <v>91</v>
      </c>
      <c r="C12" s="33" t="s">
        <v>145</v>
      </c>
      <c r="D12" s="32" t="s">
        <v>146</v>
      </c>
      <c r="E12" s="32" t="s">
        <v>147</v>
      </c>
      <c r="F12" s="175"/>
      <c r="G12" s="176">
        <v>54112</v>
      </c>
      <c r="H12" s="30" t="s">
        <v>10</v>
      </c>
      <c r="I12" s="35" t="s">
        <v>95</v>
      </c>
    </row>
    <row r="13" spans="1:9" s="36" customFormat="1" x14ac:dyDescent="0.25">
      <c r="A13" s="31">
        <v>1</v>
      </c>
      <c r="B13" s="30" t="s">
        <v>91</v>
      </c>
      <c r="C13" s="33" t="s">
        <v>152</v>
      </c>
      <c r="D13" s="32" t="s">
        <v>150</v>
      </c>
      <c r="E13" s="32" t="s">
        <v>149</v>
      </c>
      <c r="F13" s="33" t="s">
        <v>148</v>
      </c>
      <c r="G13" s="176">
        <v>11930</v>
      </c>
      <c r="H13" s="30" t="s">
        <v>10</v>
      </c>
      <c r="I13" s="35" t="s">
        <v>95</v>
      </c>
    </row>
    <row r="14" spans="1:9" s="36" customFormat="1" x14ac:dyDescent="0.25">
      <c r="A14" s="31">
        <v>1</v>
      </c>
      <c r="B14" s="30" t="s">
        <v>87</v>
      </c>
      <c r="C14" s="33" t="s">
        <v>157</v>
      </c>
      <c r="D14" s="32" t="s">
        <v>155</v>
      </c>
      <c r="E14" s="32" t="s">
        <v>154</v>
      </c>
      <c r="F14" s="175">
        <v>202205192514</v>
      </c>
      <c r="G14" s="176">
        <v>384900</v>
      </c>
      <c r="H14" s="30" t="s">
        <v>10</v>
      </c>
      <c r="I14" s="35" t="s">
        <v>95</v>
      </c>
    </row>
    <row r="15" spans="1:9" s="36" customFormat="1" ht="15" customHeight="1" x14ac:dyDescent="0.25">
      <c r="A15" s="31">
        <v>1</v>
      </c>
      <c r="B15" s="30" t="s">
        <v>91</v>
      </c>
      <c r="C15" s="33" t="s">
        <v>156</v>
      </c>
      <c r="D15" s="32" t="s">
        <v>131</v>
      </c>
      <c r="E15" s="32" t="s">
        <v>132</v>
      </c>
      <c r="F15" s="30"/>
      <c r="G15" s="176">
        <v>14772</v>
      </c>
      <c r="H15" s="30" t="s">
        <v>10</v>
      </c>
      <c r="I15" s="35" t="s">
        <v>95</v>
      </c>
    </row>
    <row r="16" spans="1:9" s="36" customFormat="1" ht="30" x14ac:dyDescent="0.25">
      <c r="A16" s="31">
        <v>1</v>
      </c>
      <c r="B16" s="30" t="s">
        <v>91</v>
      </c>
      <c r="C16" s="33" t="s">
        <v>162</v>
      </c>
      <c r="D16" s="32" t="s">
        <v>159</v>
      </c>
      <c r="E16" s="32" t="s">
        <v>161</v>
      </c>
      <c r="F16" s="175"/>
      <c r="G16" s="176">
        <v>28180</v>
      </c>
      <c r="H16" s="30" t="s">
        <v>10</v>
      </c>
      <c r="I16" s="35" t="s">
        <v>95</v>
      </c>
    </row>
    <row r="17" spans="1:9" s="36" customFormat="1" x14ac:dyDescent="0.25">
      <c r="A17" s="31">
        <v>1</v>
      </c>
      <c r="B17" s="30" t="s">
        <v>91</v>
      </c>
      <c r="C17" s="33" t="s">
        <v>160</v>
      </c>
      <c r="D17" s="32" t="s">
        <v>146</v>
      </c>
      <c r="E17" s="32" t="s">
        <v>147</v>
      </c>
      <c r="F17" s="175"/>
      <c r="G17" s="176">
        <v>27056</v>
      </c>
      <c r="H17" s="30" t="s">
        <v>10</v>
      </c>
      <c r="I17" s="35" t="s">
        <v>95</v>
      </c>
    </row>
    <row r="18" spans="1:9" s="36" customFormat="1" ht="30" x14ac:dyDescent="0.25">
      <c r="A18" s="31">
        <v>1</v>
      </c>
      <c r="B18" s="30" t="s">
        <v>92</v>
      </c>
      <c r="C18" s="33" t="s">
        <v>166</v>
      </c>
      <c r="D18" s="32" t="s">
        <v>167</v>
      </c>
      <c r="E18" s="32" t="s">
        <v>168</v>
      </c>
      <c r="F18" s="175"/>
      <c r="G18" s="176">
        <v>1199000</v>
      </c>
      <c r="H18" s="30" t="s">
        <v>10</v>
      </c>
      <c r="I18" s="35" t="s">
        <v>95</v>
      </c>
    </row>
    <row r="19" spans="1:9" s="36" customFormat="1" ht="15" customHeight="1" x14ac:dyDescent="0.25">
      <c r="A19" s="31"/>
      <c r="B19" s="30" t="s">
        <v>91</v>
      </c>
      <c r="C19" s="33" t="s">
        <v>169</v>
      </c>
      <c r="D19" s="32" t="s">
        <v>131</v>
      </c>
      <c r="E19" s="32" t="s">
        <v>132</v>
      </c>
      <c r="F19" s="30"/>
      <c r="G19" s="34">
        <v>28988</v>
      </c>
      <c r="H19" s="30" t="s">
        <v>10</v>
      </c>
      <c r="I19" s="35" t="s">
        <v>114</v>
      </c>
    </row>
    <row r="20" spans="1:9" s="36" customFormat="1" ht="30" x14ac:dyDescent="0.25">
      <c r="A20" s="31"/>
      <c r="B20" s="30" t="s">
        <v>91</v>
      </c>
      <c r="C20" s="33" t="s">
        <v>174</v>
      </c>
      <c r="D20" s="32" t="s">
        <v>170</v>
      </c>
      <c r="E20" s="32" t="s">
        <v>171</v>
      </c>
      <c r="F20" s="175"/>
      <c r="G20" s="176">
        <v>13400</v>
      </c>
      <c r="H20" s="30" t="s">
        <v>10</v>
      </c>
      <c r="I20" s="35" t="s">
        <v>114</v>
      </c>
    </row>
    <row r="21" spans="1:9" s="36" customFormat="1" ht="30" x14ac:dyDescent="0.25">
      <c r="A21" s="31"/>
      <c r="B21" s="30" t="s">
        <v>91</v>
      </c>
      <c r="C21" s="33" t="s">
        <v>192</v>
      </c>
      <c r="D21" s="32" t="s">
        <v>134</v>
      </c>
      <c r="E21" s="32" t="s">
        <v>135</v>
      </c>
      <c r="F21" s="175">
        <v>202302022526</v>
      </c>
      <c r="G21" s="176">
        <v>12700</v>
      </c>
      <c r="H21" s="30" t="s">
        <v>10</v>
      </c>
      <c r="I21" s="35" t="s">
        <v>114</v>
      </c>
    </row>
    <row r="22" spans="1:9" s="36" customFormat="1" x14ac:dyDescent="0.25">
      <c r="A22" s="31"/>
      <c r="B22" s="30" t="s">
        <v>91</v>
      </c>
      <c r="C22" s="33" t="s">
        <v>193</v>
      </c>
      <c r="D22" s="32" t="s">
        <v>170</v>
      </c>
      <c r="E22" s="32" t="s">
        <v>147</v>
      </c>
      <c r="F22" s="175"/>
      <c r="G22" s="176">
        <v>16913</v>
      </c>
      <c r="H22" s="30" t="s">
        <v>10</v>
      </c>
      <c r="I22" s="35" t="s">
        <v>114</v>
      </c>
    </row>
    <row r="23" spans="1:9" s="36" customFormat="1" ht="30" x14ac:dyDescent="0.25">
      <c r="A23" s="31"/>
      <c r="B23" s="30" t="s">
        <v>91</v>
      </c>
      <c r="C23" s="33" t="s">
        <v>200</v>
      </c>
      <c r="D23" s="32" t="s">
        <v>198</v>
      </c>
      <c r="E23" s="32" t="s">
        <v>199</v>
      </c>
      <c r="F23" s="175">
        <v>202302162559</v>
      </c>
      <c r="G23" s="34">
        <f>75000-6550-34007</f>
        <v>34443</v>
      </c>
      <c r="H23" s="30" t="s">
        <v>11</v>
      </c>
      <c r="I23" s="35" t="s">
        <v>114</v>
      </c>
    </row>
    <row r="24" spans="1:9" s="36" customFormat="1" ht="30" x14ac:dyDescent="0.25">
      <c r="A24" s="31"/>
      <c r="B24" s="30" t="s">
        <v>91</v>
      </c>
      <c r="C24" s="33" t="s">
        <v>201</v>
      </c>
      <c r="D24" s="32" t="s">
        <v>202</v>
      </c>
      <c r="E24" s="32" t="s">
        <v>199</v>
      </c>
      <c r="F24" s="175">
        <v>202302162559</v>
      </c>
      <c r="G24" s="176">
        <v>6550</v>
      </c>
      <c r="H24" s="30" t="s">
        <v>10</v>
      </c>
      <c r="I24" s="35" t="s">
        <v>114</v>
      </c>
    </row>
    <row r="25" spans="1:9" s="36" customFormat="1" ht="30" x14ac:dyDescent="0.25">
      <c r="A25" s="31"/>
      <c r="B25" s="30" t="s">
        <v>91</v>
      </c>
      <c r="C25" s="33" t="s">
        <v>203</v>
      </c>
      <c r="D25" s="32" t="s">
        <v>150</v>
      </c>
      <c r="E25" s="32" t="s">
        <v>199</v>
      </c>
      <c r="F25" s="175">
        <v>202302162559</v>
      </c>
      <c r="G25" s="176">
        <v>34007</v>
      </c>
      <c r="H25" s="30" t="s">
        <v>10</v>
      </c>
      <c r="I25" s="35" t="s">
        <v>114</v>
      </c>
    </row>
    <row r="26" spans="1:9" s="36" customFormat="1" x14ac:dyDescent="0.25">
      <c r="A26" s="31"/>
      <c r="B26" s="30" t="s">
        <v>91</v>
      </c>
      <c r="C26" s="33" t="s">
        <v>213</v>
      </c>
      <c r="D26" s="32" t="s">
        <v>204</v>
      </c>
      <c r="E26" s="32" t="s">
        <v>205</v>
      </c>
      <c r="F26" s="175">
        <v>202304132533</v>
      </c>
      <c r="G26" s="34">
        <v>2736342</v>
      </c>
      <c r="H26" s="30" t="s">
        <v>10</v>
      </c>
      <c r="I26" s="35" t="s">
        <v>114</v>
      </c>
    </row>
    <row r="27" spans="1:9" s="36" customFormat="1" x14ac:dyDescent="0.25">
      <c r="A27" s="31"/>
      <c r="B27" s="30" t="s">
        <v>91</v>
      </c>
      <c r="C27" s="33" t="s">
        <v>200</v>
      </c>
      <c r="D27" s="32" t="s">
        <v>206</v>
      </c>
      <c r="E27" s="32" t="s">
        <v>207</v>
      </c>
      <c r="F27" s="175">
        <v>202304182563</v>
      </c>
      <c r="G27" s="34">
        <v>25000</v>
      </c>
      <c r="H27" s="30" t="s">
        <v>11</v>
      </c>
      <c r="I27" s="35" t="s">
        <v>114</v>
      </c>
    </row>
    <row r="28" spans="1:9" s="36" customFormat="1" x14ac:dyDescent="0.25">
      <c r="A28" s="31"/>
      <c r="B28" s="30"/>
      <c r="C28" s="33"/>
      <c r="D28" s="32"/>
      <c r="E28" s="32"/>
      <c r="F28" s="175"/>
      <c r="G28" s="34"/>
      <c r="H28" s="30"/>
      <c r="I28" s="35"/>
    </row>
    <row r="29" spans="1:9" s="36" customFormat="1" x14ac:dyDescent="0.25">
      <c r="A29" s="31"/>
      <c r="B29" s="30"/>
      <c r="C29" s="33"/>
      <c r="D29" s="32"/>
      <c r="E29" s="32"/>
      <c r="F29" s="175"/>
      <c r="G29" s="34"/>
      <c r="H29" s="30"/>
      <c r="I29" s="35"/>
    </row>
    <row r="30" spans="1:9" s="36" customFormat="1" x14ac:dyDescent="0.25">
      <c r="A30" s="31"/>
      <c r="B30" s="30"/>
      <c r="C30" s="33"/>
      <c r="D30" s="32"/>
      <c r="E30" s="32"/>
      <c r="F30" s="30"/>
      <c r="G30" s="34"/>
      <c r="H30" s="30"/>
      <c r="I30" s="37"/>
    </row>
    <row r="31" spans="1:9" s="36" customFormat="1" x14ac:dyDescent="0.25">
      <c r="A31" s="46"/>
      <c r="B31" s="30"/>
      <c r="C31" s="48"/>
      <c r="D31" s="47"/>
      <c r="E31" s="47"/>
      <c r="F31" s="50"/>
      <c r="G31" s="49"/>
      <c r="H31" s="50"/>
      <c r="I31" s="51"/>
    </row>
    <row r="32" spans="1:9" s="36" customFormat="1" x14ac:dyDescent="0.25">
      <c r="A32" s="39"/>
      <c r="B32" s="39"/>
      <c r="C32" s="41"/>
      <c r="D32" s="40"/>
      <c r="E32" s="40"/>
      <c r="F32" s="43"/>
      <c r="G32" s="42"/>
      <c r="H32" s="43"/>
      <c r="I32" s="44"/>
    </row>
    <row r="33" spans="7:7" x14ac:dyDescent="0.25">
      <c r="G33" s="16">
        <f>SUBTOTAL(109,G7:G32)</f>
        <v>4747932</v>
      </c>
    </row>
  </sheetData>
  <autoFilter ref="A6:I20" xr:uid="{00000000-0009-0000-0000-000002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A9AC63F2-B66A-4427-8093-1AA84BFD723E}"/>
    </customSheetView>
  </customSheetViews>
  <dataValidations count="3">
    <dataValidation type="list" allowBlank="1" showInputMessage="1" showErrorMessage="1" sqref="H7:H32" xr:uid="{00000000-0002-0000-0200-000000000000}">
      <formula1>$H$1:$H$2</formula1>
    </dataValidation>
    <dataValidation type="list" allowBlank="1" showInputMessage="1" showErrorMessage="1" sqref="B7:B32" xr:uid="{00000000-0002-0000-0200-000001000000}">
      <formula1>$B$1:$B$4</formula1>
    </dataValidation>
    <dataValidation type="list" allowBlank="1" showInputMessage="1" showErrorMessage="1" sqref="I7:I32" xr:uid="{06941A48-BD58-4542-AF92-D94438705914}">
      <formula1>$I$1:$I$4</formula1>
    </dataValidation>
  </dataValidation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8"/>
  <sheetViews>
    <sheetView topLeftCell="A14" workbookViewId="0">
      <selection activeCell="D37" sqref="D37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68</v>
      </c>
    </row>
    <row r="17" spans="1:1" x14ac:dyDescent="0.25">
      <c r="A17" s="150" t="s">
        <v>69</v>
      </c>
    </row>
    <row r="18" spans="1:1" x14ac:dyDescent="0.25">
      <c r="A18" s="151" t="s">
        <v>70</v>
      </c>
    </row>
    <row r="19" spans="1:1" x14ac:dyDescent="0.25">
      <c r="A19" s="150" t="s">
        <v>71</v>
      </c>
    </row>
    <row r="20" spans="1:1" x14ac:dyDescent="0.25">
      <c r="A20" s="151" t="s">
        <v>72</v>
      </c>
    </row>
    <row r="21" spans="1:1" x14ac:dyDescent="0.25">
      <c r="A21" s="150" t="s">
        <v>73</v>
      </c>
    </row>
    <row r="22" spans="1:1" x14ac:dyDescent="0.25">
      <c r="A22" s="151" t="s">
        <v>74</v>
      </c>
    </row>
    <row r="23" spans="1:1" x14ac:dyDescent="0.25">
      <c r="A23" s="150" t="s">
        <v>75</v>
      </c>
    </row>
    <row r="24" spans="1:1" x14ac:dyDescent="0.25">
      <c r="A24" s="151" t="s">
        <v>76</v>
      </c>
    </row>
    <row r="25" spans="1:1" x14ac:dyDescent="0.25">
      <c r="A25" s="150" t="s">
        <v>77</v>
      </c>
    </row>
    <row r="26" spans="1:1" x14ac:dyDescent="0.25">
      <c r="A26" s="151" t="s">
        <v>78</v>
      </c>
    </row>
    <row r="27" spans="1:1" x14ac:dyDescent="0.25">
      <c r="A27" s="150" t="s">
        <v>79</v>
      </c>
    </row>
    <row r="28" spans="1:1" x14ac:dyDescent="0.25">
      <c r="A28" s="151" t="s">
        <v>80</v>
      </c>
    </row>
    <row r="29" spans="1:1" x14ac:dyDescent="0.25">
      <c r="A29" s="150" t="s">
        <v>81</v>
      </c>
    </row>
    <row r="30" spans="1:1" x14ac:dyDescent="0.25">
      <c r="A30" s="150" t="s">
        <v>82</v>
      </c>
    </row>
    <row r="31" spans="1:1" x14ac:dyDescent="0.25">
      <c r="A31" s="150" t="s">
        <v>83</v>
      </c>
    </row>
    <row r="32" spans="1:1" x14ac:dyDescent="0.25">
      <c r="A32" s="150" t="s">
        <v>84</v>
      </c>
    </row>
    <row r="33" spans="1:1" x14ac:dyDescent="0.25">
      <c r="A33" s="150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113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L17" sqref="L17"/>
    </sheetView>
  </sheetViews>
  <sheetFormatPr defaultRowHeight="15" x14ac:dyDescent="0.25"/>
  <cols>
    <col min="2" max="2" width="10.140625" bestFit="1" customWidth="1"/>
    <col min="5" max="5" width="10.140625" bestFit="1" customWidth="1"/>
    <col min="6" max="6" width="15.140625" bestFit="1" customWidth="1"/>
  </cols>
  <sheetData>
    <row r="1" spans="1:5" x14ac:dyDescent="0.25">
      <c r="A1" t="s">
        <v>137</v>
      </c>
      <c r="C1" t="s">
        <v>138</v>
      </c>
    </row>
    <row r="2" spans="1:5" x14ac:dyDescent="0.25">
      <c r="A2" t="s">
        <v>64</v>
      </c>
      <c r="E2" s="149"/>
    </row>
    <row r="3" spans="1:5" x14ac:dyDescent="0.25">
      <c r="A3" t="s">
        <v>65</v>
      </c>
    </row>
    <row r="4" spans="1:5" x14ac:dyDescent="0.25">
      <c r="A4" t="s">
        <v>66</v>
      </c>
      <c r="C4" t="s">
        <v>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978B-32C9-4E00-A316-FDB7F61B106B}">
  <dimension ref="A1:E3"/>
  <sheetViews>
    <sheetView workbookViewId="0">
      <selection activeCell="D13" sqref="D13"/>
    </sheetView>
  </sheetViews>
  <sheetFormatPr defaultRowHeight="15" x14ac:dyDescent="0.25"/>
  <cols>
    <col min="1" max="5" width="19.42578125" customWidth="1"/>
  </cols>
  <sheetData>
    <row r="1" spans="1:5" x14ac:dyDescent="0.25">
      <c r="A1" s="182" t="s">
        <v>182</v>
      </c>
      <c r="B1" s="182" t="s">
        <v>183</v>
      </c>
      <c r="C1" s="182" t="s">
        <v>184</v>
      </c>
      <c r="D1" s="182" t="s">
        <v>179</v>
      </c>
      <c r="E1" s="182" t="s">
        <v>180</v>
      </c>
    </row>
    <row r="2" spans="1:5" x14ac:dyDescent="0.25">
      <c r="A2" s="190" t="s">
        <v>129</v>
      </c>
      <c r="B2" s="183" t="s">
        <v>177</v>
      </c>
      <c r="C2" s="184" t="s">
        <v>127</v>
      </c>
      <c r="D2" s="185">
        <v>113000</v>
      </c>
      <c r="E2" s="185">
        <v>14690</v>
      </c>
    </row>
    <row r="3" spans="1:5" x14ac:dyDescent="0.25">
      <c r="A3" s="190" t="s">
        <v>185</v>
      </c>
      <c r="B3" s="183" t="s">
        <v>186</v>
      </c>
      <c r="C3" s="184" t="s">
        <v>127</v>
      </c>
      <c r="D3" s="185">
        <v>440000</v>
      </c>
      <c r="E3" s="185">
        <v>57200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Terv-tény</vt:lpstr>
      <vt:lpstr>Bérköltség</vt:lpstr>
      <vt:lpstr>Dologi_felhalm.</vt:lpstr>
      <vt:lpstr>Hónapok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2023-05-05T09:52:07Z</dcterms:modified>
</cp:coreProperties>
</file>