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Munka\!PROJEKTEK\ERASMUS\ERASMUS_GTK\Future_KA226_HE_095164\"/>
    </mc:Choice>
  </mc:AlternateContent>
  <xr:revisionPtr revIDLastSave="0" documentId="13_ncr:1_{57C6B672-F998-498E-BA07-0C99470AF5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érköltség" sheetId="17" r:id="rId1"/>
    <sheet name="Dologi_Felhalm." sheetId="13" r:id="rId2"/>
    <sheet name="Monitoring" sheetId="19" r:id="rId3"/>
    <sheet name="Hónapok" sheetId="20" r:id="rId4"/>
    <sheet name="Havi béradatok" sheetId="21" r:id="rId5"/>
  </sheets>
  <definedNames>
    <definedName name="_xlnm._FilterDatabase" localSheetId="0" hidden="1">Bérköltség!$A$5:$X$117</definedName>
    <definedName name="_xlnm._FilterDatabase" localSheetId="1" hidden="1">Dologi_Felhalm.!$A$14:$I$57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9" l="1"/>
  <c r="W117" i="17"/>
  <c r="V117" i="17"/>
  <c r="W83" i="17"/>
  <c r="V83" i="17"/>
  <c r="W66" i="17"/>
  <c r="V66" i="17"/>
  <c r="W34" i="17"/>
  <c r="V34" i="17"/>
  <c r="W20" i="17"/>
  <c r="V20" i="17"/>
  <c r="W2" i="17"/>
  <c r="X2" i="17"/>
  <c r="I83" i="17" l="1"/>
  <c r="L83" i="17" s="1"/>
  <c r="H83" i="17"/>
  <c r="X83" i="17" s="1"/>
  <c r="I82" i="17"/>
  <c r="L82" i="17" s="1"/>
  <c r="O82" i="17" s="1"/>
  <c r="H82" i="17"/>
  <c r="G45" i="13"/>
  <c r="G40" i="13"/>
  <c r="V2" i="17"/>
  <c r="M83" i="17" l="1"/>
  <c r="N83" i="17" s="1"/>
  <c r="O83" i="17"/>
  <c r="P83" i="17" s="1"/>
  <c r="M82" i="17"/>
  <c r="N82" i="17" s="1"/>
  <c r="P82" i="17"/>
  <c r="O117" i="17"/>
  <c r="M117" i="17"/>
  <c r="N117" i="17" s="1"/>
  <c r="I117" i="17"/>
  <c r="H117" i="17"/>
  <c r="X117" i="17" s="1"/>
  <c r="I116" i="17"/>
  <c r="O116" i="17" s="1"/>
  <c r="H116" i="17"/>
  <c r="O66" i="17"/>
  <c r="M66" i="17"/>
  <c r="N66" i="17" s="1"/>
  <c r="I66" i="17"/>
  <c r="H66" i="17"/>
  <c r="X66" i="17" s="1"/>
  <c r="I65" i="17"/>
  <c r="O65" i="17" s="1"/>
  <c r="H65" i="17"/>
  <c r="O20" i="17"/>
  <c r="M20" i="17"/>
  <c r="N20" i="17" s="1"/>
  <c r="I20" i="17"/>
  <c r="H20" i="17"/>
  <c r="X20" i="17" s="1"/>
  <c r="O19" i="17"/>
  <c r="M19" i="17"/>
  <c r="N19" i="17" s="1"/>
  <c r="I19" i="17"/>
  <c r="H19" i="17"/>
  <c r="O34" i="17"/>
  <c r="M34" i="17"/>
  <c r="N34" i="17" s="1"/>
  <c r="I34" i="17"/>
  <c r="H34" i="17"/>
  <c r="X34" i="17" s="1"/>
  <c r="H115" i="17"/>
  <c r="H114" i="17"/>
  <c r="H113" i="17"/>
  <c r="H112" i="17"/>
  <c r="H111" i="17"/>
  <c r="H110" i="17"/>
  <c r="H109" i="17"/>
  <c r="H108" i="17"/>
  <c r="H107" i="17"/>
  <c r="H106" i="17"/>
  <c r="H105" i="17"/>
  <c r="H104" i="17"/>
  <c r="H103" i="17"/>
  <c r="H102" i="17"/>
  <c r="H101" i="17"/>
  <c r="H100" i="17"/>
  <c r="H99" i="17"/>
  <c r="H98" i="17"/>
  <c r="H97" i="17"/>
  <c r="H96" i="17"/>
  <c r="H95" i="17"/>
  <c r="H94" i="17"/>
  <c r="H93" i="17"/>
  <c r="H92" i="17"/>
  <c r="H91" i="17"/>
  <c r="H90" i="17"/>
  <c r="H89" i="17"/>
  <c r="H88" i="17"/>
  <c r="H87" i="17"/>
  <c r="H86" i="17"/>
  <c r="H85" i="17"/>
  <c r="H84" i="17"/>
  <c r="H81" i="17"/>
  <c r="H80" i="17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18" i="17"/>
  <c r="H16" i="17"/>
  <c r="H15" i="17"/>
  <c r="H14" i="17"/>
  <c r="H13" i="17"/>
  <c r="H12" i="17"/>
  <c r="H11" i="17"/>
  <c r="H10" i="17"/>
  <c r="H9" i="17"/>
  <c r="H8" i="17"/>
  <c r="H7" i="17"/>
  <c r="O33" i="17"/>
  <c r="M33" i="17"/>
  <c r="N33" i="17" s="1"/>
  <c r="I33" i="17"/>
  <c r="G48" i="13"/>
  <c r="I32" i="17"/>
  <c r="I60" i="17"/>
  <c r="I64" i="17"/>
  <c r="L64" i="17" s="1"/>
  <c r="G55" i="13"/>
  <c r="G54" i="13"/>
  <c r="G53" i="13"/>
  <c r="G52" i="13"/>
  <c r="G51" i="13"/>
  <c r="G50" i="13"/>
  <c r="G49" i="13"/>
  <c r="G47" i="13"/>
  <c r="G46" i="13"/>
  <c r="G44" i="13"/>
  <c r="G43" i="13"/>
  <c r="G42" i="13"/>
  <c r="G41" i="13"/>
  <c r="G39" i="13"/>
  <c r="G57" i="13"/>
  <c r="G56" i="13"/>
  <c r="G38" i="13"/>
  <c r="I115" i="17"/>
  <c r="I114" i="17"/>
  <c r="I109" i="17"/>
  <c r="L109" i="17" s="1"/>
  <c r="I108" i="17"/>
  <c r="M28" i="17"/>
  <c r="N28" i="17" s="1"/>
  <c r="O81" i="17"/>
  <c r="M81" i="17"/>
  <c r="N81" i="17" s="1"/>
  <c r="I81" i="17"/>
  <c r="O80" i="17"/>
  <c r="M80" i="17"/>
  <c r="N80" i="17" s="1"/>
  <c r="I80" i="17"/>
  <c r="O79" i="17"/>
  <c r="M79" i="17"/>
  <c r="N79" i="17" s="1"/>
  <c r="I79" i="17"/>
  <c r="O78" i="17"/>
  <c r="M78" i="17"/>
  <c r="N78" i="17" s="1"/>
  <c r="I78" i="17"/>
  <c r="I107" i="17"/>
  <c r="L107" i="17" s="1"/>
  <c r="M107" i="17" s="1"/>
  <c r="I106" i="17"/>
  <c r="I113" i="17"/>
  <c r="L113" i="17" s="1"/>
  <c r="I112" i="17"/>
  <c r="L112" i="17" s="1"/>
  <c r="M112" i="17" s="1"/>
  <c r="N112" i="17" s="1"/>
  <c r="I31" i="17"/>
  <c r="L31" i="17" s="1"/>
  <c r="I30" i="17"/>
  <c r="I63" i="17"/>
  <c r="L63" i="17" s="1"/>
  <c r="O63" i="17" s="1"/>
  <c r="P63" i="17" s="1"/>
  <c r="I62" i="17"/>
  <c r="L62" i="17" s="1"/>
  <c r="O62" i="17" s="1"/>
  <c r="P62" i="17" s="1"/>
  <c r="I61" i="17"/>
  <c r="L61" i="17" s="1"/>
  <c r="O61" i="17" s="1"/>
  <c r="P61" i="17" s="1"/>
  <c r="I59" i="17"/>
  <c r="I58" i="17"/>
  <c r="L58" i="17" s="1"/>
  <c r="O58" i="17" s="1"/>
  <c r="P58" i="17" s="1"/>
  <c r="I57" i="17"/>
  <c r="G30" i="13"/>
  <c r="G35" i="13"/>
  <c r="I111" i="17"/>
  <c r="L111" i="17" s="1"/>
  <c r="I110" i="17"/>
  <c r="I105" i="17"/>
  <c r="I104" i="17"/>
  <c r="L104" i="17" s="1"/>
  <c r="I94" i="17"/>
  <c r="L94" i="17" s="1"/>
  <c r="O94" i="17" s="1"/>
  <c r="I93" i="17"/>
  <c r="G37" i="13"/>
  <c r="I77" i="17"/>
  <c r="L77" i="17" s="1"/>
  <c r="O77" i="17" s="1"/>
  <c r="O76" i="17"/>
  <c r="M76" i="17"/>
  <c r="N76" i="17" s="1"/>
  <c r="I76" i="17"/>
  <c r="I29" i="17"/>
  <c r="L29" i="17" s="1"/>
  <c r="O29" i="17" s="1"/>
  <c r="I28" i="17"/>
  <c r="O27" i="17"/>
  <c r="M27" i="17"/>
  <c r="N27" i="17" s="1"/>
  <c r="I27" i="17"/>
  <c r="G36" i="13"/>
  <c r="I18" i="17"/>
  <c r="L18" i="17" s="1"/>
  <c r="O18" i="17" s="1"/>
  <c r="O17" i="17"/>
  <c r="M17" i="17"/>
  <c r="N17" i="17" s="1"/>
  <c r="I17" i="17"/>
  <c r="O16" i="17"/>
  <c r="M16" i="17"/>
  <c r="N16" i="17" s="1"/>
  <c r="I16" i="17"/>
  <c r="O15" i="17"/>
  <c r="M15" i="17"/>
  <c r="N15" i="17" s="1"/>
  <c r="I15" i="17"/>
  <c r="O14" i="17"/>
  <c r="M14" i="17"/>
  <c r="N14" i="17" s="1"/>
  <c r="I14" i="17"/>
  <c r="I13" i="17"/>
  <c r="G34" i="13"/>
  <c r="G33" i="13"/>
  <c r="G32" i="13"/>
  <c r="G31" i="13"/>
  <c r="G29" i="13"/>
  <c r="M18" i="17" l="1"/>
  <c r="N18" i="17" s="1"/>
  <c r="P117" i="17"/>
  <c r="P66" i="17"/>
  <c r="P116" i="17"/>
  <c r="M116" i="17"/>
  <c r="N116" i="17" s="1"/>
  <c r="P34" i="17"/>
  <c r="P65" i="17"/>
  <c r="M65" i="17"/>
  <c r="N65" i="17" s="1"/>
  <c r="P20" i="17"/>
  <c r="P19" i="17"/>
  <c r="P33" i="17"/>
  <c r="L60" i="17"/>
  <c r="O64" i="17"/>
  <c r="P64" i="17" s="1"/>
  <c r="M64" i="17"/>
  <c r="N64" i="17" s="1"/>
  <c r="L115" i="17"/>
  <c r="L114" i="17"/>
  <c r="O109" i="17"/>
  <c r="P109" i="17" s="1"/>
  <c r="M109" i="17"/>
  <c r="N109" i="17" s="1"/>
  <c r="L108" i="17"/>
  <c r="P81" i="17"/>
  <c r="O28" i="17"/>
  <c r="P28" i="17" s="1"/>
  <c r="M77" i="17"/>
  <c r="N77" i="17" s="1"/>
  <c r="P79" i="17"/>
  <c r="P80" i="17"/>
  <c r="P78" i="17"/>
  <c r="O107" i="17"/>
  <c r="P107" i="17" s="1"/>
  <c r="N107" i="17"/>
  <c r="L106" i="17"/>
  <c r="M113" i="17"/>
  <c r="N113" i="17" s="1"/>
  <c r="O113" i="17"/>
  <c r="P113" i="17" s="1"/>
  <c r="O112" i="17"/>
  <c r="P112" i="17" s="1"/>
  <c r="M31" i="17"/>
  <c r="N31" i="17" s="1"/>
  <c r="O31" i="17"/>
  <c r="P31" i="17" s="1"/>
  <c r="L30" i="17"/>
  <c r="M29" i="17"/>
  <c r="N29" i="17" s="1"/>
  <c r="M63" i="17"/>
  <c r="N63" i="17" s="1"/>
  <c r="M62" i="17"/>
  <c r="N62" i="17" s="1"/>
  <c r="M61" i="17"/>
  <c r="N61" i="17" s="1"/>
  <c r="L59" i="17"/>
  <c r="M58" i="17"/>
  <c r="N58" i="17" s="1"/>
  <c r="L57" i="17"/>
  <c r="O111" i="17"/>
  <c r="P111" i="17" s="1"/>
  <c r="M111" i="17"/>
  <c r="N111" i="17" s="1"/>
  <c r="M104" i="17"/>
  <c r="N104" i="17" s="1"/>
  <c r="O104" i="17"/>
  <c r="P104" i="17" s="1"/>
  <c r="L105" i="17"/>
  <c r="P94" i="17"/>
  <c r="M94" i="17"/>
  <c r="N94" i="17" s="1"/>
  <c r="L93" i="17"/>
  <c r="P77" i="17"/>
  <c r="P76" i="17"/>
  <c r="P29" i="17"/>
  <c r="P27" i="17"/>
  <c r="P16" i="17"/>
  <c r="P17" i="17"/>
  <c r="P18" i="17"/>
  <c r="P14" i="17"/>
  <c r="P15" i="17"/>
  <c r="O13" i="17"/>
  <c r="P13" i="17" s="1"/>
  <c r="M13" i="17"/>
  <c r="N13" i="17" s="1"/>
  <c r="I12" i="17"/>
  <c r="L12" i="17" s="1"/>
  <c r="I103" i="17"/>
  <c r="I102" i="17"/>
  <c r="L102" i="17" s="1"/>
  <c r="O102" i="17" s="1"/>
  <c r="P102" i="17" s="1"/>
  <c r="I92" i="17"/>
  <c r="L92" i="17" s="1"/>
  <c r="I91" i="17"/>
  <c r="I56" i="17"/>
  <c r="L56" i="17" s="1"/>
  <c r="I55" i="17"/>
  <c r="L55" i="17" s="1"/>
  <c r="O55" i="17" s="1"/>
  <c r="I54" i="17"/>
  <c r="L54" i="17" s="1"/>
  <c r="I53" i="17"/>
  <c r="I45" i="17"/>
  <c r="L45" i="17" s="1"/>
  <c r="I44" i="17"/>
  <c r="L44" i="17" s="1"/>
  <c r="I43" i="17"/>
  <c r="L43" i="17" s="1"/>
  <c r="I42" i="17"/>
  <c r="O75" i="17"/>
  <c r="M75" i="17"/>
  <c r="N75" i="17" s="1"/>
  <c r="I75" i="17"/>
  <c r="O74" i="17"/>
  <c r="M74" i="17"/>
  <c r="N74" i="17" s="1"/>
  <c r="I74" i="17"/>
  <c r="I73" i="17"/>
  <c r="I101" i="17"/>
  <c r="L101" i="17" s="1"/>
  <c r="I100" i="17"/>
  <c r="L100" i="17" s="1"/>
  <c r="I90" i="17"/>
  <c r="L90" i="17" s="1"/>
  <c r="I89" i="17"/>
  <c r="L89" i="17" s="1"/>
  <c r="O89" i="17" s="1"/>
  <c r="P89" i="17" s="1"/>
  <c r="O26" i="17"/>
  <c r="M26" i="17"/>
  <c r="N26" i="17" s="1"/>
  <c r="I26" i="17"/>
  <c r="O25" i="17"/>
  <c r="M25" i="17"/>
  <c r="N25" i="17" s="1"/>
  <c r="I25" i="17"/>
  <c r="O24" i="17"/>
  <c r="M24" i="17"/>
  <c r="N24" i="17" s="1"/>
  <c r="I24" i="17"/>
  <c r="O23" i="17"/>
  <c r="M23" i="17"/>
  <c r="N23" i="17" s="1"/>
  <c r="I23" i="17"/>
  <c r="I52" i="17"/>
  <c r="L52" i="17" s="1"/>
  <c r="I51" i="17"/>
  <c r="I41" i="17"/>
  <c r="I40" i="17"/>
  <c r="I72" i="17"/>
  <c r="I71" i="17"/>
  <c r="O32" i="17" l="1"/>
  <c r="P32" i="17" s="1"/>
  <c r="M32" i="17"/>
  <c r="N32" i="17" s="1"/>
  <c r="O60" i="17"/>
  <c r="P60" i="17" s="1"/>
  <c r="M60" i="17"/>
  <c r="N60" i="17" s="1"/>
  <c r="O115" i="17"/>
  <c r="P115" i="17" s="1"/>
  <c r="M115" i="17"/>
  <c r="N115" i="17" s="1"/>
  <c r="O114" i="17"/>
  <c r="P114" i="17" s="1"/>
  <c r="M114" i="17"/>
  <c r="N114" i="17" s="1"/>
  <c r="O108" i="17"/>
  <c r="P108" i="17" s="1"/>
  <c r="M108" i="17"/>
  <c r="N108" i="17" s="1"/>
  <c r="O106" i="17"/>
  <c r="P106" i="17" s="1"/>
  <c r="M106" i="17"/>
  <c r="N106" i="17" s="1"/>
  <c r="O30" i="17"/>
  <c r="P30" i="17" s="1"/>
  <c r="M30" i="17"/>
  <c r="N30" i="17" s="1"/>
  <c r="O59" i="17"/>
  <c r="P59" i="17" s="1"/>
  <c r="M59" i="17"/>
  <c r="N59" i="17" s="1"/>
  <c r="O57" i="17"/>
  <c r="P57" i="17" s="1"/>
  <c r="M57" i="17"/>
  <c r="N57" i="17" s="1"/>
  <c r="O110" i="17"/>
  <c r="P110" i="17" s="1"/>
  <c r="M110" i="17"/>
  <c r="N110" i="17" s="1"/>
  <c r="O105" i="17"/>
  <c r="P105" i="17" s="1"/>
  <c r="M105" i="17"/>
  <c r="N105" i="17" s="1"/>
  <c r="O93" i="17"/>
  <c r="P93" i="17" s="1"/>
  <c r="M93" i="17"/>
  <c r="N93" i="17" s="1"/>
  <c r="O12" i="17"/>
  <c r="P12" i="17" s="1"/>
  <c r="M12" i="17"/>
  <c r="N12" i="17" s="1"/>
  <c r="L103" i="17"/>
  <c r="M102" i="17"/>
  <c r="N102" i="17" s="1"/>
  <c r="M92" i="17"/>
  <c r="N92" i="17" s="1"/>
  <c r="O92" i="17"/>
  <c r="P92" i="17" s="1"/>
  <c r="L91" i="17"/>
  <c r="M54" i="17"/>
  <c r="N54" i="17" s="1"/>
  <c r="O54" i="17"/>
  <c r="P54" i="17" s="1"/>
  <c r="M56" i="17"/>
  <c r="N56" i="17" s="1"/>
  <c r="O56" i="17"/>
  <c r="P56" i="17" s="1"/>
  <c r="P55" i="17"/>
  <c r="M55" i="17"/>
  <c r="N55" i="17" s="1"/>
  <c r="L53" i="17"/>
  <c r="M45" i="17"/>
  <c r="N45" i="17" s="1"/>
  <c r="O45" i="17"/>
  <c r="P45" i="17" s="1"/>
  <c r="O43" i="17"/>
  <c r="P43" i="17" s="1"/>
  <c r="M43" i="17"/>
  <c r="N43" i="17" s="1"/>
  <c r="O44" i="17"/>
  <c r="P44" i="17" s="1"/>
  <c r="M44" i="17"/>
  <c r="N44" i="17" s="1"/>
  <c r="L42" i="17"/>
  <c r="P74" i="17"/>
  <c r="P75" i="17"/>
  <c r="P24" i="17"/>
  <c r="P23" i="17"/>
  <c r="M101" i="17"/>
  <c r="N101" i="17" s="1"/>
  <c r="O101" i="17"/>
  <c r="P101" i="17" s="1"/>
  <c r="M100" i="17"/>
  <c r="N100" i="17" s="1"/>
  <c r="O100" i="17"/>
  <c r="P100" i="17" s="1"/>
  <c r="M90" i="17"/>
  <c r="N90" i="17" s="1"/>
  <c r="O90" i="17"/>
  <c r="P90" i="17" s="1"/>
  <c r="M89" i="17"/>
  <c r="N89" i="17" s="1"/>
  <c r="P26" i="17"/>
  <c r="P25" i="17"/>
  <c r="M52" i="17"/>
  <c r="N52" i="17" s="1"/>
  <c r="O52" i="17"/>
  <c r="P52" i="17" s="1"/>
  <c r="L51" i="17"/>
  <c r="L41" i="17"/>
  <c r="L40" i="17"/>
  <c r="L72" i="17"/>
  <c r="L71" i="17"/>
  <c r="I11" i="17"/>
  <c r="L11" i="17" s="1"/>
  <c r="O11" i="17" s="1"/>
  <c r="O10" i="17"/>
  <c r="M10" i="17"/>
  <c r="N10" i="17" s="1"/>
  <c r="I10" i="17"/>
  <c r="O9" i="17"/>
  <c r="M9" i="17"/>
  <c r="N9" i="17" s="1"/>
  <c r="I9" i="17"/>
  <c r="M11" i="17" l="1"/>
  <c r="N11" i="17" s="1"/>
  <c r="O103" i="17"/>
  <c r="P103" i="17" s="1"/>
  <c r="M103" i="17"/>
  <c r="N103" i="17" s="1"/>
  <c r="O91" i="17"/>
  <c r="P91" i="17" s="1"/>
  <c r="M91" i="17"/>
  <c r="N91" i="17" s="1"/>
  <c r="M53" i="17"/>
  <c r="N53" i="17" s="1"/>
  <c r="O53" i="17"/>
  <c r="P53" i="17" s="1"/>
  <c r="O42" i="17"/>
  <c r="P42" i="17" s="1"/>
  <c r="M42" i="17"/>
  <c r="N42" i="17" s="1"/>
  <c r="M73" i="17"/>
  <c r="N73" i="17" s="1"/>
  <c r="O73" i="17"/>
  <c r="P73" i="17" s="1"/>
  <c r="P10" i="17"/>
  <c r="O51" i="17"/>
  <c r="P51" i="17" s="1"/>
  <c r="M51" i="17"/>
  <c r="N51" i="17" s="1"/>
  <c r="M41" i="17"/>
  <c r="N41" i="17" s="1"/>
  <c r="O41" i="17"/>
  <c r="P41" i="17" s="1"/>
  <c r="O40" i="17"/>
  <c r="P40" i="17" s="1"/>
  <c r="M40" i="17"/>
  <c r="N40" i="17" s="1"/>
  <c r="P11" i="17"/>
  <c r="P9" i="17"/>
  <c r="M72" i="17"/>
  <c r="N72" i="17" s="1"/>
  <c r="O72" i="17"/>
  <c r="P72" i="17" s="1"/>
  <c r="O71" i="17"/>
  <c r="P71" i="17" s="1"/>
  <c r="M71" i="17"/>
  <c r="N71" i="17" s="1"/>
  <c r="G26" i="13"/>
  <c r="G24" i="13"/>
  <c r="G23" i="13"/>
  <c r="G20" i="13" l="1"/>
  <c r="G27" i="13"/>
  <c r="G22" i="13"/>
  <c r="I70" i="17" l="1"/>
  <c r="O22" i="17"/>
  <c r="M22" i="17"/>
  <c r="N22" i="17" s="1"/>
  <c r="I22" i="17"/>
  <c r="O21" i="17"/>
  <c r="M21" i="17"/>
  <c r="N21" i="17" s="1"/>
  <c r="I21" i="17"/>
  <c r="P22" i="17" l="1"/>
  <c r="L70" i="17"/>
  <c r="P21" i="17"/>
  <c r="I8" i="17"/>
  <c r="L8" i="17" s="1"/>
  <c r="I7" i="17"/>
  <c r="O8" i="17" l="1"/>
  <c r="M8" i="17"/>
  <c r="N8" i="17" s="1"/>
  <c r="P8" i="17"/>
  <c r="M70" i="17"/>
  <c r="N70" i="17" s="1"/>
  <c r="O70" i="17"/>
  <c r="P70" i="17" s="1"/>
  <c r="I69" i="17"/>
  <c r="O7" i="17" l="1"/>
  <c r="P7" i="17" s="1"/>
  <c r="M7" i="17"/>
  <c r="L69" i="17"/>
  <c r="I88" i="17"/>
  <c r="I87" i="17"/>
  <c r="I86" i="17"/>
  <c r="I99" i="17"/>
  <c r="I98" i="17"/>
  <c r="L98" i="17" s="1"/>
  <c r="O98" i="17" s="1"/>
  <c r="P98" i="17" s="1"/>
  <c r="I97" i="17"/>
  <c r="I50" i="17"/>
  <c r="L50" i="17" s="1"/>
  <c r="O50" i="17" s="1"/>
  <c r="P50" i="17" s="1"/>
  <c r="I49" i="17"/>
  <c r="I48" i="17"/>
  <c r="I39" i="17"/>
  <c r="I38" i="17"/>
  <c r="I37" i="17"/>
  <c r="L37" i="17" s="1"/>
  <c r="N7" i="17" l="1"/>
  <c r="O69" i="17"/>
  <c r="P69" i="17" s="1"/>
  <c r="M69" i="17"/>
  <c r="N69" i="17" s="1"/>
  <c r="L88" i="17"/>
  <c r="L87" i="17"/>
  <c r="L86" i="17"/>
  <c r="M98" i="17"/>
  <c r="N98" i="17" s="1"/>
  <c r="L99" i="17"/>
  <c r="L97" i="17"/>
  <c r="M50" i="17"/>
  <c r="N50" i="17" s="1"/>
  <c r="L49" i="17"/>
  <c r="L48" i="17"/>
  <c r="O37" i="17"/>
  <c r="P37" i="17" s="1"/>
  <c r="L39" i="17"/>
  <c r="M37" i="17"/>
  <c r="N37" i="17" s="1"/>
  <c r="L38" i="17"/>
  <c r="G25" i="13"/>
  <c r="G28" i="13"/>
  <c r="G21" i="13"/>
  <c r="G19" i="13"/>
  <c r="G18" i="13"/>
  <c r="O87" i="17" l="1"/>
  <c r="P87" i="17" s="1"/>
  <c r="M87" i="17"/>
  <c r="N87" i="17" s="1"/>
  <c r="M88" i="17"/>
  <c r="N88" i="17" s="1"/>
  <c r="O88" i="17"/>
  <c r="P88" i="17" s="1"/>
  <c r="M86" i="17"/>
  <c r="N86" i="17" s="1"/>
  <c r="O86" i="17"/>
  <c r="P86" i="17" s="1"/>
  <c r="M99" i="17"/>
  <c r="N99" i="17" s="1"/>
  <c r="O99" i="17"/>
  <c r="P99" i="17" s="1"/>
  <c r="M97" i="17"/>
  <c r="N97" i="17" s="1"/>
  <c r="O97" i="17"/>
  <c r="P97" i="17" s="1"/>
  <c r="M49" i="17"/>
  <c r="N49" i="17" s="1"/>
  <c r="O49" i="17"/>
  <c r="P49" i="17" s="1"/>
  <c r="O48" i="17"/>
  <c r="P48" i="17" s="1"/>
  <c r="M48" i="17"/>
  <c r="N48" i="17" s="1"/>
  <c r="O38" i="17"/>
  <c r="P38" i="17" s="1"/>
  <c r="M38" i="17"/>
  <c r="N38" i="17" s="1"/>
  <c r="M39" i="17"/>
  <c r="N39" i="17" s="1"/>
  <c r="O39" i="17"/>
  <c r="P39" i="17" s="1"/>
  <c r="I68" i="17"/>
  <c r="I67" i="17"/>
  <c r="L67" i="17" s="1"/>
  <c r="O67" i="17" s="1"/>
  <c r="P67" i="17" s="1"/>
  <c r="L68" i="17" l="1"/>
  <c r="M67" i="17"/>
  <c r="N67" i="17" s="1"/>
  <c r="I96" i="17"/>
  <c r="I95" i="17"/>
  <c r="I85" i="17"/>
  <c r="I84" i="17"/>
  <c r="O68" i="17" l="1"/>
  <c r="P68" i="17" s="1"/>
  <c r="M68" i="17"/>
  <c r="N68" i="17" s="1"/>
  <c r="L84" i="17"/>
  <c r="L95" i="17"/>
  <c r="L96" i="17"/>
  <c r="I47" i="17"/>
  <c r="I46" i="17"/>
  <c r="I36" i="17"/>
  <c r="I35" i="17"/>
  <c r="L35" i="17" s="1"/>
  <c r="I6" i="17"/>
  <c r="L131" i="17" l="1"/>
  <c r="L6" i="17"/>
  <c r="M6" i="17" s="1"/>
  <c r="O35" i="17"/>
  <c r="O96" i="17"/>
  <c r="P96" i="17" s="1"/>
  <c r="M96" i="17"/>
  <c r="N96" i="17" s="1"/>
  <c r="M95" i="17"/>
  <c r="N95" i="17" s="1"/>
  <c r="O95" i="17"/>
  <c r="P95" i="17" s="1"/>
  <c r="O85" i="17"/>
  <c r="P85" i="17" s="1"/>
  <c r="M85" i="17"/>
  <c r="N85" i="17" s="1"/>
  <c r="M84" i="17"/>
  <c r="N84" i="17" s="1"/>
  <c r="O84" i="17"/>
  <c r="P84" i="17" s="1"/>
  <c r="L46" i="17"/>
  <c r="L47" i="17"/>
  <c r="L36" i="17"/>
  <c r="P35" i="17"/>
  <c r="M35" i="17"/>
  <c r="N35" i="17" l="1"/>
  <c r="N6" i="17"/>
  <c r="O47" i="17"/>
  <c r="P47" i="17" s="1"/>
  <c r="M47" i="17"/>
  <c r="N47" i="17" s="1"/>
  <c r="M46" i="17"/>
  <c r="N46" i="17" s="1"/>
  <c r="C6" i="19" s="1"/>
  <c r="O46" i="17"/>
  <c r="P46" i="17" s="1"/>
  <c r="M36" i="17"/>
  <c r="O36" i="17"/>
  <c r="P36" i="17" s="1"/>
  <c r="B14" i="19"/>
  <c r="B15" i="19" s="1"/>
  <c r="C12" i="19"/>
  <c r="C11" i="19"/>
  <c r="D10" i="19"/>
  <c r="C10" i="19"/>
  <c r="D9" i="19"/>
  <c r="C9" i="19"/>
  <c r="D8" i="19"/>
  <c r="C8" i="19"/>
  <c r="D7" i="19"/>
  <c r="C7" i="19"/>
  <c r="D6" i="19"/>
  <c r="D5" i="19"/>
  <c r="D4" i="19"/>
  <c r="C4" i="19"/>
  <c r="N36" i="17" l="1"/>
  <c r="I4" i="19"/>
  <c r="C5" i="19"/>
  <c r="E5" i="19" s="1"/>
  <c r="E7" i="19"/>
  <c r="E8" i="19"/>
  <c r="E9" i="19"/>
  <c r="E4" i="19"/>
  <c r="E6" i="19"/>
  <c r="E10" i="19"/>
  <c r="D12" i="19"/>
  <c r="E12" i="19" s="1"/>
  <c r="O6" i="17" l="1"/>
  <c r="P6" i="17" l="1"/>
  <c r="D11" i="19" l="1"/>
  <c r="E11" i="19" s="1"/>
  <c r="D14" i="19" l="1"/>
  <c r="G58" i="13"/>
  <c r="M127" i="17" l="1"/>
  <c r="N127" i="17" s="1"/>
  <c r="M126" i="17"/>
  <c r="N126" i="17" s="1"/>
  <c r="M125" i="17"/>
  <c r="N125" i="17" s="1"/>
  <c r="M124" i="17"/>
  <c r="N124" i="17" s="1"/>
  <c r="M123" i="17"/>
  <c r="N123" i="17" s="1"/>
  <c r="M122" i="17"/>
  <c r="N122" i="17" s="1"/>
  <c r="M121" i="17"/>
  <c r="M131" i="17" s="1"/>
  <c r="O127" i="17"/>
  <c r="P127" i="17" s="1"/>
  <c r="O126" i="17"/>
  <c r="P126" i="17" s="1"/>
  <c r="O125" i="17"/>
  <c r="P125" i="17" s="1"/>
  <c r="O124" i="17"/>
  <c r="P124" i="17" s="1"/>
  <c r="O123" i="17"/>
  <c r="P123" i="17" s="1"/>
  <c r="O122" i="17"/>
  <c r="P122" i="17" s="1"/>
  <c r="O121" i="17"/>
  <c r="P121" i="17" s="1"/>
  <c r="F58" i="13"/>
  <c r="N121" i="17" l="1"/>
  <c r="N131" i="17" s="1"/>
  <c r="B24" i="19"/>
  <c r="B25" i="19" l="1"/>
  <c r="B27" i="19" s="1"/>
  <c r="C14" i="19" l="1"/>
  <c r="E14" i="1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Domján Gábor</author>
  </authors>
  <commentList>
    <comment ref="W2" authorId="0" shapeId="0" xr:uid="{5D6E737A-A097-4CA2-817B-40E88E0E086F}">
      <text>
        <r>
          <rPr>
            <b/>
            <sz val="9"/>
            <color indexed="81"/>
            <rFont val="Tahoma"/>
            <family val="2"/>
            <charset val="238"/>
          </rPr>
          <t>Ha mínusz 1-2 forint az eltérés, akkor én lecsökkentem a bruttó bért annyival. Ha plusz 1-2 forint, akkor marad az alaplevél szerinti bére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8" authorId="0" shapeId="0" xr:uid="{79E8CA28-51CF-4D2D-A899-47759B3F90CF}">
      <text>
        <r>
          <rPr>
            <b/>
            <sz val="9"/>
            <color indexed="81"/>
            <rFont val="Tahoma"/>
            <family val="2"/>
            <charset val="238"/>
          </rPr>
          <t>gyermek ápolás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9" authorId="0" shapeId="0" xr:uid="{E13553B8-3FC4-470B-B81F-A0E508B0ED7A}">
      <text>
        <r>
          <rPr>
            <b/>
            <sz val="9"/>
            <color indexed="81"/>
            <rFont val="Tahoma"/>
            <family val="2"/>
            <charset val="238"/>
          </rPr>
          <t>nem fizetett távollét miatt kevesebb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10" authorId="0" shapeId="0" xr:uid="{CDE53FBF-D67E-4A98-B287-8E16BA6815C8}">
      <text>
        <r>
          <rPr>
            <b/>
            <sz val="9"/>
            <color indexed="81"/>
            <rFont val="Tahoma"/>
            <family val="2"/>
            <charset val="238"/>
          </rPr>
          <t>gyermekápolási levonva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16" authorId="0" shapeId="0" xr:uid="{5267FAE1-E394-4FAB-8F24-E06B3250FE68}">
      <text>
        <r>
          <rPr>
            <b/>
            <sz val="9"/>
            <color indexed="81"/>
            <rFont val="Tahoma"/>
            <family val="2"/>
            <charset val="238"/>
          </rPr>
          <t>gyermekápolás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18" authorId="0" shapeId="0" xr:uid="{4ABDC59F-9D3E-4789-8334-CB299C508F8B}">
      <text>
        <r>
          <rPr>
            <b/>
            <sz val="9"/>
            <color indexed="81"/>
            <rFont val="Tahoma"/>
            <family val="2"/>
            <charset val="238"/>
          </rPr>
          <t>gyermekápolási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20" authorId="0" shapeId="0" xr:uid="{5EC0B357-6223-4914-B045-7DCA5DC09CBB}">
      <text>
        <r>
          <rPr>
            <b/>
            <sz val="9"/>
            <color indexed="81"/>
            <rFont val="Tahoma"/>
            <family val="2"/>
            <charset val="238"/>
          </rPr>
          <t>gyermekápolási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Domján Gábor</author>
  </authors>
  <commentList>
    <comment ref="G15" authorId="0" shapeId="0" xr:uid="{00000000-0006-0000-0100-000001000000}">
      <text>
        <r>
          <rPr>
            <b/>
            <sz val="9"/>
            <color indexed="81"/>
            <rFont val="Segoe UI"/>
            <family val="2"/>
            <charset val="238"/>
          </rPr>
          <t>ez a devizában elutalt összeg 75%-a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</text>
    </comment>
    <comment ref="G16" authorId="0" shapeId="0" xr:uid="{00000000-0006-0000-0100-000002000000}">
      <text>
        <r>
          <rPr>
            <b/>
            <sz val="9"/>
            <color indexed="81"/>
            <rFont val="Segoe UI"/>
            <family val="2"/>
            <charset val="238"/>
          </rPr>
          <t>ez a devizában elutalt összeg 25%-a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<sst xmlns="http://schemas.openxmlformats.org/spreadsheetml/2006/main" count="1181" uniqueCount="177">
  <si>
    <t>résztvevő</t>
  </si>
  <si>
    <t>projekt pozíció</t>
  </si>
  <si>
    <t>óra</t>
  </si>
  <si>
    <t>bér arány</t>
  </si>
  <si>
    <t>ÖSSZESEN</t>
  </si>
  <si>
    <t>időszak</t>
  </si>
  <si>
    <t>Összeg</t>
  </si>
  <si>
    <t>Költségsor</t>
  </si>
  <si>
    <t>Szállító</t>
  </si>
  <si>
    <t>Megnevezés</t>
  </si>
  <si>
    <t>Tény/kötváll</t>
  </si>
  <si>
    <t>Tény</t>
  </si>
  <si>
    <t>Megjegyzés</t>
  </si>
  <si>
    <t>elszámolt bruttó</t>
  </si>
  <si>
    <t>Tény/Köt. váll.</t>
  </si>
  <si>
    <t>Köt. váll.</t>
  </si>
  <si>
    <t>Kifizetési kérelem</t>
  </si>
  <si>
    <t>EUR</t>
  </si>
  <si>
    <t>MEGBÍZÁSI SZERZŐDÉSEK</t>
  </si>
  <si>
    <t>NR</t>
  </si>
  <si>
    <t>Iktatószám (sorszám)</t>
  </si>
  <si>
    <t>Futamidő:</t>
  </si>
  <si>
    <t>Költségvetés</t>
  </si>
  <si>
    <t>Total:</t>
  </si>
  <si>
    <t xml:space="preserve">Központi </t>
  </si>
  <si>
    <t>bruttó bér</t>
  </si>
  <si>
    <t>munkában</t>
  </si>
  <si>
    <t>munkaidő</t>
  </si>
  <si>
    <t xml:space="preserve">Szakmai megvalósításban </t>
  </si>
  <si>
    <t>témaszám</t>
  </si>
  <si>
    <t>komp.</t>
  </si>
  <si>
    <t>töltött</t>
  </si>
  <si>
    <t>elszámolt</t>
  </si>
  <si>
    <t>elszámolt bér</t>
  </si>
  <si>
    <t>közreműködő munkatársak (Név)</t>
  </si>
  <si>
    <t>(Hónap)</t>
  </si>
  <si>
    <t>(számfejtés)</t>
  </si>
  <si>
    <t>nélkül</t>
  </si>
  <si>
    <t>arány</t>
  </si>
  <si>
    <t>bér</t>
  </si>
  <si>
    <t>járulék</t>
  </si>
  <si>
    <t>különbsége</t>
  </si>
  <si>
    <t>Kinevezés</t>
  </si>
  <si>
    <t>szerződés</t>
  </si>
  <si>
    <t>elkészült?</t>
  </si>
  <si>
    <t>Project management</t>
  </si>
  <si>
    <t>Euróban</t>
  </si>
  <si>
    <t>Felhasználás forintban</t>
  </si>
  <si>
    <t xml:space="preserve">Euróban  </t>
  </si>
  <si>
    <t>összesen</t>
  </si>
  <si>
    <t>Árfolyam</t>
  </si>
  <si>
    <t>Ft / EUR</t>
  </si>
  <si>
    <t>Árfolyam dátuma</t>
  </si>
  <si>
    <t>Felhasználás - bér</t>
  </si>
  <si>
    <t>Felhasználás - dologi</t>
  </si>
  <si>
    <t>Maradvány</t>
  </si>
  <si>
    <t>Támogatás</t>
  </si>
  <si>
    <t>alaplevél dátuma</t>
  </si>
  <si>
    <t>Szociális</t>
  </si>
  <si>
    <t xml:space="preserve">hozzájárulási </t>
  </si>
  <si>
    <t>adó mértéke</t>
  </si>
  <si>
    <t xml:space="preserve">havi </t>
  </si>
  <si>
    <t>projekt</t>
  </si>
  <si>
    <t>2021.06</t>
  </si>
  <si>
    <t>2021.07</t>
  </si>
  <si>
    <t>2021.08</t>
  </si>
  <si>
    <t>2021.09</t>
  </si>
  <si>
    <t>2021.10</t>
  </si>
  <si>
    <t>2021.11</t>
  </si>
  <si>
    <t>2021.12</t>
  </si>
  <si>
    <t>2022.01</t>
  </si>
  <si>
    <t>2022.02</t>
  </si>
  <si>
    <t>2022.03</t>
  </si>
  <si>
    <t>2022.04</t>
  </si>
  <si>
    <t>2022.05</t>
  </si>
  <si>
    <t>2022.06</t>
  </si>
  <si>
    <t>2022.07</t>
  </si>
  <si>
    <t>2022.08</t>
  </si>
  <si>
    <t>2022.09</t>
  </si>
  <si>
    <t>Transnational project meetings</t>
  </si>
  <si>
    <t>Multiplier events</t>
  </si>
  <si>
    <t>Future Professionals - A017600063</t>
  </si>
  <si>
    <t>2022.10</t>
  </si>
  <si>
    <t>2022.11</t>
  </si>
  <si>
    <t>2022.12</t>
  </si>
  <si>
    <t>2023.01</t>
  </si>
  <si>
    <t>2023.02</t>
  </si>
  <si>
    <t>2023.03</t>
  </si>
  <si>
    <t>2023.04</t>
  </si>
  <si>
    <t>2023.05</t>
  </si>
  <si>
    <t>A017600063</t>
  </si>
  <si>
    <t>nem biztos, hogy ez, de ez volt az árfolyam a támogatás utalás napján</t>
  </si>
  <si>
    <t>Intellectual Output 1</t>
  </si>
  <si>
    <t>Intellectual Output 2</t>
  </si>
  <si>
    <t>Intellectual Output 3</t>
  </si>
  <si>
    <t>Special cost</t>
  </si>
  <si>
    <t>Exceptional Cost - EU</t>
  </si>
  <si>
    <t>Exceptional Cost - own</t>
  </si>
  <si>
    <t>Forintban (árf. Függő)</t>
  </si>
  <si>
    <t>5100043944</t>
  </si>
  <si>
    <t>its Learning</t>
  </si>
  <si>
    <t>ItsLearning licensz beszerzése</t>
  </si>
  <si>
    <t>ItsLearning licensz beszerzése (elszámolni a project management soron fogjuk, mert ott átalányként elszámolható és nem kell saját erő)</t>
  </si>
  <si>
    <t>belső átvezetés</t>
  </si>
  <si>
    <t>NAV</t>
  </si>
  <si>
    <t>ItsLearning licensz beszerzéshez kapcsolódó áfa</t>
  </si>
  <si>
    <t>Papp Zsófia Mária</t>
  </si>
  <si>
    <t>A021100000</t>
  </si>
  <si>
    <t>Vajda Tünde</t>
  </si>
  <si>
    <t>Sárváriné Dezső Edit</t>
  </si>
  <si>
    <t>A011110000</t>
  </si>
  <si>
    <t>napidíj</t>
  </si>
  <si>
    <t>napidíj járuléka</t>
  </si>
  <si>
    <t>1. támogatási részlet (80%)</t>
  </si>
  <si>
    <t>i</t>
  </si>
  <si>
    <t>Dabronaki Prisszinger Krisztina</t>
  </si>
  <si>
    <t>Kohlrusz Gábor Antal</t>
  </si>
  <si>
    <t>OTP Travel Kft.</t>
  </si>
  <si>
    <t>repülőjegy biztosítás (Vajda Tünde, Papp Zsófia)</t>
  </si>
  <si>
    <t>repülőjegy (Vajda Tünde, Papp Zsófia)</t>
  </si>
  <si>
    <t>Wroclaw, Poland, 2021.12.13-16</t>
  </si>
  <si>
    <t>Utasbiztosítás (Vajda Tünde, Papp Zsófia)</t>
  </si>
  <si>
    <t>szállás (Vajda Tünde, Papp Zsófia)</t>
  </si>
  <si>
    <t>Ibusz Utazási Irodák Kft.</t>
  </si>
  <si>
    <t>A061110000</t>
  </si>
  <si>
    <t>6/2021</t>
  </si>
  <si>
    <t>5/2021</t>
  </si>
  <si>
    <t>11/2022</t>
  </si>
  <si>
    <t>Kohlrusz Gábor</t>
  </si>
  <si>
    <t>Görögország, 2022.06.06-2022.06.10</t>
  </si>
  <si>
    <t>Jet Travel Kft.</t>
  </si>
  <si>
    <t>repülőjegy (Kohlrusz Gábor, Vajda Tünde)</t>
  </si>
  <si>
    <t>szállás (Kohlrusz Gábor, Vajda Tünde)</t>
  </si>
  <si>
    <t>Projekt</t>
  </si>
  <si>
    <t>pénzügyi központ</t>
  </si>
  <si>
    <t>terhelés</t>
  </si>
  <si>
    <t>Utasbiztosítás (Vajda Tünde, Kohlrusz Gábor)</t>
  </si>
  <si>
    <t>12/2022</t>
  </si>
  <si>
    <t>reptéri transzfer</t>
  </si>
  <si>
    <t>40/2022</t>
  </si>
  <si>
    <t>Napidíj</t>
  </si>
  <si>
    <t>Finnország, 2022.12.07-2022.12.10</t>
  </si>
  <si>
    <t>egyéb útiktg</t>
  </si>
  <si>
    <t>41/2022</t>
  </si>
  <si>
    <t>Papp Zsófia Márta</t>
  </si>
  <si>
    <t>szállásktg (Papp Zsófia, Vajda Tünde)</t>
  </si>
  <si>
    <t>repülőjegy (Papp Zsófia, Vajda Tünde)</t>
  </si>
  <si>
    <t>vonatjegy (Papp Zsófia, Vajda Tünde)</t>
  </si>
  <si>
    <t>repülőjegy biztosítás (Papp Zsófia, Vajda Tünde)</t>
  </si>
  <si>
    <t>utasbiztosítás (Papp Zsófia, Vajda Tünde)</t>
  </si>
  <si>
    <t>Dolgozó</t>
  </si>
  <si>
    <t>adóazonosító</t>
  </si>
  <si>
    <t>8415300263</t>
  </si>
  <si>
    <t>8403181604</t>
  </si>
  <si>
    <t>8357793207</t>
  </si>
  <si>
    <t>8414452523</t>
  </si>
  <si>
    <t>8377274515</t>
  </si>
  <si>
    <t>teljes bér</t>
  </si>
  <si>
    <t>jár.</t>
  </si>
  <si>
    <t>Témaszám</t>
  </si>
  <si>
    <t>Bér</t>
  </si>
  <si>
    <t>Járulék</t>
  </si>
  <si>
    <t>eltérés</t>
  </si>
  <si>
    <t>Név</t>
  </si>
  <si>
    <t>Adóazonosító</t>
  </si>
  <si>
    <t>Számfejtés</t>
  </si>
  <si>
    <t>Dabronaki Priszinger Krisztina Éva</t>
  </si>
  <si>
    <t>Dr. Papp Zsófia Márta</t>
  </si>
  <si>
    <t>Vajda Tünde Gabriella</t>
  </si>
  <si>
    <t>útiktg</t>
  </si>
  <si>
    <t>EGYEZIK</t>
  </si>
  <si>
    <t>HIBÁS</t>
  </si>
  <si>
    <t>Összes Tény</t>
  </si>
  <si>
    <t>Összes Kötváll</t>
  </si>
  <si>
    <t>Hónap</t>
  </si>
  <si>
    <t>Terhelés</t>
  </si>
  <si>
    <t>Kihagyás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</si>
</sst>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Ft&quot;_-;\-* #,##0.00\ &quot;Ft&quot;_-;_-* &quot;-&quot;??\ &quot;Ft&quot;_-;_-@_-"/>
    <numFmt numFmtId="164" formatCode="_-* #,##0.00\ _F_t_-;\-* #,##0.00\ _F_t_-;_-* &quot;-&quot;??\ _F_t_-;_-@_-"/>
    <numFmt numFmtId="165" formatCode="_-* #,##0\ _F_t_-;\-* #,##0\ _F_t_-;_-* &quot;-&quot;??\ _F_t_-;_-@_-"/>
    <numFmt numFmtId="166" formatCode="#,##0\ &quot;Ft&quot;"/>
    <numFmt numFmtId="167" formatCode="_-* #,##0.00\ [$€-1]_-;\-* #,##0.00\ [$€-1]_-;_-* &quot;-&quot;??\ [$€-1]_-;_-@_-"/>
    <numFmt numFmtId="168" formatCode="_-* #,##0\ [$Ft-40E]_-;\-* #,##0\ [$Ft-40E]_-;_-* &quot;-&quot;??\ [$Ft-40E]_-;_-@_-"/>
    <numFmt numFmtId="169" formatCode="_-* #,##0\ &quot;Ft&quot;_-;\-* #,##0\ &quot;Ft&quot;_-;_-* &quot;-&quot;??\ &quot;Ft&quot;_-;_-@_-"/>
    <numFmt numFmtId="170" formatCode="_-* #,##0\ [$€-1]_-;\-* #,##0\ [$€-1]_-;_-* &quot;-&quot;??\ [$€-1]_-;_-@_-"/>
    <numFmt numFmtId="171" formatCode="_-* #,##0_-;\-* #,##0_-;_-* &quot;-&quot;??_-;_-@_-"/>
  </numFmts>
  <fonts count="46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0"/>
      <name val="Times New Roman"/>
      <family val="1"/>
      <charset val="238"/>
    </font>
    <font>
      <b/>
      <sz val="11"/>
      <color indexed="8"/>
      <name val="Calibri"/>
      <family val="2"/>
      <charset val="238"/>
    </font>
    <font>
      <sz val="10"/>
      <color indexed="8"/>
      <name val="Times New Roman"/>
      <family val="1"/>
      <charset val="238"/>
    </font>
    <font>
      <sz val="11"/>
      <color indexed="8"/>
      <name val="Calibri"/>
      <family val="2"/>
      <charset val="238"/>
    </font>
    <font>
      <sz val="11"/>
      <name val="Calibri"/>
      <family val="2"/>
      <charset val="238"/>
    </font>
    <font>
      <b/>
      <sz val="14"/>
      <name val="Times New Roman"/>
      <family val="1"/>
      <charset val="238"/>
    </font>
    <font>
      <b/>
      <sz val="1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u/>
      <sz val="10"/>
      <color theme="11"/>
      <name val="Arial"/>
      <family val="2"/>
      <charset val="238"/>
    </font>
    <font>
      <sz val="12"/>
      <color theme="0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b/>
      <sz val="9"/>
      <color indexed="81"/>
      <name val="Segoe UI"/>
      <family val="2"/>
      <charset val="238"/>
    </font>
    <font>
      <sz val="9"/>
      <color indexed="81"/>
      <name val="Segoe UI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0"/>
      <color rgb="FF000000"/>
      <name val="Calibri"/>
      <family val="2"/>
      <charset val="238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charset val="238"/>
    </font>
  </fonts>
  <fills count="3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45">
    <xf numFmtId="0" fontId="0" fillId="0" borderId="0"/>
    <xf numFmtId="0" fontId="10" fillId="4" borderId="12" applyNumberFormat="0" applyAlignment="0" applyProtection="0"/>
    <xf numFmtId="164" fontId="5" fillId="0" borderId="0" applyFont="0" applyFill="0" applyBorder="0" applyAlignment="0" applyProtection="0"/>
    <xf numFmtId="0" fontId="12" fillId="0" borderId="0"/>
    <xf numFmtId="0" fontId="13" fillId="0" borderId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5" fillId="12" borderId="13" applyNumberFormat="0" applyAlignment="0" applyProtection="0"/>
    <xf numFmtId="0" fontId="16" fillId="0" borderId="0" applyNumberFormat="0" applyFill="0" applyBorder="0" applyAlignment="0" applyProtection="0"/>
    <xf numFmtId="0" fontId="17" fillId="0" borderId="14" applyNumberFormat="0" applyFill="0" applyAlignment="0" applyProtection="0"/>
    <xf numFmtId="0" fontId="18" fillId="0" borderId="15" applyNumberFormat="0" applyFill="0" applyAlignment="0" applyProtection="0"/>
    <xf numFmtId="0" fontId="19" fillId="0" borderId="16" applyNumberFormat="0" applyFill="0" applyAlignment="0" applyProtection="0"/>
    <xf numFmtId="0" fontId="19" fillId="0" borderId="0" applyNumberFormat="0" applyFill="0" applyBorder="0" applyAlignment="0" applyProtection="0"/>
    <xf numFmtId="0" fontId="20" fillId="21" borderId="17" applyNumberFormat="0" applyAlignment="0" applyProtection="0"/>
    <xf numFmtId="0" fontId="21" fillId="0" borderId="0" applyNumberFormat="0" applyFill="0" applyBorder="0" applyAlignment="0" applyProtection="0"/>
    <xf numFmtId="0" fontId="22" fillId="0" borderId="18" applyNumberFormat="0" applyFill="0" applyAlignment="0" applyProtection="0"/>
    <xf numFmtId="0" fontId="1" fillId="22" borderId="19" applyNumberFormat="0" applyFont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6" borderId="0" applyNumberFormat="0" applyBorder="0" applyAlignment="0" applyProtection="0"/>
    <xf numFmtId="0" fontId="23" fillId="9" borderId="0" applyNumberFormat="0" applyBorder="0" applyAlignment="0" applyProtection="0"/>
    <xf numFmtId="0" fontId="24" fillId="27" borderId="20" applyNumberFormat="0" applyAlignment="0" applyProtection="0"/>
    <xf numFmtId="0" fontId="25" fillId="0" borderId="0" applyNumberFormat="0" applyFill="0" applyBorder="0" applyAlignment="0" applyProtection="0"/>
    <xf numFmtId="0" fontId="3" fillId="0" borderId="21" applyNumberFormat="0" applyFill="0" applyAlignment="0" applyProtection="0"/>
    <xf numFmtId="0" fontId="26" fillId="8" borderId="0" applyNumberFormat="0" applyBorder="0" applyAlignment="0" applyProtection="0"/>
    <xf numFmtId="0" fontId="27" fillId="28" borderId="0" applyNumberFormat="0" applyBorder="0" applyAlignment="0" applyProtection="0"/>
    <xf numFmtId="0" fontId="28" fillId="27" borderId="13" applyNumberFormat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29" fillId="0" borderId="0"/>
    <xf numFmtId="0" fontId="15" fillId="12" borderId="13" applyNumberFormat="0" applyAlignment="0" applyProtection="0"/>
    <xf numFmtId="0" fontId="1" fillId="22" borderId="19" applyNumberFormat="0" applyFont="0" applyAlignment="0" applyProtection="0"/>
    <xf numFmtId="0" fontId="24" fillId="27" borderId="20" applyNumberFormat="0" applyAlignment="0" applyProtection="0"/>
    <xf numFmtId="0" fontId="3" fillId="0" borderId="21" applyNumberFormat="0" applyFill="0" applyAlignment="0" applyProtection="0"/>
    <xf numFmtId="0" fontId="28" fillId="27" borderId="13" applyNumberFormat="0" applyAlignment="0" applyProtection="0"/>
    <xf numFmtId="0" fontId="9" fillId="6" borderId="0" applyNumberFormat="0" applyBorder="0" applyAlignment="0" applyProtection="0"/>
    <xf numFmtId="0" fontId="9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5" borderId="0" applyNumberFormat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3" fillId="0" borderId="21" applyNumberFormat="0" applyFill="0" applyAlignment="0" applyProtection="0"/>
    <xf numFmtId="0" fontId="24" fillId="27" borderId="20" applyNumberFormat="0" applyAlignment="0" applyProtection="0"/>
    <xf numFmtId="0" fontId="28" fillId="27" borderId="13" applyNumberFormat="0" applyAlignment="0" applyProtection="0"/>
    <xf numFmtId="0" fontId="3" fillId="0" borderId="21" applyNumberFormat="0" applyFill="0" applyAlignment="0" applyProtection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0" fontId="1" fillId="22" borderId="19" applyNumberFormat="0" applyFon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0" fontId="24" fillId="27" borderId="20" applyNumberFormat="0" applyAlignment="0" applyProtection="0"/>
    <xf numFmtId="0" fontId="3" fillId="0" borderId="21" applyNumberFormat="0" applyFill="0" applyAlignment="0" applyProtection="0"/>
    <xf numFmtId="0" fontId="28" fillId="27" borderId="13" applyNumberFormat="0" applyAlignment="0" applyProtection="0"/>
    <xf numFmtId="0" fontId="28" fillId="27" borderId="13" applyNumberFormat="0" applyAlignment="0" applyProtection="0"/>
    <xf numFmtId="0" fontId="15" fillId="12" borderId="13" applyNumberFormat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0" fontId="28" fillId="27" borderId="13" applyNumberFormat="0" applyAlignment="0" applyProtection="0"/>
    <xf numFmtId="0" fontId="28" fillId="27" borderId="13" applyNumberFormat="0" applyAlignment="0" applyProtection="0"/>
    <xf numFmtId="0" fontId="3" fillId="0" borderId="21" applyNumberFormat="0" applyFill="0" applyAlignment="0" applyProtection="0"/>
    <xf numFmtId="0" fontId="15" fillId="12" borderId="13" applyNumberFormat="0" applyAlignment="0" applyProtection="0"/>
    <xf numFmtId="0" fontId="28" fillId="27" borderId="13" applyNumberFormat="0" applyAlignment="0" applyProtection="0"/>
    <xf numFmtId="0" fontId="3" fillId="0" borderId="21" applyNumberFormat="0" applyFill="0" applyAlignment="0" applyProtection="0"/>
    <xf numFmtId="0" fontId="3" fillId="0" borderId="21" applyNumberFormat="0" applyFill="0" applyAlignment="0" applyProtection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0" fontId="28" fillId="27" borderId="13" applyNumberFormat="0" applyAlignment="0" applyProtection="0"/>
    <xf numFmtId="0" fontId="3" fillId="0" borderId="21" applyNumberFormat="0" applyFill="0" applyAlignment="0" applyProtection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9" fillId="0" borderId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44" fontId="9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70">
    <xf numFmtId="0" fontId="0" fillId="0" borderId="0" xfId="0"/>
    <xf numFmtId="3" fontId="2" fillId="0" borderId="1" xfId="0" applyNumberFormat="1" applyFont="1" applyBorder="1" applyAlignment="1">
      <alignment horizontal="left"/>
    </xf>
    <xf numFmtId="49" fontId="0" fillId="0" borderId="0" xfId="0" applyNumberFormat="1"/>
    <xf numFmtId="0" fontId="11" fillId="0" borderId="1" xfId="0" applyFont="1" applyBorder="1"/>
    <xf numFmtId="3" fontId="11" fillId="0" borderId="1" xfId="1" applyNumberFormat="1" applyFont="1" applyFill="1" applyBorder="1" applyAlignment="1" applyProtection="1">
      <alignment wrapText="1"/>
      <protection locked="0"/>
    </xf>
    <xf numFmtId="9" fontId="11" fillId="3" borderId="1" xfId="1" applyNumberFormat="1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166" fontId="6" fillId="0" borderId="1" xfId="0" applyNumberFormat="1" applyFont="1" applyBorder="1" applyAlignment="1">
      <alignment wrapText="1"/>
    </xf>
    <xf numFmtId="9" fontId="6" fillId="0" borderId="1" xfId="0" applyNumberFormat="1" applyFont="1" applyBorder="1" applyAlignment="1">
      <alignment wrapText="1"/>
    </xf>
    <xf numFmtId="0" fontId="8" fillId="0" borderId="1" xfId="0" applyFont="1" applyBorder="1"/>
    <xf numFmtId="166" fontId="33" fillId="0" borderId="1" xfId="0" applyNumberFormat="1" applyFont="1" applyBorder="1" applyAlignment="1">
      <alignment wrapText="1"/>
    </xf>
    <xf numFmtId="10" fontId="6" fillId="0" borderId="1" xfId="0" applyNumberFormat="1" applyFont="1" applyBorder="1" applyAlignment="1">
      <alignment wrapText="1"/>
    </xf>
    <xf numFmtId="0" fontId="11" fillId="0" borderId="0" xfId="0" applyFont="1"/>
    <xf numFmtId="0" fontId="11" fillId="0" borderId="22" xfId="0" applyFont="1" applyBorder="1"/>
    <xf numFmtId="3" fontId="11" fillId="0" borderId="22" xfId="1" applyNumberFormat="1" applyFont="1" applyFill="1" applyBorder="1" applyAlignment="1" applyProtection="1">
      <alignment wrapText="1"/>
      <protection locked="0"/>
    </xf>
    <xf numFmtId="0" fontId="6" fillId="0" borderId="22" xfId="0" applyFont="1" applyBorder="1" applyAlignment="1">
      <alignment wrapText="1"/>
    </xf>
    <xf numFmtId="166" fontId="33" fillId="0" borderId="22" xfId="0" applyNumberFormat="1" applyFont="1" applyBorder="1" applyAlignment="1">
      <alignment wrapText="1"/>
    </xf>
    <xf numFmtId="9" fontId="6" fillId="0" borderId="22" xfId="138" applyFont="1" applyFill="1" applyBorder="1" applyAlignment="1">
      <alignment wrapText="1"/>
    </xf>
    <xf numFmtId="10" fontId="6" fillId="0" borderId="22" xfId="0" applyNumberFormat="1" applyFont="1" applyBorder="1" applyAlignment="1">
      <alignment wrapText="1"/>
    </xf>
    <xf numFmtId="9" fontId="6" fillId="0" borderId="22" xfId="0" applyNumberFormat="1" applyFont="1" applyBorder="1" applyAlignment="1">
      <alignment wrapText="1"/>
    </xf>
    <xf numFmtId="3" fontId="2" fillId="0" borderId="22" xfId="0" applyNumberFormat="1" applyFont="1" applyBorder="1" applyAlignment="1">
      <alignment horizontal="left"/>
    </xf>
    <xf numFmtId="165" fontId="6" fillId="0" borderId="22" xfId="2" applyNumberFormat="1" applyFont="1" applyFill="1" applyBorder="1" applyAlignment="1">
      <alignment wrapText="1"/>
    </xf>
    <xf numFmtId="165" fontId="0" fillId="0" borderId="0" xfId="2" applyNumberFormat="1" applyFont="1" applyFill="1"/>
    <xf numFmtId="0" fontId="34" fillId="0" borderId="0" xfId="0" applyFont="1" applyAlignment="1">
      <alignment horizontal="center"/>
    </xf>
    <xf numFmtId="0" fontId="0" fillId="29" borderId="0" xfId="0" applyFill="1"/>
    <xf numFmtId="165" fontId="0" fillId="29" borderId="0" xfId="2" applyNumberFormat="1" applyFont="1" applyFill="1"/>
    <xf numFmtId="0" fontId="7" fillId="0" borderId="0" xfId="0" applyFont="1" applyAlignment="1">
      <alignment horizontal="center" vertical="center" wrapText="1"/>
    </xf>
    <xf numFmtId="3" fontId="2" fillId="2" borderId="7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49" fontId="0" fillId="29" borderId="0" xfId="0" applyNumberFormat="1" applyFill="1"/>
    <xf numFmtId="0" fontId="35" fillId="29" borderId="0" xfId="0" applyFont="1" applyFill="1"/>
    <xf numFmtId="0" fontId="34" fillId="29" borderId="0" xfId="0" applyFont="1" applyFill="1" applyAlignment="1">
      <alignment horizontal="center"/>
    </xf>
    <xf numFmtId="0" fontId="11" fillId="29" borderId="0" xfId="0" applyFont="1" applyFill="1"/>
    <xf numFmtId="166" fontId="33" fillId="29" borderId="0" xfId="0" applyNumberFormat="1" applyFont="1" applyFill="1" applyAlignment="1">
      <alignment wrapText="1"/>
    </xf>
    <xf numFmtId="166" fontId="0" fillId="29" borderId="0" xfId="0" applyNumberFormat="1" applyFill="1"/>
    <xf numFmtId="165" fontId="0" fillId="29" borderId="0" xfId="2" applyNumberFormat="1" applyFont="1" applyFill="1" applyAlignment="1">
      <alignment horizontal="center"/>
    </xf>
    <xf numFmtId="165" fontId="0" fillId="0" borderId="0" xfId="2" applyNumberFormat="1" applyFont="1" applyFill="1" applyAlignment="1">
      <alignment horizontal="center"/>
    </xf>
    <xf numFmtId="165" fontId="34" fillId="0" borderId="0" xfId="2" applyNumberFormat="1" applyFont="1" applyFill="1" applyAlignment="1">
      <alignment horizontal="center"/>
    </xf>
    <xf numFmtId="0" fontId="0" fillId="0" borderId="7" xfId="0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165" fontId="0" fillId="0" borderId="0" xfId="2" applyNumberFormat="1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/>
    </xf>
    <xf numFmtId="165" fontId="0" fillId="0" borderId="0" xfId="2" applyNumberFormat="1" applyFont="1" applyFill="1" applyBorder="1" applyAlignment="1">
      <alignment vertical="center" wrapText="1"/>
    </xf>
    <xf numFmtId="165" fontId="0" fillId="0" borderId="0" xfId="2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65" fontId="0" fillId="0" borderId="2" xfId="2" applyNumberFormat="1" applyFont="1" applyFill="1" applyBorder="1" applyAlignment="1">
      <alignment vertical="center" wrapText="1"/>
    </xf>
    <xf numFmtId="165" fontId="0" fillId="0" borderId="2" xfId="2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34" fillId="30" borderId="9" xfId="0" applyFont="1" applyFill="1" applyBorder="1" applyAlignment="1">
      <alignment horizontal="center" vertical="center" wrapText="1"/>
    </xf>
    <xf numFmtId="0" fontId="34" fillId="30" borderId="10" xfId="0" applyFont="1" applyFill="1" applyBorder="1" applyAlignment="1">
      <alignment horizontal="center" vertical="center"/>
    </xf>
    <xf numFmtId="165" fontId="34" fillId="30" borderId="10" xfId="2" applyNumberFormat="1" applyFont="1" applyFill="1" applyBorder="1" applyAlignment="1">
      <alignment horizontal="center" vertical="center"/>
    </xf>
    <xf numFmtId="0" fontId="34" fillId="30" borderId="11" xfId="0" applyFont="1" applyFill="1" applyBorder="1" applyAlignment="1">
      <alignment horizontal="center" vertical="center"/>
    </xf>
    <xf numFmtId="166" fontId="33" fillId="0" borderId="0" xfId="0" applyNumberFormat="1" applyFont="1" applyAlignment="1">
      <alignment wrapText="1"/>
    </xf>
    <xf numFmtId="166" fontId="0" fillId="0" borderId="0" xfId="0" applyNumberFormat="1"/>
    <xf numFmtId="3" fontId="2" fillId="31" borderId="1" xfId="0" applyNumberFormat="1" applyFont="1" applyFill="1" applyBorder="1" applyAlignment="1">
      <alignment horizontal="left"/>
    </xf>
    <xf numFmtId="3" fontId="11" fillId="31" borderId="1" xfId="1" applyNumberFormat="1" applyFont="1" applyFill="1" applyBorder="1" applyAlignment="1" applyProtection="1">
      <alignment wrapText="1"/>
      <protection locked="0"/>
    </xf>
    <xf numFmtId="0" fontId="11" fillId="31" borderId="1" xfId="0" applyFont="1" applyFill="1" applyBorder="1"/>
    <xf numFmtId="0" fontId="36" fillId="31" borderId="1" xfId="0" applyFont="1" applyFill="1" applyBorder="1" applyAlignment="1">
      <alignment horizontal="center"/>
    </xf>
    <xf numFmtId="0" fontId="34" fillId="30" borderId="10" xfId="0" applyFont="1" applyFill="1" applyBorder="1" applyAlignment="1">
      <alignment horizontal="center" vertical="center" wrapText="1"/>
    </xf>
    <xf numFmtId="14" fontId="0" fillId="0" borderId="0" xfId="0" applyNumberFormat="1"/>
    <xf numFmtId="0" fontId="34" fillId="0" borderId="0" xfId="0" applyFont="1"/>
    <xf numFmtId="170" fontId="0" fillId="0" borderId="0" xfId="0" applyNumberFormat="1"/>
    <xf numFmtId="0" fontId="34" fillId="0" borderId="23" xfId="0" applyFont="1" applyBorder="1"/>
    <xf numFmtId="0" fontId="0" fillId="0" borderId="24" xfId="0" applyBorder="1"/>
    <xf numFmtId="170" fontId="0" fillId="0" borderId="25" xfId="0" applyNumberFormat="1" applyBorder="1"/>
    <xf numFmtId="0" fontId="0" fillId="0" borderId="23" xfId="0" applyBorder="1"/>
    <xf numFmtId="0" fontId="37" fillId="0" borderId="0" xfId="0" applyFont="1"/>
    <xf numFmtId="0" fontId="0" fillId="0" borderId="0" xfId="0" applyAlignment="1">
      <alignment horizontal="left" indent="2"/>
    </xf>
    <xf numFmtId="168" fontId="0" fillId="0" borderId="0" xfId="0" applyNumberFormat="1"/>
    <xf numFmtId="167" fontId="0" fillId="0" borderId="0" xfId="0" applyNumberFormat="1"/>
    <xf numFmtId="169" fontId="34" fillId="0" borderId="0" xfId="143" applyNumberFormat="1" applyFont="1" applyFill="1"/>
    <xf numFmtId="0" fontId="0" fillId="32" borderId="0" xfId="0" applyFill="1" applyAlignment="1">
      <alignment horizontal="left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27" xfId="0" applyNumberFormat="1" applyFont="1" applyFill="1" applyBorder="1" applyAlignment="1">
      <alignment horizontal="center" vertical="center"/>
    </xf>
    <xf numFmtId="3" fontId="2" fillId="2" borderId="27" xfId="0" applyNumberFormat="1" applyFont="1" applyFill="1" applyBorder="1" applyAlignment="1">
      <alignment horizontal="center" vertical="center" wrapText="1"/>
    </xf>
    <xf numFmtId="3" fontId="2" fillId="2" borderId="28" xfId="0" applyNumberFormat="1" applyFont="1" applyFill="1" applyBorder="1" applyAlignment="1">
      <alignment horizontal="center" vertical="center" wrapText="1"/>
    </xf>
    <xf numFmtId="0" fontId="4" fillId="33" borderId="28" xfId="0" applyFont="1" applyFill="1" applyBorder="1" applyAlignment="1">
      <alignment horizontal="center" vertical="center" wrapText="1"/>
    </xf>
    <xf numFmtId="3" fontId="2" fillId="33" borderId="26" xfId="0" applyNumberFormat="1" applyFont="1" applyFill="1" applyBorder="1" applyAlignment="1">
      <alignment horizontal="center" vertical="center"/>
    </xf>
    <xf numFmtId="0" fontId="4" fillId="33" borderId="29" xfId="0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/>
    </xf>
    <xf numFmtId="0" fontId="4" fillId="33" borderId="7" xfId="0" applyFont="1" applyFill="1" applyBorder="1" applyAlignment="1">
      <alignment horizontal="center" vertical="center" wrapText="1"/>
    </xf>
    <xf numFmtId="3" fontId="2" fillId="33" borderId="0" xfId="0" applyNumberFormat="1" applyFont="1" applyFill="1" applyAlignment="1">
      <alignment horizontal="center" vertical="center" wrapText="1"/>
    </xf>
    <xf numFmtId="49" fontId="2" fillId="33" borderId="0" xfId="0" applyNumberFormat="1" applyFont="1" applyFill="1" applyAlignment="1">
      <alignment horizontal="center" vertical="center"/>
    </xf>
    <xf numFmtId="3" fontId="2" fillId="33" borderId="0" xfId="0" applyNumberFormat="1" applyFont="1" applyFill="1" applyAlignment="1">
      <alignment horizontal="center" vertical="center"/>
    </xf>
    <xf numFmtId="0" fontId="4" fillId="33" borderId="3" xfId="0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/>
    </xf>
    <xf numFmtId="0" fontId="4" fillId="33" borderId="8" xfId="0" applyFont="1" applyFill="1" applyBorder="1" applyAlignment="1">
      <alignment horizontal="center" vertical="center" wrapText="1"/>
    </xf>
    <xf numFmtId="3" fontId="2" fillId="33" borderId="2" xfId="0" applyNumberFormat="1" applyFont="1" applyFill="1" applyBorder="1" applyAlignment="1">
      <alignment horizontal="center" vertical="center" wrapText="1"/>
    </xf>
    <xf numFmtId="49" fontId="2" fillId="33" borderId="2" xfId="0" applyNumberFormat="1" applyFont="1" applyFill="1" applyBorder="1" applyAlignment="1">
      <alignment horizontal="center" vertical="center"/>
    </xf>
    <xf numFmtId="3" fontId="2" fillId="33" borderId="2" xfId="0" applyNumberFormat="1" applyFont="1" applyFill="1" applyBorder="1" applyAlignment="1">
      <alignment horizontal="center" vertical="center"/>
    </xf>
    <xf numFmtId="0" fontId="4" fillId="33" borderId="4" xfId="0" applyFont="1" applyFill="1" applyBorder="1" applyAlignment="1">
      <alignment horizontal="center" vertical="center" wrapText="1"/>
    </xf>
    <xf numFmtId="165" fontId="0" fillId="0" borderId="0" xfId="2" applyNumberFormat="1" applyFont="1"/>
    <xf numFmtId="166" fontId="6" fillId="31" borderId="1" xfId="0" applyNumberFormat="1" applyFont="1" applyFill="1" applyBorder="1" applyAlignment="1">
      <alignment wrapText="1"/>
    </xf>
    <xf numFmtId="9" fontId="11" fillId="31" borderId="1" xfId="1" applyNumberFormat="1" applyFont="1" applyFill="1" applyBorder="1" applyAlignment="1">
      <alignment wrapText="1"/>
    </xf>
    <xf numFmtId="0" fontId="6" fillId="31" borderId="1" xfId="0" applyFont="1" applyFill="1" applyBorder="1" applyAlignment="1">
      <alignment wrapText="1"/>
    </xf>
    <xf numFmtId="166" fontId="33" fillId="31" borderId="1" xfId="0" applyNumberFormat="1" applyFont="1" applyFill="1" applyBorder="1" applyAlignment="1">
      <alignment wrapText="1"/>
    </xf>
    <xf numFmtId="9" fontId="6" fillId="31" borderId="1" xfId="0" applyNumberFormat="1" applyFont="1" applyFill="1" applyBorder="1" applyAlignment="1">
      <alignment wrapText="1"/>
    </xf>
    <xf numFmtId="10" fontId="6" fillId="31" borderId="1" xfId="0" applyNumberFormat="1" applyFont="1" applyFill="1" applyBorder="1" applyAlignment="1">
      <alignment wrapText="1"/>
    </xf>
    <xf numFmtId="49" fontId="0" fillId="0" borderId="0" xfId="0" applyNumberFormat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31" borderId="1" xfId="0" applyFont="1" applyFill="1" applyBorder="1" applyAlignment="1">
      <alignment horizontal="center" wrapText="1"/>
    </xf>
    <xf numFmtId="0" fontId="6" fillId="0" borderId="22" xfId="0" applyFont="1" applyBorder="1" applyAlignment="1">
      <alignment horizontal="center" wrapText="1"/>
    </xf>
    <xf numFmtId="49" fontId="0" fillId="29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5" fontId="4" fillId="0" borderId="29" xfId="2" applyNumberFormat="1" applyFont="1" applyFill="1" applyBorder="1" applyAlignment="1">
      <alignment horizontal="center" vertical="center" wrapText="1"/>
    </xf>
    <xf numFmtId="165" fontId="4" fillId="0" borderId="3" xfId="2" applyNumberFormat="1" applyFont="1" applyFill="1" applyBorder="1" applyAlignment="1">
      <alignment horizontal="center" vertical="center" wrapText="1"/>
    </xf>
    <xf numFmtId="165" fontId="4" fillId="0" borderId="4" xfId="2" applyNumberFormat="1" applyFont="1" applyFill="1" applyBorder="1" applyAlignment="1">
      <alignment horizontal="center" vertical="center" wrapText="1"/>
    </xf>
    <xf numFmtId="165" fontId="11" fillId="0" borderId="0" xfId="2" applyNumberFormat="1" applyFont="1" applyFill="1"/>
    <xf numFmtId="0" fontId="35" fillId="0" borderId="0" xfId="0" applyFont="1" applyAlignment="1">
      <alignment horizontal="center"/>
    </xf>
    <xf numFmtId="167" fontId="33" fillId="0" borderId="1" xfId="0" applyNumberFormat="1" applyFont="1" applyBorder="1" applyAlignment="1">
      <alignment wrapText="1"/>
    </xf>
    <xf numFmtId="167" fontId="0" fillId="0" borderId="0" xfId="2" applyNumberFormat="1" applyFont="1" applyFill="1" applyBorder="1" applyAlignment="1">
      <alignment vertical="center" wrapText="1"/>
    </xf>
    <xf numFmtId="167" fontId="34" fillId="0" borderId="0" xfId="143" applyNumberFormat="1" applyFont="1" applyFill="1"/>
    <xf numFmtId="167" fontId="0" fillId="32" borderId="0" xfId="144" applyNumberFormat="1" applyFont="1" applyFill="1"/>
    <xf numFmtId="0" fontId="0" fillId="34" borderId="0" xfId="0" applyFill="1"/>
    <xf numFmtId="167" fontId="0" fillId="34" borderId="0" xfId="0" applyNumberFormat="1" applyFill="1"/>
    <xf numFmtId="168" fontId="0" fillId="32" borderId="0" xfId="144" applyNumberFormat="1" applyFont="1" applyFill="1"/>
    <xf numFmtId="0" fontId="34" fillId="0" borderId="24" xfId="0" applyFont="1" applyBorder="1" applyAlignment="1">
      <alignment horizontal="center"/>
    </xf>
    <xf numFmtId="170" fontId="34" fillId="0" borderId="25" xfId="0" applyNumberFormat="1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167" fontId="0" fillId="0" borderId="24" xfId="0" applyNumberFormat="1" applyBorder="1"/>
    <xf numFmtId="167" fontId="34" fillId="0" borderId="24" xfId="0" applyNumberFormat="1" applyFont="1" applyBorder="1"/>
    <xf numFmtId="167" fontId="0" fillId="0" borderId="1" xfId="0" applyNumberFormat="1" applyBorder="1"/>
    <xf numFmtId="0" fontId="4" fillId="35" borderId="26" xfId="0" applyFont="1" applyFill="1" applyBorder="1" applyAlignment="1">
      <alignment horizontal="center" vertical="center" wrapText="1"/>
    </xf>
    <xf numFmtId="0" fontId="4" fillId="35" borderId="0" xfId="0" applyFont="1" applyFill="1" applyAlignment="1">
      <alignment horizontal="center" vertical="center" wrapText="1"/>
    </xf>
    <xf numFmtId="0" fontId="4" fillId="35" borderId="2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wrapText="1"/>
    </xf>
    <xf numFmtId="14" fontId="6" fillId="31" borderId="1" xfId="0" applyNumberFormat="1" applyFont="1" applyFill="1" applyBorder="1" applyAlignment="1">
      <alignment wrapText="1"/>
    </xf>
    <xf numFmtId="14" fontId="6" fillId="0" borderId="22" xfId="0" applyNumberFormat="1" applyFont="1" applyBorder="1" applyAlignment="1">
      <alignment wrapText="1"/>
    </xf>
    <xf numFmtId="0" fontId="38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4" fillId="33" borderId="26" xfId="0" applyFont="1" applyFill="1" applyBorder="1" applyAlignment="1">
      <alignment horizontal="center" vertical="center" wrapText="1"/>
    </xf>
    <xf numFmtId="0" fontId="4" fillId="33" borderId="0" xfId="0" applyFont="1" applyFill="1" applyAlignment="1">
      <alignment horizontal="center" vertical="center" wrapText="1"/>
    </xf>
    <xf numFmtId="0" fontId="4" fillId="33" borderId="2" xfId="0" applyFont="1" applyFill="1" applyBorder="1" applyAlignment="1">
      <alignment horizontal="center" vertical="center" wrapText="1"/>
    </xf>
    <xf numFmtId="14" fontId="11" fillId="0" borderId="0" xfId="0" applyNumberFormat="1" applyFont="1" applyAlignment="1">
      <alignment horizontal="center"/>
    </xf>
    <xf numFmtId="0" fontId="36" fillId="0" borderId="0" xfId="0" applyFont="1"/>
    <xf numFmtId="17" fontId="0" fillId="29" borderId="0" xfId="0" quotePrefix="1" applyNumberFormat="1" applyFill="1"/>
    <xf numFmtId="167" fontId="33" fillId="31" borderId="1" xfId="0" applyNumberFormat="1" applyFont="1" applyFill="1" applyBorder="1" applyAlignment="1">
      <alignment wrapText="1"/>
    </xf>
    <xf numFmtId="167" fontId="33" fillId="0" borderId="1" xfId="143" applyNumberFormat="1" applyFont="1" applyFill="1" applyBorder="1" applyAlignment="1">
      <alignment wrapText="1"/>
    </xf>
    <xf numFmtId="0" fontId="0" fillId="29" borderId="0" xfId="0" quotePrefix="1" applyFill="1"/>
    <xf numFmtId="0" fontId="0" fillId="0" borderId="7" xfId="0" applyBorder="1"/>
    <xf numFmtId="0" fontId="0" fillId="0" borderId="3" xfId="0" applyBorder="1"/>
    <xf numFmtId="169" fontId="33" fillId="0" borderId="1" xfId="143" applyNumberFormat="1" applyFont="1" applyFill="1" applyBorder="1" applyAlignment="1">
      <alignment wrapText="1"/>
    </xf>
    <xf numFmtId="169" fontId="33" fillId="31" borderId="1" xfId="143" applyNumberFormat="1" applyFont="1" applyFill="1" applyBorder="1" applyAlignment="1">
      <alignment wrapText="1"/>
    </xf>
    <xf numFmtId="169" fontId="33" fillId="0" borderId="22" xfId="143" applyNumberFormat="1" applyFont="1" applyFill="1" applyBorder="1" applyAlignment="1">
      <alignment wrapText="1"/>
    </xf>
    <xf numFmtId="167" fontId="0" fillId="0" borderId="2" xfId="2" applyNumberFormat="1" applyFont="1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0" fillId="36" borderId="0" xfId="0" applyFill="1" applyAlignment="1">
      <alignment vertical="center"/>
    </xf>
    <xf numFmtId="0" fontId="34" fillId="36" borderId="0" xfId="0" applyFont="1" applyFill="1" applyAlignment="1">
      <alignment horizontal="center" vertical="center"/>
    </xf>
    <xf numFmtId="0" fontId="43" fillId="36" borderId="0" xfId="0" applyFont="1" applyFill="1" applyAlignment="1">
      <alignment horizontal="center" vertical="center" wrapText="1"/>
    </xf>
    <xf numFmtId="0" fontId="6" fillId="34" borderId="0" xfId="0" applyFont="1" applyFill="1" applyAlignment="1">
      <alignment vertical="center"/>
    </xf>
    <xf numFmtId="0" fontId="34" fillId="37" borderId="0" xfId="0" applyFont="1" applyFill="1" applyAlignment="1">
      <alignment horizontal="center"/>
    </xf>
    <xf numFmtId="0" fontId="44" fillId="0" borderId="0" xfId="0" applyFont="1" applyAlignment="1">
      <alignment horizontal="left"/>
    </xf>
    <xf numFmtId="0" fontId="0" fillId="0" borderId="0" xfId="0" applyAlignment="1">
      <alignment horizontal="left"/>
    </xf>
    <xf numFmtId="171" fontId="0" fillId="0" borderId="0" xfId="0" applyNumberFormat="1"/>
    <xf numFmtId="0" fontId="44" fillId="0" borderId="0" xfId="0" applyFont="1"/>
    <xf numFmtId="0" fontId="44" fillId="0" borderId="30" xfId="0" applyFont="1" applyBorder="1"/>
    <xf numFmtId="0" fontId="45" fillId="0" borderId="0" xfId="0" applyFont="1" applyAlignment="1">
      <alignment vertical="center"/>
    </xf>
    <xf numFmtId="10" fontId="11" fillId="0" borderId="1" xfId="138" applyNumberFormat="1" applyFont="1" applyFill="1" applyBorder="1" applyAlignment="1">
      <alignment wrapText="1"/>
    </xf>
    <xf numFmtId="10" fontId="11" fillId="0" borderId="1" xfId="1" applyNumberFormat="1" applyFont="1" applyFill="1" applyBorder="1" applyAlignment="1">
      <alignment wrapText="1"/>
    </xf>
    <xf numFmtId="3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44" fillId="0" borderId="30" xfId="0" applyFont="1" applyBorder="1" applyAlignment="1">
      <alignment horizontal="left"/>
    </xf>
    <xf numFmtId="0" fontId="35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center" wrapText="1"/>
    </xf>
  </cellXfs>
  <cellStyles count="145">
    <cellStyle name="20% - 1. jelölőszín 2" xfId="9" xr:uid="{00000000-0005-0000-0000-000000000000}"/>
    <cellStyle name="20% - 2. jelölőszín 2" xfId="10" xr:uid="{00000000-0005-0000-0000-000001000000}"/>
    <cellStyle name="20% - 3. jelölőszín 2" xfId="11" xr:uid="{00000000-0005-0000-0000-000002000000}"/>
    <cellStyle name="20% - 4. jelölőszín 2" xfId="12" xr:uid="{00000000-0005-0000-0000-000003000000}"/>
    <cellStyle name="20% - 5. jelölőszín 2" xfId="13" xr:uid="{00000000-0005-0000-0000-000004000000}"/>
    <cellStyle name="20% - 6. jelölőszín 2" xfId="14" xr:uid="{00000000-0005-0000-0000-000005000000}"/>
    <cellStyle name="40% - 1. jelölőszín 2" xfId="15" xr:uid="{00000000-0005-0000-0000-000006000000}"/>
    <cellStyle name="40% - 2. jelölőszín 2" xfId="16" xr:uid="{00000000-0005-0000-0000-000007000000}"/>
    <cellStyle name="40% - 3. jelölőszín 2" xfId="17" xr:uid="{00000000-0005-0000-0000-000008000000}"/>
    <cellStyle name="40% - 4. jelölőszín 2" xfId="18" xr:uid="{00000000-0005-0000-0000-000009000000}"/>
    <cellStyle name="40% - 4. jelölőszín 3" xfId="53" xr:uid="{00000000-0005-0000-0000-00000A000000}"/>
    <cellStyle name="40% - 4. jelölőszín 3 2" xfId="116" xr:uid="{00000000-0005-0000-0000-00000B000000}"/>
    <cellStyle name="40% - 4. jelölőszín 4" xfId="61" xr:uid="{00000000-0005-0000-0000-00000C000000}"/>
    <cellStyle name="40% - 4. jelölőszín 4 2" xfId="118" xr:uid="{00000000-0005-0000-0000-00000D000000}"/>
    <cellStyle name="40% - 5. jelölőszín 2" xfId="19" xr:uid="{00000000-0005-0000-0000-00000E000000}"/>
    <cellStyle name="40% - 6. jelölőszín 2" xfId="20" xr:uid="{00000000-0005-0000-0000-00000F000000}"/>
    <cellStyle name="60% - 1. jelölőszín 2" xfId="21" xr:uid="{00000000-0005-0000-0000-000010000000}"/>
    <cellStyle name="60% - 2. jelölőszín 2" xfId="22" xr:uid="{00000000-0005-0000-0000-000011000000}"/>
    <cellStyle name="60% - 3. jelölőszín 2" xfId="23" xr:uid="{00000000-0005-0000-0000-000012000000}"/>
    <cellStyle name="60% - 4. jelölőszín 2" xfId="24" xr:uid="{00000000-0005-0000-0000-000013000000}"/>
    <cellStyle name="60% - 5. jelölőszín 2" xfId="25" xr:uid="{00000000-0005-0000-0000-000014000000}"/>
    <cellStyle name="60% - 6. jelölőszín 2" xfId="26" xr:uid="{00000000-0005-0000-0000-000015000000}"/>
    <cellStyle name="Bevitel" xfId="1" builtinId="20"/>
    <cellStyle name="Bevitel 2" xfId="27" xr:uid="{00000000-0005-0000-0000-000017000000}"/>
    <cellStyle name="Bevitel 2 2" xfId="56" xr:uid="{00000000-0005-0000-0000-000018000000}"/>
    <cellStyle name="Bevitel 2 2 2" xfId="106" xr:uid="{00000000-0005-0000-0000-000019000000}"/>
    <cellStyle name="Bevitel 2 2 3" xfId="109" xr:uid="{00000000-0005-0000-0000-00001A000000}"/>
    <cellStyle name="Bevitel 2 2 4" xfId="132" xr:uid="{00000000-0005-0000-0000-00001B000000}"/>
    <cellStyle name="Bevitel 2 2 5" xfId="137" xr:uid="{00000000-0005-0000-0000-00001C000000}"/>
    <cellStyle name="Bevitel 2 3" xfId="114" xr:uid="{00000000-0005-0000-0000-00001D000000}"/>
    <cellStyle name="Bevitel 2 4" xfId="126" xr:uid="{00000000-0005-0000-0000-00001E000000}"/>
    <cellStyle name="Bevitel 2 5" xfId="122" xr:uid="{00000000-0005-0000-0000-00001F000000}"/>
    <cellStyle name="Cím 2" xfId="28" xr:uid="{00000000-0005-0000-0000-000020000000}"/>
    <cellStyle name="Címsor 1 2" xfId="29" xr:uid="{00000000-0005-0000-0000-000021000000}"/>
    <cellStyle name="Címsor 2 2" xfId="30" xr:uid="{00000000-0005-0000-0000-000022000000}"/>
    <cellStyle name="Címsor 3 2" xfId="31" xr:uid="{00000000-0005-0000-0000-000023000000}"/>
    <cellStyle name="Címsor 4 2" xfId="32" xr:uid="{00000000-0005-0000-0000-000024000000}"/>
    <cellStyle name="Ellenőrzőcella 2" xfId="33" xr:uid="{00000000-0005-0000-0000-000025000000}"/>
    <cellStyle name="Ezres" xfId="2" builtinId="3"/>
    <cellStyle name="Ezres 2" xfId="139" xr:uid="{00000000-0005-0000-0000-000027000000}"/>
    <cellStyle name="Ezres 2 2" xfId="141" xr:uid="{00000000-0005-0000-0000-000028000000}"/>
    <cellStyle name="Ezres 3" xfId="142" xr:uid="{00000000-0005-0000-0000-000029000000}"/>
    <cellStyle name="Ezres 4" xfId="144" xr:uid="{00000000-0005-0000-0000-00002A000000}"/>
    <cellStyle name="Figyelmeztetés 2" xfId="34" xr:uid="{00000000-0005-0000-0000-00002B000000}"/>
    <cellStyle name="Hivatkozás 10" xfId="80" xr:uid="{00000000-0005-0000-0000-00002C000000}"/>
    <cellStyle name="Hivatkozás 11" xfId="82" xr:uid="{00000000-0005-0000-0000-00002D000000}"/>
    <cellStyle name="Hivatkozás 12" xfId="84" xr:uid="{00000000-0005-0000-0000-00002E000000}"/>
    <cellStyle name="Hivatkozás 13" xfId="86" xr:uid="{00000000-0005-0000-0000-00002F000000}"/>
    <cellStyle name="Hivatkozás 14" xfId="88" xr:uid="{00000000-0005-0000-0000-000030000000}"/>
    <cellStyle name="Hivatkozás 15" xfId="90" xr:uid="{00000000-0005-0000-0000-000031000000}"/>
    <cellStyle name="Hivatkozás 16" xfId="92" xr:uid="{00000000-0005-0000-0000-000032000000}"/>
    <cellStyle name="Hivatkozás 17" xfId="94" xr:uid="{00000000-0005-0000-0000-000033000000}"/>
    <cellStyle name="Hivatkozás 18" xfId="96" xr:uid="{00000000-0005-0000-0000-000034000000}"/>
    <cellStyle name="Hivatkozás 2" xfId="63" xr:uid="{00000000-0005-0000-0000-000035000000}"/>
    <cellStyle name="Hivatkozás 3" xfId="65" xr:uid="{00000000-0005-0000-0000-000036000000}"/>
    <cellStyle name="Hivatkozás 4" xfId="68" xr:uid="{00000000-0005-0000-0000-000037000000}"/>
    <cellStyle name="Hivatkozás 5" xfId="70" xr:uid="{00000000-0005-0000-0000-000038000000}"/>
    <cellStyle name="Hivatkozás 6" xfId="72" xr:uid="{00000000-0005-0000-0000-000039000000}"/>
    <cellStyle name="Hivatkozás 7" xfId="74" xr:uid="{00000000-0005-0000-0000-00003A000000}"/>
    <cellStyle name="Hivatkozás 8" xfId="76" xr:uid="{00000000-0005-0000-0000-00003B000000}"/>
    <cellStyle name="Hivatkozás 9" xfId="78" xr:uid="{00000000-0005-0000-0000-00003C000000}"/>
    <cellStyle name="Hivatkozott cella 2" xfId="35" xr:uid="{00000000-0005-0000-0000-00003D000000}"/>
    <cellStyle name="Jegyzet 2" xfId="36" xr:uid="{00000000-0005-0000-0000-00003E000000}"/>
    <cellStyle name="Jegyzet 2 2" xfId="57" xr:uid="{00000000-0005-0000-0000-00003F000000}"/>
    <cellStyle name="Jegyzet 2 2 2" xfId="105" xr:uid="{00000000-0005-0000-0000-000040000000}"/>
    <cellStyle name="Jegyzet 2 2 3" xfId="121" xr:uid="{00000000-0005-0000-0000-000041000000}"/>
    <cellStyle name="Jegyzet 2 2 4" xfId="131" xr:uid="{00000000-0005-0000-0000-000042000000}"/>
    <cellStyle name="Jegyzet 2 2 5" xfId="136" xr:uid="{00000000-0005-0000-0000-000043000000}"/>
    <cellStyle name="Jegyzet 2 3" xfId="108" xr:uid="{00000000-0005-0000-0000-000044000000}"/>
    <cellStyle name="Jegyzet 2 4" xfId="107" xr:uid="{00000000-0005-0000-0000-000045000000}"/>
    <cellStyle name="Jegyzet 2 5" xfId="99" xr:uid="{00000000-0005-0000-0000-000046000000}"/>
    <cellStyle name="Jelölőszín (1) 2" xfId="37" xr:uid="{00000000-0005-0000-0000-000047000000}"/>
    <cellStyle name="Jelölőszín (2) 2" xfId="38" xr:uid="{00000000-0005-0000-0000-000048000000}"/>
    <cellStyle name="Jelölőszín (2) 3" xfId="67" xr:uid="{00000000-0005-0000-0000-000049000000}"/>
    <cellStyle name="Jelölőszín (3) 2" xfId="39" xr:uid="{00000000-0005-0000-0000-00004A000000}"/>
    <cellStyle name="Jelölőszín (4) 2" xfId="40" xr:uid="{00000000-0005-0000-0000-00004B000000}"/>
    <cellStyle name="Jelölőszín (5) 2" xfId="41" xr:uid="{00000000-0005-0000-0000-00004C000000}"/>
    <cellStyle name="Jelölőszín (6) 2" xfId="42" xr:uid="{00000000-0005-0000-0000-00004D000000}"/>
    <cellStyle name="Jó 2" xfId="43" xr:uid="{00000000-0005-0000-0000-00004E000000}"/>
    <cellStyle name="Kimenet 2" xfId="44" xr:uid="{00000000-0005-0000-0000-00004F000000}"/>
    <cellStyle name="Kimenet 2 2" xfId="58" xr:uid="{00000000-0005-0000-0000-000050000000}"/>
    <cellStyle name="Kimenet 2 2 2" xfId="104" xr:uid="{00000000-0005-0000-0000-000051000000}"/>
    <cellStyle name="Kimenet 2 2 3" xfId="110" xr:uid="{00000000-0005-0000-0000-000052000000}"/>
    <cellStyle name="Kimenet 2 2 4" xfId="130" xr:uid="{00000000-0005-0000-0000-000053000000}"/>
    <cellStyle name="Kimenet 2 2 5" xfId="135" xr:uid="{00000000-0005-0000-0000-000054000000}"/>
    <cellStyle name="Kimenet 2 3" xfId="120" xr:uid="{00000000-0005-0000-0000-000055000000}"/>
    <cellStyle name="Kimenet 2 4" xfId="101" xr:uid="{00000000-0005-0000-0000-000056000000}"/>
    <cellStyle name="Kimenet 2 5" xfId="98" xr:uid="{00000000-0005-0000-0000-000057000000}"/>
    <cellStyle name="Látott hivatkozás 10" xfId="81" xr:uid="{00000000-0005-0000-0000-000058000000}"/>
    <cellStyle name="Látott hivatkozás 11" xfId="83" xr:uid="{00000000-0005-0000-0000-000059000000}"/>
    <cellStyle name="Látott hivatkozás 12" xfId="85" xr:uid="{00000000-0005-0000-0000-00005A000000}"/>
    <cellStyle name="Látott hivatkozás 13" xfId="87" xr:uid="{00000000-0005-0000-0000-00005B000000}"/>
    <cellStyle name="Látott hivatkozás 14" xfId="89" xr:uid="{00000000-0005-0000-0000-00005C000000}"/>
    <cellStyle name="Látott hivatkozás 15" xfId="91" xr:uid="{00000000-0005-0000-0000-00005D000000}"/>
    <cellStyle name="Látott hivatkozás 16" xfId="93" xr:uid="{00000000-0005-0000-0000-00005E000000}"/>
    <cellStyle name="Látott hivatkozás 17" xfId="95" xr:uid="{00000000-0005-0000-0000-00005F000000}"/>
    <cellStyle name="Látott hivatkozás 18" xfId="97" xr:uid="{00000000-0005-0000-0000-000060000000}"/>
    <cellStyle name="Látott hivatkozás 2" xfId="64" xr:uid="{00000000-0005-0000-0000-000061000000}"/>
    <cellStyle name="Látott hivatkozás 3" xfId="66" xr:uid="{00000000-0005-0000-0000-000062000000}"/>
    <cellStyle name="Látott hivatkozás 4" xfId="69" xr:uid="{00000000-0005-0000-0000-000063000000}"/>
    <cellStyle name="Látott hivatkozás 5" xfId="71" xr:uid="{00000000-0005-0000-0000-000064000000}"/>
    <cellStyle name="Látott hivatkozás 6" xfId="73" xr:uid="{00000000-0005-0000-0000-000065000000}"/>
    <cellStyle name="Látott hivatkozás 7" xfId="75" xr:uid="{00000000-0005-0000-0000-000066000000}"/>
    <cellStyle name="Látott hivatkozás 8" xfId="77" xr:uid="{00000000-0005-0000-0000-000067000000}"/>
    <cellStyle name="Látott hivatkozás 9" xfId="79" xr:uid="{00000000-0005-0000-0000-000068000000}"/>
    <cellStyle name="Magyarázó szöveg 2" xfId="45" xr:uid="{00000000-0005-0000-0000-000069000000}"/>
    <cellStyle name="Normál" xfId="0" builtinId="0"/>
    <cellStyle name="Normál 2" xfId="4" xr:uid="{00000000-0005-0000-0000-00006B000000}"/>
    <cellStyle name="Normál 2 2" xfId="8" xr:uid="{00000000-0005-0000-0000-00006C000000}"/>
    <cellStyle name="Normál 3" xfId="52" xr:uid="{00000000-0005-0000-0000-00006D000000}"/>
    <cellStyle name="Normál 3 2" xfId="54" xr:uid="{00000000-0005-0000-0000-00006E000000}"/>
    <cellStyle name="Normál 3 2 2" xfId="117" xr:uid="{00000000-0005-0000-0000-00006F000000}"/>
    <cellStyle name="Normál 3 3" xfId="62" xr:uid="{00000000-0005-0000-0000-000070000000}"/>
    <cellStyle name="Normál 3 3 2" xfId="119" xr:uid="{00000000-0005-0000-0000-000071000000}"/>
    <cellStyle name="Normál 3 4" xfId="115" xr:uid="{00000000-0005-0000-0000-000072000000}"/>
    <cellStyle name="Normál 4" xfId="7" xr:uid="{00000000-0005-0000-0000-000073000000}"/>
    <cellStyle name="Normál 5" xfId="3" xr:uid="{00000000-0005-0000-0000-000074000000}"/>
    <cellStyle name="Normál 6" xfId="140" xr:uid="{00000000-0005-0000-0000-000075000000}"/>
    <cellStyle name="Összesen 2" xfId="46" xr:uid="{00000000-0005-0000-0000-000076000000}"/>
    <cellStyle name="Összesen 2 2" xfId="59" xr:uid="{00000000-0005-0000-0000-000077000000}"/>
    <cellStyle name="Összesen 2 2 2" xfId="103" xr:uid="{00000000-0005-0000-0000-000078000000}"/>
    <cellStyle name="Összesen 2 2 3" xfId="111" xr:uid="{00000000-0005-0000-0000-000079000000}"/>
    <cellStyle name="Összesen 2 2 4" xfId="129" xr:uid="{00000000-0005-0000-0000-00007A000000}"/>
    <cellStyle name="Összesen 2 2 5" xfId="134" xr:uid="{00000000-0005-0000-0000-00007B000000}"/>
    <cellStyle name="Összesen 2 3" xfId="125" xr:uid="{00000000-0005-0000-0000-00007C000000}"/>
    <cellStyle name="Összesen 2 4" xfId="128" xr:uid="{00000000-0005-0000-0000-00007D000000}"/>
    <cellStyle name="Összesen 2 5" xfId="100" xr:uid="{00000000-0005-0000-0000-00007E000000}"/>
    <cellStyle name="Pénznem" xfId="143" builtinId="4"/>
    <cellStyle name="Pénznem 2" xfId="50" xr:uid="{00000000-0005-0000-0000-000080000000}"/>
    <cellStyle name="Pénznem 3" xfId="5" xr:uid="{00000000-0005-0000-0000-000081000000}"/>
    <cellStyle name="Rossz 2" xfId="47" xr:uid="{00000000-0005-0000-0000-000082000000}"/>
    <cellStyle name="Semleges 2" xfId="48" xr:uid="{00000000-0005-0000-0000-000083000000}"/>
    <cellStyle name="Számítás 2" xfId="49" xr:uid="{00000000-0005-0000-0000-000084000000}"/>
    <cellStyle name="Számítás 2 2" xfId="60" xr:uid="{00000000-0005-0000-0000-000085000000}"/>
    <cellStyle name="Számítás 2 2 2" xfId="102" xr:uid="{00000000-0005-0000-0000-000086000000}"/>
    <cellStyle name="Számítás 2 2 3" xfId="112" xr:uid="{00000000-0005-0000-0000-000087000000}"/>
    <cellStyle name="Számítás 2 2 4" xfId="123" xr:uid="{00000000-0005-0000-0000-000088000000}"/>
    <cellStyle name="Számítás 2 2 5" xfId="133" xr:uid="{00000000-0005-0000-0000-000089000000}"/>
    <cellStyle name="Számítás 2 3" xfId="124" xr:uid="{00000000-0005-0000-0000-00008A000000}"/>
    <cellStyle name="Számítás 2 4" xfId="127" xr:uid="{00000000-0005-0000-0000-00008B000000}"/>
    <cellStyle name="Számítás 2 5" xfId="113" xr:uid="{00000000-0005-0000-0000-00008C000000}"/>
    <cellStyle name="Százalék" xfId="138" builtinId="5"/>
    <cellStyle name="Százalék 2" xfId="51" xr:uid="{00000000-0005-0000-0000-00008E000000}"/>
    <cellStyle name="Százalék 3" xfId="6" xr:uid="{00000000-0005-0000-0000-00008F000000}"/>
    <cellStyle name="TableStyleLight1" xfId="55" xr:uid="{00000000-0005-0000-0000-00009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5"/>
  <sheetViews>
    <sheetView tabSelected="1" topLeftCell="E1" zoomScaleNormal="100" workbookViewId="0">
      <pane ySplit="5" topLeftCell="A103" activePane="bottomLeft" state="frozen"/>
      <selection pane="bottomLeft" activeCell="U1" sqref="U1"/>
    </sheetView>
  </sheetViews>
  <sheetFormatPr defaultRowHeight="15" outlineLevelRow="1" x14ac:dyDescent="0.25"/>
  <cols>
    <col min="1" max="1" width="33.7109375" customWidth="1"/>
    <col min="2" max="2" width="19.7109375" bestFit="1" customWidth="1"/>
    <col min="3" max="3" width="11.85546875" bestFit="1" customWidth="1"/>
    <col min="4" max="4" width="14.140625" customWidth="1"/>
    <col min="5" max="5" width="14.5703125" customWidth="1"/>
    <col min="6" max="6" width="10.7109375" bestFit="1" customWidth="1"/>
    <col min="7" max="8" width="11.85546875" customWidth="1"/>
    <col min="9" max="10" width="11" customWidth="1"/>
    <col min="11" max="11" width="8.140625" style="2" customWidth="1"/>
    <col min="12" max="14" width="13.28515625" style="2" bestFit="1" customWidth="1"/>
    <col min="15" max="15" width="13.28515625" bestFit="1" customWidth="1"/>
    <col min="16" max="16" width="14.42578125" bestFit="1" customWidth="1"/>
    <col min="17" max="17" width="14.7109375" bestFit="1" customWidth="1"/>
    <col min="18" max="18" width="13.140625" customWidth="1"/>
    <col min="19" max="20" width="13.5703125" style="104" customWidth="1"/>
    <col min="21" max="21" width="9.5703125" style="97" bestFit="1" customWidth="1"/>
    <col min="22" max="22" width="11.42578125" customWidth="1"/>
    <col min="23" max="23" width="11" customWidth="1"/>
    <col min="24" max="24" width="10.7109375" customWidth="1"/>
  </cols>
  <sheetData>
    <row r="1" spans="1:24" x14ac:dyDescent="0.25">
      <c r="A1" t="s">
        <v>163</v>
      </c>
      <c r="C1" t="s">
        <v>174</v>
      </c>
      <c r="D1" t="s">
        <v>175</v>
      </c>
      <c r="E1" t="s">
        <v>165</v>
      </c>
      <c r="L1" s="2" t="s">
        <v>160</v>
      </c>
      <c r="M1" s="2" t="s">
        <v>161</v>
      </c>
      <c r="T1" s="104" t="s">
        <v>164</v>
      </c>
      <c r="U1" t="s">
        <v>176</v>
      </c>
    </row>
    <row r="2" spans="1:24" ht="18.75" customHeight="1" x14ac:dyDescent="0.3">
      <c r="A2" s="169" t="s">
        <v>81</v>
      </c>
      <c r="B2" s="169"/>
      <c r="C2" s="169"/>
      <c r="D2" s="169"/>
      <c r="E2" s="169"/>
      <c r="F2" s="26"/>
      <c r="N2" s="134"/>
      <c r="O2" s="135"/>
      <c r="P2" s="135"/>
      <c r="Q2" s="135"/>
      <c r="U2" s="22"/>
      <c r="V2" s="151" t="e">
        <f>IF(VLOOKUP($T2,'Havi béradatok'!$B:$E,2,FALSE)=E2,"EGYEZIK","HIBÁS")</f>
        <v>#N/A</v>
      </c>
      <c r="W2" s="165" t="e">
        <f>VLOOKUP($T2,'Havi béradatok'!$B:$E,3,FALSE)-G2</f>
        <v>#N/A</v>
      </c>
      <c r="X2" s="166" t="e">
        <f>VLOOKUP($T2,'Havi béradatok'!$B:$E,4,FALSE)-H2</f>
        <v>#N/A</v>
      </c>
    </row>
    <row r="3" spans="1:24" ht="15" customHeight="1" x14ac:dyDescent="0.25">
      <c r="A3" s="79" t="s">
        <v>0</v>
      </c>
      <c r="B3" s="80"/>
      <c r="C3" s="80"/>
      <c r="D3" s="80" t="s">
        <v>133</v>
      </c>
      <c r="E3" s="80" t="s">
        <v>24</v>
      </c>
      <c r="F3" s="81"/>
      <c r="G3" s="82" t="s">
        <v>25</v>
      </c>
      <c r="H3" s="136"/>
      <c r="I3" s="83" t="s">
        <v>26</v>
      </c>
      <c r="J3" s="83" t="s">
        <v>61</v>
      </c>
      <c r="K3" s="83" t="s">
        <v>62</v>
      </c>
      <c r="L3" s="83"/>
      <c r="M3" s="83"/>
      <c r="N3" s="83"/>
      <c r="O3" s="83"/>
      <c r="P3" s="84" t="s">
        <v>27</v>
      </c>
      <c r="Q3" s="136" t="s">
        <v>58</v>
      </c>
      <c r="R3" s="128"/>
      <c r="S3" s="83" t="s">
        <v>42</v>
      </c>
      <c r="T3" s="83"/>
      <c r="U3" s="110"/>
      <c r="V3" s="152"/>
      <c r="W3" s="152"/>
      <c r="X3" s="152"/>
    </row>
    <row r="4" spans="1:24" ht="24.75" customHeight="1" x14ac:dyDescent="0.25">
      <c r="A4" s="85" t="s">
        <v>28</v>
      </c>
      <c r="B4" s="77" t="s">
        <v>1</v>
      </c>
      <c r="C4" s="77" t="s">
        <v>5</v>
      </c>
      <c r="D4" s="77" t="s">
        <v>134</v>
      </c>
      <c r="E4" s="77" t="s">
        <v>29</v>
      </c>
      <c r="F4" s="27" t="s">
        <v>10</v>
      </c>
      <c r="G4" s="86" t="s">
        <v>30</v>
      </c>
      <c r="H4" s="137" t="s">
        <v>157</v>
      </c>
      <c r="I4" s="87" t="s">
        <v>31</v>
      </c>
      <c r="J4" s="87" t="s">
        <v>27</v>
      </c>
      <c r="K4" s="88" t="s">
        <v>2</v>
      </c>
      <c r="L4" s="89" t="s">
        <v>13</v>
      </c>
      <c r="M4" s="89" t="s">
        <v>32</v>
      </c>
      <c r="N4" s="89" t="s">
        <v>48</v>
      </c>
      <c r="O4" s="89" t="s">
        <v>3</v>
      </c>
      <c r="P4" s="90" t="s">
        <v>33</v>
      </c>
      <c r="Q4" s="137" t="s">
        <v>59</v>
      </c>
      <c r="R4" s="129" t="s">
        <v>57</v>
      </c>
      <c r="S4" s="88" t="s">
        <v>43</v>
      </c>
      <c r="T4" s="88" t="s">
        <v>150</v>
      </c>
      <c r="U4" s="111"/>
      <c r="V4" s="153" t="s">
        <v>159</v>
      </c>
      <c r="W4" s="153" t="s">
        <v>160</v>
      </c>
      <c r="X4" s="153" t="s">
        <v>161</v>
      </c>
    </row>
    <row r="5" spans="1:24" ht="18.75" customHeight="1" x14ac:dyDescent="0.25">
      <c r="A5" s="91" t="s">
        <v>34</v>
      </c>
      <c r="B5" s="78"/>
      <c r="C5" s="78" t="s">
        <v>35</v>
      </c>
      <c r="D5" s="78" t="s">
        <v>135</v>
      </c>
      <c r="E5" s="78" t="s">
        <v>36</v>
      </c>
      <c r="F5" s="28"/>
      <c r="G5" s="92" t="s">
        <v>37</v>
      </c>
      <c r="H5" s="138" t="s">
        <v>158</v>
      </c>
      <c r="I5" s="93" t="s">
        <v>38</v>
      </c>
      <c r="J5" s="93"/>
      <c r="K5" s="94"/>
      <c r="L5" s="93" t="s">
        <v>39</v>
      </c>
      <c r="M5" s="93" t="s">
        <v>40</v>
      </c>
      <c r="N5" s="93" t="s">
        <v>49</v>
      </c>
      <c r="O5" s="95"/>
      <c r="P5" s="96" t="s">
        <v>41</v>
      </c>
      <c r="Q5" s="138" t="s">
        <v>60</v>
      </c>
      <c r="R5" s="130"/>
      <c r="S5" s="94" t="s">
        <v>44</v>
      </c>
      <c r="T5" s="94" t="s">
        <v>151</v>
      </c>
      <c r="U5" s="112"/>
      <c r="V5" s="154" t="s">
        <v>162</v>
      </c>
      <c r="W5" s="154" t="s">
        <v>162</v>
      </c>
      <c r="X5" s="154" t="s">
        <v>162</v>
      </c>
    </row>
    <row r="6" spans="1:24" ht="15" customHeight="1" x14ac:dyDescent="0.25">
      <c r="A6" s="3"/>
      <c r="B6" s="1"/>
      <c r="C6" s="4"/>
      <c r="D6" s="4"/>
      <c r="E6" s="3"/>
      <c r="F6" s="3"/>
      <c r="G6" s="7"/>
      <c r="H6" s="7"/>
      <c r="I6" s="163" t="e">
        <f>K6/J6</f>
        <v>#DIV/0!</v>
      </c>
      <c r="J6" s="6"/>
      <c r="K6" s="6"/>
      <c r="L6" s="147" t="e">
        <f>ROUND(G6*I6,0)</f>
        <v>#DIV/0!</v>
      </c>
      <c r="M6" s="10" t="e">
        <f t="shared" ref="M6:M7" si="0">ROUND(L6*Q6,0)</f>
        <v>#DIV/0!</v>
      </c>
      <c r="N6" s="143" t="e">
        <f>SUM(L6:M6)/Monitoring!$B$19</f>
        <v>#DIV/0!</v>
      </c>
      <c r="O6" s="8" t="e">
        <f t="shared" ref="O6:O7" si="1">L6/G6</f>
        <v>#DIV/0!</v>
      </c>
      <c r="P6" s="11" t="e">
        <f t="shared" ref="P6:P7" si="2">I6-O6</f>
        <v>#DIV/0!</v>
      </c>
      <c r="Q6" s="11">
        <v>0.13</v>
      </c>
      <c r="R6" s="131"/>
      <c r="S6" s="105"/>
      <c r="T6" s="105"/>
      <c r="U6" s="22"/>
    </row>
    <row r="7" spans="1:24" ht="15" customHeight="1" x14ac:dyDescent="0.25">
      <c r="A7" s="3" t="s">
        <v>115</v>
      </c>
      <c r="B7" s="1" t="s">
        <v>94</v>
      </c>
      <c r="C7" s="4" t="s">
        <v>70</v>
      </c>
      <c r="D7" s="4" t="s">
        <v>90</v>
      </c>
      <c r="E7" s="3" t="s">
        <v>110</v>
      </c>
      <c r="F7" s="3" t="s">
        <v>11</v>
      </c>
      <c r="G7" s="7">
        <v>558196</v>
      </c>
      <c r="H7" s="7">
        <f>ROUND(G7*Q7,0)</f>
        <v>72565</v>
      </c>
      <c r="I7" s="163">
        <f>K7/J7</f>
        <v>9.1954022988505746E-2</v>
      </c>
      <c r="J7" s="6">
        <v>174</v>
      </c>
      <c r="K7" s="6">
        <v>16</v>
      </c>
      <c r="L7" s="147">
        <v>45490</v>
      </c>
      <c r="M7" s="10">
        <f t="shared" si="0"/>
        <v>5914</v>
      </c>
      <c r="N7" s="143">
        <f>SUM(L7:M7)/Monitoring!$B$19</f>
        <v>145.18033157285282</v>
      </c>
      <c r="O7" s="8">
        <f t="shared" si="1"/>
        <v>8.149467212233695E-2</v>
      </c>
      <c r="P7" s="11">
        <f t="shared" si="2"/>
        <v>1.0459350866168796E-2</v>
      </c>
      <c r="Q7" s="11">
        <v>0.13</v>
      </c>
      <c r="R7" s="131">
        <v>44552</v>
      </c>
      <c r="S7" s="105" t="s">
        <v>114</v>
      </c>
      <c r="T7" s="105"/>
      <c r="U7" s="22"/>
    </row>
    <row r="8" spans="1:24" ht="15" customHeight="1" x14ac:dyDescent="0.25">
      <c r="A8" s="3" t="s">
        <v>115</v>
      </c>
      <c r="B8" s="1" t="s">
        <v>94</v>
      </c>
      <c r="C8" s="4" t="s">
        <v>71</v>
      </c>
      <c r="D8" s="4" t="s">
        <v>90</v>
      </c>
      <c r="E8" s="3" t="s">
        <v>110</v>
      </c>
      <c r="F8" s="3" t="s">
        <v>11</v>
      </c>
      <c r="G8" s="7">
        <v>418647</v>
      </c>
      <c r="H8" s="7">
        <f t="shared" ref="H8:H75" si="3">ROUND(G8*Q8,0)</f>
        <v>54424</v>
      </c>
      <c r="I8" s="163">
        <f t="shared" ref="I8" si="4">K8/J8</f>
        <v>8.6206896551724144E-2</v>
      </c>
      <c r="J8" s="6">
        <v>174</v>
      </c>
      <c r="K8" s="6">
        <v>15</v>
      </c>
      <c r="L8" s="147">
        <f t="shared" ref="L8" si="5">ROUND(G8*I8,0)</f>
        <v>36090</v>
      </c>
      <c r="M8" s="10">
        <f t="shared" ref="M8" si="6">ROUND(L8*Q8,0)</f>
        <v>4692</v>
      </c>
      <c r="N8" s="143">
        <f>SUM(L8:M8)/Monitoring!$B$19</f>
        <v>115.18061400288079</v>
      </c>
      <c r="O8" s="8">
        <f t="shared" ref="O8" si="7">L8/G8</f>
        <v>8.6206278798128255E-2</v>
      </c>
      <c r="P8" s="11">
        <f t="shared" ref="P8" si="8">I8-O8</f>
        <v>6.1775359588844836E-7</v>
      </c>
      <c r="Q8" s="11">
        <v>0.13</v>
      </c>
      <c r="R8" s="131">
        <v>44599</v>
      </c>
      <c r="S8" s="105" t="s">
        <v>114</v>
      </c>
      <c r="T8" s="105"/>
      <c r="U8" s="22"/>
    </row>
    <row r="9" spans="1:24" ht="15" customHeight="1" x14ac:dyDescent="0.25">
      <c r="A9" s="3" t="s">
        <v>115</v>
      </c>
      <c r="B9" s="1" t="s">
        <v>94</v>
      </c>
      <c r="C9" s="4" t="s">
        <v>72</v>
      </c>
      <c r="D9" s="4" t="s">
        <v>90</v>
      </c>
      <c r="E9" s="3" t="s">
        <v>110</v>
      </c>
      <c r="F9" s="3" t="s">
        <v>11</v>
      </c>
      <c r="G9" s="7">
        <v>482079</v>
      </c>
      <c r="H9" s="7">
        <f t="shared" si="3"/>
        <v>62670</v>
      </c>
      <c r="I9" s="163">
        <f t="shared" ref="I9:I11" si="9">K9/J9</f>
        <v>8.6206896551724144E-2</v>
      </c>
      <c r="J9" s="6">
        <v>174</v>
      </c>
      <c r="K9" s="6">
        <v>15</v>
      </c>
      <c r="L9" s="147">
        <v>41556</v>
      </c>
      <c r="M9" s="10">
        <f t="shared" ref="M9:M11" si="10">ROUND(L9*Q9,0)</f>
        <v>5402</v>
      </c>
      <c r="N9" s="143">
        <f>SUM(L9:M9)/Monitoring!$B$19</f>
        <v>132.62349252972575</v>
      </c>
      <c r="O9" s="8">
        <f t="shared" ref="O9:O11" si="11">L9/G9</f>
        <v>8.6201639150429707E-2</v>
      </c>
      <c r="P9" s="11">
        <f t="shared" ref="P9:P11" si="12">I9-O9</f>
        <v>5.2574012944367476E-6</v>
      </c>
      <c r="Q9" s="11">
        <v>0.13</v>
      </c>
      <c r="R9" s="131">
        <v>44599</v>
      </c>
      <c r="S9" s="105" t="s">
        <v>114</v>
      </c>
      <c r="T9" s="105"/>
      <c r="U9" s="22"/>
    </row>
    <row r="10" spans="1:24" s="12" customFormat="1" ht="15" customHeight="1" x14ac:dyDescent="0.25">
      <c r="A10" s="3" t="s">
        <v>115</v>
      </c>
      <c r="B10" s="1" t="s">
        <v>94</v>
      </c>
      <c r="C10" s="4" t="s">
        <v>73</v>
      </c>
      <c r="D10" s="4" t="s">
        <v>90</v>
      </c>
      <c r="E10" s="3" t="s">
        <v>110</v>
      </c>
      <c r="F10" s="3" t="s">
        <v>11</v>
      </c>
      <c r="G10" s="7">
        <v>528816</v>
      </c>
      <c r="H10" s="7">
        <f t="shared" si="3"/>
        <v>68746</v>
      </c>
      <c r="I10" s="163">
        <f t="shared" si="9"/>
        <v>8.6206896551724144E-2</v>
      </c>
      <c r="J10" s="6">
        <v>174</v>
      </c>
      <c r="K10" s="6">
        <v>15</v>
      </c>
      <c r="L10" s="147">
        <v>45588</v>
      </c>
      <c r="M10" s="10">
        <f t="shared" si="10"/>
        <v>5926</v>
      </c>
      <c r="N10" s="143">
        <f>SUM(L10:M10)/Monitoring!$B$19</f>
        <v>145.49100460360947</v>
      </c>
      <c r="O10" s="8">
        <f t="shared" si="11"/>
        <v>8.6207679041481342E-2</v>
      </c>
      <c r="P10" s="11">
        <f t="shared" si="12"/>
        <v>-7.8248975719785729E-7</v>
      </c>
      <c r="Q10" s="11">
        <v>0.13</v>
      </c>
      <c r="R10" s="131">
        <v>44599</v>
      </c>
      <c r="S10" s="105" t="s">
        <v>114</v>
      </c>
      <c r="T10" s="105"/>
      <c r="U10" s="113"/>
    </row>
    <row r="11" spans="1:24" s="12" customFormat="1" ht="15" customHeight="1" x14ac:dyDescent="0.25">
      <c r="A11" s="3" t="s">
        <v>115</v>
      </c>
      <c r="B11" s="1" t="s">
        <v>94</v>
      </c>
      <c r="C11" s="4" t="s">
        <v>74</v>
      </c>
      <c r="D11" s="4" t="s">
        <v>90</v>
      </c>
      <c r="E11" s="3" t="s">
        <v>110</v>
      </c>
      <c r="F11" s="3" t="s">
        <v>11</v>
      </c>
      <c r="G11" s="7">
        <v>598196</v>
      </c>
      <c r="H11" s="7">
        <f t="shared" si="3"/>
        <v>77765</v>
      </c>
      <c r="I11" s="163">
        <f t="shared" si="9"/>
        <v>8.0459770114942528E-2</v>
      </c>
      <c r="J11" s="6">
        <v>174</v>
      </c>
      <c r="K11" s="6">
        <v>14</v>
      </c>
      <c r="L11" s="147">
        <f>ROUND(G11*I11,0)</f>
        <v>48131</v>
      </c>
      <c r="M11" s="10">
        <f t="shared" si="10"/>
        <v>6257</v>
      </c>
      <c r="N11" s="143">
        <f>SUM(L11:M11)/Monitoring!$B$19</f>
        <v>153.60804360719632</v>
      </c>
      <c r="O11" s="8">
        <f t="shared" si="11"/>
        <v>8.0460250486462631E-2</v>
      </c>
      <c r="P11" s="11">
        <f t="shared" si="12"/>
        <v>-4.8037152010349526E-7</v>
      </c>
      <c r="Q11" s="11">
        <v>0.13</v>
      </c>
      <c r="R11" s="131">
        <v>44686</v>
      </c>
      <c r="S11" s="105" t="s">
        <v>114</v>
      </c>
      <c r="T11" s="105"/>
      <c r="U11" s="113"/>
    </row>
    <row r="12" spans="1:24" s="12" customFormat="1" ht="15" customHeight="1" x14ac:dyDescent="0.25">
      <c r="A12" s="3" t="s">
        <v>115</v>
      </c>
      <c r="B12" s="1" t="s">
        <v>94</v>
      </c>
      <c r="C12" s="4" t="s">
        <v>75</v>
      </c>
      <c r="D12" s="4" t="s">
        <v>90</v>
      </c>
      <c r="E12" s="3" t="s">
        <v>110</v>
      </c>
      <c r="F12" s="3" t="s">
        <v>11</v>
      </c>
      <c r="G12" s="7">
        <v>598196</v>
      </c>
      <c r="H12" s="7">
        <f t="shared" si="3"/>
        <v>77765</v>
      </c>
      <c r="I12" s="163">
        <f t="shared" ref="I12" si="13">K12/J12</f>
        <v>8.0459770114942528E-2</v>
      </c>
      <c r="J12" s="6">
        <v>174</v>
      </c>
      <c r="K12" s="6">
        <v>14</v>
      </c>
      <c r="L12" s="147">
        <f t="shared" ref="L12" si="14">ROUND(G12*I12,0)</f>
        <v>48131</v>
      </c>
      <c r="M12" s="10">
        <f t="shared" ref="M12" si="15">ROUND(L12*Q12,0)</f>
        <v>6257</v>
      </c>
      <c r="N12" s="143">
        <f>SUM(L12:M12)/Monitoring!$B$19</f>
        <v>153.60804360719632</v>
      </c>
      <c r="O12" s="8">
        <f t="shared" ref="O12" si="16">L12/G12</f>
        <v>8.0460250486462631E-2</v>
      </c>
      <c r="P12" s="11">
        <f t="shared" ref="P12" si="17">I12-O12</f>
        <v>-4.8037152010349526E-7</v>
      </c>
      <c r="Q12" s="11">
        <v>0.13</v>
      </c>
      <c r="R12" s="131">
        <v>44686</v>
      </c>
      <c r="S12" s="105" t="s">
        <v>114</v>
      </c>
      <c r="T12" s="105"/>
      <c r="U12" s="113"/>
    </row>
    <row r="13" spans="1:24" s="12" customFormat="1" ht="15" customHeight="1" x14ac:dyDescent="0.25">
      <c r="A13" s="3" t="s">
        <v>115</v>
      </c>
      <c r="B13" s="1" t="s">
        <v>94</v>
      </c>
      <c r="C13" s="4" t="s">
        <v>76</v>
      </c>
      <c r="D13" s="4" t="s">
        <v>90</v>
      </c>
      <c r="E13" s="3" t="s">
        <v>110</v>
      </c>
      <c r="F13" s="3" t="s">
        <v>11</v>
      </c>
      <c r="G13" s="7">
        <v>558196</v>
      </c>
      <c r="H13" s="7">
        <f t="shared" si="3"/>
        <v>72565</v>
      </c>
      <c r="I13" s="163">
        <f t="shared" ref="I13" si="18">K13/J13</f>
        <v>8.6206896551724144E-2</v>
      </c>
      <c r="J13" s="6">
        <v>174</v>
      </c>
      <c r="K13" s="6">
        <v>15</v>
      </c>
      <c r="L13" s="147">
        <v>45490</v>
      </c>
      <c r="M13" s="10">
        <f t="shared" ref="M13" si="19">ROUND(L13*Q13,0)</f>
        <v>5914</v>
      </c>
      <c r="N13" s="143">
        <f>SUM(L13:M13)/Monitoring!$B$19</f>
        <v>145.18033157285282</v>
      </c>
      <c r="O13" s="8">
        <f t="shared" ref="O13" si="20">L13/G13</f>
        <v>8.149467212233695E-2</v>
      </c>
      <c r="P13" s="11">
        <f t="shared" ref="P13" si="21">I13-O13</f>
        <v>4.7122244293871934E-3</v>
      </c>
      <c r="Q13" s="11">
        <v>0.13</v>
      </c>
      <c r="R13" s="131">
        <v>44728</v>
      </c>
      <c r="S13" s="105" t="s">
        <v>114</v>
      </c>
      <c r="T13" s="105"/>
      <c r="U13" s="113"/>
    </row>
    <row r="14" spans="1:24" s="12" customFormat="1" ht="15" customHeight="1" x14ac:dyDescent="0.25">
      <c r="A14" s="3" t="s">
        <v>115</v>
      </c>
      <c r="B14" s="1" t="s">
        <v>94</v>
      </c>
      <c r="C14" s="4" t="s">
        <v>77</v>
      </c>
      <c r="D14" s="4" t="s">
        <v>90</v>
      </c>
      <c r="E14" s="3" t="s">
        <v>110</v>
      </c>
      <c r="F14" s="3" t="s">
        <v>11</v>
      </c>
      <c r="G14" s="7">
        <v>558196</v>
      </c>
      <c r="H14" s="7">
        <f t="shared" si="3"/>
        <v>72565</v>
      </c>
      <c r="I14" s="163">
        <f t="shared" ref="I14:I18" si="22">K14/J14</f>
        <v>8.6206896551724144E-2</v>
      </c>
      <c r="J14" s="6">
        <v>174</v>
      </c>
      <c r="K14" s="6">
        <v>15</v>
      </c>
      <c r="L14" s="147">
        <v>45490</v>
      </c>
      <c r="M14" s="10">
        <f t="shared" ref="M14:M18" si="23">ROUND(L14*Q14,0)</f>
        <v>5914</v>
      </c>
      <c r="N14" s="143">
        <f>SUM(L14:M14)/Monitoring!$B$19</f>
        <v>145.18033157285282</v>
      </c>
      <c r="O14" s="8">
        <f t="shared" ref="O14:O18" si="24">L14/G14</f>
        <v>8.149467212233695E-2</v>
      </c>
      <c r="P14" s="11">
        <f t="shared" ref="P14:P18" si="25">I14-O14</f>
        <v>4.7122244293871934E-3</v>
      </c>
      <c r="Q14" s="11">
        <v>0.13</v>
      </c>
      <c r="R14" s="131">
        <v>44728</v>
      </c>
      <c r="S14" s="105" t="s">
        <v>114</v>
      </c>
      <c r="T14" s="105"/>
      <c r="U14" s="113"/>
    </row>
    <row r="15" spans="1:24" s="12" customFormat="1" ht="15" customHeight="1" x14ac:dyDescent="0.25">
      <c r="A15" s="3" t="s">
        <v>115</v>
      </c>
      <c r="B15" s="1" t="s">
        <v>94</v>
      </c>
      <c r="C15" s="4" t="s">
        <v>78</v>
      </c>
      <c r="D15" s="4" t="s">
        <v>90</v>
      </c>
      <c r="E15" s="3" t="s">
        <v>110</v>
      </c>
      <c r="F15" s="3" t="s">
        <v>11</v>
      </c>
      <c r="G15" s="7">
        <v>558196</v>
      </c>
      <c r="H15" s="7">
        <f t="shared" si="3"/>
        <v>72565</v>
      </c>
      <c r="I15" s="163">
        <f t="shared" si="22"/>
        <v>8.6206896551724144E-2</v>
      </c>
      <c r="J15" s="6">
        <v>174</v>
      </c>
      <c r="K15" s="6">
        <v>15</v>
      </c>
      <c r="L15" s="147">
        <v>45490</v>
      </c>
      <c r="M15" s="10">
        <f t="shared" si="23"/>
        <v>5914</v>
      </c>
      <c r="N15" s="143">
        <f>SUM(L15:M15)/Monitoring!$B$19</f>
        <v>145.18033157285282</v>
      </c>
      <c r="O15" s="8">
        <f t="shared" si="24"/>
        <v>8.149467212233695E-2</v>
      </c>
      <c r="P15" s="11">
        <f t="shared" si="25"/>
        <v>4.7122244293871934E-3</v>
      </c>
      <c r="Q15" s="11">
        <v>0.13</v>
      </c>
      <c r="R15" s="131">
        <v>44728</v>
      </c>
      <c r="S15" s="105" t="s">
        <v>114</v>
      </c>
      <c r="T15" s="105"/>
      <c r="U15" s="113"/>
    </row>
    <row r="16" spans="1:24" s="12" customFormat="1" ht="15" customHeight="1" x14ac:dyDescent="0.25">
      <c r="A16" s="3" t="s">
        <v>115</v>
      </c>
      <c r="B16" s="1" t="s">
        <v>94</v>
      </c>
      <c r="C16" s="4" t="s">
        <v>82</v>
      </c>
      <c r="D16" s="4" t="s">
        <v>90</v>
      </c>
      <c r="E16" s="3" t="s">
        <v>110</v>
      </c>
      <c r="F16" s="3" t="s">
        <v>11</v>
      </c>
      <c r="G16" s="7">
        <v>425292</v>
      </c>
      <c r="H16" s="7">
        <f t="shared" si="3"/>
        <v>55288</v>
      </c>
      <c r="I16" s="163">
        <f t="shared" si="22"/>
        <v>8.6206896551724144E-2</v>
      </c>
      <c r="J16" s="6">
        <v>174</v>
      </c>
      <c r="K16" s="6">
        <v>15</v>
      </c>
      <c r="L16" s="147">
        <v>36663</v>
      </c>
      <c r="M16" s="10">
        <f t="shared" si="23"/>
        <v>4766</v>
      </c>
      <c r="N16" s="143">
        <f>SUM(L16:M16)/Monitoring!$B$19</f>
        <v>117.0079362837857</v>
      </c>
      <c r="O16" s="8">
        <f t="shared" si="24"/>
        <v>8.6206653311136819E-2</v>
      </c>
      <c r="P16" s="11">
        <f t="shared" si="25"/>
        <v>2.4324058732483334E-7</v>
      </c>
      <c r="Q16" s="11">
        <v>0.13</v>
      </c>
      <c r="R16" s="131">
        <v>44728</v>
      </c>
      <c r="S16" s="105" t="s">
        <v>114</v>
      </c>
      <c r="T16" s="105"/>
      <c r="U16" s="113"/>
    </row>
    <row r="17" spans="1:24" s="12" customFormat="1" ht="15" customHeight="1" x14ac:dyDescent="0.25">
      <c r="A17" s="3" t="s">
        <v>115</v>
      </c>
      <c r="B17" s="1" t="s">
        <v>94</v>
      </c>
      <c r="C17" s="4" t="s">
        <v>83</v>
      </c>
      <c r="D17" s="4" t="s">
        <v>90</v>
      </c>
      <c r="E17" s="3" t="s">
        <v>110</v>
      </c>
      <c r="F17" s="3" t="s">
        <v>11</v>
      </c>
      <c r="G17" s="7">
        <v>558196</v>
      </c>
      <c r="H17" s="7">
        <v>72566</v>
      </c>
      <c r="I17" s="163">
        <f t="shared" si="22"/>
        <v>8.6206896551724144E-2</v>
      </c>
      <c r="J17" s="6">
        <v>174</v>
      </c>
      <c r="K17" s="6">
        <v>15</v>
      </c>
      <c r="L17" s="147">
        <v>45490</v>
      </c>
      <c r="M17" s="10">
        <f t="shared" si="23"/>
        <v>5914</v>
      </c>
      <c r="N17" s="143">
        <f>SUM(L17:M17)/Monitoring!$B$19</f>
        <v>145.18033157285282</v>
      </c>
      <c r="O17" s="8">
        <f t="shared" si="24"/>
        <v>8.149467212233695E-2</v>
      </c>
      <c r="P17" s="11">
        <f t="shared" si="25"/>
        <v>4.7122244293871934E-3</v>
      </c>
      <c r="Q17" s="11">
        <v>0.13</v>
      </c>
      <c r="R17" s="131">
        <v>44728</v>
      </c>
      <c r="S17" s="105" t="s">
        <v>114</v>
      </c>
      <c r="T17" s="105" t="s">
        <v>152</v>
      </c>
      <c r="U17" s="113"/>
      <c r="V17" s="151" t="e">
        <v>#N/A</v>
      </c>
      <c r="W17" s="155" t="e">
        <v>#N/A</v>
      </c>
      <c r="X17" s="151" t="e">
        <v>#N/A</v>
      </c>
    </row>
    <row r="18" spans="1:24" s="12" customFormat="1" ht="15" customHeight="1" x14ac:dyDescent="0.25">
      <c r="A18" s="3" t="s">
        <v>115</v>
      </c>
      <c r="B18" s="1" t="s">
        <v>94</v>
      </c>
      <c r="C18" s="4" t="s">
        <v>84</v>
      </c>
      <c r="D18" s="4" t="s">
        <v>90</v>
      </c>
      <c r="E18" s="3" t="s">
        <v>110</v>
      </c>
      <c r="F18" s="3" t="s">
        <v>11</v>
      </c>
      <c r="G18" s="7">
        <v>451873</v>
      </c>
      <c r="H18" s="7">
        <f t="shared" si="3"/>
        <v>58743</v>
      </c>
      <c r="I18" s="163">
        <f t="shared" si="22"/>
        <v>8.6206896551724144E-2</v>
      </c>
      <c r="J18" s="6">
        <v>174</v>
      </c>
      <c r="K18" s="6">
        <v>15</v>
      </c>
      <c r="L18" s="147">
        <f t="shared" ref="L18" si="26">ROUND(G18*I18,0)</f>
        <v>38955</v>
      </c>
      <c r="M18" s="10">
        <f t="shared" si="23"/>
        <v>5064</v>
      </c>
      <c r="N18" s="143">
        <f>SUM(L18:M18)/Monitoring!$B$19</f>
        <v>124.32287400796453</v>
      </c>
      <c r="O18" s="8">
        <f t="shared" si="24"/>
        <v>8.6207850435852551E-2</v>
      </c>
      <c r="P18" s="11">
        <f t="shared" si="25"/>
        <v>-9.5388412840735626E-7</v>
      </c>
      <c r="Q18" s="11">
        <v>0.13</v>
      </c>
      <c r="R18" s="131">
        <v>44728</v>
      </c>
      <c r="S18" s="105" t="s">
        <v>114</v>
      </c>
      <c r="T18" s="105" t="s">
        <v>152</v>
      </c>
      <c r="U18" s="113"/>
      <c r="V18" s="151" t="s">
        <v>170</v>
      </c>
      <c r="W18" s="151" t="s">
        <v>171</v>
      </c>
      <c r="X18" s="151" t="s">
        <v>171</v>
      </c>
    </row>
    <row r="19" spans="1:24" s="12" customFormat="1" ht="15" customHeight="1" x14ac:dyDescent="0.25">
      <c r="A19" s="3" t="s">
        <v>115</v>
      </c>
      <c r="B19" s="1" t="s">
        <v>94</v>
      </c>
      <c r="C19" s="4" t="s">
        <v>85</v>
      </c>
      <c r="D19" s="4" t="s">
        <v>90</v>
      </c>
      <c r="E19" s="3" t="s">
        <v>110</v>
      </c>
      <c r="F19" s="3" t="s">
        <v>11</v>
      </c>
      <c r="G19" s="7">
        <v>615492</v>
      </c>
      <c r="H19" s="7">
        <f t="shared" ref="H19" si="27">ROUND(G19*Q19,0)</f>
        <v>80014</v>
      </c>
      <c r="I19" s="163">
        <f t="shared" ref="I19" si="28">K19/J19</f>
        <v>0.14942528735632185</v>
      </c>
      <c r="J19" s="6">
        <v>174</v>
      </c>
      <c r="K19" s="6">
        <v>26</v>
      </c>
      <c r="L19" s="147">
        <v>90980</v>
      </c>
      <c r="M19" s="10">
        <f t="shared" ref="M19" si="29">ROUND(L19*Q19,0)</f>
        <v>11827</v>
      </c>
      <c r="N19" s="143">
        <f>SUM(L19:M19)/Monitoring!$B$19</f>
        <v>290.35783884542604</v>
      </c>
      <c r="O19" s="8">
        <f t="shared" ref="O19" si="30">L19/G19</f>
        <v>0.14781670598480565</v>
      </c>
      <c r="P19" s="11">
        <f t="shared" ref="P19" si="31">I19-O19</f>
        <v>1.6085813715162045E-3</v>
      </c>
      <c r="Q19" s="11">
        <v>0.13</v>
      </c>
      <c r="R19" s="131">
        <v>44936</v>
      </c>
      <c r="S19" s="105" t="s">
        <v>114</v>
      </c>
      <c r="T19" s="105" t="s">
        <v>152</v>
      </c>
      <c r="U19" s="113"/>
      <c r="V19" s="12" t="s">
        <v>170</v>
      </c>
      <c r="W19" s="12">
        <v>0</v>
      </c>
      <c r="X19" s="12">
        <v>0</v>
      </c>
    </row>
    <row r="20" spans="1:24" s="12" customFormat="1" ht="15" customHeight="1" x14ac:dyDescent="0.25">
      <c r="A20" s="3" t="s">
        <v>115</v>
      </c>
      <c r="B20" s="1" t="s">
        <v>94</v>
      </c>
      <c r="C20" s="4" t="s">
        <v>86</v>
      </c>
      <c r="D20" s="4" t="s">
        <v>90</v>
      </c>
      <c r="E20" s="3" t="s">
        <v>110</v>
      </c>
      <c r="F20" s="3" t="s">
        <v>11</v>
      </c>
      <c r="G20" s="7">
        <v>553943</v>
      </c>
      <c r="H20" s="7">
        <f t="shared" ref="H20" si="32">ROUND(G20*Q20,0)</f>
        <v>72013</v>
      </c>
      <c r="I20" s="163">
        <f t="shared" ref="I20" si="33">K20/J20</f>
        <v>0.14942528735632185</v>
      </c>
      <c r="J20" s="6">
        <v>174</v>
      </c>
      <c r="K20" s="6">
        <v>26</v>
      </c>
      <c r="L20" s="147">
        <v>82773</v>
      </c>
      <c r="M20" s="10">
        <f t="shared" ref="M20" si="34">ROUND(L20*Q20,0)</f>
        <v>10760</v>
      </c>
      <c r="N20" s="143">
        <f>SUM(L20:M20)/Monitoring!$B$19</f>
        <v>264.16527805236251</v>
      </c>
      <c r="O20" s="8">
        <f t="shared" ref="O20" si="35">L20/G20</f>
        <v>0.14942512135725156</v>
      </c>
      <c r="P20" s="11">
        <f t="shared" ref="P20" si="36">I20-O20</f>
        <v>1.6599907029513084E-7</v>
      </c>
      <c r="Q20" s="11">
        <v>0.13</v>
      </c>
      <c r="R20" s="131">
        <v>44936</v>
      </c>
      <c r="S20" s="105" t="s">
        <v>114</v>
      </c>
      <c r="T20" s="105" t="s">
        <v>152</v>
      </c>
      <c r="U20" s="113"/>
      <c r="V20" s="12" t="str">
        <f>IF(VLOOKUP($T20,'Havi béradatok'!$B:$E,2,FALSE)=E20,"EGYEZIK","HIBÁS")</f>
        <v>EGYEZIK</v>
      </c>
      <c r="W20" s="12">
        <f>VLOOKUP($T20,'Havi béradatok'!$B:$E,3,FALSE)-G20</f>
        <v>0</v>
      </c>
      <c r="X20" s="12">
        <f>VLOOKUP($T20,'Havi béradatok'!$B:$E,4,FALSE)-H20</f>
        <v>0</v>
      </c>
    </row>
    <row r="21" spans="1:24" s="12" customFormat="1" ht="15" customHeight="1" x14ac:dyDescent="0.25">
      <c r="A21" s="3" t="s">
        <v>116</v>
      </c>
      <c r="B21" s="1" t="s">
        <v>94</v>
      </c>
      <c r="C21" s="4" t="s">
        <v>70</v>
      </c>
      <c r="D21" s="4" t="s">
        <v>90</v>
      </c>
      <c r="E21" s="3" t="s">
        <v>110</v>
      </c>
      <c r="F21" s="3" t="s">
        <v>11</v>
      </c>
      <c r="G21" s="7">
        <v>653196</v>
      </c>
      <c r="H21" s="7">
        <f t="shared" si="3"/>
        <v>84915</v>
      </c>
      <c r="I21" s="163">
        <f t="shared" ref="I21" si="37">K21/J21</f>
        <v>7.4712643678160925E-2</v>
      </c>
      <c r="J21" s="6">
        <v>174</v>
      </c>
      <c r="K21" s="6">
        <v>13</v>
      </c>
      <c r="L21" s="147">
        <v>45490</v>
      </c>
      <c r="M21" s="10">
        <f t="shared" ref="M21" si="38">ROUND(L21*Q21,0)</f>
        <v>5914</v>
      </c>
      <c r="N21" s="143">
        <f>SUM(L21:M21)/Monitoring!$B$19</f>
        <v>145.18033157285282</v>
      </c>
      <c r="O21" s="8">
        <f t="shared" ref="O21" si="39">L21/G21</f>
        <v>6.9642190093019557E-2</v>
      </c>
      <c r="P21" s="11">
        <f t="shared" ref="P21" si="40">I21-O21</f>
        <v>5.0704535851413685E-3</v>
      </c>
      <c r="Q21" s="11">
        <v>0.13</v>
      </c>
      <c r="R21" s="131">
        <v>44564</v>
      </c>
      <c r="S21" s="105" t="s">
        <v>114</v>
      </c>
      <c r="T21" s="105"/>
      <c r="U21" s="22"/>
    </row>
    <row r="22" spans="1:24" s="12" customFormat="1" ht="15" customHeight="1" x14ac:dyDescent="0.25">
      <c r="A22" s="3" t="s">
        <v>116</v>
      </c>
      <c r="B22" s="1" t="s">
        <v>94</v>
      </c>
      <c r="C22" s="4" t="s">
        <v>71</v>
      </c>
      <c r="D22" s="4" t="s">
        <v>90</v>
      </c>
      <c r="E22" s="3" t="s">
        <v>110</v>
      </c>
      <c r="F22" s="3" t="s">
        <v>11</v>
      </c>
      <c r="G22" s="7">
        <v>653196</v>
      </c>
      <c r="H22" s="7">
        <f t="shared" si="3"/>
        <v>84915</v>
      </c>
      <c r="I22" s="163">
        <f t="shared" ref="I22" si="41">K22/J22</f>
        <v>7.4712643678160925E-2</v>
      </c>
      <c r="J22" s="6">
        <v>174</v>
      </c>
      <c r="K22" s="6">
        <v>13</v>
      </c>
      <c r="L22" s="147">
        <v>48802</v>
      </c>
      <c r="M22" s="10">
        <f t="shared" ref="M22" si="42">ROUND(L22*Q22,0)</f>
        <v>6344</v>
      </c>
      <c r="N22" s="143">
        <f>SUM(L22:M22)/Monitoring!$B$19</f>
        <v>155.74886321913746</v>
      </c>
      <c r="O22" s="8">
        <f t="shared" ref="O22" si="43">L22/G22</f>
        <v>7.4712643678160925E-2</v>
      </c>
      <c r="P22" s="11">
        <f t="shared" ref="P22" si="44">I22-O22</f>
        <v>0</v>
      </c>
      <c r="Q22" s="11">
        <v>0.13</v>
      </c>
      <c r="R22" s="131">
        <v>44599</v>
      </c>
      <c r="S22" s="105" t="s">
        <v>114</v>
      </c>
      <c r="T22" s="105"/>
      <c r="U22" s="22"/>
    </row>
    <row r="23" spans="1:24" s="12" customFormat="1" ht="15" customHeight="1" x14ac:dyDescent="0.25">
      <c r="A23" s="3" t="s">
        <v>116</v>
      </c>
      <c r="B23" s="1" t="s">
        <v>94</v>
      </c>
      <c r="C23" s="4" t="s">
        <v>72</v>
      </c>
      <c r="D23" s="4" t="s">
        <v>90</v>
      </c>
      <c r="E23" s="3" t="s">
        <v>110</v>
      </c>
      <c r="F23" s="3" t="s">
        <v>11</v>
      </c>
      <c r="G23" s="7">
        <v>653196</v>
      </c>
      <c r="H23" s="7">
        <f t="shared" si="3"/>
        <v>84915</v>
      </c>
      <c r="I23" s="163">
        <f t="shared" ref="I23" si="45">K23/J23</f>
        <v>7.4712643678160925E-2</v>
      </c>
      <c r="J23" s="6">
        <v>174</v>
      </c>
      <c r="K23" s="6">
        <v>13</v>
      </c>
      <c r="L23" s="147">
        <v>48802</v>
      </c>
      <c r="M23" s="10">
        <f t="shared" ref="M23" si="46">ROUND(L23*Q23,0)</f>
        <v>6344</v>
      </c>
      <c r="N23" s="143">
        <f>SUM(L23:M23)/Monitoring!$B$19</f>
        <v>155.74886321913746</v>
      </c>
      <c r="O23" s="8">
        <f t="shared" ref="O23" si="47">L23/G23</f>
        <v>7.4712643678160925E-2</v>
      </c>
      <c r="P23" s="11">
        <f t="shared" ref="P23" si="48">I23-O23</f>
        <v>0</v>
      </c>
      <c r="Q23" s="11">
        <v>0.13</v>
      </c>
      <c r="R23" s="131">
        <v>44616</v>
      </c>
      <c r="S23" s="105" t="s">
        <v>114</v>
      </c>
      <c r="T23" s="105"/>
      <c r="U23" s="22"/>
    </row>
    <row r="24" spans="1:24" s="12" customFormat="1" ht="15" customHeight="1" x14ac:dyDescent="0.25">
      <c r="A24" s="3" t="s">
        <v>116</v>
      </c>
      <c r="B24" s="1" t="s">
        <v>94</v>
      </c>
      <c r="C24" s="4" t="s">
        <v>73</v>
      </c>
      <c r="D24" s="4" t="s">
        <v>90</v>
      </c>
      <c r="E24" s="3" t="s">
        <v>110</v>
      </c>
      <c r="F24" s="3" t="s">
        <v>11</v>
      </c>
      <c r="G24" s="7">
        <v>653196</v>
      </c>
      <c r="H24" s="7">
        <f t="shared" si="3"/>
        <v>84915</v>
      </c>
      <c r="I24" s="163">
        <f t="shared" ref="I24:I26" si="49">K24/J24</f>
        <v>7.4712643678160925E-2</v>
      </c>
      <c r="J24" s="6">
        <v>174</v>
      </c>
      <c r="K24" s="6">
        <v>13</v>
      </c>
      <c r="L24" s="147">
        <v>48802</v>
      </c>
      <c r="M24" s="10">
        <f t="shared" ref="M24:M26" si="50">ROUND(L24*Q24,0)</f>
        <v>6344</v>
      </c>
      <c r="N24" s="143">
        <f>SUM(L24:M24)/Monitoring!$B$19</f>
        <v>155.74886321913746</v>
      </c>
      <c r="O24" s="8">
        <f t="shared" ref="O24:O26" si="51">L24/G24</f>
        <v>7.4712643678160925E-2</v>
      </c>
      <c r="P24" s="11">
        <f t="shared" ref="P24:P26" si="52">I24-O24</f>
        <v>0</v>
      </c>
      <c r="Q24" s="11">
        <v>0.13</v>
      </c>
      <c r="R24" s="131">
        <v>44616</v>
      </c>
      <c r="S24" s="105" t="s">
        <v>114</v>
      </c>
      <c r="T24" s="105"/>
      <c r="U24" s="113"/>
    </row>
    <row r="25" spans="1:24" s="12" customFormat="1" ht="15" customHeight="1" x14ac:dyDescent="0.25">
      <c r="A25" s="3" t="s">
        <v>116</v>
      </c>
      <c r="B25" s="1" t="s">
        <v>94</v>
      </c>
      <c r="C25" s="4" t="s">
        <v>74</v>
      </c>
      <c r="D25" s="4" t="s">
        <v>90</v>
      </c>
      <c r="E25" s="3" t="s">
        <v>110</v>
      </c>
      <c r="F25" s="3" t="s">
        <v>11</v>
      </c>
      <c r="G25" s="7">
        <v>653196</v>
      </c>
      <c r="H25" s="7">
        <f t="shared" si="3"/>
        <v>84915</v>
      </c>
      <c r="I25" s="163">
        <f t="shared" si="49"/>
        <v>7.4712643678160925E-2</v>
      </c>
      <c r="J25" s="6">
        <v>174</v>
      </c>
      <c r="K25" s="6">
        <v>13</v>
      </c>
      <c r="L25" s="147">
        <v>48802</v>
      </c>
      <c r="M25" s="10">
        <f t="shared" si="50"/>
        <v>6344</v>
      </c>
      <c r="N25" s="143">
        <f>SUM(L25:M25)/Monitoring!$B$19</f>
        <v>155.74886321913746</v>
      </c>
      <c r="O25" s="8">
        <f t="shared" si="51"/>
        <v>7.4712643678160925E-2</v>
      </c>
      <c r="P25" s="11">
        <f t="shared" si="52"/>
        <v>0</v>
      </c>
      <c r="Q25" s="11">
        <v>0.13</v>
      </c>
      <c r="R25" s="131">
        <v>44616</v>
      </c>
      <c r="S25" s="105" t="s">
        <v>114</v>
      </c>
      <c r="T25" s="105"/>
      <c r="U25" s="113"/>
    </row>
    <row r="26" spans="1:24" s="12" customFormat="1" ht="15" customHeight="1" x14ac:dyDescent="0.25">
      <c r="A26" s="3" t="s">
        <v>116</v>
      </c>
      <c r="B26" s="1" t="s">
        <v>94</v>
      </c>
      <c r="C26" s="4" t="s">
        <v>75</v>
      </c>
      <c r="D26" s="4" t="s">
        <v>90</v>
      </c>
      <c r="E26" s="3" t="s">
        <v>110</v>
      </c>
      <c r="F26" s="3" t="s">
        <v>11</v>
      </c>
      <c r="G26" s="7">
        <v>953196</v>
      </c>
      <c r="H26" s="7">
        <f t="shared" si="3"/>
        <v>123915</v>
      </c>
      <c r="I26" s="163">
        <f t="shared" si="49"/>
        <v>5.1724137931034482E-2</v>
      </c>
      <c r="J26" s="6">
        <v>174</v>
      </c>
      <c r="K26" s="6">
        <v>9</v>
      </c>
      <c r="L26" s="147">
        <v>49303</v>
      </c>
      <c r="M26" s="10">
        <f t="shared" si="50"/>
        <v>6409</v>
      </c>
      <c r="N26" s="143">
        <f>SUM(L26:M26)/Monitoring!$B$19</f>
        <v>157.34741717739431</v>
      </c>
      <c r="O26" s="8">
        <f t="shared" si="51"/>
        <v>5.1723884699474192E-2</v>
      </c>
      <c r="P26" s="11">
        <f t="shared" si="52"/>
        <v>2.5323156029044558E-7</v>
      </c>
      <c r="Q26" s="11">
        <v>0.13</v>
      </c>
      <c r="R26" s="131">
        <v>44725</v>
      </c>
      <c r="S26" s="105" t="s">
        <v>114</v>
      </c>
      <c r="T26" s="105"/>
      <c r="U26" s="113"/>
    </row>
    <row r="27" spans="1:24" s="12" customFormat="1" ht="15" customHeight="1" x14ac:dyDescent="0.25">
      <c r="A27" s="3" t="s">
        <v>116</v>
      </c>
      <c r="B27" s="1" t="s">
        <v>94</v>
      </c>
      <c r="C27" s="4" t="s">
        <v>76</v>
      </c>
      <c r="D27" s="4" t="s">
        <v>90</v>
      </c>
      <c r="E27" s="3" t="s">
        <v>110</v>
      </c>
      <c r="F27" s="3" t="s">
        <v>11</v>
      </c>
      <c r="G27" s="7">
        <v>659958</v>
      </c>
      <c r="H27" s="7">
        <f t="shared" si="3"/>
        <v>85795</v>
      </c>
      <c r="I27" s="163">
        <f t="shared" ref="I27" si="53">K27/J27</f>
        <v>9.7701149425287362E-2</v>
      </c>
      <c r="J27" s="6">
        <v>174</v>
      </c>
      <c r="K27" s="6">
        <v>17</v>
      </c>
      <c r="L27" s="147">
        <v>62395</v>
      </c>
      <c r="M27" s="10">
        <f t="shared" ref="M27" si="54">ROUND(L27*Q27,0)</f>
        <v>8111</v>
      </c>
      <c r="N27" s="143">
        <f>SUM(L27:M27)/Monitoring!$B$19</f>
        <v>199.13011551388144</v>
      </c>
      <c r="O27" s="8">
        <f t="shared" ref="O27" si="55">L27/G27</f>
        <v>9.4543895217574447E-2</v>
      </c>
      <c r="P27" s="11">
        <f t="shared" ref="P27" si="56">I27-O27</f>
        <v>3.1572542077129145E-3</v>
      </c>
      <c r="Q27" s="11">
        <v>0.13</v>
      </c>
      <c r="R27" s="131">
        <v>44741</v>
      </c>
      <c r="S27" s="105" t="s">
        <v>114</v>
      </c>
      <c r="T27" s="105"/>
      <c r="U27" s="113"/>
    </row>
    <row r="28" spans="1:24" s="12" customFormat="1" ht="15" customHeight="1" x14ac:dyDescent="0.25">
      <c r="A28" s="3" t="s">
        <v>116</v>
      </c>
      <c r="B28" s="1" t="s">
        <v>94</v>
      </c>
      <c r="C28" s="4" t="s">
        <v>77</v>
      </c>
      <c r="D28" s="4" t="s">
        <v>90</v>
      </c>
      <c r="E28" s="3" t="s">
        <v>110</v>
      </c>
      <c r="F28" s="3" t="s">
        <v>11</v>
      </c>
      <c r="G28" s="7">
        <v>659958</v>
      </c>
      <c r="H28" s="7">
        <f t="shared" si="3"/>
        <v>85795</v>
      </c>
      <c r="I28" s="163">
        <f t="shared" ref="I28:I29" si="57">K28/J28</f>
        <v>9.7701149425287362E-2</v>
      </c>
      <c r="J28" s="6">
        <v>174</v>
      </c>
      <c r="K28" s="6">
        <v>17</v>
      </c>
      <c r="L28" s="147">
        <v>62395</v>
      </c>
      <c r="M28" s="10">
        <f t="shared" ref="M28:M29" si="58">ROUND(L28*Q28,0)</f>
        <v>8111</v>
      </c>
      <c r="N28" s="143">
        <f>SUM(L28:M28)/Monitoring!$B$19</f>
        <v>199.13011551388144</v>
      </c>
      <c r="O28" s="8">
        <f t="shared" ref="O28:O29" si="59">L28/G28</f>
        <v>9.4543895217574447E-2</v>
      </c>
      <c r="P28" s="11">
        <f t="shared" ref="P28:P29" si="60">I28-O28</f>
        <v>3.1572542077129145E-3</v>
      </c>
      <c r="Q28" s="11">
        <v>0.13</v>
      </c>
      <c r="R28" s="131">
        <v>44741</v>
      </c>
      <c r="S28" s="105" t="s">
        <v>114</v>
      </c>
      <c r="T28" s="105"/>
      <c r="U28" s="113"/>
    </row>
    <row r="29" spans="1:24" s="12" customFormat="1" ht="15" customHeight="1" x14ac:dyDescent="0.25">
      <c r="A29" s="3" t="s">
        <v>116</v>
      </c>
      <c r="B29" s="1" t="s">
        <v>94</v>
      </c>
      <c r="C29" s="4" t="s">
        <v>78</v>
      </c>
      <c r="D29" s="4" t="s">
        <v>90</v>
      </c>
      <c r="E29" s="3" t="s">
        <v>110</v>
      </c>
      <c r="F29" s="3" t="s">
        <v>11</v>
      </c>
      <c r="G29" s="7">
        <v>684371</v>
      </c>
      <c r="H29" s="7">
        <f t="shared" si="3"/>
        <v>88968</v>
      </c>
      <c r="I29" s="163">
        <f t="shared" si="57"/>
        <v>9.1954022988505746E-2</v>
      </c>
      <c r="J29" s="6">
        <v>174</v>
      </c>
      <c r="K29" s="6">
        <v>16</v>
      </c>
      <c r="L29" s="147">
        <f>ROUND(G29*I29,0)</f>
        <v>62931</v>
      </c>
      <c r="M29" s="10">
        <f t="shared" si="58"/>
        <v>8181</v>
      </c>
      <c r="N29" s="143">
        <f>SUM(L29:M29)/Monitoring!$B$19</f>
        <v>200.84164148332252</v>
      </c>
      <c r="O29" s="8">
        <f t="shared" si="59"/>
        <v>9.1954510053757391E-2</v>
      </c>
      <c r="P29" s="11">
        <f t="shared" si="60"/>
        <v>-4.8706525164476933E-7</v>
      </c>
      <c r="Q29" s="11">
        <v>0.13</v>
      </c>
      <c r="R29" s="131">
        <v>44788</v>
      </c>
      <c r="S29" s="105" t="s">
        <v>114</v>
      </c>
      <c r="T29" s="105"/>
      <c r="U29" s="113"/>
    </row>
    <row r="30" spans="1:24" s="12" customFormat="1" ht="15" customHeight="1" x14ac:dyDescent="0.25">
      <c r="A30" s="3" t="s">
        <v>116</v>
      </c>
      <c r="B30" s="1" t="s">
        <v>94</v>
      </c>
      <c r="C30" s="4" t="s">
        <v>82</v>
      </c>
      <c r="D30" s="4" t="s">
        <v>90</v>
      </c>
      <c r="E30" s="3" t="s">
        <v>110</v>
      </c>
      <c r="F30" s="3" t="s">
        <v>11</v>
      </c>
      <c r="G30" s="7">
        <v>684371</v>
      </c>
      <c r="H30" s="7">
        <f t="shared" si="3"/>
        <v>88968</v>
      </c>
      <c r="I30" s="163">
        <f t="shared" ref="I30:I31" si="61">K30/J30</f>
        <v>9.1954022988505746E-2</v>
      </c>
      <c r="J30" s="6">
        <v>174</v>
      </c>
      <c r="K30" s="6">
        <v>16</v>
      </c>
      <c r="L30" s="147">
        <f t="shared" ref="L30:L31" si="62">ROUND(G30*I30,0)</f>
        <v>62931</v>
      </c>
      <c r="M30" s="10">
        <f t="shared" ref="M30:M31" si="63">ROUND(L30*Q30,0)</f>
        <v>8181</v>
      </c>
      <c r="N30" s="143">
        <f>SUM(L30:M30)/Monitoring!$B$19</f>
        <v>200.84164148332252</v>
      </c>
      <c r="O30" s="8">
        <f t="shared" ref="O30:O31" si="64">L30/G30</f>
        <v>9.1954510053757391E-2</v>
      </c>
      <c r="P30" s="11">
        <f t="shared" ref="P30:P31" si="65">I30-O30</f>
        <v>-4.8706525164476933E-7</v>
      </c>
      <c r="Q30" s="11">
        <v>0.13</v>
      </c>
      <c r="R30" s="131">
        <v>44788</v>
      </c>
      <c r="S30" s="105" t="s">
        <v>114</v>
      </c>
      <c r="T30" s="105"/>
      <c r="U30" s="113"/>
    </row>
    <row r="31" spans="1:24" s="12" customFormat="1" ht="15" customHeight="1" x14ac:dyDescent="0.25">
      <c r="A31" s="3" t="s">
        <v>116</v>
      </c>
      <c r="B31" s="1" t="s">
        <v>94</v>
      </c>
      <c r="C31" s="4" t="s">
        <v>83</v>
      </c>
      <c r="D31" s="4" t="s">
        <v>90</v>
      </c>
      <c r="E31" s="3" t="s">
        <v>110</v>
      </c>
      <c r="F31" s="3" t="s">
        <v>11</v>
      </c>
      <c r="G31" s="7">
        <v>684370</v>
      </c>
      <c r="H31" s="7">
        <f t="shared" si="3"/>
        <v>88968</v>
      </c>
      <c r="I31" s="163">
        <f t="shared" si="61"/>
        <v>9.1954022988505746E-2</v>
      </c>
      <c r="J31" s="6">
        <v>174</v>
      </c>
      <c r="K31" s="6">
        <v>16</v>
      </c>
      <c r="L31" s="147">
        <f t="shared" si="62"/>
        <v>62931</v>
      </c>
      <c r="M31" s="10">
        <f t="shared" si="63"/>
        <v>8181</v>
      </c>
      <c r="N31" s="143">
        <f>SUM(L31:M31)/Monitoring!$B$19</f>
        <v>200.84164148332252</v>
      </c>
      <c r="O31" s="8">
        <f t="shared" si="64"/>
        <v>9.1954644417493459E-2</v>
      </c>
      <c r="P31" s="11">
        <f t="shared" si="65"/>
        <v>-6.2142898771266886E-7</v>
      </c>
      <c r="Q31" s="11">
        <v>0.13</v>
      </c>
      <c r="R31" s="131">
        <v>44788</v>
      </c>
      <c r="S31" s="105" t="s">
        <v>114</v>
      </c>
      <c r="T31" s="105" t="s">
        <v>155</v>
      </c>
      <c r="U31" s="113"/>
      <c r="V31" s="151" t="e">
        <v>#N/A</v>
      </c>
      <c r="W31" s="151" t="e">
        <v>#N/A</v>
      </c>
      <c r="X31" s="151" t="e">
        <v>#N/A</v>
      </c>
    </row>
    <row r="32" spans="1:24" s="12" customFormat="1" ht="15" customHeight="1" x14ac:dyDescent="0.25">
      <c r="A32" s="3" t="s">
        <v>116</v>
      </c>
      <c r="B32" s="1" t="s">
        <v>94</v>
      </c>
      <c r="C32" s="4" t="s">
        <v>84</v>
      </c>
      <c r="D32" s="4" t="s">
        <v>90</v>
      </c>
      <c r="E32" s="3" t="s">
        <v>110</v>
      </c>
      <c r="F32" s="3" t="s">
        <v>11</v>
      </c>
      <c r="G32" s="7">
        <v>674371</v>
      </c>
      <c r="H32" s="7">
        <f t="shared" si="3"/>
        <v>87668</v>
      </c>
      <c r="I32" s="163">
        <f t="shared" ref="I32" si="66">K32/J32</f>
        <v>9.7701149425287362E-2</v>
      </c>
      <c r="J32" s="6">
        <v>174</v>
      </c>
      <c r="K32" s="6">
        <v>17</v>
      </c>
      <c r="L32" s="147">
        <v>62395</v>
      </c>
      <c r="M32" s="10">
        <f t="shared" ref="M32" si="67">ROUND(L32*Q32,0)</f>
        <v>8111</v>
      </c>
      <c r="N32" s="143">
        <f>SUM(L32:M32)/Monitoring!$B$19</f>
        <v>199.13011551388144</v>
      </c>
      <c r="O32" s="8">
        <f t="shared" ref="O32" si="68">L32/G32</f>
        <v>9.2523255003551463E-2</v>
      </c>
      <c r="P32" s="11">
        <f t="shared" ref="P32" si="69">I32-O32</f>
        <v>5.1778944217358985E-3</v>
      </c>
      <c r="Q32" s="11">
        <v>0.13</v>
      </c>
      <c r="R32" s="131">
        <v>44880</v>
      </c>
      <c r="S32" s="105" t="s">
        <v>114</v>
      </c>
      <c r="T32" s="105" t="s">
        <v>155</v>
      </c>
      <c r="U32" s="113"/>
      <c r="V32" s="151" t="s">
        <v>170</v>
      </c>
      <c r="W32" s="151" t="s">
        <v>171</v>
      </c>
      <c r="X32" s="151" t="s">
        <v>171</v>
      </c>
    </row>
    <row r="33" spans="1:24" s="12" customFormat="1" ht="15" customHeight="1" x14ac:dyDescent="0.25">
      <c r="A33" s="3" t="s">
        <v>116</v>
      </c>
      <c r="B33" s="1" t="s">
        <v>94</v>
      </c>
      <c r="C33" s="4" t="s">
        <v>85</v>
      </c>
      <c r="D33" s="4" t="s">
        <v>90</v>
      </c>
      <c r="E33" s="3" t="s">
        <v>110</v>
      </c>
      <c r="F33" s="3" t="s">
        <v>11</v>
      </c>
      <c r="G33" s="7">
        <v>718207</v>
      </c>
      <c r="H33" s="7">
        <f t="shared" si="3"/>
        <v>93367</v>
      </c>
      <c r="I33" s="163">
        <f t="shared" ref="I33" si="70">K33/J33</f>
        <v>9.7701149425287362E-2</v>
      </c>
      <c r="J33" s="6">
        <v>174</v>
      </c>
      <c r="K33" s="6">
        <v>17</v>
      </c>
      <c r="L33" s="147">
        <v>69235</v>
      </c>
      <c r="M33" s="10">
        <f t="shared" ref="M33" si="71">ROUND(L33*Q33,0)</f>
        <v>9001</v>
      </c>
      <c r="N33" s="143">
        <f>SUM(L33:M33)/Monitoring!$B$19</f>
        <v>220.96195667523372</v>
      </c>
      <c r="O33" s="8">
        <f t="shared" ref="O33" si="72">L33/G33</f>
        <v>9.6399784463253632E-2</v>
      </c>
      <c r="P33" s="11">
        <f t="shared" ref="P33" si="73">I33-O33</f>
        <v>1.3013649620337298E-3</v>
      </c>
      <c r="Q33" s="11">
        <v>0.13</v>
      </c>
      <c r="R33" s="131">
        <v>44932</v>
      </c>
      <c r="S33" s="105" t="s">
        <v>114</v>
      </c>
      <c r="T33" s="105" t="s">
        <v>155</v>
      </c>
      <c r="U33" s="113"/>
      <c r="V33" s="12" t="s">
        <v>170</v>
      </c>
      <c r="W33" s="12">
        <v>0</v>
      </c>
      <c r="X33" s="12">
        <v>0</v>
      </c>
    </row>
    <row r="34" spans="1:24" s="12" customFormat="1" ht="15" customHeight="1" x14ac:dyDescent="0.25">
      <c r="A34" s="3" t="s">
        <v>116</v>
      </c>
      <c r="B34" s="1" t="s">
        <v>94</v>
      </c>
      <c r="C34" s="4" t="s">
        <v>86</v>
      </c>
      <c r="D34" s="4" t="s">
        <v>90</v>
      </c>
      <c r="E34" s="3" t="s">
        <v>110</v>
      </c>
      <c r="F34" s="3" t="s">
        <v>11</v>
      </c>
      <c r="G34" s="7">
        <v>718207</v>
      </c>
      <c r="H34" s="7">
        <f t="shared" ref="H34" si="74">ROUND(G34*Q34,0)</f>
        <v>93367</v>
      </c>
      <c r="I34" s="163">
        <f t="shared" ref="I34" si="75">K34/J34</f>
        <v>9.7701149425287362E-2</v>
      </c>
      <c r="J34" s="6">
        <v>174</v>
      </c>
      <c r="K34" s="6">
        <v>17</v>
      </c>
      <c r="L34" s="147">
        <v>69235</v>
      </c>
      <c r="M34" s="10">
        <f t="shared" ref="M34" si="76">ROUND(L34*Q34,0)</f>
        <v>9001</v>
      </c>
      <c r="N34" s="143">
        <f>SUM(L34:M34)/Monitoring!$B$19</f>
        <v>220.96195667523372</v>
      </c>
      <c r="O34" s="8">
        <f t="shared" ref="O34" si="77">L34/G34</f>
        <v>9.6399784463253632E-2</v>
      </c>
      <c r="P34" s="11">
        <f t="shared" ref="P34" si="78">I34-O34</f>
        <v>1.3013649620337298E-3</v>
      </c>
      <c r="Q34" s="11">
        <v>0.13</v>
      </c>
      <c r="R34" s="131">
        <v>44932</v>
      </c>
      <c r="S34" s="105" t="s">
        <v>114</v>
      </c>
      <c r="T34" s="105" t="s">
        <v>155</v>
      </c>
      <c r="U34" s="113"/>
      <c r="V34" s="12" t="str">
        <f>IF(VLOOKUP($T34,'Havi béradatok'!$B:$E,2,FALSE)=E34,"EGYEZIK","HIBÁS")</f>
        <v>EGYEZIK</v>
      </c>
      <c r="W34" s="12">
        <f>VLOOKUP($T34,'Havi béradatok'!$B:$E,3,FALSE)-G34</f>
        <v>0</v>
      </c>
      <c r="X34" s="12">
        <f>VLOOKUP($T34,'Havi béradatok'!$B:$E,4,FALSE)-H34</f>
        <v>0</v>
      </c>
    </row>
    <row r="35" spans="1:24" s="12" customFormat="1" ht="15" customHeight="1" x14ac:dyDescent="0.25">
      <c r="A35" s="3" t="s">
        <v>106</v>
      </c>
      <c r="B35" s="1" t="s">
        <v>92</v>
      </c>
      <c r="C35" s="4" t="s">
        <v>67</v>
      </c>
      <c r="D35" s="4" t="s">
        <v>90</v>
      </c>
      <c r="E35" s="3" t="s">
        <v>107</v>
      </c>
      <c r="F35" s="3" t="s">
        <v>11</v>
      </c>
      <c r="G35" s="7">
        <v>529689</v>
      </c>
      <c r="H35" s="7">
        <f t="shared" si="3"/>
        <v>82102</v>
      </c>
      <c r="I35" s="163">
        <f>K35/J35</f>
        <v>0.19540229885057472</v>
      </c>
      <c r="J35" s="6">
        <v>174</v>
      </c>
      <c r="K35" s="6">
        <v>34</v>
      </c>
      <c r="L35" s="147">
        <f>ROUND(G35*I35,0)</f>
        <v>103502</v>
      </c>
      <c r="M35" s="10">
        <f t="shared" ref="M35" si="79">ROUND(L35*Q35,0)</f>
        <v>16043</v>
      </c>
      <c r="N35" s="143">
        <f>SUM(L35:M35)/Monitoring!$B$19</f>
        <v>337.63097692546671</v>
      </c>
      <c r="O35" s="8">
        <f t="shared" ref="O35" si="80">L35/G35</f>
        <v>0.19540145255045885</v>
      </c>
      <c r="P35" s="11">
        <f t="shared" ref="P35" si="81">I35-O35</f>
        <v>8.4630011587538689E-7</v>
      </c>
      <c r="Q35" s="11">
        <v>0.155</v>
      </c>
      <c r="R35" s="131">
        <v>44481</v>
      </c>
      <c r="S35" s="105" t="s">
        <v>114</v>
      </c>
      <c r="T35" s="105"/>
      <c r="U35" s="113"/>
    </row>
    <row r="36" spans="1:24" s="12" customFormat="1" x14ac:dyDescent="0.25">
      <c r="A36" s="3" t="s">
        <v>106</v>
      </c>
      <c r="B36" s="1" t="s">
        <v>92</v>
      </c>
      <c r="C36" s="4" t="s">
        <v>68</v>
      </c>
      <c r="D36" s="4" t="s">
        <v>90</v>
      </c>
      <c r="E36" s="3" t="s">
        <v>107</v>
      </c>
      <c r="F36" s="3" t="s">
        <v>11</v>
      </c>
      <c r="G36" s="7">
        <v>529687</v>
      </c>
      <c r="H36" s="7">
        <f t="shared" si="3"/>
        <v>82101</v>
      </c>
      <c r="I36" s="163">
        <f t="shared" ref="I36:I39" si="82">K36/J36</f>
        <v>0.17241379310344829</v>
      </c>
      <c r="J36" s="6">
        <v>174</v>
      </c>
      <c r="K36" s="6">
        <v>30</v>
      </c>
      <c r="L36" s="147">
        <f t="shared" ref="L36:L39" si="83">ROUND(G36*I36,0)</f>
        <v>91325</v>
      </c>
      <c r="M36" s="10">
        <f t="shared" ref="M36:M46" si="84">ROUND(L36*Q36,0)</f>
        <v>14155</v>
      </c>
      <c r="N36" s="143">
        <f>SUM(L36:M36)/Monitoring!$B$19</f>
        <v>297.90719349281216</v>
      </c>
      <c r="O36" s="8">
        <f t="shared" ref="O36:O46" si="85">L36/G36</f>
        <v>0.17241314210090108</v>
      </c>
      <c r="P36" s="11">
        <f t="shared" ref="P36:P46" si="86">I36-O36</f>
        <v>6.5100254720285022E-7</v>
      </c>
      <c r="Q36" s="11">
        <v>0.155</v>
      </c>
      <c r="R36" s="131">
        <v>44502</v>
      </c>
      <c r="S36" s="105" t="s">
        <v>114</v>
      </c>
      <c r="T36" s="105"/>
      <c r="U36" s="113"/>
    </row>
    <row r="37" spans="1:24" s="12" customFormat="1" x14ac:dyDescent="0.25">
      <c r="A37" s="3" t="s">
        <v>106</v>
      </c>
      <c r="B37" s="1" t="s">
        <v>92</v>
      </c>
      <c r="C37" s="4" t="s">
        <v>69</v>
      </c>
      <c r="D37" s="4" t="s">
        <v>90</v>
      </c>
      <c r="E37" s="3" t="s">
        <v>107</v>
      </c>
      <c r="F37" s="3" t="s">
        <v>11</v>
      </c>
      <c r="G37" s="7">
        <v>529687</v>
      </c>
      <c r="H37" s="7">
        <f t="shared" si="3"/>
        <v>82101</v>
      </c>
      <c r="I37" s="163">
        <f t="shared" si="82"/>
        <v>0.17241379310344829</v>
      </c>
      <c r="J37" s="6">
        <v>174</v>
      </c>
      <c r="K37" s="6">
        <v>30</v>
      </c>
      <c r="L37" s="147">
        <f t="shared" si="83"/>
        <v>91325</v>
      </c>
      <c r="M37" s="10">
        <f t="shared" si="84"/>
        <v>14155</v>
      </c>
      <c r="N37" s="143">
        <f>SUM(L37:M37)/Monitoring!$B$19</f>
        <v>297.90719349281216</v>
      </c>
      <c r="O37" s="8">
        <f t="shared" si="85"/>
        <v>0.17241314210090108</v>
      </c>
      <c r="P37" s="11">
        <f t="shared" si="86"/>
        <v>6.5100254720285022E-7</v>
      </c>
      <c r="Q37" s="11">
        <v>0.155</v>
      </c>
      <c r="R37" s="131">
        <v>44530</v>
      </c>
      <c r="S37" s="105" t="s">
        <v>114</v>
      </c>
      <c r="T37" s="105"/>
      <c r="U37" s="113"/>
    </row>
    <row r="38" spans="1:24" s="12" customFormat="1" x14ac:dyDescent="0.25">
      <c r="A38" s="3" t="s">
        <v>106</v>
      </c>
      <c r="B38" s="1" t="s">
        <v>92</v>
      </c>
      <c r="C38" s="4" t="s">
        <v>70</v>
      </c>
      <c r="D38" s="4" t="s">
        <v>90</v>
      </c>
      <c r="E38" s="3" t="s">
        <v>107</v>
      </c>
      <c r="F38" s="3" t="s">
        <v>11</v>
      </c>
      <c r="G38" s="7">
        <v>609588</v>
      </c>
      <c r="H38" s="7">
        <f t="shared" si="3"/>
        <v>79246</v>
      </c>
      <c r="I38" s="163">
        <f t="shared" si="82"/>
        <v>0.17241379310344829</v>
      </c>
      <c r="J38" s="6">
        <v>174</v>
      </c>
      <c r="K38" s="6">
        <v>30</v>
      </c>
      <c r="L38" s="147">
        <f t="shared" si="83"/>
        <v>105101</v>
      </c>
      <c r="M38" s="10">
        <f t="shared" si="84"/>
        <v>13663</v>
      </c>
      <c r="N38" s="143">
        <f>SUM(L38:M38)/Monitoring!$B$19</f>
        <v>335.42519840709463</v>
      </c>
      <c r="O38" s="8">
        <f t="shared" si="85"/>
        <v>0.1724131708629435</v>
      </c>
      <c r="P38" s="11">
        <f t="shared" si="86"/>
        <v>6.222405047884294E-7</v>
      </c>
      <c r="Q38" s="11">
        <v>0.13</v>
      </c>
      <c r="R38" s="131">
        <v>44530</v>
      </c>
      <c r="S38" s="105" t="s">
        <v>114</v>
      </c>
      <c r="T38" s="105"/>
      <c r="U38" s="22"/>
    </row>
    <row r="39" spans="1:24" s="12" customFormat="1" x14ac:dyDescent="0.25">
      <c r="A39" s="3" t="s">
        <v>106</v>
      </c>
      <c r="B39" s="1" t="s">
        <v>92</v>
      </c>
      <c r="C39" s="4" t="s">
        <v>71</v>
      </c>
      <c r="D39" s="4" t="s">
        <v>90</v>
      </c>
      <c r="E39" s="3" t="s">
        <v>107</v>
      </c>
      <c r="F39" s="3" t="s">
        <v>11</v>
      </c>
      <c r="G39" s="7">
        <v>609588</v>
      </c>
      <c r="H39" s="7">
        <f t="shared" si="3"/>
        <v>79246</v>
      </c>
      <c r="I39" s="163">
        <f t="shared" si="82"/>
        <v>0.14942528735632185</v>
      </c>
      <c r="J39" s="6">
        <v>174</v>
      </c>
      <c r="K39" s="6">
        <v>26</v>
      </c>
      <c r="L39" s="147">
        <f t="shared" si="83"/>
        <v>91088</v>
      </c>
      <c r="M39" s="10">
        <f t="shared" si="84"/>
        <v>11841</v>
      </c>
      <c r="N39" s="143">
        <f>SUM(L39:M39)/Monitoring!$B$19</f>
        <v>290.70240347953796</v>
      </c>
      <c r="O39" s="8">
        <f t="shared" si="85"/>
        <v>0.14942551362559631</v>
      </c>
      <c r="P39" s="11">
        <f t="shared" si="86"/>
        <v>-2.2626927445590361E-7</v>
      </c>
      <c r="Q39" s="11">
        <v>0.13</v>
      </c>
      <c r="R39" s="131">
        <v>44589</v>
      </c>
      <c r="S39" s="105" t="s">
        <v>114</v>
      </c>
      <c r="T39" s="105"/>
      <c r="U39" s="22"/>
    </row>
    <row r="40" spans="1:24" s="12" customFormat="1" x14ac:dyDescent="0.25">
      <c r="A40" s="3" t="s">
        <v>106</v>
      </c>
      <c r="B40" s="1" t="s">
        <v>92</v>
      </c>
      <c r="C40" s="4" t="s">
        <v>72</v>
      </c>
      <c r="D40" s="4" t="s">
        <v>90</v>
      </c>
      <c r="E40" s="3" t="s">
        <v>107</v>
      </c>
      <c r="F40" s="3" t="s">
        <v>11</v>
      </c>
      <c r="G40" s="7">
        <v>634588</v>
      </c>
      <c r="H40" s="7">
        <f t="shared" si="3"/>
        <v>82496</v>
      </c>
      <c r="I40" s="163">
        <f t="shared" ref="I40" si="87">K40/J40</f>
        <v>0.14367816091954022</v>
      </c>
      <c r="J40" s="6">
        <v>174</v>
      </c>
      <c r="K40" s="6">
        <v>25</v>
      </c>
      <c r="L40" s="147">
        <f t="shared" ref="L40" si="88">ROUND(G40*I40,0)</f>
        <v>91176</v>
      </c>
      <c r="M40" s="10">
        <f t="shared" ref="M40" si="89">ROUND(L40*Q40,0)</f>
        <v>11853</v>
      </c>
      <c r="N40" s="143">
        <f>SUM(L40:M40)/Monitoring!$B$19</f>
        <v>290.98483350749854</v>
      </c>
      <c r="O40" s="8">
        <f t="shared" ref="O40" si="90">L40/G40</f>
        <v>0.14367747262790975</v>
      </c>
      <c r="P40" s="11">
        <f t="shared" ref="P40" si="91">I40-O40</f>
        <v>6.8829163046846276E-7</v>
      </c>
      <c r="Q40" s="11">
        <v>0.13</v>
      </c>
      <c r="R40" s="131">
        <v>44610</v>
      </c>
      <c r="S40" s="105" t="s">
        <v>114</v>
      </c>
      <c r="T40" s="105"/>
      <c r="U40" s="22"/>
    </row>
    <row r="41" spans="1:24" s="12" customFormat="1" x14ac:dyDescent="0.25">
      <c r="A41" s="3" t="s">
        <v>106</v>
      </c>
      <c r="B41" s="1" t="s">
        <v>92</v>
      </c>
      <c r="C41" s="4" t="s">
        <v>73</v>
      </c>
      <c r="D41" s="4" t="s">
        <v>90</v>
      </c>
      <c r="E41" s="3" t="s">
        <v>107</v>
      </c>
      <c r="F41" s="3" t="s">
        <v>11</v>
      </c>
      <c r="G41" s="7">
        <v>634588</v>
      </c>
      <c r="H41" s="7">
        <f t="shared" si="3"/>
        <v>82496</v>
      </c>
      <c r="I41" s="163">
        <f t="shared" ref="I41" si="92">K41/J41</f>
        <v>0.14367816091954022</v>
      </c>
      <c r="J41" s="6">
        <v>174</v>
      </c>
      <c r="K41" s="6">
        <v>25</v>
      </c>
      <c r="L41" s="147">
        <f t="shared" ref="L41" si="93">ROUND(G41*I41,0)</f>
        <v>91176</v>
      </c>
      <c r="M41" s="10">
        <f t="shared" ref="M41" si="94">ROUND(L41*Q41,0)</f>
        <v>11853</v>
      </c>
      <c r="N41" s="143">
        <f>SUM(L41:M41)/Monitoring!$B$19</f>
        <v>290.98483350749854</v>
      </c>
      <c r="O41" s="8">
        <f t="shared" ref="O41" si="95">L41/G41</f>
        <v>0.14367747262790975</v>
      </c>
      <c r="P41" s="11">
        <f t="shared" ref="P41" si="96">I41-O41</f>
        <v>6.8829163046846276E-7</v>
      </c>
      <c r="Q41" s="11">
        <v>0.13</v>
      </c>
      <c r="R41" s="131">
        <v>44610</v>
      </c>
      <c r="S41" s="105" t="s">
        <v>114</v>
      </c>
      <c r="T41" s="105"/>
      <c r="U41" s="113"/>
    </row>
    <row r="42" spans="1:24" s="12" customFormat="1" x14ac:dyDescent="0.25">
      <c r="A42" s="3" t="s">
        <v>106</v>
      </c>
      <c r="B42" s="1" t="s">
        <v>92</v>
      </c>
      <c r="C42" s="4" t="s">
        <v>74</v>
      </c>
      <c r="D42" s="4" t="s">
        <v>90</v>
      </c>
      <c r="E42" s="3" t="s">
        <v>107</v>
      </c>
      <c r="F42" s="3" t="s">
        <v>11</v>
      </c>
      <c r="G42" s="7">
        <v>625489</v>
      </c>
      <c r="H42" s="7">
        <f t="shared" si="3"/>
        <v>81314</v>
      </c>
      <c r="I42" s="163">
        <f t="shared" ref="I42" si="97">K42/J42</f>
        <v>0.10919540229885058</v>
      </c>
      <c r="J42" s="6">
        <v>174</v>
      </c>
      <c r="K42" s="6">
        <v>19</v>
      </c>
      <c r="L42" s="147">
        <f t="shared" ref="L42" si="98">ROUND(G42*I42,0)</f>
        <v>68301</v>
      </c>
      <c r="M42" s="10">
        <f t="shared" ref="M42" si="99">ROUND(L42*Q42,0)</f>
        <v>8879</v>
      </c>
      <c r="N42" s="143">
        <f>SUM(L42:M42)/Monitoring!$B$19</f>
        <v>217.97949557997006</v>
      </c>
      <c r="O42" s="8">
        <f t="shared" ref="O42" si="100">L42/G42</f>
        <v>0.10919616492056615</v>
      </c>
      <c r="P42" s="11">
        <f t="shared" ref="P42" si="101">I42-O42</f>
        <v>-7.6262171556928937E-7</v>
      </c>
      <c r="Q42" s="11">
        <v>0.13</v>
      </c>
      <c r="R42" s="131">
        <v>44673</v>
      </c>
      <c r="S42" s="105" t="s">
        <v>114</v>
      </c>
      <c r="T42" s="105"/>
      <c r="U42" s="113"/>
    </row>
    <row r="43" spans="1:24" s="12" customFormat="1" x14ac:dyDescent="0.25">
      <c r="A43" s="3" t="s">
        <v>106</v>
      </c>
      <c r="B43" s="1" t="s">
        <v>92</v>
      </c>
      <c r="C43" s="4" t="s">
        <v>75</v>
      </c>
      <c r="D43" s="4" t="s">
        <v>90</v>
      </c>
      <c r="E43" s="3" t="s">
        <v>107</v>
      </c>
      <c r="F43" s="3" t="s">
        <v>11</v>
      </c>
      <c r="G43" s="7">
        <v>625490</v>
      </c>
      <c r="H43" s="7">
        <f t="shared" si="3"/>
        <v>81314</v>
      </c>
      <c r="I43" s="163">
        <f t="shared" ref="I43:I45" si="102">K43/J43</f>
        <v>0.10919540229885058</v>
      </c>
      <c r="J43" s="6">
        <v>174</v>
      </c>
      <c r="K43" s="6">
        <v>19</v>
      </c>
      <c r="L43" s="147">
        <f t="shared" ref="L43:L45" si="103">ROUND(G43*I43,0)</f>
        <v>68301</v>
      </c>
      <c r="M43" s="10">
        <f t="shared" ref="M43:M45" si="104">ROUND(L43*Q43,0)</f>
        <v>8879</v>
      </c>
      <c r="N43" s="143">
        <f>SUM(L43:M43)/Monitoring!$B$19</f>
        <v>217.97949557997006</v>
      </c>
      <c r="O43" s="8">
        <f t="shared" ref="O43:O45" si="105">L43/G43</f>
        <v>0.10919599034357064</v>
      </c>
      <c r="P43" s="11">
        <f t="shared" ref="P43:P45" si="106">I43-O43</f>
        <v>-5.8804472005680175E-7</v>
      </c>
      <c r="Q43" s="11">
        <v>0.13</v>
      </c>
      <c r="R43" s="131">
        <v>44673</v>
      </c>
      <c r="S43" s="105" t="s">
        <v>114</v>
      </c>
      <c r="T43" s="105"/>
      <c r="U43" s="113"/>
    </row>
    <row r="44" spans="1:24" s="12" customFormat="1" x14ac:dyDescent="0.25">
      <c r="A44" s="3" t="s">
        <v>106</v>
      </c>
      <c r="B44" s="1" t="s">
        <v>92</v>
      </c>
      <c r="C44" s="4" t="s">
        <v>76</v>
      </c>
      <c r="D44" s="4" t="s">
        <v>90</v>
      </c>
      <c r="E44" s="3" t="s">
        <v>107</v>
      </c>
      <c r="F44" s="3" t="s">
        <v>11</v>
      </c>
      <c r="G44" s="7">
        <v>625489</v>
      </c>
      <c r="H44" s="7">
        <f t="shared" si="3"/>
        <v>81314</v>
      </c>
      <c r="I44" s="163">
        <f t="shared" si="102"/>
        <v>0.10919540229885058</v>
      </c>
      <c r="J44" s="6">
        <v>174</v>
      </c>
      <c r="K44" s="6">
        <v>19</v>
      </c>
      <c r="L44" s="147">
        <f t="shared" si="103"/>
        <v>68301</v>
      </c>
      <c r="M44" s="10">
        <f t="shared" si="104"/>
        <v>8879</v>
      </c>
      <c r="N44" s="143">
        <f>SUM(L44:M44)/Monitoring!$B$19</f>
        <v>217.97949557997006</v>
      </c>
      <c r="O44" s="8">
        <f t="shared" si="105"/>
        <v>0.10919616492056615</v>
      </c>
      <c r="P44" s="11">
        <f t="shared" si="106"/>
        <v>-7.6262171556928937E-7</v>
      </c>
      <c r="Q44" s="11">
        <v>0.13</v>
      </c>
      <c r="R44" s="131">
        <v>44673</v>
      </c>
      <c r="S44" s="105" t="s">
        <v>114</v>
      </c>
      <c r="T44" s="105"/>
      <c r="U44" s="113"/>
    </row>
    <row r="45" spans="1:24" s="12" customFormat="1" x14ac:dyDescent="0.25">
      <c r="A45" s="3" t="s">
        <v>106</v>
      </c>
      <c r="B45" s="1" t="s">
        <v>92</v>
      </c>
      <c r="C45" s="4" t="s">
        <v>77</v>
      </c>
      <c r="D45" s="4" t="s">
        <v>90</v>
      </c>
      <c r="E45" s="3" t="s">
        <v>107</v>
      </c>
      <c r="F45" s="3" t="s">
        <v>11</v>
      </c>
      <c r="G45" s="7">
        <v>625490</v>
      </c>
      <c r="H45" s="7">
        <f t="shared" si="3"/>
        <v>81314</v>
      </c>
      <c r="I45" s="163">
        <f t="shared" si="102"/>
        <v>0.10919540229885058</v>
      </c>
      <c r="J45" s="6">
        <v>174</v>
      </c>
      <c r="K45" s="6">
        <v>19</v>
      </c>
      <c r="L45" s="147">
        <f t="shared" si="103"/>
        <v>68301</v>
      </c>
      <c r="M45" s="10">
        <f t="shared" si="104"/>
        <v>8879</v>
      </c>
      <c r="N45" s="143">
        <f>SUM(L45:M45)/Monitoring!$B$19</f>
        <v>217.97949557997006</v>
      </c>
      <c r="O45" s="8">
        <f t="shared" si="105"/>
        <v>0.10919599034357064</v>
      </c>
      <c r="P45" s="11">
        <f t="shared" si="106"/>
        <v>-5.8804472005680175E-7</v>
      </c>
      <c r="Q45" s="11">
        <v>0.13</v>
      </c>
      <c r="R45" s="131">
        <v>44673</v>
      </c>
      <c r="S45" s="105" t="s">
        <v>114</v>
      </c>
      <c r="T45" s="105"/>
      <c r="U45" s="113"/>
    </row>
    <row r="46" spans="1:24" s="12" customFormat="1" ht="15" customHeight="1" x14ac:dyDescent="0.25">
      <c r="A46" s="3" t="s">
        <v>106</v>
      </c>
      <c r="B46" s="1" t="s">
        <v>93</v>
      </c>
      <c r="C46" s="4" t="s">
        <v>67</v>
      </c>
      <c r="D46" s="4" t="s">
        <v>90</v>
      </c>
      <c r="E46" s="3" t="s">
        <v>107</v>
      </c>
      <c r="F46" s="3" t="s">
        <v>11</v>
      </c>
      <c r="G46" s="7">
        <v>529689</v>
      </c>
      <c r="H46" s="7">
        <f t="shared" si="3"/>
        <v>82102</v>
      </c>
      <c r="I46" s="163">
        <f>K46/J46</f>
        <v>9.7701149425287362E-2</v>
      </c>
      <c r="J46" s="6">
        <v>174</v>
      </c>
      <c r="K46" s="6">
        <v>17</v>
      </c>
      <c r="L46" s="147">
        <f>ROUND(G46*I46,0)</f>
        <v>51751</v>
      </c>
      <c r="M46" s="10">
        <f t="shared" si="84"/>
        <v>8021</v>
      </c>
      <c r="N46" s="143">
        <f>SUM(L46:M46)/Monitoring!$B$19</f>
        <v>168.81407631259356</v>
      </c>
      <c r="O46" s="8">
        <f t="shared" si="85"/>
        <v>9.7700726275229424E-2</v>
      </c>
      <c r="P46" s="11">
        <f t="shared" si="86"/>
        <v>4.2315005793769345E-7</v>
      </c>
      <c r="Q46" s="11">
        <v>0.155</v>
      </c>
      <c r="R46" s="131">
        <v>44481</v>
      </c>
      <c r="S46" s="105" t="s">
        <v>114</v>
      </c>
      <c r="T46" s="105"/>
      <c r="U46" s="113"/>
    </row>
    <row r="47" spans="1:24" s="12" customFormat="1" x14ac:dyDescent="0.25">
      <c r="A47" s="3" t="s">
        <v>106</v>
      </c>
      <c r="B47" s="1" t="s">
        <v>93</v>
      </c>
      <c r="C47" s="4" t="s">
        <v>68</v>
      </c>
      <c r="D47" s="4" t="s">
        <v>90</v>
      </c>
      <c r="E47" s="3" t="s">
        <v>107</v>
      </c>
      <c r="F47" s="3" t="s">
        <v>11</v>
      </c>
      <c r="G47" s="7">
        <v>529687</v>
      </c>
      <c r="H47" s="7">
        <f t="shared" si="3"/>
        <v>82101</v>
      </c>
      <c r="I47" s="163">
        <f t="shared" ref="I47:I67" si="107">K47/J47</f>
        <v>8.6206896551724144E-2</v>
      </c>
      <c r="J47" s="6">
        <v>174</v>
      </c>
      <c r="K47" s="6">
        <v>15</v>
      </c>
      <c r="L47" s="147">
        <f t="shared" ref="L47:L48" si="108">ROUND(G47*I47,0)</f>
        <v>45663</v>
      </c>
      <c r="M47" s="10">
        <f t="shared" ref="M47:M48" si="109">ROUND(L47*Q47,0)</f>
        <v>7078</v>
      </c>
      <c r="N47" s="143">
        <f>SUM(L47:M47)/Monitoring!$B$19</f>
        <v>148.95642104668568</v>
      </c>
      <c r="O47" s="8">
        <f t="shared" ref="O47:O48" si="110">L47/G47</f>
        <v>8.6207515004143961E-2</v>
      </c>
      <c r="P47" s="11">
        <f t="shared" ref="P47:P48" si="111">I47-O47</f>
        <v>-6.1845241981772769E-7</v>
      </c>
      <c r="Q47" s="11">
        <v>0.155</v>
      </c>
      <c r="R47" s="131">
        <v>44502</v>
      </c>
      <c r="S47" s="105" t="s">
        <v>114</v>
      </c>
      <c r="T47" s="105"/>
      <c r="U47" s="113"/>
    </row>
    <row r="48" spans="1:24" s="12" customFormat="1" x14ac:dyDescent="0.25">
      <c r="A48" s="3" t="s">
        <v>106</v>
      </c>
      <c r="B48" s="1" t="s">
        <v>93</v>
      </c>
      <c r="C48" s="4" t="s">
        <v>69</v>
      </c>
      <c r="D48" s="4" t="s">
        <v>90</v>
      </c>
      <c r="E48" s="3" t="s">
        <v>107</v>
      </c>
      <c r="F48" s="3" t="s">
        <v>11</v>
      </c>
      <c r="G48" s="7">
        <v>529687</v>
      </c>
      <c r="H48" s="7">
        <f t="shared" si="3"/>
        <v>82101</v>
      </c>
      <c r="I48" s="163">
        <f t="shared" si="107"/>
        <v>8.6206896551724144E-2</v>
      </c>
      <c r="J48" s="6">
        <v>174</v>
      </c>
      <c r="K48" s="6">
        <v>15</v>
      </c>
      <c r="L48" s="147">
        <f t="shared" si="108"/>
        <v>45663</v>
      </c>
      <c r="M48" s="10">
        <f t="shared" si="109"/>
        <v>7078</v>
      </c>
      <c r="N48" s="143">
        <f>SUM(L48:M48)/Monitoring!$B$19</f>
        <v>148.95642104668568</v>
      </c>
      <c r="O48" s="8">
        <f t="shared" si="110"/>
        <v>8.6207515004143961E-2</v>
      </c>
      <c r="P48" s="11">
        <f t="shared" si="111"/>
        <v>-6.1845241981772769E-7</v>
      </c>
      <c r="Q48" s="11">
        <v>0.155</v>
      </c>
      <c r="R48" s="131">
        <v>44530</v>
      </c>
      <c r="S48" s="105" t="s">
        <v>114</v>
      </c>
      <c r="T48" s="105"/>
      <c r="U48" s="113"/>
    </row>
    <row r="49" spans="1:24" s="12" customFormat="1" x14ac:dyDescent="0.25">
      <c r="A49" s="3" t="s">
        <v>106</v>
      </c>
      <c r="B49" s="1" t="s">
        <v>93</v>
      </c>
      <c r="C49" s="4" t="s">
        <v>70</v>
      </c>
      <c r="D49" s="4" t="s">
        <v>90</v>
      </c>
      <c r="E49" s="3" t="s">
        <v>107</v>
      </c>
      <c r="F49" s="3" t="s">
        <v>11</v>
      </c>
      <c r="G49" s="7">
        <v>609588</v>
      </c>
      <c r="H49" s="7">
        <f t="shared" si="3"/>
        <v>79246</v>
      </c>
      <c r="I49" s="163">
        <f t="shared" ref="I49:I50" si="112">K49/J49</f>
        <v>8.6206896551724144E-2</v>
      </c>
      <c r="J49" s="6">
        <v>174</v>
      </c>
      <c r="K49" s="6">
        <v>15</v>
      </c>
      <c r="L49" s="147">
        <f t="shared" ref="L49:L50" si="113">ROUND(G49*I49,0)</f>
        <v>52551</v>
      </c>
      <c r="M49" s="10">
        <f t="shared" ref="M49:M50" si="114">ROUND(L49*Q49,0)</f>
        <v>6832</v>
      </c>
      <c r="N49" s="143">
        <f>SUM(L49:M49)/Monitoring!$B$19</f>
        <v>167.71542350382694</v>
      </c>
      <c r="O49" s="8">
        <f t="shared" ref="O49:O50" si="115">L49/G49</f>
        <v>8.620740565759169E-2</v>
      </c>
      <c r="P49" s="11">
        <f t="shared" ref="P49:P50" si="116">I49-O49</f>
        <v>-5.0910586754659981E-7</v>
      </c>
      <c r="Q49" s="11">
        <v>0.13</v>
      </c>
      <c r="R49" s="131">
        <v>44530</v>
      </c>
      <c r="S49" s="105" t="s">
        <v>114</v>
      </c>
      <c r="T49" s="105"/>
      <c r="U49" s="22"/>
    </row>
    <row r="50" spans="1:24" s="12" customFormat="1" x14ac:dyDescent="0.25">
      <c r="A50" s="3" t="s">
        <v>106</v>
      </c>
      <c r="B50" s="1" t="s">
        <v>93</v>
      </c>
      <c r="C50" s="4" t="s">
        <v>71</v>
      </c>
      <c r="D50" s="4" t="s">
        <v>90</v>
      </c>
      <c r="E50" s="3" t="s">
        <v>107</v>
      </c>
      <c r="F50" s="3" t="s">
        <v>11</v>
      </c>
      <c r="G50" s="7">
        <v>609588</v>
      </c>
      <c r="H50" s="7">
        <f t="shared" si="3"/>
        <v>79246</v>
      </c>
      <c r="I50" s="163">
        <f t="shared" si="112"/>
        <v>7.4712643678160925E-2</v>
      </c>
      <c r="J50" s="6">
        <v>174</v>
      </c>
      <c r="K50" s="6">
        <v>13</v>
      </c>
      <c r="L50" s="147">
        <f t="shared" si="113"/>
        <v>45544</v>
      </c>
      <c r="M50" s="10">
        <f t="shared" si="114"/>
        <v>5921</v>
      </c>
      <c r="N50" s="143">
        <f>SUM(L50:M50)/Monitoring!$B$19</f>
        <v>145.35261388990878</v>
      </c>
      <c r="O50" s="8">
        <f t="shared" si="115"/>
        <v>7.4712756812798153E-2</v>
      </c>
      <c r="P50" s="11">
        <f t="shared" si="116"/>
        <v>-1.1313463722795181E-7</v>
      </c>
      <c r="Q50" s="11">
        <v>0.13</v>
      </c>
      <c r="R50" s="131">
        <v>44589</v>
      </c>
      <c r="S50" s="105" t="s">
        <v>114</v>
      </c>
      <c r="T50" s="105"/>
      <c r="U50" s="22"/>
    </row>
    <row r="51" spans="1:24" s="12" customFormat="1" x14ac:dyDescent="0.25">
      <c r="A51" s="3" t="s">
        <v>106</v>
      </c>
      <c r="B51" s="1" t="s">
        <v>93</v>
      </c>
      <c r="C51" s="4" t="s">
        <v>72</v>
      </c>
      <c r="D51" s="4" t="s">
        <v>90</v>
      </c>
      <c r="E51" s="3" t="s">
        <v>107</v>
      </c>
      <c r="F51" s="3" t="s">
        <v>11</v>
      </c>
      <c r="G51" s="7">
        <v>634588</v>
      </c>
      <c r="H51" s="7">
        <f t="shared" si="3"/>
        <v>82496</v>
      </c>
      <c r="I51" s="163">
        <f t="shared" ref="I51" si="117">K51/J51</f>
        <v>7.4712643678160925E-2</v>
      </c>
      <c r="J51" s="6">
        <v>174</v>
      </c>
      <c r="K51" s="6">
        <v>13</v>
      </c>
      <c r="L51" s="147">
        <f t="shared" ref="L51" si="118">ROUND(G51*I51,0)</f>
        <v>47412</v>
      </c>
      <c r="M51" s="10">
        <f t="shared" ref="M51" si="119">ROUND(L51*Q51,0)</f>
        <v>6164</v>
      </c>
      <c r="N51" s="143">
        <f>SUM(L51:M51)/Monitoring!$B$19</f>
        <v>151.31471178015647</v>
      </c>
      <c r="O51" s="8">
        <f t="shared" ref="O51" si="120">L51/G51</f>
        <v>7.4713042162789081E-2</v>
      </c>
      <c r="P51" s="11">
        <f t="shared" ref="P51" si="121">I51-O51</f>
        <v>-3.9848462815572638E-7</v>
      </c>
      <c r="Q51" s="11">
        <v>0.13</v>
      </c>
      <c r="R51" s="131">
        <v>44610</v>
      </c>
      <c r="S51" s="105" t="s">
        <v>114</v>
      </c>
      <c r="T51" s="105"/>
      <c r="U51" s="22"/>
    </row>
    <row r="52" spans="1:24" s="12" customFormat="1" x14ac:dyDescent="0.25">
      <c r="A52" s="3" t="s">
        <v>106</v>
      </c>
      <c r="B52" s="1" t="s">
        <v>93</v>
      </c>
      <c r="C52" s="4" t="s">
        <v>73</v>
      </c>
      <c r="D52" s="4" t="s">
        <v>90</v>
      </c>
      <c r="E52" s="3" t="s">
        <v>107</v>
      </c>
      <c r="F52" s="3" t="s">
        <v>11</v>
      </c>
      <c r="G52" s="7">
        <v>634588</v>
      </c>
      <c r="H52" s="7">
        <f t="shared" si="3"/>
        <v>82496</v>
      </c>
      <c r="I52" s="163">
        <f t="shared" ref="I52" si="122">K52/J52</f>
        <v>7.4712643678160925E-2</v>
      </c>
      <c r="J52" s="6">
        <v>174</v>
      </c>
      <c r="K52" s="6">
        <v>13</v>
      </c>
      <c r="L52" s="147">
        <f t="shared" ref="L52" si="123">ROUND(G52*I52,0)</f>
        <v>47412</v>
      </c>
      <c r="M52" s="10">
        <f t="shared" ref="M52" si="124">ROUND(L52*Q52,0)</f>
        <v>6164</v>
      </c>
      <c r="N52" s="143">
        <f>SUM(L52:M52)/Monitoring!$B$19</f>
        <v>151.31471178015647</v>
      </c>
      <c r="O52" s="8">
        <f t="shared" ref="O52" si="125">L52/G52</f>
        <v>7.4713042162789081E-2</v>
      </c>
      <c r="P52" s="11">
        <f t="shared" ref="P52" si="126">I52-O52</f>
        <v>-3.9848462815572638E-7</v>
      </c>
      <c r="Q52" s="11">
        <v>0.13</v>
      </c>
      <c r="R52" s="131">
        <v>44610</v>
      </c>
      <c r="S52" s="105" t="s">
        <v>114</v>
      </c>
      <c r="T52" s="105"/>
      <c r="U52" s="113"/>
    </row>
    <row r="53" spans="1:24" s="12" customFormat="1" x14ac:dyDescent="0.25">
      <c r="A53" s="3" t="s">
        <v>106</v>
      </c>
      <c r="B53" s="1" t="s">
        <v>93</v>
      </c>
      <c r="C53" s="4" t="s">
        <v>74</v>
      </c>
      <c r="D53" s="4" t="s">
        <v>90</v>
      </c>
      <c r="E53" s="3" t="s">
        <v>107</v>
      </c>
      <c r="F53" s="3" t="s">
        <v>11</v>
      </c>
      <c r="G53" s="7">
        <v>625489</v>
      </c>
      <c r="H53" s="7">
        <f t="shared" si="3"/>
        <v>81314</v>
      </c>
      <c r="I53" s="163">
        <f t="shared" ref="I53" si="127">K53/J53</f>
        <v>7.4712643678160925E-2</v>
      </c>
      <c r="J53" s="6">
        <v>174</v>
      </c>
      <c r="K53" s="6">
        <v>13</v>
      </c>
      <c r="L53" s="147">
        <f t="shared" ref="L53" si="128">ROUND(G53*I53,0)</f>
        <v>46732</v>
      </c>
      <c r="M53" s="10">
        <f t="shared" ref="M53" si="129">ROUND(L53*Q53,0)</f>
        <v>6075</v>
      </c>
      <c r="N53" s="143">
        <f>SUM(L53:M53)/Monitoring!$B$19</f>
        <v>149.14282486513966</v>
      </c>
      <c r="O53" s="8">
        <f t="shared" ref="O53" si="130">L53/G53</f>
        <v>7.4712744748508766E-2</v>
      </c>
      <c r="P53" s="11">
        <f t="shared" ref="P53" si="131">I53-O53</f>
        <v>-1.0107034784101465E-7</v>
      </c>
      <c r="Q53" s="11">
        <v>0.13</v>
      </c>
      <c r="R53" s="131">
        <v>44673</v>
      </c>
      <c r="S53" s="105" t="s">
        <v>114</v>
      </c>
      <c r="T53" s="105"/>
      <c r="U53" s="113"/>
    </row>
    <row r="54" spans="1:24" s="12" customFormat="1" x14ac:dyDescent="0.25">
      <c r="A54" s="3" t="s">
        <v>106</v>
      </c>
      <c r="B54" s="1" t="s">
        <v>93</v>
      </c>
      <c r="C54" s="4" t="s">
        <v>75</v>
      </c>
      <c r="D54" s="4" t="s">
        <v>90</v>
      </c>
      <c r="E54" s="3" t="s">
        <v>107</v>
      </c>
      <c r="F54" s="3" t="s">
        <v>11</v>
      </c>
      <c r="G54" s="7">
        <v>625490</v>
      </c>
      <c r="H54" s="7">
        <f t="shared" si="3"/>
        <v>81314</v>
      </c>
      <c r="I54" s="163">
        <f t="shared" ref="I54:I56" si="132">K54/J54</f>
        <v>7.4712643678160925E-2</v>
      </c>
      <c r="J54" s="6">
        <v>174</v>
      </c>
      <c r="K54" s="6">
        <v>13</v>
      </c>
      <c r="L54" s="147">
        <f t="shared" ref="L54:L56" si="133">ROUND(G54*I54,0)</f>
        <v>46732</v>
      </c>
      <c r="M54" s="10">
        <f t="shared" ref="M54:M56" si="134">ROUND(L54*Q54,0)</f>
        <v>6075</v>
      </c>
      <c r="N54" s="143">
        <f>SUM(L54:M54)/Monitoring!$B$19</f>
        <v>149.14282486513966</v>
      </c>
      <c r="O54" s="8">
        <f t="shared" ref="O54:O56" si="135">L54/G54</f>
        <v>7.4712625301763411E-2</v>
      </c>
      <c r="P54" s="11">
        <f t="shared" ref="P54:P56" si="136">I54-O54</f>
        <v>1.8376397514785481E-8</v>
      </c>
      <c r="Q54" s="11">
        <v>0.13</v>
      </c>
      <c r="R54" s="131">
        <v>44673</v>
      </c>
      <c r="S54" s="105" t="s">
        <v>114</v>
      </c>
      <c r="T54" s="105"/>
      <c r="U54" s="113"/>
    </row>
    <row r="55" spans="1:24" s="12" customFormat="1" x14ac:dyDescent="0.25">
      <c r="A55" s="3" t="s">
        <v>106</v>
      </c>
      <c r="B55" s="1" t="s">
        <v>93</v>
      </c>
      <c r="C55" s="4" t="s">
        <v>76</v>
      </c>
      <c r="D55" s="4" t="s">
        <v>90</v>
      </c>
      <c r="E55" s="3" t="s">
        <v>107</v>
      </c>
      <c r="F55" s="3" t="s">
        <v>11</v>
      </c>
      <c r="G55" s="7">
        <v>625489</v>
      </c>
      <c r="H55" s="7">
        <f t="shared" si="3"/>
        <v>81314</v>
      </c>
      <c r="I55" s="163">
        <f t="shared" si="132"/>
        <v>7.4712643678160925E-2</v>
      </c>
      <c r="J55" s="6">
        <v>174</v>
      </c>
      <c r="K55" s="6">
        <v>13</v>
      </c>
      <c r="L55" s="147">
        <f t="shared" si="133"/>
        <v>46732</v>
      </c>
      <c r="M55" s="10">
        <f t="shared" si="134"/>
        <v>6075</v>
      </c>
      <c r="N55" s="143">
        <f>SUM(L55:M55)/Monitoring!$B$19</f>
        <v>149.14282486513966</v>
      </c>
      <c r="O55" s="8">
        <f t="shared" si="135"/>
        <v>7.4712744748508766E-2</v>
      </c>
      <c r="P55" s="11">
        <f t="shared" si="136"/>
        <v>-1.0107034784101465E-7</v>
      </c>
      <c r="Q55" s="11">
        <v>0.13</v>
      </c>
      <c r="R55" s="131">
        <v>44673</v>
      </c>
      <c r="S55" s="105" t="s">
        <v>114</v>
      </c>
      <c r="T55" s="105"/>
      <c r="U55" s="113"/>
    </row>
    <row r="56" spans="1:24" s="12" customFormat="1" x14ac:dyDescent="0.25">
      <c r="A56" s="3" t="s">
        <v>106</v>
      </c>
      <c r="B56" s="1" t="s">
        <v>93</v>
      </c>
      <c r="C56" s="4" t="s">
        <v>77</v>
      </c>
      <c r="D56" s="4" t="s">
        <v>90</v>
      </c>
      <c r="E56" s="3" t="s">
        <v>107</v>
      </c>
      <c r="F56" s="3" t="s">
        <v>11</v>
      </c>
      <c r="G56" s="7">
        <v>625490</v>
      </c>
      <c r="H56" s="7">
        <f t="shared" si="3"/>
        <v>81314</v>
      </c>
      <c r="I56" s="163">
        <f t="shared" si="132"/>
        <v>7.4712643678160925E-2</v>
      </c>
      <c r="J56" s="6">
        <v>174</v>
      </c>
      <c r="K56" s="6">
        <v>13</v>
      </c>
      <c r="L56" s="147">
        <f t="shared" si="133"/>
        <v>46732</v>
      </c>
      <c r="M56" s="10">
        <f t="shared" si="134"/>
        <v>6075</v>
      </c>
      <c r="N56" s="143">
        <f>SUM(L56:M56)/Monitoring!$B$19</f>
        <v>149.14282486513966</v>
      </c>
      <c r="O56" s="8">
        <f t="shared" si="135"/>
        <v>7.4712625301763411E-2</v>
      </c>
      <c r="P56" s="11">
        <f t="shared" si="136"/>
        <v>1.8376397514785481E-8</v>
      </c>
      <c r="Q56" s="11">
        <v>0.13</v>
      </c>
      <c r="R56" s="131">
        <v>44673</v>
      </c>
      <c r="S56" s="105" t="s">
        <v>114</v>
      </c>
      <c r="T56" s="105"/>
      <c r="U56" s="113"/>
    </row>
    <row r="57" spans="1:24" s="12" customFormat="1" x14ac:dyDescent="0.25">
      <c r="A57" s="3" t="s">
        <v>106</v>
      </c>
      <c r="B57" s="1" t="s">
        <v>93</v>
      </c>
      <c r="C57" s="4" t="s">
        <v>78</v>
      </c>
      <c r="D57" s="4" t="s">
        <v>90</v>
      </c>
      <c r="E57" s="3" t="s">
        <v>107</v>
      </c>
      <c r="F57" s="3" t="s">
        <v>11</v>
      </c>
      <c r="G57" s="7">
        <v>643686</v>
      </c>
      <c r="H57" s="7">
        <f t="shared" si="3"/>
        <v>83679</v>
      </c>
      <c r="I57" s="163">
        <f t="shared" ref="I57" si="137">K57/J57</f>
        <v>7.4712643678160925E-2</v>
      </c>
      <c r="J57" s="6">
        <v>174</v>
      </c>
      <c r="K57" s="6">
        <v>13</v>
      </c>
      <c r="L57" s="147">
        <f t="shared" ref="L57" si="138">ROUND(G57*I57,0)</f>
        <v>48091</v>
      </c>
      <c r="M57" s="10">
        <f t="shared" ref="M57" si="139">ROUND(L57*Q57,0)</f>
        <v>6252</v>
      </c>
      <c r="N57" s="143">
        <f>SUM(L57:M57)/Monitoring!$B$19</f>
        <v>153.48095009461406</v>
      </c>
      <c r="O57" s="8">
        <f t="shared" ref="O57" si="140">L57/G57</f>
        <v>7.4711893687294736E-2</v>
      </c>
      <c r="P57" s="11">
        <f t="shared" ref="P57" si="141">I57-O57</f>
        <v>7.4999086618898758E-7</v>
      </c>
      <c r="Q57" s="11">
        <v>0.13</v>
      </c>
      <c r="R57" s="131">
        <v>44771</v>
      </c>
      <c r="S57" s="105" t="s">
        <v>114</v>
      </c>
      <c r="T57" s="105"/>
      <c r="U57" s="113"/>
    </row>
    <row r="58" spans="1:24" s="12" customFormat="1" x14ac:dyDescent="0.25">
      <c r="A58" s="3" t="s">
        <v>106</v>
      </c>
      <c r="B58" s="1" t="s">
        <v>93</v>
      </c>
      <c r="C58" s="4" t="s">
        <v>82</v>
      </c>
      <c r="D58" s="4" t="s">
        <v>90</v>
      </c>
      <c r="E58" s="3" t="s">
        <v>107</v>
      </c>
      <c r="F58" s="3" t="s">
        <v>11</v>
      </c>
      <c r="G58" s="7">
        <v>643686</v>
      </c>
      <c r="H58" s="7">
        <f t="shared" si="3"/>
        <v>83679</v>
      </c>
      <c r="I58" s="163">
        <f t="shared" ref="I58:I61" si="142">K58/J58</f>
        <v>7.4712643678160925E-2</v>
      </c>
      <c r="J58" s="6">
        <v>174</v>
      </c>
      <c r="K58" s="6">
        <v>13</v>
      </c>
      <c r="L58" s="147">
        <f t="shared" ref="L58:L61" si="143">ROUND(G58*I58,0)</f>
        <v>48091</v>
      </c>
      <c r="M58" s="10">
        <f t="shared" ref="M58:M61" si="144">ROUND(L58*Q58,0)</f>
        <v>6252</v>
      </c>
      <c r="N58" s="143">
        <f>SUM(L58:M58)/Monitoring!$B$19</f>
        <v>153.48095009461406</v>
      </c>
      <c r="O58" s="8">
        <f t="shared" ref="O58:O61" si="145">L58/G58</f>
        <v>7.4711893687294736E-2</v>
      </c>
      <c r="P58" s="11">
        <f t="shared" ref="P58:P61" si="146">I58-O58</f>
        <v>7.4999086618898758E-7</v>
      </c>
      <c r="Q58" s="11">
        <v>0.13</v>
      </c>
      <c r="R58" s="131">
        <v>44771</v>
      </c>
      <c r="S58" s="105" t="s">
        <v>114</v>
      </c>
      <c r="T58" s="105"/>
      <c r="U58" s="113"/>
    </row>
    <row r="59" spans="1:24" s="12" customFormat="1" x14ac:dyDescent="0.25">
      <c r="A59" s="3" t="s">
        <v>106</v>
      </c>
      <c r="B59" s="1" t="s">
        <v>93</v>
      </c>
      <c r="C59" s="4" t="s">
        <v>83</v>
      </c>
      <c r="D59" s="4" t="s">
        <v>90</v>
      </c>
      <c r="E59" s="3" t="s">
        <v>107</v>
      </c>
      <c r="F59" s="3" t="s">
        <v>11</v>
      </c>
      <c r="G59" s="7">
        <v>643686</v>
      </c>
      <c r="H59" s="7">
        <f t="shared" si="3"/>
        <v>83679</v>
      </c>
      <c r="I59" s="163">
        <f t="shared" si="142"/>
        <v>7.4712643678160925E-2</v>
      </c>
      <c r="J59" s="6">
        <v>174</v>
      </c>
      <c r="K59" s="6">
        <v>13</v>
      </c>
      <c r="L59" s="147">
        <f t="shared" si="143"/>
        <v>48091</v>
      </c>
      <c r="M59" s="10">
        <f t="shared" si="144"/>
        <v>6252</v>
      </c>
      <c r="N59" s="143">
        <f>SUM(L59:M59)/Monitoring!$B$19</f>
        <v>153.48095009461406</v>
      </c>
      <c r="O59" s="8">
        <f t="shared" si="145"/>
        <v>7.4711893687294736E-2</v>
      </c>
      <c r="P59" s="11">
        <f t="shared" si="146"/>
        <v>7.4999086618898758E-7</v>
      </c>
      <c r="Q59" s="11">
        <v>0.13</v>
      </c>
      <c r="R59" s="131">
        <v>44771</v>
      </c>
      <c r="S59" s="105" t="s">
        <v>114</v>
      </c>
      <c r="T59" s="105" t="s">
        <v>153</v>
      </c>
      <c r="U59" s="113"/>
      <c r="V59" s="151" t="e">
        <v>#N/A</v>
      </c>
      <c r="W59" s="155" t="e">
        <v>#N/A</v>
      </c>
      <c r="X59" s="151" t="e">
        <v>#N/A</v>
      </c>
    </row>
    <row r="60" spans="1:24" s="12" customFormat="1" x14ac:dyDescent="0.25">
      <c r="A60" s="3" t="s">
        <v>106</v>
      </c>
      <c r="B60" s="1" t="s">
        <v>93</v>
      </c>
      <c r="C60" s="4" t="s">
        <v>84</v>
      </c>
      <c r="D60" s="4" t="s">
        <v>90</v>
      </c>
      <c r="E60" s="3" t="s">
        <v>107</v>
      </c>
      <c r="F60" s="3" t="s">
        <v>11</v>
      </c>
      <c r="G60" s="7">
        <v>661881</v>
      </c>
      <c r="H60" s="7">
        <f t="shared" si="3"/>
        <v>86045</v>
      </c>
      <c r="I60" s="163">
        <f t="shared" ref="I60" si="147">K60/J60</f>
        <v>0.13793103448275862</v>
      </c>
      <c r="J60" s="6">
        <v>174</v>
      </c>
      <c r="K60" s="6">
        <v>24</v>
      </c>
      <c r="L60" s="147">
        <f t="shared" ref="L60" si="148">ROUND(G60*I60,0)</f>
        <v>91294</v>
      </c>
      <c r="M60" s="10">
        <f t="shared" ref="M60" si="149">ROUND(L60*Q60,0)</f>
        <v>11868</v>
      </c>
      <c r="N60" s="143">
        <f>SUM(L60:M60)/Monitoring!$B$19</f>
        <v>291.3604654446861</v>
      </c>
      <c r="O60" s="8">
        <f t="shared" ref="O60" si="150">L60/G60</f>
        <v>0.13793113867900725</v>
      </c>
      <c r="P60" s="11">
        <f t="shared" ref="P60" si="151">I60-O60</f>
        <v>-1.0419624862922916E-7</v>
      </c>
      <c r="Q60" s="11">
        <v>0.13</v>
      </c>
      <c r="R60" s="131">
        <v>44880</v>
      </c>
      <c r="S60" s="105" t="s">
        <v>114</v>
      </c>
      <c r="T60" s="105" t="s">
        <v>153</v>
      </c>
      <c r="U60" s="113"/>
      <c r="V60" s="151" t="s">
        <v>170</v>
      </c>
      <c r="W60" s="151" t="s">
        <v>171</v>
      </c>
      <c r="X60" s="151" t="s">
        <v>171</v>
      </c>
    </row>
    <row r="61" spans="1:24" s="12" customFormat="1" x14ac:dyDescent="0.25">
      <c r="A61" s="3" t="s">
        <v>106</v>
      </c>
      <c r="B61" s="1" t="s">
        <v>94</v>
      </c>
      <c r="C61" s="4" t="s">
        <v>78</v>
      </c>
      <c r="D61" s="4" t="s">
        <v>90</v>
      </c>
      <c r="E61" s="3" t="s">
        <v>107</v>
      </c>
      <c r="F61" s="3" t="s">
        <v>11</v>
      </c>
      <c r="G61" s="7">
        <v>643686</v>
      </c>
      <c r="H61" s="7">
        <f t="shared" si="3"/>
        <v>83679</v>
      </c>
      <c r="I61" s="163">
        <f t="shared" si="142"/>
        <v>0.17816091954022989</v>
      </c>
      <c r="J61" s="6">
        <v>174</v>
      </c>
      <c r="K61" s="6">
        <v>31</v>
      </c>
      <c r="L61" s="147">
        <f t="shared" si="143"/>
        <v>114680</v>
      </c>
      <c r="M61" s="10">
        <f t="shared" si="144"/>
        <v>14908</v>
      </c>
      <c r="N61" s="143">
        <f>SUM(L61:M61)/Monitoring!$B$19</f>
        <v>365.99542463354703</v>
      </c>
      <c r="O61" s="8">
        <f t="shared" si="145"/>
        <v>0.17816140167721528</v>
      </c>
      <c r="P61" s="11">
        <f t="shared" si="146"/>
        <v>-4.8213698539134597E-7</v>
      </c>
      <c r="Q61" s="11">
        <v>0.13</v>
      </c>
      <c r="R61" s="131">
        <v>44771</v>
      </c>
      <c r="S61" s="105" t="s">
        <v>114</v>
      </c>
      <c r="T61" s="105"/>
      <c r="U61" s="113"/>
    </row>
    <row r="62" spans="1:24" s="12" customFormat="1" x14ac:dyDescent="0.25">
      <c r="A62" s="3" t="s">
        <v>106</v>
      </c>
      <c r="B62" s="1" t="s">
        <v>94</v>
      </c>
      <c r="C62" s="4" t="s">
        <v>82</v>
      </c>
      <c r="D62" s="4" t="s">
        <v>90</v>
      </c>
      <c r="E62" s="3" t="s">
        <v>107</v>
      </c>
      <c r="F62" s="3" t="s">
        <v>11</v>
      </c>
      <c r="G62" s="7">
        <v>643686</v>
      </c>
      <c r="H62" s="7">
        <f t="shared" si="3"/>
        <v>83679</v>
      </c>
      <c r="I62" s="163">
        <f t="shared" ref="I62:I63" si="152">K62/J62</f>
        <v>0.17816091954022989</v>
      </c>
      <c r="J62" s="6">
        <v>174</v>
      </c>
      <c r="K62" s="6">
        <v>31</v>
      </c>
      <c r="L62" s="147">
        <f t="shared" ref="L62:L63" si="153">ROUND(G62*I62,0)</f>
        <v>114680</v>
      </c>
      <c r="M62" s="10">
        <f t="shared" ref="M62:M63" si="154">ROUND(L62*Q62,0)</f>
        <v>14908</v>
      </c>
      <c r="N62" s="143">
        <f>SUM(L62:M62)/Monitoring!$B$19</f>
        <v>365.99542463354703</v>
      </c>
      <c r="O62" s="8">
        <f t="shared" ref="O62:O63" si="155">L62/G62</f>
        <v>0.17816140167721528</v>
      </c>
      <c r="P62" s="11">
        <f t="shared" ref="P62:P63" si="156">I62-O62</f>
        <v>-4.8213698539134597E-7</v>
      </c>
      <c r="Q62" s="11">
        <v>0.13</v>
      </c>
      <c r="R62" s="131">
        <v>44771</v>
      </c>
      <c r="S62" s="105" t="s">
        <v>114</v>
      </c>
      <c r="T62" s="105"/>
      <c r="U62" s="113"/>
    </row>
    <row r="63" spans="1:24" s="12" customFormat="1" x14ac:dyDescent="0.25">
      <c r="A63" s="3" t="s">
        <v>106</v>
      </c>
      <c r="B63" s="1" t="s">
        <v>94</v>
      </c>
      <c r="C63" s="4" t="s">
        <v>83</v>
      </c>
      <c r="D63" s="4" t="s">
        <v>90</v>
      </c>
      <c r="E63" s="3" t="s">
        <v>107</v>
      </c>
      <c r="F63" s="3" t="s">
        <v>11</v>
      </c>
      <c r="G63" s="7">
        <v>643686</v>
      </c>
      <c r="H63" s="7">
        <f t="shared" si="3"/>
        <v>83679</v>
      </c>
      <c r="I63" s="163">
        <f t="shared" si="152"/>
        <v>0.17816091954022989</v>
      </c>
      <c r="J63" s="6">
        <v>174</v>
      </c>
      <c r="K63" s="6">
        <v>31</v>
      </c>
      <c r="L63" s="147">
        <f t="shared" si="153"/>
        <v>114680</v>
      </c>
      <c r="M63" s="10">
        <f t="shared" si="154"/>
        <v>14908</v>
      </c>
      <c r="N63" s="143">
        <f>SUM(L63:M63)/Monitoring!$B$19</f>
        <v>365.99542463354703</v>
      </c>
      <c r="O63" s="8">
        <f t="shared" si="155"/>
        <v>0.17816140167721528</v>
      </c>
      <c r="P63" s="11">
        <f t="shared" si="156"/>
        <v>-4.8213698539134597E-7</v>
      </c>
      <c r="Q63" s="11">
        <v>0.13</v>
      </c>
      <c r="R63" s="131">
        <v>44771</v>
      </c>
      <c r="S63" s="105" t="s">
        <v>114</v>
      </c>
      <c r="T63" s="105" t="s">
        <v>153</v>
      </c>
      <c r="U63" s="113"/>
      <c r="V63" s="151" t="e">
        <v>#N/A</v>
      </c>
      <c r="W63" s="155" t="e">
        <v>#N/A</v>
      </c>
      <c r="X63" s="151" t="e">
        <v>#N/A</v>
      </c>
    </row>
    <row r="64" spans="1:24" s="12" customFormat="1" x14ac:dyDescent="0.25">
      <c r="A64" s="3" t="s">
        <v>106</v>
      </c>
      <c r="B64" s="1" t="s">
        <v>94</v>
      </c>
      <c r="C64" s="4" t="s">
        <v>84</v>
      </c>
      <c r="D64" s="4" t="s">
        <v>90</v>
      </c>
      <c r="E64" s="3" t="s">
        <v>107</v>
      </c>
      <c r="F64" s="3" t="s">
        <v>11</v>
      </c>
      <c r="G64" s="7">
        <v>661881</v>
      </c>
      <c r="H64" s="7">
        <f t="shared" si="3"/>
        <v>86045</v>
      </c>
      <c r="I64" s="163">
        <f t="shared" ref="I64" si="157">K64/J64</f>
        <v>0.17241379310344829</v>
      </c>
      <c r="J64" s="6">
        <v>174</v>
      </c>
      <c r="K64" s="6">
        <v>30</v>
      </c>
      <c r="L64" s="147">
        <f t="shared" ref="L64" si="158">ROUND(G64*I64,0)</f>
        <v>114117</v>
      </c>
      <c r="M64" s="10">
        <f t="shared" ref="M64" si="159">ROUND(L64*Q64,0)</f>
        <v>14835</v>
      </c>
      <c r="N64" s="143">
        <f>SUM(L64:M64)/Monitoring!$B$19</f>
        <v>364.19916965571781</v>
      </c>
      <c r="O64" s="8">
        <f t="shared" ref="O64" si="160">L64/G64</f>
        <v>0.17241316792595648</v>
      </c>
      <c r="P64" s="11">
        <f t="shared" ref="P64" si="161">I64-O64</f>
        <v>6.2517749180313054E-7</v>
      </c>
      <c r="Q64" s="11">
        <v>0.13</v>
      </c>
      <c r="R64" s="131">
        <v>44880</v>
      </c>
      <c r="S64" s="105" t="s">
        <v>114</v>
      </c>
      <c r="T64" s="105" t="s">
        <v>153</v>
      </c>
      <c r="U64" s="113"/>
      <c r="V64" s="151" t="s">
        <v>170</v>
      </c>
      <c r="W64" s="151" t="s">
        <v>171</v>
      </c>
      <c r="X64" s="151" t="s">
        <v>171</v>
      </c>
    </row>
    <row r="65" spans="1:24" s="12" customFormat="1" x14ac:dyDescent="0.25">
      <c r="A65" s="3" t="s">
        <v>106</v>
      </c>
      <c r="B65" s="1" t="s">
        <v>94</v>
      </c>
      <c r="C65" s="4" t="s">
        <v>85</v>
      </c>
      <c r="D65" s="4" t="s">
        <v>90</v>
      </c>
      <c r="E65" s="3" t="s">
        <v>107</v>
      </c>
      <c r="F65" s="3" t="s">
        <v>11</v>
      </c>
      <c r="G65" s="7">
        <v>711492</v>
      </c>
      <c r="H65" s="7">
        <f t="shared" ref="H65" si="162">ROUND(G65*Q65,0)</f>
        <v>92494</v>
      </c>
      <c r="I65" s="163">
        <f t="shared" ref="I65" si="163">K65/J65</f>
        <v>0.13218390804597702</v>
      </c>
      <c r="J65" s="6">
        <v>174</v>
      </c>
      <c r="K65" s="6">
        <v>23</v>
      </c>
      <c r="L65" s="147">
        <v>90980</v>
      </c>
      <c r="M65" s="10">
        <f t="shared" ref="M65" si="164">ROUND(L65*Q65,0)</f>
        <v>11827</v>
      </c>
      <c r="N65" s="143">
        <f>SUM(L65:M65)/Monitoring!$B$19</f>
        <v>290.35783884542604</v>
      </c>
      <c r="O65" s="8">
        <f t="shared" ref="O65" si="165">L65/G65</f>
        <v>0.12787213348850021</v>
      </c>
      <c r="P65" s="11">
        <f t="shared" ref="P65" si="166">I65-O65</f>
        <v>4.3117745574768052E-3</v>
      </c>
      <c r="Q65" s="11">
        <v>0.13</v>
      </c>
      <c r="R65" s="131">
        <v>44936</v>
      </c>
      <c r="S65" s="105" t="s">
        <v>114</v>
      </c>
      <c r="T65" s="105" t="s">
        <v>153</v>
      </c>
      <c r="U65" s="113"/>
      <c r="V65" s="12" t="s">
        <v>170</v>
      </c>
      <c r="W65" s="12">
        <v>0</v>
      </c>
      <c r="X65" s="12">
        <v>0</v>
      </c>
    </row>
    <row r="66" spans="1:24" s="12" customFormat="1" x14ac:dyDescent="0.25">
      <c r="A66" s="3" t="s">
        <v>106</v>
      </c>
      <c r="B66" s="1" t="s">
        <v>94</v>
      </c>
      <c r="C66" s="4" t="s">
        <v>86</v>
      </c>
      <c r="D66" s="4" t="s">
        <v>90</v>
      </c>
      <c r="E66" s="3" t="s">
        <v>107</v>
      </c>
      <c r="F66" s="3" t="s">
        <v>11</v>
      </c>
      <c r="G66" s="7">
        <v>759972</v>
      </c>
      <c r="H66" s="7">
        <f t="shared" ref="H66" si="167">ROUND(G66*Q66,0)</f>
        <v>98796</v>
      </c>
      <c r="I66" s="163">
        <f t="shared" ref="I66" si="168">K66/J66</f>
        <v>0.1206896551724138</v>
      </c>
      <c r="J66" s="6">
        <v>174</v>
      </c>
      <c r="K66" s="6">
        <v>21</v>
      </c>
      <c r="L66" s="147">
        <v>90980</v>
      </c>
      <c r="M66" s="10">
        <f t="shared" ref="M66" si="169">ROUND(L66*Q66,0)</f>
        <v>11827</v>
      </c>
      <c r="N66" s="143">
        <f>SUM(L66:M66)/Monitoring!$B$19</f>
        <v>290.35783884542604</v>
      </c>
      <c r="O66" s="8">
        <f t="shared" ref="O66" si="170">L66/G66</f>
        <v>0.11971493686609506</v>
      </c>
      <c r="P66" s="11">
        <f t="shared" ref="P66" si="171">I66-O66</f>
        <v>9.7471830631873368E-4</v>
      </c>
      <c r="Q66" s="11">
        <v>0.13</v>
      </c>
      <c r="R66" s="131">
        <v>44959</v>
      </c>
      <c r="S66" s="105" t="s">
        <v>114</v>
      </c>
      <c r="T66" s="105" t="s">
        <v>153</v>
      </c>
      <c r="U66" s="113"/>
      <c r="V66" s="12" t="str">
        <f>IF(VLOOKUP($T66,'Havi béradatok'!$B:$E,2,FALSE)=E66,"EGYEZIK","HIBÁS")</f>
        <v>EGYEZIK</v>
      </c>
      <c r="W66" s="12">
        <f>VLOOKUP($T66,'Havi béradatok'!$B:$E,3,FALSE)-G66</f>
        <v>0</v>
      </c>
      <c r="X66" s="12">
        <f>VLOOKUP($T66,'Havi béradatok'!$B:$E,4,FALSE)-H66</f>
        <v>0</v>
      </c>
    </row>
    <row r="67" spans="1:24" s="12" customFormat="1" x14ac:dyDescent="0.25">
      <c r="A67" s="3" t="s">
        <v>109</v>
      </c>
      <c r="B67" s="1" t="s">
        <v>45</v>
      </c>
      <c r="C67" s="4" t="s">
        <v>67</v>
      </c>
      <c r="D67" s="4" t="s">
        <v>90</v>
      </c>
      <c r="E67" s="3" t="s">
        <v>110</v>
      </c>
      <c r="F67" s="3" t="s">
        <v>11</v>
      </c>
      <c r="G67" s="7">
        <v>664000</v>
      </c>
      <c r="H67" s="7">
        <f t="shared" si="3"/>
        <v>102920</v>
      </c>
      <c r="I67" s="163">
        <f t="shared" si="107"/>
        <v>8.6206896551724144E-2</v>
      </c>
      <c r="J67" s="6">
        <v>174</v>
      </c>
      <c r="K67" s="6">
        <v>15</v>
      </c>
      <c r="L67" s="147">
        <f t="shared" ref="L67" si="172">ROUND(G67*I67,0)</f>
        <v>57241</v>
      </c>
      <c r="M67" s="10">
        <f t="shared" ref="M67" si="173">ROUND(L67*Q67,0)</f>
        <v>8872</v>
      </c>
      <c r="N67" s="143">
        <f>SUM(L67:M67)/Monitoring!$B$19</f>
        <v>186.72296438557348</v>
      </c>
      <c r="O67" s="8">
        <f t="shared" ref="O67" si="174">L67/G67</f>
        <v>8.6206325301204825E-2</v>
      </c>
      <c r="P67" s="11">
        <f t="shared" ref="P67" si="175">I67-O67</f>
        <v>5.7125051931838922E-7</v>
      </c>
      <c r="Q67" s="11">
        <v>0.155</v>
      </c>
      <c r="R67" s="131">
        <v>44483</v>
      </c>
      <c r="S67" s="105" t="s">
        <v>114</v>
      </c>
      <c r="T67" s="105"/>
      <c r="U67" s="113"/>
    </row>
    <row r="68" spans="1:24" s="12" customFormat="1" x14ac:dyDescent="0.25">
      <c r="A68" s="3" t="s">
        <v>109</v>
      </c>
      <c r="B68" s="1" t="s">
        <v>45</v>
      </c>
      <c r="C68" s="4" t="s">
        <v>68</v>
      </c>
      <c r="D68" s="4" t="s">
        <v>90</v>
      </c>
      <c r="E68" s="3" t="s">
        <v>110</v>
      </c>
      <c r="F68" s="3" t="s">
        <v>11</v>
      </c>
      <c r="G68" s="7">
        <v>734000</v>
      </c>
      <c r="H68" s="7">
        <f t="shared" si="3"/>
        <v>113770</v>
      </c>
      <c r="I68" s="163">
        <f t="shared" ref="I68" si="176">K68/J68</f>
        <v>6.8965517241379309E-2</v>
      </c>
      <c r="J68" s="6">
        <v>174</v>
      </c>
      <c r="K68" s="6">
        <v>12</v>
      </c>
      <c r="L68" s="147">
        <f t="shared" ref="L68" si="177">ROUND(G68*I68,0)</f>
        <v>50621</v>
      </c>
      <c r="M68" s="10">
        <f t="shared" ref="M68" si="178">ROUND(L68*Q68,0)</f>
        <v>7846</v>
      </c>
      <c r="N68" s="143">
        <f>SUM(L68:M68)/Monitoring!$B$19</f>
        <v>165.12836444770809</v>
      </c>
      <c r="O68" s="8">
        <f t="shared" ref="O68" si="179">L68/G68</f>
        <v>6.8965940054495911E-2</v>
      </c>
      <c r="P68" s="11">
        <f t="shared" ref="P68" si="180">I68-O68</f>
        <v>-4.2281311660175014E-7</v>
      </c>
      <c r="Q68" s="11">
        <v>0.155</v>
      </c>
      <c r="R68" s="131">
        <v>44516</v>
      </c>
      <c r="S68" s="105" t="s">
        <v>114</v>
      </c>
      <c r="T68" s="105"/>
      <c r="U68" s="113"/>
    </row>
    <row r="69" spans="1:24" s="12" customFormat="1" x14ac:dyDescent="0.25">
      <c r="A69" s="3" t="s">
        <v>109</v>
      </c>
      <c r="B69" s="1" t="s">
        <v>45</v>
      </c>
      <c r="C69" s="4" t="s">
        <v>69</v>
      </c>
      <c r="D69" s="4" t="s">
        <v>90</v>
      </c>
      <c r="E69" s="3" t="s">
        <v>110</v>
      </c>
      <c r="F69" s="3" t="s">
        <v>11</v>
      </c>
      <c r="G69" s="7">
        <v>734000</v>
      </c>
      <c r="H69" s="7">
        <f t="shared" si="3"/>
        <v>113770</v>
      </c>
      <c r="I69" s="163">
        <f t="shared" ref="I69" si="181">K69/J69</f>
        <v>6.8965517241379309E-2</v>
      </c>
      <c r="J69" s="6">
        <v>174</v>
      </c>
      <c r="K69" s="6">
        <v>12</v>
      </c>
      <c r="L69" s="147">
        <f t="shared" ref="L69" si="182">ROUND(G69*I69,0)</f>
        <v>50621</v>
      </c>
      <c r="M69" s="10">
        <f t="shared" ref="M69" si="183">ROUND(L69*Q69,0)</f>
        <v>7846</v>
      </c>
      <c r="N69" s="143">
        <f>SUM(L69:M69)/Monitoring!$B$19</f>
        <v>165.12836444770809</v>
      </c>
      <c r="O69" s="8">
        <f t="shared" ref="O69" si="184">L69/G69</f>
        <v>6.8965940054495911E-2</v>
      </c>
      <c r="P69" s="11">
        <f t="shared" ref="P69" si="185">I69-O69</f>
        <v>-4.2281311660175014E-7</v>
      </c>
      <c r="Q69" s="11">
        <v>0.155</v>
      </c>
      <c r="R69" s="131">
        <v>44544</v>
      </c>
      <c r="S69" s="105" t="s">
        <v>114</v>
      </c>
      <c r="T69" s="105"/>
      <c r="U69" s="113"/>
    </row>
    <row r="70" spans="1:24" s="12" customFormat="1" x14ac:dyDescent="0.25">
      <c r="A70" s="3" t="s">
        <v>109</v>
      </c>
      <c r="B70" s="1" t="s">
        <v>45</v>
      </c>
      <c r="C70" s="4" t="s">
        <v>70</v>
      </c>
      <c r="D70" s="4" t="s">
        <v>90</v>
      </c>
      <c r="E70" s="3" t="s">
        <v>110</v>
      </c>
      <c r="F70" s="3" t="s">
        <v>11</v>
      </c>
      <c r="G70" s="7">
        <v>790000</v>
      </c>
      <c r="H70" s="7">
        <f t="shared" si="3"/>
        <v>102700</v>
      </c>
      <c r="I70" s="163">
        <f t="shared" ref="I70" si="186">K70/J70</f>
        <v>6.8965517241379309E-2</v>
      </c>
      <c r="J70" s="6">
        <v>174</v>
      </c>
      <c r="K70" s="6">
        <v>12</v>
      </c>
      <c r="L70" s="147">
        <f t="shared" ref="L70" si="187">ROUND(G70*I70,0)</f>
        <v>54483</v>
      </c>
      <c r="M70" s="10">
        <f t="shared" ref="M70" si="188">ROUND(L70*Q70,0)</f>
        <v>7083</v>
      </c>
      <c r="N70" s="143">
        <f>SUM(L70:M70)/Monitoring!$B$19</f>
        <v>173.88087101420624</v>
      </c>
      <c r="O70" s="8">
        <f t="shared" ref="O70" si="189">L70/G70</f>
        <v>6.896582278481013E-2</v>
      </c>
      <c r="P70" s="11">
        <f t="shared" ref="P70" si="190">I70-O70</f>
        <v>-3.0554343082023205E-7</v>
      </c>
      <c r="Q70" s="11">
        <v>0.13</v>
      </c>
      <c r="R70" s="131">
        <v>44564</v>
      </c>
      <c r="S70" s="105" t="s">
        <v>114</v>
      </c>
      <c r="T70" s="105"/>
      <c r="U70" s="22"/>
    </row>
    <row r="71" spans="1:24" s="12" customFormat="1" x14ac:dyDescent="0.25">
      <c r="A71" s="3" t="s">
        <v>109</v>
      </c>
      <c r="B71" s="1" t="s">
        <v>45</v>
      </c>
      <c r="C71" s="4" t="s">
        <v>71</v>
      </c>
      <c r="D71" s="4" t="s">
        <v>90</v>
      </c>
      <c r="E71" s="3" t="s">
        <v>110</v>
      </c>
      <c r="F71" s="3" t="s">
        <v>11</v>
      </c>
      <c r="G71" s="7">
        <v>790000</v>
      </c>
      <c r="H71" s="7">
        <f t="shared" si="3"/>
        <v>102700</v>
      </c>
      <c r="I71" s="163">
        <f t="shared" ref="I71" si="191">K71/J71</f>
        <v>6.8965517241379309E-2</v>
      </c>
      <c r="J71" s="6">
        <v>174</v>
      </c>
      <c r="K71" s="6">
        <v>12</v>
      </c>
      <c r="L71" s="147">
        <f t="shared" ref="L71" si="192">ROUND(G71*I71,0)</f>
        <v>54483</v>
      </c>
      <c r="M71" s="10">
        <f t="shared" ref="M71" si="193">ROUND(L71*Q71,0)</f>
        <v>7083</v>
      </c>
      <c r="N71" s="143">
        <f>SUM(L71:M71)/Monitoring!$B$19</f>
        <v>173.88087101420624</v>
      </c>
      <c r="O71" s="8">
        <f t="shared" ref="O71" si="194">L71/G71</f>
        <v>6.896582278481013E-2</v>
      </c>
      <c r="P71" s="11">
        <f t="shared" ref="P71" si="195">I71-O71</f>
        <v>-3.0554343082023205E-7</v>
      </c>
      <c r="Q71" s="11">
        <v>0.13</v>
      </c>
      <c r="R71" s="131">
        <v>44601</v>
      </c>
      <c r="S71" s="105" t="s">
        <v>114</v>
      </c>
      <c r="T71" s="105"/>
      <c r="U71" s="22"/>
    </row>
    <row r="72" spans="1:24" s="12" customFormat="1" x14ac:dyDescent="0.25">
      <c r="A72" s="3" t="s">
        <v>109</v>
      </c>
      <c r="B72" s="1" t="s">
        <v>45</v>
      </c>
      <c r="C72" s="4" t="s">
        <v>72</v>
      </c>
      <c r="D72" s="4" t="s">
        <v>90</v>
      </c>
      <c r="E72" s="3" t="s">
        <v>110</v>
      </c>
      <c r="F72" s="3" t="s">
        <v>11</v>
      </c>
      <c r="G72" s="7">
        <v>790000</v>
      </c>
      <c r="H72" s="7">
        <f t="shared" si="3"/>
        <v>102700</v>
      </c>
      <c r="I72" s="163">
        <f t="shared" ref="I72" si="196">K72/J72</f>
        <v>6.8965517241379309E-2</v>
      </c>
      <c r="J72" s="6">
        <v>174</v>
      </c>
      <c r="K72" s="6">
        <v>12</v>
      </c>
      <c r="L72" s="147">
        <f t="shared" ref="L72" si="197">ROUND(G72*I72,0)</f>
        <v>54483</v>
      </c>
      <c r="M72" s="10">
        <f t="shared" ref="M72" si="198">ROUND(L72*Q72,0)</f>
        <v>7083</v>
      </c>
      <c r="N72" s="143">
        <f>SUM(L72:M72)/Monitoring!$B$19</f>
        <v>173.88087101420624</v>
      </c>
      <c r="O72" s="8">
        <f t="shared" ref="O72" si="199">L72/G72</f>
        <v>6.896582278481013E-2</v>
      </c>
      <c r="P72" s="11">
        <f t="shared" ref="P72" si="200">I72-O72</f>
        <v>-3.0554343082023205E-7</v>
      </c>
      <c r="Q72" s="11">
        <v>0.13</v>
      </c>
      <c r="R72" s="131">
        <v>44601</v>
      </c>
      <c r="S72" s="105" t="s">
        <v>114</v>
      </c>
      <c r="T72" s="105"/>
      <c r="U72" s="22"/>
    </row>
    <row r="73" spans="1:24" s="12" customFormat="1" x14ac:dyDescent="0.25">
      <c r="A73" s="3" t="s">
        <v>109</v>
      </c>
      <c r="B73" s="1" t="s">
        <v>45</v>
      </c>
      <c r="C73" s="4" t="s">
        <v>73</v>
      </c>
      <c r="D73" s="4" t="s">
        <v>90</v>
      </c>
      <c r="E73" s="3" t="s">
        <v>110</v>
      </c>
      <c r="F73" s="3" t="s">
        <v>11</v>
      </c>
      <c r="G73" s="7">
        <v>770000</v>
      </c>
      <c r="H73" s="7">
        <f t="shared" si="3"/>
        <v>100100</v>
      </c>
      <c r="I73" s="163">
        <f t="shared" ref="I73" si="201">K73/J73</f>
        <v>6.8965517241379309E-2</v>
      </c>
      <c r="J73" s="6">
        <v>174</v>
      </c>
      <c r="K73" s="6">
        <v>12</v>
      </c>
      <c r="L73" s="147">
        <v>53103</v>
      </c>
      <c r="M73" s="10">
        <f t="shared" ref="M73" si="202">ROUND(L73*Q73,0)</f>
        <v>6903</v>
      </c>
      <c r="N73" s="143">
        <f>SUM(L73:M73)/Monitoring!$B$19</f>
        <v>169.47496257802129</v>
      </c>
      <c r="O73" s="8">
        <f t="shared" ref="O73" si="203">L73/G73</f>
        <v>6.8964935064935062E-2</v>
      </c>
      <c r="P73" s="11">
        <f t="shared" ref="P73" si="204">I73-O73</f>
        <v>5.8217644424707338E-7</v>
      </c>
      <c r="Q73" s="11">
        <v>0.13</v>
      </c>
      <c r="R73" s="131">
        <v>44651</v>
      </c>
      <c r="S73" s="105" t="s">
        <v>114</v>
      </c>
      <c r="T73" s="105"/>
      <c r="U73" s="113"/>
    </row>
    <row r="74" spans="1:24" s="12" customFormat="1" x14ac:dyDescent="0.25">
      <c r="A74" s="3" t="s">
        <v>109</v>
      </c>
      <c r="B74" s="1" t="s">
        <v>45</v>
      </c>
      <c r="C74" s="4" t="s">
        <v>74</v>
      </c>
      <c r="D74" s="4" t="s">
        <v>90</v>
      </c>
      <c r="E74" s="3" t="s">
        <v>110</v>
      </c>
      <c r="F74" s="3" t="s">
        <v>11</v>
      </c>
      <c r="G74" s="7">
        <v>770000</v>
      </c>
      <c r="H74" s="7">
        <f t="shared" si="3"/>
        <v>100100</v>
      </c>
      <c r="I74" s="163">
        <f t="shared" ref="I74" si="205">K74/J74</f>
        <v>6.8965517241379309E-2</v>
      </c>
      <c r="J74" s="6">
        <v>174</v>
      </c>
      <c r="K74" s="6">
        <v>12</v>
      </c>
      <c r="L74" s="147">
        <v>53103</v>
      </c>
      <c r="M74" s="10">
        <f t="shared" ref="M74" si="206">ROUND(L74*Q74,0)</f>
        <v>6903</v>
      </c>
      <c r="N74" s="143">
        <f>SUM(L74:M74)/Monitoring!$B$19</f>
        <v>169.47496257802129</v>
      </c>
      <c r="O74" s="8">
        <f t="shared" ref="O74" si="207">L74/G74</f>
        <v>6.8964935064935062E-2</v>
      </c>
      <c r="P74" s="11">
        <f t="shared" ref="P74" si="208">I74-O74</f>
        <v>5.8217644424707338E-7</v>
      </c>
      <c r="Q74" s="11">
        <v>0.13</v>
      </c>
      <c r="R74" s="131">
        <v>44651</v>
      </c>
      <c r="S74" s="105" t="s">
        <v>114</v>
      </c>
      <c r="T74" s="105"/>
      <c r="U74" s="113"/>
    </row>
    <row r="75" spans="1:24" s="12" customFormat="1" x14ac:dyDescent="0.25">
      <c r="A75" s="3" t="s">
        <v>109</v>
      </c>
      <c r="B75" s="1" t="s">
        <v>45</v>
      </c>
      <c r="C75" s="4" t="s">
        <v>75</v>
      </c>
      <c r="D75" s="4" t="s">
        <v>90</v>
      </c>
      <c r="E75" s="3" t="s">
        <v>110</v>
      </c>
      <c r="F75" s="3" t="s">
        <v>11</v>
      </c>
      <c r="G75" s="7">
        <v>1070000</v>
      </c>
      <c r="H75" s="7">
        <f t="shared" si="3"/>
        <v>139100</v>
      </c>
      <c r="I75" s="163">
        <f>K75/J75</f>
        <v>5.1724137931034482E-2</v>
      </c>
      <c r="J75" s="6">
        <v>174</v>
      </c>
      <c r="K75" s="6">
        <v>9</v>
      </c>
      <c r="L75" s="147">
        <v>55345</v>
      </c>
      <c r="M75" s="10">
        <f>ROUND(L75*Q75,0)</f>
        <v>7195</v>
      </c>
      <c r="N75" s="143">
        <f>SUM(L75:M75)/Monitoring!$B$19</f>
        <v>176.63173948654222</v>
      </c>
      <c r="O75" s="8">
        <f>L75/G75</f>
        <v>5.1724299065420559E-2</v>
      </c>
      <c r="P75" s="11">
        <f>I75-O75</f>
        <v>-1.6113438607717745E-7</v>
      </c>
      <c r="Q75" s="11">
        <v>0.13</v>
      </c>
      <c r="R75" s="131">
        <v>44728</v>
      </c>
      <c r="S75" s="105" t="s">
        <v>114</v>
      </c>
      <c r="T75" s="105"/>
      <c r="U75" s="113"/>
    </row>
    <row r="76" spans="1:24" s="12" customFormat="1" x14ac:dyDescent="0.25">
      <c r="A76" s="3" t="s">
        <v>109</v>
      </c>
      <c r="B76" s="1" t="s">
        <v>45</v>
      </c>
      <c r="C76" s="4" t="s">
        <v>76</v>
      </c>
      <c r="D76" s="4" t="s">
        <v>90</v>
      </c>
      <c r="E76" s="3" t="s">
        <v>110</v>
      </c>
      <c r="F76" s="3" t="s">
        <v>11</v>
      </c>
      <c r="G76" s="7">
        <v>730000</v>
      </c>
      <c r="H76" s="7">
        <f t="shared" ref="H76:H115" si="209">ROUND(G76*Q76,0)</f>
        <v>94900</v>
      </c>
      <c r="I76" s="163">
        <f t="shared" ref="I76" si="210">K76/J76</f>
        <v>6.8965517241379309E-2</v>
      </c>
      <c r="J76" s="6">
        <v>174</v>
      </c>
      <c r="K76" s="6">
        <v>12</v>
      </c>
      <c r="L76" s="147">
        <v>50345</v>
      </c>
      <c r="M76" s="10">
        <f t="shared" ref="M76" si="211">ROUND(L76*Q76,0)</f>
        <v>6545</v>
      </c>
      <c r="N76" s="143">
        <f>SUM(L76:M76)/Monitoring!$B$19</f>
        <v>160.67444290676985</v>
      </c>
      <c r="O76" s="8">
        <f t="shared" ref="O76" si="212">L76/G76</f>
        <v>6.8965753424657536E-2</v>
      </c>
      <c r="P76" s="11">
        <f t="shared" ref="P76" si="213">I76-O76</f>
        <v>-2.3618327822660934E-7</v>
      </c>
      <c r="Q76" s="11">
        <v>0.13</v>
      </c>
      <c r="R76" s="131">
        <v>44743</v>
      </c>
      <c r="S76" s="105" t="s">
        <v>114</v>
      </c>
      <c r="T76" s="105"/>
      <c r="U76" s="113"/>
    </row>
    <row r="77" spans="1:24" s="12" customFormat="1" x14ac:dyDescent="0.25">
      <c r="A77" s="3" t="s">
        <v>109</v>
      </c>
      <c r="B77" s="1" t="s">
        <v>45</v>
      </c>
      <c r="C77" s="4" t="s">
        <v>77</v>
      </c>
      <c r="D77" s="4" t="s">
        <v>90</v>
      </c>
      <c r="E77" s="3" t="s">
        <v>110</v>
      </c>
      <c r="F77" s="3" t="s">
        <v>11</v>
      </c>
      <c r="G77" s="7">
        <v>634782</v>
      </c>
      <c r="H77" s="7">
        <f t="shared" si="209"/>
        <v>82522</v>
      </c>
      <c r="I77" s="163">
        <f t="shared" ref="I77" si="214">K77/J77</f>
        <v>6.8965517241379309E-2</v>
      </c>
      <c r="J77" s="6">
        <v>174</v>
      </c>
      <c r="K77" s="6">
        <v>12</v>
      </c>
      <c r="L77" s="147">
        <f t="shared" ref="L77" si="215">ROUND(G77*I77,0)</f>
        <v>43778</v>
      </c>
      <c r="M77" s="10">
        <f t="shared" ref="M77" si="216">ROUND(L77*Q77,0)</f>
        <v>5691</v>
      </c>
      <c r="N77" s="143">
        <f>SUM(L77:M77)/Monitoring!$B$19</f>
        <v>139.71531053181573</v>
      </c>
      <c r="O77" s="8">
        <f t="shared" ref="O77" si="217">L77/G77</f>
        <v>6.8965408596967148E-2</v>
      </c>
      <c r="P77" s="11">
        <f t="shared" ref="P77" si="218">I77-O77</f>
        <v>1.0864441216118514E-7</v>
      </c>
      <c r="Q77" s="11">
        <v>0.13</v>
      </c>
      <c r="R77" s="131">
        <v>44743</v>
      </c>
      <c r="S77" s="105" t="s">
        <v>114</v>
      </c>
      <c r="T77" s="105"/>
      <c r="U77" s="113"/>
    </row>
    <row r="78" spans="1:24" s="12" customFormat="1" x14ac:dyDescent="0.25">
      <c r="A78" s="3" t="s">
        <v>109</v>
      </c>
      <c r="B78" s="1" t="s">
        <v>45</v>
      </c>
      <c r="C78" s="4" t="s">
        <v>78</v>
      </c>
      <c r="D78" s="4" t="s">
        <v>90</v>
      </c>
      <c r="E78" s="3" t="s">
        <v>110</v>
      </c>
      <c r="F78" s="3" t="s">
        <v>11</v>
      </c>
      <c r="G78" s="7">
        <v>730000</v>
      </c>
      <c r="H78" s="7">
        <f t="shared" si="209"/>
        <v>94900</v>
      </c>
      <c r="I78" s="163">
        <f t="shared" ref="I78" si="219">K78/J78</f>
        <v>6.8965517241379309E-2</v>
      </c>
      <c r="J78" s="6">
        <v>174</v>
      </c>
      <c r="K78" s="6">
        <v>12</v>
      </c>
      <c r="L78" s="147">
        <v>50345</v>
      </c>
      <c r="M78" s="10">
        <f t="shared" ref="M78" si="220">ROUND(L78*Q78,0)</f>
        <v>6545</v>
      </c>
      <c r="N78" s="143">
        <f>SUM(L78:M78)/Monitoring!$B$19</f>
        <v>160.67444290676985</v>
      </c>
      <c r="O78" s="8">
        <f t="shared" ref="O78" si="221">L78/G78</f>
        <v>6.8965753424657536E-2</v>
      </c>
      <c r="P78" s="11">
        <f t="shared" ref="P78" si="222">I78-O78</f>
        <v>-2.3618327822660934E-7</v>
      </c>
      <c r="Q78" s="11">
        <v>0.13</v>
      </c>
      <c r="R78" s="131">
        <v>44789</v>
      </c>
      <c r="S78" s="105" t="s">
        <v>114</v>
      </c>
      <c r="T78" s="105"/>
      <c r="U78" s="113"/>
    </row>
    <row r="79" spans="1:24" s="12" customFormat="1" x14ac:dyDescent="0.25">
      <c r="A79" s="3" t="s">
        <v>109</v>
      </c>
      <c r="B79" s="1" t="s">
        <v>45</v>
      </c>
      <c r="C79" s="4" t="s">
        <v>82</v>
      </c>
      <c r="D79" s="4" t="s">
        <v>90</v>
      </c>
      <c r="E79" s="3" t="s">
        <v>110</v>
      </c>
      <c r="F79" s="3" t="s">
        <v>11</v>
      </c>
      <c r="G79" s="7">
        <v>730000</v>
      </c>
      <c r="H79" s="7">
        <f t="shared" si="209"/>
        <v>94900</v>
      </c>
      <c r="I79" s="163">
        <f t="shared" ref="I79:I81" si="223">K79/J79</f>
        <v>6.8965517241379309E-2</v>
      </c>
      <c r="J79" s="6">
        <v>174</v>
      </c>
      <c r="K79" s="6">
        <v>12</v>
      </c>
      <c r="L79" s="147">
        <v>50345</v>
      </c>
      <c r="M79" s="10">
        <f t="shared" ref="M79:M81" si="224">ROUND(L79*Q79,0)</f>
        <v>6545</v>
      </c>
      <c r="N79" s="143">
        <f>SUM(L79:M79)/Monitoring!$B$19</f>
        <v>160.67444290676985</v>
      </c>
      <c r="O79" s="8">
        <f t="shared" ref="O79:O81" si="225">L79/G79</f>
        <v>6.8965753424657536E-2</v>
      </c>
      <c r="P79" s="11">
        <f t="shared" ref="P79:P81" si="226">I79-O79</f>
        <v>-2.3618327822660934E-7</v>
      </c>
      <c r="Q79" s="11">
        <v>0.13</v>
      </c>
      <c r="R79" s="131">
        <v>44789</v>
      </c>
      <c r="S79" s="105" t="s">
        <v>114</v>
      </c>
      <c r="T79" s="105"/>
      <c r="U79" s="113"/>
    </row>
    <row r="80" spans="1:24" s="12" customFormat="1" x14ac:dyDescent="0.25">
      <c r="A80" s="3" t="s">
        <v>109</v>
      </c>
      <c r="B80" s="1" t="s">
        <v>45</v>
      </c>
      <c r="C80" s="4" t="s">
        <v>83</v>
      </c>
      <c r="D80" s="4" t="s">
        <v>90</v>
      </c>
      <c r="E80" s="3" t="s">
        <v>110</v>
      </c>
      <c r="F80" s="3" t="s">
        <v>11</v>
      </c>
      <c r="G80" s="7">
        <v>730000</v>
      </c>
      <c r="H80" s="7">
        <f t="shared" si="209"/>
        <v>94900</v>
      </c>
      <c r="I80" s="163">
        <f t="shared" si="223"/>
        <v>6.8965517241379309E-2</v>
      </c>
      <c r="J80" s="6">
        <v>174</v>
      </c>
      <c r="K80" s="6">
        <v>12</v>
      </c>
      <c r="L80" s="147">
        <v>50345</v>
      </c>
      <c r="M80" s="10">
        <f t="shared" si="224"/>
        <v>6545</v>
      </c>
      <c r="N80" s="143">
        <f>SUM(L80:M80)/Monitoring!$B$19</f>
        <v>160.67444290676985</v>
      </c>
      <c r="O80" s="8">
        <f t="shared" si="225"/>
        <v>6.8965753424657536E-2</v>
      </c>
      <c r="P80" s="11">
        <f t="shared" si="226"/>
        <v>-2.3618327822660934E-7</v>
      </c>
      <c r="Q80" s="11">
        <v>0.13</v>
      </c>
      <c r="R80" s="131">
        <v>44789</v>
      </c>
      <c r="S80" s="105" t="s">
        <v>114</v>
      </c>
      <c r="T80" s="105" t="s">
        <v>156</v>
      </c>
      <c r="U80" s="113"/>
      <c r="V80" s="151" t="e">
        <v>#N/A</v>
      </c>
      <c r="W80" s="155" t="e">
        <v>#N/A</v>
      </c>
      <c r="X80" s="151" t="e">
        <v>#N/A</v>
      </c>
    </row>
    <row r="81" spans="1:24" s="12" customFormat="1" x14ac:dyDescent="0.25">
      <c r="A81" s="3" t="s">
        <v>109</v>
      </c>
      <c r="B81" s="1" t="s">
        <v>45</v>
      </c>
      <c r="C81" s="4" t="s">
        <v>84</v>
      </c>
      <c r="D81" s="4" t="s">
        <v>90</v>
      </c>
      <c r="E81" s="3" t="s">
        <v>110</v>
      </c>
      <c r="F81" s="3" t="s">
        <v>11</v>
      </c>
      <c r="G81" s="7">
        <v>730000</v>
      </c>
      <c r="H81" s="7">
        <f t="shared" si="209"/>
        <v>94900</v>
      </c>
      <c r="I81" s="163">
        <f t="shared" si="223"/>
        <v>6.8965517241379309E-2</v>
      </c>
      <c r="J81" s="6">
        <v>174</v>
      </c>
      <c r="K81" s="6">
        <v>12</v>
      </c>
      <c r="L81" s="147">
        <v>50345</v>
      </c>
      <c r="M81" s="10">
        <f t="shared" si="224"/>
        <v>6545</v>
      </c>
      <c r="N81" s="143">
        <f>SUM(L81:M81)/Monitoring!$B$19</f>
        <v>160.67444290676985</v>
      </c>
      <c r="O81" s="8">
        <f t="shared" si="225"/>
        <v>6.8965753424657536E-2</v>
      </c>
      <c r="P81" s="11">
        <f t="shared" si="226"/>
        <v>-2.3618327822660934E-7</v>
      </c>
      <c r="Q81" s="11">
        <v>0.13</v>
      </c>
      <c r="R81" s="131">
        <v>44789</v>
      </c>
      <c r="S81" s="105" t="s">
        <v>114</v>
      </c>
      <c r="T81" s="105" t="s">
        <v>156</v>
      </c>
      <c r="U81" s="113"/>
      <c r="V81" s="151" t="s">
        <v>170</v>
      </c>
      <c r="W81" s="162" t="s">
        <v>171</v>
      </c>
      <c r="X81" s="151" t="s">
        <v>171</v>
      </c>
    </row>
    <row r="82" spans="1:24" s="12" customFormat="1" x14ac:dyDescent="0.25">
      <c r="A82" s="3" t="s">
        <v>109</v>
      </c>
      <c r="B82" s="1" t="s">
        <v>45</v>
      </c>
      <c r="C82" s="4" t="s">
        <v>85</v>
      </c>
      <c r="D82" s="4" t="s">
        <v>90</v>
      </c>
      <c r="E82" s="3" t="s">
        <v>110</v>
      </c>
      <c r="F82" s="3" t="s">
        <v>11</v>
      </c>
      <c r="G82" s="7">
        <v>778800</v>
      </c>
      <c r="H82" s="7">
        <f t="shared" ref="H82" si="227">ROUND(G82*Q82,0)</f>
        <v>101244</v>
      </c>
      <c r="I82" s="163">
        <f t="shared" ref="I82" si="228">K82/J82</f>
        <v>6.8965517241379309E-2</v>
      </c>
      <c r="J82" s="6">
        <v>174</v>
      </c>
      <c r="K82" s="6">
        <v>12</v>
      </c>
      <c r="L82" s="147">
        <f>ROUND(G82*I82,0)</f>
        <v>53710</v>
      </c>
      <c r="M82" s="10">
        <f t="shared" ref="M82" si="229">ROUND(L82*Q82,0)</f>
        <v>6982</v>
      </c>
      <c r="N82" s="143">
        <f>SUM(L82:M82)/Monitoring!$B$19</f>
        <v>171.41243256983083</v>
      </c>
      <c r="O82" s="8">
        <f t="shared" ref="O82" si="230">L82/G82</f>
        <v>6.8965074473549048E-2</v>
      </c>
      <c r="P82" s="11">
        <f t="shared" ref="P82" si="231">I82-O82</f>
        <v>4.4276783026098165E-7</v>
      </c>
      <c r="Q82" s="11">
        <v>0.13</v>
      </c>
      <c r="R82" s="131">
        <v>44944</v>
      </c>
      <c r="S82" s="105" t="s">
        <v>114</v>
      </c>
      <c r="T82" s="105" t="s">
        <v>156</v>
      </c>
      <c r="U82" s="113"/>
      <c r="V82" s="12" t="s">
        <v>170</v>
      </c>
      <c r="W82" s="12">
        <v>0</v>
      </c>
      <c r="X82" s="12">
        <v>0</v>
      </c>
    </row>
    <row r="83" spans="1:24" s="12" customFormat="1" x14ac:dyDescent="0.25">
      <c r="A83" s="3" t="s">
        <v>109</v>
      </c>
      <c r="B83" s="1" t="s">
        <v>45</v>
      </c>
      <c r="C83" s="4" t="s">
        <v>86</v>
      </c>
      <c r="D83" s="4" t="s">
        <v>90</v>
      </c>
      <c r="E83" s="3" t="s">
        <v>110</v>
      </c>
      <c r="F83" s="3" t="s">
        <v>11</v>
      </c>
      <c r="G83" s="7">
        <v>778800</v>
      </c>
      <c r="H83" s="7">
        <f t="shared" ref="H83" si="232">ROUND(G83*Q83,0)</f>
        <v>101244</v>
      </c>
      <c r="I83" s="163">
        <f t="shared" ref="I83" si="233">K83/J83</f>
        <v>6.8965517241379309E-2</v>
      </c>
      <c r="J83" s="6">
        <v>174</v>
      </c>
      <c r="K83" s="6">
        <v>12</v>
      </c>
      <c r="L83" s="147">
        <f t="shared" ref="L83" si="234">ROUND(G83*I83,0)</f>
        <v>53710</v>
      </c>
      <c r="M83" s="10">
        <f t="shared" ref="M83" si="235">ROUND(L83*Q83,0)</f>
        <v>6982</v>
      </c>
      <c r="N83" s="143">
        <f>SUM(L83:M83)/Monitoring!$B$19</f>
        <v>171.41243256983083</v>
      </c>
      <c r="O83" s="8">
        <f t="shared" ref="O83" si="236">L83/G83</f>
        <v>6.8965074473549048E-2</v>
      </c>
      <c r="P83" s="11">
        <f t="shared" ref="P83" si="237">I83-O83</f>
        <v>4.4276783026098165E-7</v>
      </c>
      <c r="Q83" s="11">
        <v>0.13</v>
      </c>
      <c r="R83" s="131">
        <v>44944</v>
      </c>
      <c r="S83" s="105" t="s">
        <v>114</v>
      </c>
      <c r="T83" s="105" t="s">
        <v>156</v>
      </c>
      <c r="U83" s="113"/>
      <c r="V83" s="12" t="str">
        <f>IF(VLOOKUP($T83,'Havi béradatok'!$B:$E,2,FALSE)=E83,"EGYEZIK","HIBÁS")</f>
        <v>EGYEZIK</v>
      </c>
      <c r="W83" s="12">
        <f>VLOOKUP($T83,'Havi béradatok'!$B:$E,3,FALSE)-G83</f>
        <v>0</v>
      </c>
      <c r="X83" s="12">
        <f>VLOOKUP($T83,'Havi béradatok'!$B:$E,4,FALSE)-H83</f>
        <v>0</v>
      </c>
    </row>
    <row r="84" spans="1:24" s="12" customFormat="1" ht="15" customHeight="1" x14ac:dyDescent="0.25">
      <c r="A84" s="3" t="s">
        <v>108</v>
      </c>
      <c r="B84" s="1" t="s">
        <v>92</v>
      </c>
      <c r="C84" s="4" t="s">
        <v>67</v>
      </c>
      <c r="D84" s="4" t="s">
        <v>90</v>
      </c>
      <c r="E84" s="3" t="s">
        <v>124</v>
      </c>
      <c r="F84" s="3" t="s">
        <v>11</v>
      </c>
      <c r="G84" s="7">
        <v>646000</v>
      </c>
      <c r="H84" s="7">
        <f t="shared" si="209"/>
        <v>100130</v>
      </c>
      <c r="I84" s="163">
        <f>K84/J84</f>
        <v>0.16091954022988506</v>
      </c>
      <c r="J84" s="6">
        <v>174</v>
      </c>
      <c r="K84" s="6">
        <v>28</v>
      </c>
      <c r="L84" s="147">
        <f>ROUND(G84*I84,0)</f>
        <v>103954</v>
      </c>
      <c r="M84" s="10">
        <f t="shared" ref="M84:M96" si="238">ROUND(L84*Q84,0)</f>
        <v>16113</v>
      </c>
      <c r="N84" s="143">
        <f>SUM(L84:M84)/Monitoring!$B$19</f>
        <v>339.10526167142092</v>
      </c>
      <c r="O84" s="8">
        <f t="shared" ref="O84:O96" si="239">L84/G84</f>
        <v>0.16091950464396285</v>
      </c>
      <c r="P84" s="11">
        <f t="shared" ref="P84:P96" si="240">I84-O84</f>
        <v>3.5585922208980492E-8</v>
      </c>
      <c r="Q84" s="11">
        <v>0.155</v>
      </c>
      <c r="R84" s="131">
        <v>44481</v>
      </c>
      <c r="S84" s="105" t="s">
        <v>114</v>
      </c>
      <c r="T84" s="105"/>
      <c r="U84" s="113"/>
    </row>
    <row r="85" spans="1:24" s="12" customFormat="1" x14ac:dyDescent="0.25">
      <c r="A85" s="3" t="s">
        <v>108</v>
      </c>
      <c r="B85" s="1" t="s">
        <v>92</v>
      </c>
      <c r="C85" s="4" t="s">
        <v>68</v>
      </c>
      <c r="D85" s="4" t="s">
        <v>90</v>
      </c>
      <c r="E85" s="3" t="s">
        <v>124</v>
      </c>
      <c r="F85" s="3" t="s">
        <v>11</v>
      </c>
      <c r="G85" s="7">
        <v>871002</v>
      </c>
      <c r="H85" s="7">
        <f t="shared" si="209"/>
        <v>135005</v>
      </c>
      <c r="I85" s="163">
        <f t="shared" ref="I85:I86" si="241">K85/J85</f>
        <v>0.10919540229885058</v>
      </c>
      <c r="J85" s="6">
        <v>174</v>
      </c>
      <c r="K85" s="6">
        <v>19</v>
      </c>
      <c r="L85" s="147">
        <v>90981</v>
      </c>
      <c r="M85" s="10">
        <f t="shared" si="238"/>
        <v>14102</v>
      </c>
      <c r="N85" s="143">
        <f>SUM(L85:M85)/Monitoring!$B$19</f>
        <v>296.78594628180866</v>
      </c>
      <c r="O85" s="8">
        <f t="shared" si="239"/>
        <v>0.10445555808138213</v>
      </c>
      <c r="P85" s="11">
        <f t="shared" si="240"/>
        <v>4.739844217468453E-3</v>
      </c>
      <c r="Q85" s="11">
        <v>0.155</v>
      </c>
      <c r="R85" s="131">
        <v>44509</v>
      </c>
      <c r="S85" s="105" t="s">
        <v>114</v>
      </c>
      <c r="T85" s="105"/>
      <c r="U85" s="113"/>
    </row>
    <row r="86" spans="1:24" s="12" customFormat="1" ht="15" customHeight="1" x14ac:dyDescent="0.25">
      <c r="A86" s="3" t="s">
        <v>108</v>
      </c>
      <c r="B86" s="1" t="s">
        <v>92</v>
      </c>
      <c r="C86" s="4" t="s">
        <v>69</v>
      </c>
      <c r="D86" s="4" t="s">
        <v>90</v>
      </c>
      <c r="E86" s="3" t="s">
        <v>124</v>
      </c>
      <c r="F86" s="3" t="s">
        <v>11</v>
      </c>
      <c r="G86" s="7">
        <v>615387</v>
      </c>
      <c r="H86" s="7">
        <f t="shared" si="209"/>
        <v>95385</v>
      </c>
      <c r="I86" s="163">
        <f t="shared" si="241"/>
        <v>0.14942528735632185</v>
      </c>
      <c r="J86" s="6">
        <v>174</v>
      </c>
      <c r="K86" s="6">
        <v>26</v>
      </c>
      <c r="L86" s="147">
        <f t="shared" ref="L86" si="242">ROUND(G86*I86,0)</f>
        <v>91954</v>
      </c>
      <c r="M86" s="10">
        <f t="shared" si="238"/>
        <v>14253</v>
      </c>
      <c r="N86" s="143">
        <f>SUM(L86:M86)/Monitoring!$B$19</f>
        <v>299.9604597960855</v>
      </c>
      <c r="O86" s="8">
        <f t="shared" si="239"/>
        <v>0.14942467097939996</v>
      </c>
      <c r="P86" s="11">
        <f t="shared" si="240"/>
        <v>6.1637692189142612E-7</v>
      </c>
      <c r="Q86" s="11">
        <v>0.155</v>
      </c>
      <c r="R86" s="131">
        <v>44530</v>
      </c>
      <c r="S86" s="105" t="s">
        <v>114</v>
      </c>
      <c r="T86" s="105"/>
      <c r="U86" s="113"/>
    </row>
    <row r="87" spans="1:24" s="12" customFormat="1" ht="15" customHeight="1" x14ac:dyDescent="0.25">
      <c r="A87" s="3" t="s">
        <v>108</v>
      </c>
      <c r="B87" s="1" t="s">
        <v>92</v>
      </c>
      <c r="C87" s="4" t="s">
        <v>70</v>
      </c>
      <c r="D87" s="4" t="s">
        <v>90</v>
      </c>
      <c r="E87" s="3" t="s">
        <v>124</v>
      </c>
      <c r="F87" s="3" t="s">
        <v>11</v>
      </c>
      <c r="G87" s="7">
        <v>680288</v>
      </c>
      <c r="H87" s="7">
        <f t="shared" si="209"/>
        <v>88437</v>
      </c>
      <c r="I87" s="163">
        <f t="shared" ref="I87:I88" si="243">K87/J87</f>
        <v>0.14942528735632185</v>
      </c>
      <c r="J87" s="6">
        <v>174</v>
      </c>
      <c r="K87" s="6">
        <v>26</v>
      </c>
      <c r="L87" s="147">
        <f t="shared" ref="L87:L88" si="244">ROUND(G87*I87,0)</f>
        <v>101652</v>
      </c>
      <c r="M87" s="10">
        <f t="shared" ref="M87:M88" si="245">ROUND(L87*Q87,0)</f>
        <v>13215</v>
      </c>
      <c r="N87" s="143">
        <f>SUM(L87:M87)/Monitoring!$B$19</f>
        <v>324.4189002174711</v>
      </c>
      <c r="O87" s="8">
        <f t="shared" ref="O87:O88" si="246">L87/G87</f>
        <v>0.14942494943318124</v>
      </c>
      <c r="P87" s="11">
        <f t="shared" ref="P87:P88" si="247">I87-O87</f>
        <v>3.3792314060865358E-7</v>
      </c>
      <c r="Q87" s="11">
        <v>0.13</v>
      </c>
      <c r="R87" s="131">
        <v>44530</v>
      </c>
      <c r="S87" s="105" t="s">
        <v>114</v>
      </c>
      <c r="T87" s="105"/>
      <c r="U87" s="22"/>
    </row>
    <row r="88" spans="1:24" s="12" customFormat="1" ht="15" customHeight="1" x14ac:dyDescent="0.25">
      <c r="A88" s="3" t="s">
        <v>108</v>
      </c>
      <c r="B88" s="1" t="s">
        <v>92</v>
      </c>
      <c r="C88" s="4" t="s">
        <v>71</v>
      </c>
      <c r="D88" s="4" t="s">
        <v>90</v>
      </c>
      <c r="E88" s="3" t="s">
        <v>124</v>
      </c>
      <c r="F88" s="3" t="s">
        <v>11</v>
      </c>
      <c r="G88" s="7">
        <v>680288</v>
      </c>
      <c r="H88" s="7">
        <f t="shared" si="209"/>
        <v>88437</v>
      </c>
      <c r="I88" s="163">
        <f t="shared" si="243"/>
        <v>0.13793103448275862</v>
      </c>
      <c r="J88" s="6">
        <v>174</v>
      </c>
      <c r="K88" s="6">
        <v>24</v>
      </c>
      <c r="L88" s="147">
        <f t="shared" si="244"/>
        <v>93833</v>
      </c>
      <c r="M88" s="10">
        <f t="shared" si="245"/>
        <v>12198</v>
      </c>
      <c r="N88" s="143">
        <f>SUM(L88:M88)/Monitoring!$B$19</f>
        <v>299.4633829468749</v>
      </c>
      <c r="O88" s="8">
        <f t="shared" si="246"/>
        <v>0.13793128792511408</v>
      </c>
      <c r="P88" s="11">
        <f t="shared" si="247"/>
        <v>-2.5344235546342908E-7</v>
      </c>
      <c r="Q88" s="11">
        <v>0.13</v>
      </c>
      <c r="R88" s="131">
        <v>44599</v>
      </c>
      <c r="S88" s="105" t="s">
        <v>114</v>
      </c>
      <c r="T88" s="105"/>
      <c r="U88" s="22"/>
    </row>
    <row r="89" spans="1:24" s="12" customFormat="1" ht="15" customHeight="1" x14ac:dyDescent="0.25">
      <c r="A89" s="3" t="s">
        <v>108</v>
      </c>
      <c r="B89" s="1" t="s">
        <v>92</v>
      </c>
      <c r="C89" s="4" t="s">
        <v>72</v>
      </c>
      <c r="D89" s="4" t="s">
        <v>90</v>
      </c>
      <c r="E89" s="3" t="s">
        <v>124</v>
      </c>
      <c r="F89" s="3" t="s">
        <v>11</v>
      </c>
      <c r="G89" s="7">
        <v>682288</v>
      </c>
      <c r="H89" s="7">
        <f t="shared" si="209"/>
        <v>88697</v>
      </c>
      <c r="I89" s="163">
        <f t="shared" ref="I89" si="248">K89/J89</f>
        <v>0.13793103448275862</v>
      </c>
      <c r="J89" s="6">
        <v>174</v>
      </c>
      <c r="K89" s="6">
        <v>24</v>
      </c>
      <c r="L89" s="147">
        <f t="shared" ref="L89" si="249">ROUND(G89*I89,0)</f>
        <v>94109</v>
      </c>
      <c r="M89" s="10">
        <f t="shared" ref="M89" si="250">ROUND(L89*Q89,0)</f>
        <v>12234</v>
      </c>
      <c r="N89" s="143">
        <f>SUM(L89:M89)/Monitoring!$B$19</f>
        <v>300.34456463411192</v>
      </c>
      <c r="O89" s="8">
        <f t="shared" ref="O89" si="251">L89/G89</f>
        <v>0.13793148934174426</v>
      </c>
      <c r="P89" s="11">
        <f t="shared" ref="P89" si="252">I89-O89</f>
        <v>-4.5485898564345817E-7</v>
      </c>
      <c r="Q89" s="11">
        <v>0.13</v>
      </c>
      <c r="R89" s="131">
        <v>44621</v>
      </c>
      <c r="S89" s="105" t="s">
        <v>114</v>
      </c>
      <c r="T89" s="105"/>
      <c r="U89" s="22"/>
    </row>
    <row r="90" spans="1:24" s="12" customFormat="1" ht="15" customHeight="1" x14ac:dyDescent="0.25">
      <c r="A90" s="3" t="s">
        <v>108</v>
      </c>
      <c r="B90" s="1" t="s">
        <v>92</v>
      </c>
      <c r="C90" s="4" t="s">
        <v>73</v>
      </c>
      <c r="D90" s="4" t="s">
        <v>90</v>
      </c>
      <c r="E90" s="3" t="s">
        <v>124</v>
      </c>
      <c r="F90" s="3" t="s">
        <v>11</v>
      </c>
      <c r="G90" s="7">
        <v>682288</v>
      </c>
      <c r="H90" s="7">
        <f t="shared" si="209"/>
        <v>88697</v>
      </c>
      <c r="I90" s="163">
        <f t="shared" ref="I90" si="253">K90/J90</f>
        <v>0.13793103448275862</v>
      </c>
      <c r="J90" s="6">
        <v>174</v>
      </c>
      <c r="K90" s="6">
        <v>24</v>
      </c>
      <c r="L90" s="147">
        <f t="shared" ref="L90" si="254">ROUND(G90*I90,0)</f>
        <v>94109</v>
      </c>
      <c r="M90" s="10">
        <f t="shared" ref="M90" si="255">ROUND(L90*Q90,0)</f>
        <v>12234</v>
      </c>
      <c r="N90" s="143">
        <f>SUM(L90:M90)/Monitoring!$B$19</f>
        <v>300.34456463411192</v>
      </c>
      <c r="O90" s="8">
        <f t="shared" ref="O90" si="256">L90/G90</f>
        <v>0.13793148934174426</v>
      </c>
      <c r="P90" s="11">
        <f t="shared" ref="P90" si="257">I90-O90</f>
        <v>-4.5485898564345817E-7</v>
      </c>
      <c r="Q90" s="11">
        <v>0.13</v>
      </c>
      <c r="R90" s="131">
        <v>44621</v>
      </c>
      <c r="S90" s="105" t="s">
        <v>114</v>
      </c>
      <c r="T90" s="105"/>
      <c r="U90" s="113"/>
    </row>
    <row r="91" spans="1:24" s="12" customFormat="1" ht="15" customHeight="1" x14ac:dyDescent="0.25">
      <c r="A91" s="3" t="s">
        <v>108</v>
      </c>
      <c r="B91" s="1" t="s">
        <v>92</v>
      </c>
      <c r="C91" s="4" t="s">
        <v>74</v>
      </c>
      <c r="D91" s="4" t="s">
        <v>90</v>
      </c>
      <c r="E91" s="3" t="s">
        <v>124</v>
      </c>
      <c r="F91" s="3" t="s">
        <v>11</v>
      </c>
      <c r="G91" s="7">
        <v>673190</v>
      </c>
      <c r="H91" s="7">
        <f t="shared" si="209"/>
        <v>87515</v>
      </c>
      <c r="I91" s="163">
        <f t="shared" ref="I91" si="258">K91/J91</f>
        <v>0.10344827586206896</v>
      </c>
      <c r="J91" s="6">
        <v>174</v>
      </c>
      <c r="K91" s="6">
        <v>18</v>
      </c>
      <c r="L91" s="147">
        <f t="shared" ref="L91" si="259">ROUND(G91*I91,0)</f>
        <v>69640</v>
      </c>
      <c r="M91" s="10">
        <f t="shared" ref="M91" si="260">ROUND(L91*Q91,0)</f>
        <v>9053</v>
      </c>
      <c r="N91" s="143">
        <f>SUM(L91:M91)/Monitoring!$B$19</f>
        <v>222.25266190301355</v>
      </c>
      <c r="O91" s="8">
        <f t="shared" ref="O91" si="261">L91/G91</f>
        <v>0.10344776363285253</v>
      </c>
      <c r="P91" s="11">
        <f t="shared" ref="P91" si="262">I91-O91</f>
        <v>5.1222921643168107E-7</v>
      </c>
      <c r="Q91" s="11">
        <v>0.13</v>
      </c>
      <c r="R91" s="131">
        <v>44673</v>
      </c>
      <c r="S91" s="105" t="s">
        <v>114</v>
      </c>
      <c r="T91" s="105"/>
      <c r="U91" s="113"/>
    </row>
    <row r="92" spans="1:24" s="12" customFormat="1" ht="15" customHeight="1" x14ac:dyDescent="0.25">
      <c r="A92" s="3" t="s">
        <v>108</v>
      </c>
      <c r="B92" s="1" t="s">
        <v>92</v>
      </c>
      <c r="C92" s="4" t="s">
        <v>75</v>
      </c>
      <c r="D92" s="4" t="s">
        <v>90</v>
      </c>
      <c r="E92" s="3" t="s">
        <v>124</v>
      </c>
      <c r="F92" s="3" t="s">
        <v>11</v>
      </c>
      <c r="G92" s="7">
        <v>973189</v>
      </c>
      <c r="H92" s="7">
        <f t="shared" si="209"/>
        <v>126515</v>
      </c>
      <c r="I92" s="163">
        <f t="shared" ref="I92" si="263">K92/J92</f>
        <v>7.4712643678160925E-2</v>
      </c>
      <c r="J92" s="6">
        <v>174</v>
      </c>
      <c r="K92" s="6">
        <v>13</v>
      </c>
      <c r="L92" s="147">
        <f t="shared" ref="L92" si="264">ROUND(G92*I92,0)</f>
        <v>72710</v>
      </c>
      <c r="M92" s="10">
        <f t="shared" ref="M92" si="265">ROUND(L92*Q92,0)</f>
        <v>9452</v>
      </c>
      <c r="N92" s="143">
        <f>SUM(L92:M92)/Monitoring!$B$19</f>
        <v>232.05015957296581</v>
      </c>
      <c r="O92" s="8">
        <f t="shared" ref="O92" si="266">L92/G92</f>
        <v>7.4713133831146875E-2</v>
      </c>
      <c r="P92" s="11">
        <f t="shared" ref="P92" si="267">I92-O92</f>
        <v>-4.901529859491216E-7</v>
      </c>
      <c r="Q92" s="11">
        <v>0.13</v>
      </c>
      <c r="R92" s="131">
        <v>44725</v>
      </c>
      <c r="S92" s="105" t="s">
        <v>114</v>
      </c>
      <c r="T92" s="105"/>
      <c r="U92" s="113"/>
    </row>
    <row r="93" spans="1:24" s="12" customFormat="1" ht="15" customHeight="1" x14ac:dyDescent="0.25">
      <c r="A93" s="3" t="s">
        <v>108</v>
      </c>
      <c r="B93" s="1" t="s">
        <v>92</v>
      </c>
      <c r="C93" s="4" t="s">
        <v>76</v>
      </c>
      <c r="D93" s="4" t="s">
        <v>90</v>
      </c>
      <c r="E93" s="3" t="s">
        <v>124</v>
      </c>
      <c r="F93" s="3" t="s">
        <v>11</v>
      </c>
      <c r="G93" s="7">
        <v>726303</v>
      </c>
      <c r="H93" s="7">
        <f t="shared" si="209"/>
        <v>94419</v>
      </c>
      <c r="I93" s="163">
        <f t="shared" ref="I93" si="268">K93/J93</f>
        <v>9.7701149425287362E-2</v>
      </c>
      <c r="J93" s="6">
        <v>174</v>
      </c>
      <c r="K93" s="6">
        <v>17</v>
      </c>
      <c r="L93" s="147">
        <f t="shared" ref="L93" si="269">ROUND(G93*I93,0)</f>
        <v>70961</v>
      </c>
      <c r="M93" s="10">
        <f t="shared" ref="M93" si="270">ROUND(L93*Q93,0)</f>
        <v>9225</v>
      </c>
      <c r="N93" s="143">
        <f>SUM(L93:M93)/Monitoring!$B$19</f>
        <v>226.46934222046488</v>
      </c>
      <c r="O93" s="8">
        <f t="shared" ref="O93" si="271">L93/G93</f>
        <v>9.7701647934815089E-2</v>
      </c>
      <c r="P93" s="11">
        <f t="shared" ref="P93" si="272">I93-O93</f>
        <v>-4.9850952772712009E-7</v>
      </c>
      <c r="Q93" s="11">
        <v>0.13</v>
      </c>
      <c r="R93" s="131">
        <v>44753</v>
      </c>
      <c r="S93" s="105" t="s">
        <v>114</v>
      </c>
      <c r="T93" s="105"/>
      <c r="U93" s="113"/>
    </row>
    <row r="94" spans="1:24" s="12" customFormat="1" ht="15" customHeight="1" x14ac:dyDescent="0.25">
      <c r="A94" s="3" t="s">
        <v>108</v>
      </c>
      <c r="B94" s="1" t="s">
        <v>92</v>
      </c>
      <c r="C94" s="4" t="s">
        <v>77</v>
      </c>
      <c r="D94" s="4" t="s">
        <v>90</v>
      </c>
      <c r="E94" s="3" t="s">
        <v>124</v>
      </c>
      <c r="F94" s="3" t="s">
        <v>11</v>
      </c>
      <c r="G94" s="7">
        <v>694724</v>
      </c>
      <c r="H94" s="7">
        <f t="shared" si="209"/>
        <v>90314</v>
      </c>
      <c r="I94" s="163">
        <f t="shared" ref="I94" si="273">K94/J94</f>
        <v>9.7701149425287362E-2</v>
      </c>
      <c r="J94" s="6">
        <v>174</v>
      </c>
      <c r="K94" s="6">
        <v>17</v>
      </c>
      <c r="L94" s="147">
        <f t="shared" ref="L94" si="274">ROUND(G94*I94,0)</f>
        <v>67875</v>
      </c>
      <c r="M94" s="10">
        <f t="shared" ref="M94" si="275">ROUND(L94*Q94,0)</f>
        <v>8824</v>
      </c>
      <c r="N94" s="143">
        <f>SUM(L94:M94)/Monitoring!$B$19</f>
        <v>216.62100714547972</v>
      </c>
      <c r="O94" s="8">
        <f t="shared" ref="O94" si="276">L94/G94</f>
        <v>9.7700669618438402E-2</v>
      </c>
      <c r="P94" s="11">
        <f t="shared" ref="P94" si="277">I94-O94</f>
        <v>4.79806848960318E-7</v>
      </c>
      <c r="Q94" s="11">
        <v>0.13</v>
      </c>
      <c r="R94" s="131">
        <v>44753</v>
      </c>
      <c r="S94" s="105" t="s">
        <v>114</v>
      </c>
      <c r="T94" s="105"/>
      <c r="U94" s="113"/>
    </row>
    <row r="95" spans="1:24" s="12" customFormat="1" ht="15" customHeight="1" x14ac:dyDescent="0.25">
      <c r="A95" s="3" t="s">
        <v>108</v>
      </c>
      <c r="B95" s="1" t="s">
        <v>93</v>
      </c>
      <c r="C95" s="4" t="s">
        <v>67</v>
      </c>
      <c r="D95" s="4" t="s">
        <v>90</v>
      </c>
      <c r="E95" s="3" t="s">
        <v>124</v>
      </c>
      <c r="F95" s="3" t="s">
        <v>11</v>
      </c>
      <c r="G95" s="7">
        <v>646000</v>
      </c>
      <c r="H95" s="7">
        <f t="shared" si="209"/>
        <v>100130</v>
      </c>
      <c r="I95" s="163">
        <f>K95/J95</f>
        <v>0.14942528735632185</v>
      </c>
      <c r="J95" s="6">
        <v>174</v>
      </c>
      <c r="K95" s="6">
        <v>26</v>
      </c>
      <c r="L95" s="147">
        <f>ROUND(G95*I95,0)</f>
        <v>96529</v>
      </c>
      <c r="M95" s="10">
        <f t="shared" si="238"/>
        <v>14962</v>
      </c>
      <c r="N95" s="143">
        <f>SUM(L95:M95)/Monitoring!$B$19</f>
        <v>314.88406247352219</v>
      </c>
      <c r="O95" s="8">
        <f t="shared" si="239"/>
        <v>0.14942569659442725</v>
      </c>
      <c r="P95" s="11">
        <f t="shared" si="240"/>
        <v>-4.0923810540327565E-7</v>
      </c>
      <c r="Q95" s="11">
        <v>0.155</v>
      </c>
      <c r="R95" s="131">
        <v>44481</v>
      </c>
      <c r="S95" s="105" t="s">
        <v>114</v>
      </c>
      <c r="T95" s="105"/>
      <c r="U95" s="113"/>
    </row>
    <row r="96" spans="1:24" s="12" customFormat="1" x14ac:dyDescent="0.25">
      <c r="A96" s="3" t="s">
        <v>108</v>
      </c>
      <c r="B96" s="1" t="s">
        <v>93</v>
      </c>
      <c r="C96" s="4" t="s">
        <v>68</v>
      </c>
      <c r="D96" s="4" t="s">
        <v>90</v>
      </c>
      <c r="E96" s="3" t="s">
        <v>124</v>
      </c>
      <c r="F96" s="3" t="s">
        <v>11</v>
      </c>
      <c r="G96" s="7">
        <v>871002</v>
      </c>
      <c r="H96" s="7">
        <f t="shared" si="209"/>
        <v>135005</v>
      </c>
      <c r="I96" s="163">
        <f t="shared" ref="I96" si="278">K96/J96</f>
        <v>9.7701149425287362E-2</v>
      </c>
      <c r="J96" s="6">
        <v>174</v>
      </c>
      <c r="K96" s="6">
        <v>17</v>
      </c>
      <c r="L96" s="147">
        <f t="shared" ref="L96" si="279">ROUND(G96*I96,0)</f>
        <v>85098</v>
      </c>
      <c r="M96" s="10">
        <f t="shared" si="238"/>
        <v>13190</v>
      </c>
      <c r="N96" s="143">
        <f>SUM(L96:M96)/Monitoring!$B$19</f>
        <v>277.59482588188774</v>
      </c>
      <c r="O96" s="8">
        <f t="shared" si="239"/>
        <v>9.7701268194562124E-2</v>
      </c>
      <c r="P96" s="11">
        <f t="shared" si="240"/>
        <v>-1.1876927476228705E-7</v>
      </c>
      <c r="Q96" s="11">
        <v>0.155</v>
      </c>
      <c r="R96" s="131">
        <v>44509</v>
      </c>
      <c r="S96" s="105" t="s">
        <v>114</v>
      </c>
      <c r="T96" s="105"/>
      <c r="U96" s="113"/>
    </row>
    <row r="97" spans="1:24" s="12" customFormat="1" ht="15" customHeight="1" x14ac:dyDescent="0.25">
      <c r="A97" s="3" t="s">
        <v>108</v>
      </c>
      <c r="B97" s="1" t="s">
        <v>93</v>
      </c>
      <c r="C97" s="4" t="s">
        <v>69</v>
      </c>
      <c r="D97" s="4" t="s">
        <v>90</v>
      </c>
      <c r="E97" s="3" t="s">
        <v>124</v>
      </c>
      <c r="F97" s="3" t="s">
        <v>11</v>
      </c>
      <c r="G97" s="7">
        <v>615387</v>
      </c>
      <c r="H97" s="7">
        <f t="shared" si="209"/>
        <v>95385</v>
      </c>
      <c r="I97" s="163">
        <f t="shared" ref="I97" si="280">K97/J97</f>
        <v>7.4712643678160925E-2</v>
      </c>
      <c r="J97" s="6">
        <v>174</v>
      </c>
      <c r="K97" s="6">
        <v>13</v>
      </c>
      <c r="L97" s="147">
        <f t="shared" ref="L97" si="281">ROUND(G97*I97,0)</f>
        <v>45977</v>
      </c>
      <c r="M97" s="10">
        <f t="shared" ref="M97" si="282">ROUND(L97*Q97,0)</f>
        <v>7126</v>
      </c>
      <c r="N97" s="143">
        <f>SUM(L97:M97)/Monitoring!$B$19</f>
        <v>149.97881774790295</v>
      </c>
      <c r="O97" s="8">
        <f t="shared" ref="O97" si="283">L97/G97</f>
        <v>7.471233548969998E-2</v>
      </c>
      <c r="P97" s="11">
        <f t="shared" ref="P97" si="284">I97-O97</f>
        <v>3.0818846094571306E-7</v>
      </c>
      <c r="Q97" s="11">
        <v>0.155</v>
      </c>
      <c r="R97" s="131">
        <v>44530</v>
      </c>
      <c r="S97" s="105" t="s">
        <v>114</v>
      </c>
      <c r="T97" s="105"/>
      <c r="U97" s="113"/>
    </row>
    <row r="98" spans="1:24" s="12" customFormat="1" ht="15" customHeight="1" x14ac:dyDescent="0.25">
      <c r="A98" s="3" t="s">
        <v>108</v>
      </c>
      <c r="B98" s="1" t="s">
        <v>93</v>
      </c>
      <c r="C98" s="4" t="s">
        <v>70</v>
      </c>
      <c r="D98" s="4" t="s">
        <v>90</v>
      </c>
      <c r="E98" s="3" t="s">
        <v>124</v>
      </c>
      <c r="F98" s="3" t="s">
        <v>11</v>
      </c>
      <c r="G98" s="7">
        <v>680288</v>
      </c>
      <c r="H98" s="7">
        <f t="shared" si="209"/>
        <v>88437</v>
      </c>
      <c r="I98" s="163">
        <f t="shared" ref="I98:I99" si="285">K98/J98</f>
        <v>7.4712643678160925E-2</v>
      </c>
      <c r="J98" s="6">
        <v>174</v>
      </c>
      <c r="K98" s="6">
        <v>13</v>
      </c>
      <c r="L98" s="147">
        <f t="shared" ref="L98:L99" si="286">ROUND(G98*I98,0)</f>
        <v>50826</v>
      </c>
      <c r="M98" s="10">
        <f t="shared" ref="M98:M99" si="287">ROUND(L98*Q98,0)</f>
        <v>6607</v>
      </c>
      <c r="N98" s="143">
        <f>SUM(L98:M98)/Monitoring!$B$19</f>
        <v>162.20803795859575</v>
      </c>
      <c r="O98" s="8">
        <f t="shared" ref="O98:O99" si="288">L98/G98</f>
        <v>7.4712474716590621E-2</v>
      </c>
      <c r="P98" s="11">
        <f t="shared" ref="P98:P99" si="289">I98-O98</f>
        <v>1.6896157030432679E-7</v>
      </c>
      <c r="Q98" s="11">
        <v>0.13</v>
      </c>
      <c r="R98" s="131">
        <v>44530</v>
      </c>
      <c r="S98" s="105" t="s">
        <v>114</v>
      </c>
      <c r="T98" s="105"/>
      <c r="U98" s="22"/>
    </row>
    <row r="99" spans="1:24" s="12" customFormat="1" ht="15" customHeight="1" x14ac:dyDescent="0.25">
      <c r="A99" s="3" t="s">
        <v>108</v>
      </c>
      <c r="B99" s="1" t="s">
        <v>93</v>
      </c>
      <c r="C99" s="4" t="s">
        <v>71</v>
      </c>
      <c r="D99" s="4" t="s">
        <v>90</v>
      </c>
      <c r="E99" s="3" t="s">
        <v>124</v>
      </c>
      <c r="F99" s="3" t="s">
        <v>11</v>
      </c>
      <c r="G99" s="7">
        <v>680288</v>
      </c>
      <c r="H99" s="7">
        <f t="shared" si="209"/>
        <v>88437</v>
      </c>
      <c r="I99" s="163">
        <f t="shared" si="285"/>
        <v>6.8965517241379309E-2</v>
      </c>
      <c r="J99" s="6">
        <v>174</v>
      </c>
      <c r="K99" s="6">
        <v>12</v>
      </c>
      <c r="L99" s="147">
        <f t="shared" si="286"/>
        <v>46916</v>
      </c>
      <c r="M99" s="10">
        <f t="shared" si="287"/>
        <v>6099</v>
      </c>
      <c r="N99" s="143">
        <f>SUM(L99:M99)/Monitoring!$B$19</f>
        <v>149.73027932329765</v>
      </c>
      <c r="O99" s="8">
        <f t="shared" si="288"/>
        <v>6.8964908979726236E-2</v>
      </c>
      <c r="P99" s="11">
        <f t="shared" si="289"/>
        <v>6.0826165307337199E-7</v>
      </c>
      <c r="Q99" s="11">
        <v>0.13</v>
      </c>
      <c r="R99" s="131">
        <v>44599</v>
      </c>
      <c r="S99" s="105" t="s">
        <v>114</v>
      </c>
      <c r="T99" s="105"/>
      <c r="U99" s="22"/>
    </row>
    <row r="100" spans="1:24" s="12" customFormat="1" ht="15" customHeight="1" x14ac:dyDescent="0.25">
      <c r="A100" s="3" t="s">
        <v>108</v>
      </c>
      <c r="B100" s="1" t="s">
        <v>93</v>
      </c>
      <c r="C100" s="4" t="s">
        <v>72</v>
      </c>
      <c r="D100" s="4" t="s">
        <v>90</v>
      </c>
      <c r="E100" s="3" t="s">
        <v>124</v>
      </c>
      <c r="F100" s="3" t="s">
        <v>11</v>
      </c>
      <c r="G100" s="7">
        <v>682288</v>
      </c>
      <c r="H100" s="7">
        <f t="shared" si="209"/>
        <v>88697</v>
      </c>
      <c r="I100" s="163">
        <f t="shared" ref="I100" si="290">K100/J100</f>
        <v>6.8965517241379309E-2</v>
      </c>
      <c r="J100" s="6">
        <v>174</v>
      </c>
      <c r="K100" s="6">
        <v>12</v>
      </c>
      <c r="L100" s="147">
        <f t="shared" ref="L100" si="291">ROUND(G100*I100,0)</f>
        <v>47054</v>
      </c>
      <c r="M100" s="10">
        <f t="shared" ref="M100" si="292">ROUND(L100*Q100,0)</f>
        <v>6117</v>
      </c>
      <c r="N100" s="143">
        <f>SUM(L100:M100)/Monitoring!$B$19</f>
        <v>150.17087016691616</v>
      </c>
      <c r="O100" s="8">
        <f t="shared" ref="O100" si="293">L100/G100</f>
        <v>6.8965011842506391E-2</v>
      </c>
      <c r="P100" s="11">
        <f t="shared" ref="P100" si="294">I100-O100</f>
        <v>5.0539887291867203E-7</v>
      </c>
      <c r="Q100" s="11">
        <v>0.13</v>
      </c>
      <c r="R100" s="131">
        <v>44621</v>
      </c>
      <c r="S100" s="105" t="s">
        <v>114</v>
      </c>
      <c r="T100" s="105"/>
      <c r="U100" s="22"/>
    </row>
    <row r="101" spans="1:24" s="12" customFormat="1" ht="15" customHeight="1" x14ac:dyDescent="0.25">
      <c r="A101" s="3" t="s">
        <v>108</v>
      </c>
      <c r="B101" s="1" t="s">
        <v>93</v>
      </c>
      <c r="C101" s="4" t="s">
        <v>73</v>
      </c>
      <c r="D101" s="4" t="s">
        <v>90</v>
      </c>
      <c r="E101" s="3" t="s">
        <v>124</v>
      </c>
      <c r="F101" s="3" t="s">
        <v>11</v>
      </c>
      <c r="G101" s="7">
        <v>682288</v>
      </c>
      <c r="H101" s="7">
        <f t="shared" si="209"/>
        <v>88697</v>
      </c>
      <c r="I101" s="163">
        <f t="shared" ref="I101" si="295">K101/J101</f>
        <v>6.8965517241379309E-2</v>
      </c>
      <c r="J101" s="6">
        <v>174</v>
      </c>
      <c r="K101" s="6">
        <v>12</v>
      </c>
      <c r="L101" s="147">
        <f t="shared" ref="L101" si="296">ROUND(G101*I101,0)</f>
        <v>47054</v>
      </c>
      <c r="M101" s="10">
        <f t="shared" ref="M101" si="297">ROUND(L101*Q101,0)</f>
        <v>6117</v>
      </c>
      <c r="N101" s="143">
        <f>SUM(L101:M101)/Monitoring!$B$19</f>
        <v>150.17087016691616</v>
      </c>
      <c r="O101" s="8">
        <f t="shared" ref="O101" si="298">L101/G101</f>
        <v>6.8965011842506391E-2</v>
      </c>
      <c r="P101" s="11">
        <f t="shared" ref="P101" si="299">I101-O101</f>
        <v>5.0539887291867203E-7</v>
      </c>
      <c r="Q101" s="11">
        <v>0.13</v>
      </c>
      <c r="R101" s="131">
        <v>44621</v>
      </c>
      <c r="S101" s="105" t="s">
        <v>114</v>
      </c>
      <c r="T101" s="105"/>
      <c r="U101" s="113"/>
    </row>
    <row r="102" spans="1:24" s="12" customFormat="1" x14ac:dyDescent="0.25">
      <c r="A102" s="3" t="s">
        <v>108</v>
      </c>
      <c r="B102" s="1" t="s">
        <v>93</v>
      </c>
      <c r="C102" s="4" t="s">
        <v>74</v>
      </c>
      <c r="D102" s="4" t="s">
        <v>90</v>
      </c>
      <c r="E102" s="3" t="s">
        <v>124</v>
      </c>
      <c r="F102" s="3" t="s">
        <v>11</v>
      </c>
      <c r="G102" s="7">
        <v>673190</v>
      </c>
      <c r="H102" s="7">
        <f t="shared" si="209"/>
        <v>87515</v>
      </c>
      <c r="I102" s="163">
        <f t="shared" ref="I102" si="300">K102/J102</f>
        <v>6.8965517241379309E-2</v>
      </c>
      <c r="J102" s="6">
        <v>174</v>
      </c>
      <c r="K102" s="6">
        <v>12</v>
      </c>
      <c r="L102" s="147">
        <f t="shared" ref="L102" si="301">ROUND(G102*I102,0)</f>
        <v>46427</v>
      </c>
      <c r="M102" s="10">
        <f t="shared" ref="M102" si="302">ROUND(L102*Q102,0)</f>
        <v>6036</v>
      </c>
      <c r="N102" s="143">
        <f>SUM(L102:M102)/Monitoring!$B$19</f>
        <v>148.17126556895531</v>
      </c>
      <c r="O102" s="8">
        <f t="shared" ref="O102" si="303">L102/G102</f>
        <v>6.8965670910144244E-2</v>
      </c>
      <c r="P102" s="11">
        <f t="shared" ref="P102" si="304">I102-O102</f>
        <v>-1.5366876493505544E-7</v>
      </c>
      <c r="Q102" s="11">
        <v>0.13</v>
      </c>
      <c r="R102" s="131">
        <v>44673</v>
      </c>
      <c r="S102" s="105" t="s">
        <v>114</v>
      </c>
      <c r="T102" s="105"/>
      <c r="U102" s="113"/>
    </row>
    <row r="103" spans="1:24" s="12" customFormat="1" x14ac:dyDescent="0.25">
      <c r="A103" s="3" t="s">
        <v>108</v>
      </c>
      <c r="B103" s="1" t="s">
        <v>93</v>
      </c>
      <c r="C103" s="4" t="s">
        <v>75</v>
      </c>
      <c r="D103" s="4" t="s">
        <v>90</v>
      </c>
      <c r="E103" s="3" t="s">
        <v>124</v>
      </c>
      <c r="F103" s="3" t="s">
        <v>11</v>
      </c>
      <c r="G103" s="7">
        <v>973189</v>
      </c>
      <c r="H103" s="7">
        <f t="shared" si="209"/>
        <v>126515</v>
      </c>
      <c r="I103" s="163">
        <f t="shared" ref="I103:I105" si="305">K103/J103</f>
        <v>5.1724137931034482E-2</v>
      </c>
      <c r="J103" s="6">
        <v>174</v>
      </c>
      <c r="K103" s="6">
        <v>9</v>
      </c>
      <c r="L103" s="147">
        <f t="shared" ref="L103:L105" si="306">ROUND(G103*I103,0)</f>
        <v>50337</v>
      </c>
      <c r="M103" s="10">
        <f t="shared" ref="M103:M105" si="307">ROUND(L103*Q103,0)</f>
        <v>6544</v>
      </c>
      <c r="N103" s="143">
        <f>SUM(L103:M103)/Monitoring!$B$19</f>
        <v>160.64902420425341</v>
      </c>
      <c r="O103" s="8">
        <f t="shared" ref="O103:O105" si="308">L103/G103</f>
        <v>5.1723765887201768E-2</v>
      </c>
      <c r="P103" s="11">
        <f t="shared" ref="P103:P105" si="309">I103-O103</f>
        <v>3.7204383271371988E-7</v>
      </c>
      <c r="Q103" s="11">
        <v>0.13</v>
      </c>
      <c r="R103" s="131">
        <v>44725</v>
      </c>
      <c r="S103" s="105" t="s">
        <v>114</v>
      </c>
      <c r="T103" s="105"/>
      <c r="U103" s="113"/>
    </row>
    <row r="104" spans="1:24" s="12" customFormat="1" ht="15" customHeight="1" x14ac:dyDescent="0.25">
      <c r="A104" s="3" t="s">
        <v>108</v>
      </c>
      <c r="B104" s="1" t="s">
        <v>93</v>
      </c>
      <c r="C104" s="4" t="s">
        <v>76</v>
      </c>
      <c r="D104" s="4" t="s">
        <v>90</v>
      </c>
      <c r="E104" s="3" t="s">
        <v>124</v>
      </c>
      <c r="F104" s="3" t="s">
        <v>11</v>
      </c>
      <c r="G104" s="7">
        <v>726303</v>
      </c>
      <c r="H104" s="7">
        <f t="shared" si="209"/>
        <v>94419</v>
      </c>
      <c r="I104" s="163">
        <f t="shared" si="305"/>
        <v>6.3218390804597707E-2</v>
      </c>
      <c r="J104" s="6">
        <v>174</v>
      </c>
      <c r="K104" s="6">
        <v>11</v>
      </c>
      <c r="L104" s="147">
        <f t="shared" si="306"/>
        <v>45916</v>
      </c>
      <c r="M104" s="10">
        <f t="shared" si="307"/>
        <v>5969</v>
      </c>
      <c r="N104" s="143">
        <f>SUM(L104:M104)/Monitoring!$B$19</f>
        <v>146.53882000734319</v>
      </c>
      <c r="O104" s="8">
        <f t="shared" si="308"/>
        <v>6.3218794359929678E-2</v>
      </c>
      <c r="P104" s="11">
        <f t="shared" si="309"/>
        <v>-4.035553319708951E-7</v>
      </c>
      <c r="Q104" s="11">
        <v>0.13</v>
      </c>
      <c r="R104" s="131">
        <v>44753</v>
      </c>
      <c r="S104" s="105" t="s">
        <v>114</v>
      </c>
      <c r="T104" s="105"/>
      <c r="U104" s="113"/>
    </row>
    <row r="105" spans="1:24" s="12" customFormat="1" ht="15" customHeight="1" x14ac:dyDescent="0.25">
      <c r="A105" s="3" t="s">
        <v>108</v>
      </c>
      <c r="B105" s="1" t="s">
        <v>93</v>
      </c>
      <c r="C105" s="4" t="s">
        <v>77</v>
      </c>
      <c r="D105" s="4" t="s">
        <v>90</v>
      </c>
      <c r="E105" s="3" t="s">
        <v>124</v>
      </c>
      <c r="F105" s="3" t="s">
        <v>11</v>
      </c>
      <c r="G105" s="7">
        <v>694724</v>
      </c>
      <c r="H105" s="7">
        <f t="shared" si="209"/>
        <v>90314</v>
      </c>
      <c r="I105" s="163">
        <f t="shared" si="305"/>
        <v>6.3218390804597707E-2</v>
      </c>
      <c r="J105" s="6">
        <v>174</v>
      </c>
      <c r="K105" s="6">
        <v>11</v>
      </c>
      <c r="L105" s="147">
        <f t="shared" si="306"/>
        <v>43919</v>
      </c>
      <c r="M105" s="10">
        <f t="shared" si="307"/>
        <v>5709</v>
      </c>
      <c r="N105" s="143">
        <f>SUM(L105:M105)/Monitoring!$B$19</f>
        <v>140.16437427627307</v>
      </c>
      <c r="O105" s="8">
        <f t="shared" si="308"/>
        <v>6.3217910997748747E-2</v>
      </c>
      <c r="P105" s="11">
        <f t="shared" si="309"/>
        <v>4.79806848960318E-7</v>
      </c>
      <c r="Q105" s="11">
        <v>0.13</v>
      </c>
      <c r="R105" s="131">
        <v>44753</v>
      </c>
      <c r="S105" s="105" t="s">
        <v>114</v>
      </c>
      <c r="T105" s="105"/>
      <c r="U105" s="113"/>
    </row>
    <row r="106" spans="1:24" s="12" customFormat="1" ht="15" customHeight="1" x14ac:dyDescent="0.25">
      <c r="A106" s="3" t="s">
        <v>108</v>
      </c>
      <c r="B106" s="1" t="s">
        <v>93</v>
      </c>
      <c r="C106" s="4" t="s">
        <v>78</v>
      </c>
      <c r="D106" s="4" t="s">
        <v>90</v>
      </c>
      <c r="E106" s="3" t="s">
        <v>124</v>
      </c>
      <c r="F106" s="3" t="s">
        <v>11</v>
      </c>
      <c r="G106" s="7">
        <v>699009</v>
      </c>
      <c r="H106" s="7">
        <f t="shared" si="209"/>
        <v>90871</v>
      </c>
      <c r="I106" s="163">
        <f t="shared" ref="I106" si="310">K106/J106</f>
        <v>6.8965517241379309E-2</v>
      </c>
      <c r="J106" s="6">
        <v>174</v>
      </c>
      <c r="K106" s="6">
        <v>12</v>
      </c>
      <c r="L106" s="147">
        <f t="shared" ref="L106" si="311">ROUND(G106*I106,0)</f>
        <v>48208</v>
      </c>
      <c r="M106" s="10">
        <f t="shared" ref="M106" si="312">ROUND(L106*Q106,0)</f>
        <v>6267</v>
      </c>
      <c r="N106" s="143">
        <f>SUM(L106:M106)/Monitoring!$B$19</f>
        <v>153.85375773152202</v>
      </c>
      <c r="O106" s="8">
        <f t="shared" ref="O106" si="313">L106/G106</f>
        <v>6.89662078742906E-2</v>
      </c>
      <c r="P106" s="11">
        <f t="shared" ref="P106" si="314">I106-O106</f>
        <v>-6.9063291129045634E-7</v>
      </c>
      <c r="Q106" s="11">
        <v>0.13</v>
      </c>
      <c r="R106" s="131">
        <v>44788</v>
      </c>
      <c r="S106" s="105" t="s">
        <v>114</v>
      </c>
      <c r="T106" s="105"/>
      <c r="U106" s="113"/>
    </row>
    <row r="107" spans="1:24" s="12" customFormat="1" ht="15" customHeight="1" x14ac:dyDescent="0.25">
      <c r="A107" s="3" t="s">
        <v>108</v>
      </c>
      <c r="B107" s="1" t="s">
        <v>93</v>
      </c>
      <c r="C107" s="4" t="s">
        <v>82</v>
      </c>
      <c r="D107" s="4" t="s">
        <v>90</v>
      </c>
      <c r="E107" s="3" t="s">
        <v>124</v>
      </c>
      <c r="F107" s="3" t="s">
        <v>11</v>
      </c>
      <c r="G107" s="7">
        <v>699009</v>
      </c>
      <c r="H107" s="7">
        <f t="shared" si="209"/>
        <v>90871</v>
      </c>
      <c r="I107" s="163">
        <f t="shared" ref="I107" si="315">K107/J107</f>
        <v>6.8965517241379309E-2</v>
      </c>
      <c r="J107" s="6">
        <v>174</v>
      </c>
      <c r="K107" s="6">
        <v>12</v>
      </c>
      <c r="L107" s="147">
        <f t="shared" ref="L107" si="316">ROUND(G107*I107,0)</f>
        <v>48208</v>
      </c>
      <c r="M107" s="10">
        <f t="shared" ref="M107" si="317">ROUND(L107*Q107,0)</f>
        <v>6267</v>
      </c>
      <c r="N107" s="143">
        <f>SUM(L107:M107)/Monitoring!$B$19</f>
        <v>153.85375773152202</v>
      </c>
      <c r="O107" s="8">
        <f t="shared" ref="O107" si="318">L107/G107</f>
        <v>6.89662078742906E-2</v>
      </c>
      <c r="P107" s="11">
        <f t="shared" ref="P107" si="319">I107-O107</f>
        <v>-6.9063291129045634E-7</v>
      </c>
      <c r="Q107" s="11">
        <v>0.13</v>
      </c>
      <c r="R107" s="131">
        <v>44788</v>
      </c>
      <c r="S107" s="105" t="s">
        <v>114</v>
      </c>
      <c r="T107" s="105"/>
      <c r="U107" s="113"/>
    </row>
    <row r="108" spans="1:24" s="12" customFormat="1" ht="15" customHeight="1" x14ac:dyDescent="0.25">
      <c r="A108" s="3" t="s">
        <v>108</v>
      </c>
      <c r="B108" s="1" t="s">
        <v>93</v>
      </c>
      <c r="C108" s="4" t="s">
        <v>83</v>
      </c>
      <c r="D108" s="4" t="s">
        <v>90</v>
      </c>
      <c r="E108" s="3" t="s">
        <v>124</v>
      </c>
      <c r="F108" s="3" t="s">
        <v>11</v>
      </c>
      <c r="G108" s="7">
        <v>703865</v>
      </c>
      <c r="H108" s="7">
        <f t="shared" si="209"/>
        <v>91502</v>
      </c>
      <c r="I108" s="163">
        <f t="shared" ref="I108" si="320">K108/J108</f>
        <v>9.7701149425287362E-2</v>
      </c>
      <c r="J108" s="6">
        <v>174</v>
      </c>
      <c r="K108" s="6">
        <v>17</v>
      </c>
      <c r="L108" s="147">
        <f t="shared" ref="L108" si="321">ROUND(G108*I108,0)</f>
        <v>68768</v>
      </c>
      <c r="M108" s="10">
        <f t="shared" ref="M108" si="322">ROUND(L108*Q108,0)</f>
        <v>8940</v>
      </c>
      <c r="N108" s="143">
        <f>SUM(L108:M108)/Monitoring!$B$19</f>
        <v>219.47072612760189</v>
      </c>
      <c r="O108" s="8">
        <f t="shared" ref="O108" si="323">L108/G108</f>
        <v>9.7700553373161053E-2</v>
      </c>
      <c r="P108" s="11">
        <f t="shared" ref="P108" si="324">I108-O108</f>
        <v>5.9605212630875481E-7</v>
      </c>
      <c r="Q108" s="11">
        <v>0.13</v>
      </c>
      <c r="R108" s="131">
        <v>44852</v>
      </c>
      <c r="S108" s="105" t="s">
        <v>114</v>
      </c>
      <c r="T108" s="105" t="s">
        <v>154</v>
      </c>
      <c r="U108" s="113"/>
      <c r="V108" s="151" t="e">
        <v>#N/A</v>
      </c>
      <c r="W108" s="151" t="e">
        <v>#N/A</v>
      </c>
      <c r="X108" s="151" t="e">
        <v>#N/A</v>
      </c>
    </row>
    <row r="109" spans="1:24" s="12" customFormat="1" ht="15" customHeight="1" x14ac:dyDescent="0.25">
      <c r="A109" s="3" t="s">
        <v>108</v>
      </c>
      <c r="B109" s="1" t="s">
        <v>93</v>
      </c>
      <c r="C109" s="4" t="s">
        <v>84</v>
      </c>
      <c r="D109" s="4" t="s">
        <v>90</v>
      </c>
      <c r="E109" s="3" t="s">
        <v>124</v>
      </c>
      <c r="F109" s="3" t="s">
        <v>11</v>
      </c>
      <c r="G109" s="7">
        <v>703865</v>
      </c>
      <c r="H109" s="7">
        <f t="shared" si="209"/>
        <v>91502</v>
      </c>
      <c r="I109" s="163">
        <f t="shared" ref="I109" si="325">K109/J109</f>
        <v>9.7701149425287362E-2</v>
      </c>
      <c r="J109" s="6">
        <v>174</v>
      </c>
      <c r="K109" s="6">
        <v>17</v>
      </c>
      <c r="L109" s="147">
        <f t="shared" ref="L109" si="326">ROUND(G109*I109,0)</f>
        <v>68768</v>
      </c>
      <c r="M109" s="10">
        <f t="shared" ref="M109" si="327">ROUND(L109*Q109,0)</f>
        <v>8940</v>
      </c>
      <c r="N109" s="143">
        <f>SUM(L109:M109)/Monitoring!$B$19</f>
        <v>219.47072612760189</v>
      </c>
      <c r="O109" s="8">
        <f t="shared" ref="O109" si="328">L109/G109</f>
        <v>9.7700553373161053E-2</v>
      </c>
      <c r="P109" s="11">
        <f t="shared" ref="P109" si="329">I109-O109</f>
        <v>5.9605212630875481E-7</v>
      </c>
      <c r="Q109" s="11">
        <v>0.13</v>
      </c>
      <c r="R109" s="131">
        <v>44852</v>
      </c>
      <c r="S109" s="105" t="s">
        <v>114</v>
      </c>
      <c r="T109" s="105" t="s">
        <v>154</v>
      </c>
      <c r="U109" s="113"/>
      <c r="V109" s="151" t="s">
        <v>170</v>
      </c>
      <c r="W109" s="151" t="s">
        <v>171</v>
      </c>
      <c r="X109" s="151" t="s">
        <v>171</v>
      </c>
    </row>
    <row r="110" spans="1:24" s="12" customFormat="1" ht="15" customHeight="1" x14ac:dyDescent="0.25">
      <c r="A110" s="3" t="s">
        <v>108</v>
      </c>
      <c r="B110" s="1" t="s">
        <v>94</v>
      </c>
      <c r="C110" s="4" t="s">
        <v>76</v>
      </c>
      <c r="D110" s="4" t="s">
        <v>90</v>
      </c>
      <c r="E110" s="3" t="s">
        <v>124</v>
      </c>
      <c r="F110" s="3" t="s">
        <v>11</v>
      </c>
      <c r="G110" s="7">
        <v>726303</v>
      </c>
      <c r="H110" s="7">
        <f t="shared" si="209"/>
        <v>94419</v>
      </c>
      <c r="I110" s="163">
        <f t="shared" ref="I110:I111" si="330">K110/J110</f>
        <v>0.20689655172413793</v>
      </c>
      <c r="J110" s="6">
        <v>174</v>
      </c>
      <c r="K110" s="6">
        <v>36</v>
      </c>
      <c r="L110" s="147">
        <v>147535</v>
      </c>
      <c r="M110" s="10">
        <f t="shared" ref="M110:M111" si="331">ROUND(L110*Q110,0)</f>
        <v>19180</v>
      </c>
      <c r="N110" s="143">
        <f>SUM(L110:M110)/Monitoring!$B$19</f>
        <v>470.85322111446891</v>
      </c>
      <c r="O110" s="8">
        <f t="shared" ref="O110:O111" si="332">L110/G110</f>
        <v>0.20313147543105289</v>
      </c>
      <c r="P110" s="11">
        <f t="shared" ref="P110:P111" si="333">I110-O110</f>
        <v>3.7650762930850346E-3</v>
      </c>
      <c r="Q110" s="11">
        <v>0.13</v>
      </c>
      <c r="R110" s="131">
        <v>44753</v>
      </c>
      <c r="S110" s="105" t="s">
        <v>114</v>
      </c>
      <c r="T110" s="105"/>
      <c r="U110" s="113"/>
    </row>
    <row r="111" spans="1:24" s="12" customFormat="1" ht="15" customHeight="1" x14ac:dyDescent="0.25">
      <c r="A111" s="3" t="s">
        <v>108</v>
      </c>
      <c r="B111" s="1" t="s">
        <v>94</v>
      </c>
      <c r="C111" s="4" t="s">
        <v>77</v>
      </c>
      <c r="D111" s="4" t="s">
        <v>90</v>
      </c>
      <c r="E111" s="3" t="s">
        <v>124</v>
      </c>
      <c r="F111" s="3" t="s">
        <v>11</v>
      </c>
      <c r="G111" s="7">
        <v>694724</v>
      </c>
      <c r="H111" s="7">
        <f t="shared" si="209"/>
        <v>90314</v>
      </c>
      <c r="I111" s="163">
        <f t="shared" si="330"/>
        <v>0.20689655172413793</v>
      </c>
      <c r="J111" s="6">
        <v>174</v>
      </c>
      <c r="K111" s="6">
        <v>36</v>
      </c>
      <c r="L111" s="147">
        <f t="shared" ref="L111" si="334">ROUND(G111*I111,0)</f>
        <v>143736</v>
      </c>
      <c r="M111" s="10">
        <f t="shared" si="331"/>
        <v>18686</v>
      </c>
      <c r="N111" s="143">
        <f>SUM(L111:M111)/Monitoring!$B$19</f>
        <v>458.72850001412149</v>
      </c>
      <c r="O111" s="8">
        <f t="shared" si="332"/>
        <v>0.20689655172413793</v>
      </c>
      <c r="P111" s="11">
        <f t="shared" si="333"/>
        <v>0</v>
      </c>
      <c r="Q111" s="11">
        <v>0.13</v>
      </c>
      <c r="R111" s="131">
        <v>44753</v>
      </c>
      <c r="S111" s="105" t="s">
        <v>114</v>
      </c>
      <c r="T111" s="105"/>
      <c r="U111" s="113"/>
    </row>
    <row r="112" spans="1:24" s="12" customFormat="1" ht="15" customHeight="1" x14ac:dyDescent="0.25">
      <c r="A112" s="3" t="s">
        <v>108</v>
      </c>
      <c r="B112" s="1" t="s">
        <v>94</v>
      </c>
      <c r="C112" s="4" t="s">
        <v>78</v>
      </c>
      <c r="D112" s="4" t="s">
        <v>90</v>
      </c>
      <c r="E112" s="3" t="s">
        <v>124</v>
      </c>
      <c r="F112" s="3" t="s">
        <v>11</v>
      </c>
      <c r="G112" s="7">
        <v>699009</v>
      </c>
      <c r="H112" s="7">
        <f t="shared" si="209"/>
        <v>90871</v>
      </c>
      <c r="I112" s="163">
        <f t="shared" ref="I112" si="335">K112/J112</f>
        <v>0.21264367816091953</v>
      </c>
      <c r="J112" s="6">
        <v>174</v>
      </c>
      <c r="K112" s="6">
        <v>37</v>
      </c>
      <c r="L112" s="147">
        <f t="shared" ref="L112" si="336">ROUND(G112*I112,0)</f>
        <v>148640</v>
      </c>
      <c r="M112" s="10">
        <f t="shared" ref="M112" si="337">ROUND(L112*Q112,0)</f>
        <v>19323</v>
      </c>
      <c r="N112" s="143">
        <f>SUM(L112:M112)/Monitoring!$B$19</f>
        <v>474.37794786341686</v>
      </c>
      <c r="O112" s="8">
        <f t="shared" ref="O112" si="338">L112/G112</f>
        <v>0.21264390015006959</v>
      </c>
      <c r="P112" s="11">
        <f t="shared" ref="P112" si="339">I112-O112</f>
        <v>-2.219891500621074E-7</v>
      </c>
      <c r="Q112" s="11">
        <v>0.13</v>
      </c>
      <c r="R112" s="131">
        <v>44788</v>
      </c>
      <c r="S112" s="105" t="s">
        <v>114</v>
      </c>
      <c r="T112" s="105"/>
      <c r="U112" s="113"/>
    </row>
    <row r="113" spans="1:24" s="12" customFormat="1" ht="15" customHeight="1" x14ac:dyDescent="0.25">
      <c r="A113" s="3" t="s">
        <v>108</v>
      </c>
      <c r="B113" s="1" t="s">
        <v>94</v>
      </c>
      <c r="C113" s="4" t="s">
        <v>82</v>
      </c>
      <c r="D113" s="4" t="s">
        <v>90</v>
      </c>
      <c r="E113" s="3" t="s">
        <v>124</v>
      </c>
      <c r="F113" s="3" t="s">
        <v>11</v>
      </c>
      <c r="G113" s="7">
        <v>699009</v>
      </c>
      <c r="H113" s="7">
        <f t="shared" si="209"/>
        <v>90871</v>
      </c>
      <c r="I113" s="163">
        <f t="shared" ref="I113" si="340">K113/J113</f>
        <v>0.21264367816091953</v>
      </c>
      <c r="J113" s="6">
        <v>174</v>
      </c>
      <c r="K113" s="6">
        <v>37</v>
      </c>
      <c r="L113" s="147">
        <f t="shared" ref="L113" si="341">ROUND(G113*I113,0)</f>
        <v>148640</v>
      </c>
      <c r="M113" s="10">
        <f t="shared" ref="M113" si="342">ROUND(L113*Q113,0)</f>
        <v>19323</v>
      </c>
      <c r="N113" s="143">
        <f>SUM(L113:M113)/Monitoring!$B$19</f>
        <v>474.37794786341686</v>
      </c>
      <c r="O113" s="8">
        <f t="shared" ref="O113" si="343">L113/G113</f>
        <v>0.21264390015006959</v>
      </c>
      <c r="P113" s="11">
        <f t="shared" ref="P113" si="344">I113-O113</f>
        <v>-2.219891500621074E-7</v>
      </c>
      <c r="Q113" s="11">
        <v>0.13</v>
      </c>
      <c r="R113" s="131">
        <v>44788</v>
      </c>
      <c r="S113" s="105" t="s">
        <v>114</v>
      </c>
      <c r="T113" s="105"/>
      <c r="U113" s="113"/>
    </row>
    <row r="114" spans="1:24" s="12" customFormat="1" ht="15" customHeight="1" x14ac:dyDescent="0.25">
      <c r="A114" s="3" t="s">
        <v>108</v>
      </c>
      <c r="B114" s="1" t="s">
        <v>94</v>
      </c>
      <c r="C114" s="4" t="s">
        <v>83</v>
      </c>
      <c r="D114" s="4" t="s">
        <v>90</v>
      </c>
      <c r="E114" s="3" t="s">
        <v>124</v>
      </c>
      <c r="F114" s="3" t="s">
        <v>11</v>
      </c>
      <c r="G114" s="7">
        <v>703865</v>
      </c>
      <c r="H114" s="7">
        <f t="shared" si="209"/>
        <v>91502</v>
      </c>
      <c r="I114" s="163">
        <f t="shared" ref="I114" si="345">K114/J114</f>
        <v>0.17816091954022989</v>
      </c>
      <c r="J114" s="6">
        <v>174</v>
      </c>
      <c r="K114" s="6">
        <v>31</v>
      </c>
      <c r="L114" s="147">
        <f t="shared" ref="L114" si="346">ROUND(G114*I114,0)</f>
        <v>125401</v>
      </c>
      <c r="M114" s="10">
        <f t="shared" ref="M114" si="347">ROUND(L114*Q114,0)</f>
        <v>16302</v>
      </c>
      <c r="N114" s="143">
        <f>SUM(L114:M114)/Monitoring!$B$19</f>
        <v>400.21182252097043</v>
      </c>
      <c r="O114" s="8">
        <f t="shared" ref="O114" si="348">L114/G114</f>
        <v>0.17816058477122743</v>
      </c>
      <c r="P114" s="11">
        <f t="shared" ref="P114" si="349">I114-O114</f>
        <v>3.3476900246354191E-7</v>
      </c>
      <c r="Q114" s="11">
        <v>0.13</v>
      </c>
      <c r="R114" s="131">
        <v>44852</v>
      </c>
      <c r="S114" s="105" t="s">
        <v>114</v>
      </c>
      <c r="T114" s="105" t="s">
        <v>154</v>
      </c>
      <c r="U114" s="113"/>
      <c r="V114" s="151" t="e">
        <v>#N/A</v>
      </c>
      <c r="W114" s="151" t="e">
        <v>#N/A</v>
      </c>
      <c r="X114" s="151" t="e">
        <v>#N/A</v>
      </c>
    </row>
    <row r="115" spans="1:24" s="12" customFormat="1" ht="15" customHeight="1" x14ac:dyDescent="0.25">
      <c r="A115" s="3" t="s">
        <v>108</v>
      </c>
      <c r="B115" s="1" t="s">
        <v>94</v>
      </c>
      <c r="C115" s="4" t="s">
        <v>84</v>
      </c>
      <c r="D115" s="4" t="s">
        <v>90</v>
      </c>
      <c r="E115" s="3" t="s">
        <v>124</v>
      </c>
      <c r="F115" s="3" t="s">
        <v>11</v>
      </c>
      <c r="G115" s="7">
        <v>703865</v>
      </c>
      <c r="H115" s="7">
        <f t="shared" si="209"/>
        <v>91502</v>
      </c>
      <c r="I115" s="163">
        <f t="shared" ref="I115" si="350">K115/J115</f>
        <v>0.17816091954022989</v>
      </c>
      <c r="J115" s="6">
        <v>174</v>
      </c>
      <c r="K115" s="6">
        <v>31</v>
      </c>
      <c r="L115" s="147">
        <f t="shared" ref="L115" si="351">ROUND(G115*I115,0)</f>
        <v>125401</v>
      </c>
      <c r="M115" s="10">
        <f t="shared" ref="M115" si="352">ROUND(L115*Q115,0)</f>
        <v>16302</v>
      </c>
      <c r="N115" s="143">
        <f>SUM(L115:M115)/Monitoring!$B$19</f>
        <v>400.21182252097043</v>
      </c>
      <c r="O115" s="8">
        <f t="shared" ref="O115" si="353">L115/G115</f>
        <v>0.17816058477122743</v>
      </c>
      <c r="P115" s="11">
        <f t="shared" ref="P115" si="354">I115-O115</f>
        <v>3.3476900246354191E-7</v>
      </c>
      <c r="Q115" s="11">
        <v>0.13</v>
      </c>
      <c r="R115" s="131">
        <v>44852</v>
      </c>
      <c r="S115" s="105" t="s">
        <v>114</v>
      </c>
      <c r="T115" s="105" t="s">
        <v>154</v>
      </c>
      <c r="U115" s="113"/>
      <c r="V115" s="151" t="s">
        <v>170</v>
      </c>
      <c r="W115" s="151" t="s">
        <v>171</v>
      </c>
      <c r="X115" s="151" t="s">
        <v>171</v>
      </c>
    </row>
    <row r="116" spans="1:24" s="12" customFormat="1" ht="15" customHeight="1" x14ac:dyDescent="0.25">
      <c r="A116" s="3" t="s">
        <v>108</v>
      </c>
      <c r="B116" s="1" t="s">
        <v>94</v>
      </c>
      <c r="C116" s="4" t="s">
        <v>85</v>
      </c>
      <c r="D116" s="4" t="s">
        <v>90</v>
      </c>
      <c r="E116" s="3" t="s">
        <v>124</v>
      </c>
      <c r="F116" s="3" t="s">
        <v>11</v>
      </c>
      <c r="G116" s="7">
        <v>715089</v>
      </c>
      <c r="H116" s="7">
        <f t="shared" ref="H116" si="355">ROUND(G116*Q116,0)</f>
        <v>92962</v>
      </c>
      <c r="I116" s="163">
        <f t="shared" ref="I116" si="356">K116/J116</f>
        <v>0.16091954022988506</v>
      </c>
      <c r="J116" s="6">
        <v>174</v>
      </c>
      <c r="K116" s="6">
        <v>28</v>
      </c>
      <c r="L116" s="147">
        <v>113725</v>
      </c>
      <c r="M116" s="10">
        <f t="shared" ref="M116" si="357">ROUND(L116*Q116,0)</f>
        <v>14784</v>
      </c>
      <c r="N116" s="143">
        <f>SUM(L116:M116)/Monitoring!$B$19</f>
        <v>362.94800463185248</v>
      </c>
      <c r="O116" s="8">
        <f t="shared" ref="O116" si="358">L116/G116</f>
        <v>0.15903614794801765</v>
      </c>
      <c r="P116" s="11">
        <f t="shared" ref="P116" si="359">I116-O116</f>
        <v>1.883392281867402E-3</v>
      </c>
      <c r="Q116" s="11">
        <v>0.13</v>
      </c>
      <c r="R116" s="131">
        <v>44936</v>
      </c>
      <c r="S116" s="105" t="s">
        <v>114</v>
      </c>
      <c r="T116" s="105" t="s">
        <v>154</v>
      </c>
      <c r="U116" s="113"/>
      <c r="V116" s="12" t="s">
        <v>170</v>
      </c>
      <c r="W116" s="12">
        <v>0</v>
      </c>
      <c r="X116" s="12">
        <v>0</v>
      </c>
    </row>
    <row r="117" spans="1:24" s="12" customFormat="1" ht="15" customHeight="1" x14ac:dyDescent="0.25">
      <c r="A117" s="3" t="s">
        <v>108</v>
      </c>
      <c r="B117" s="1" t="s">
        <v>94</v>
      </c>
      <c r="C117" s="4" t="s">
        <v>86</v>
      </c>
      <c r="D117" s="4" t="s">
        <v>90</v>
      </c>
      <c r="E117" s="3" t="s">
        <v>124</v>
      </c>
      <c r="F117" s="3" t="s">
        <v>11</v>
      </c>
      <c r="G117" s="7">
        <v>715090</v>
      </c>
      <c r="H117" s="7">
        <f t="shared" ref="H117" si="360">ROUND(G117*Q117,0)</f>
        <v>92962</v>
      </c>
      <c r="I117" s="163">
        <f t="shared" ref="I117" si="361">K117/J117</f>
        <v>0.16091954022988506</v>
      </c>
      <c r="J117" s="6">
        <v>174</v>
      </c>
      <c r="K117" s="6">
        <v>28</v>
      </c>
      <c r="L117" s="147">
        <v>113725</v>
      </c>
      <c r="M117" s="10">
        <f t="shared" ref="M117" si="362">ROUND(L117*Q117,0)</f>
        <v>14784</v>
      </c>
      <c r="N117" s="143">
        <f>SUM(L117:M117)/Monitoring!$B$19</f>
        <v>362.94800463185248</v>
      </c>
      <c r="O117" s="8">
        <f t="shared" ref="O117" si="363">L117/G117</f>
        <v>0.15903592554783313</v>
      </c>
      <c r="P117" s="11">
        <f t="shared" ref="P117" si="364">I117-O117</f>
        <v>1.8836146820519206E-3</v>
      </c>
      <c r="Q117" s="11">
        <v>0.13</v>
      </c>
      <c r="R117" s="131">
        <v>44936</v>
      </c>
      <c r="S117" s="105" t="s">
        <v>114</v>
      </c>
      <c r="T117" s="105" t="s">
        <v>154</v>
      </c>
      <c r="U117" s="113"/>
      <c r="V117" s="12" t="str">
        <f>IF(VLOOKUP($T117,'Havi béradatok'!$B:$E,2,FALSE)=E117,"EGYEZIK","HIBÁS")</f>
        <v>EGYEZIK</v>
      </c>
      <c r="W117" s="12">
        <f>VLOOKUP($T117,'Havi béradatok'!$B:$E,3,FALSE)-G117</f>
        <v>0</v>
      </c>
      <c r="X117" s="12">
        <f>VLOOKUP($T117,'Havi béradatok'!$B:$E,4,FALSE)-H117</f>
        <v>0</v>
      </c>
    </row>
    <row r="118" spans="1:24" ht="15" customHeight="1" x14ac:dyDescent="0.25">
      <c r="A118" s="3"/>
      <c r="B118" s="1"/>
      <c r="C118" s="4"/>
      <c r="D118" s="4"/>
      <c r="E118" s="3"/>
      <c r="F118" s="3"/>
      <c r="G118" s="7"/>
      <c r="H118" s="7"/>
      <c r="I118" s="164"/>
      <c r="J118" s="6"/>
      <c r="K118" s="6"/>
      <c r="L118" s="147"/>
      <c r="M118" s="10"/>
      <c r="N118" s="115"/>
      <c r="O118" s="8"/>
      <c r="P118" s="11"/>
      <c r="Q118" s="11"/>
      <c r="R118" s="131"/>
      <c r="S118" s="105"/>
      <c r="T118" s="105"/>
    </row>
    <row r="119" spans="1:24" s="12" customFormat="1" ht="15" customHeight="1" x14ac:dyDescent="0.25">
      <c r="A119" s="3"/>
      <c r="B119" s="1"/>
      <c r="C119" s="4"/>
      <c r="D119" s="4"/>
      <c r="E119" s="3"/>
      <c r="F119" s="3"/>
      <c r="G119" s="7"/>
      <c r="H119" s="7"/>
      <c r="I119" s="164"/>
      <c r="J119" s="6"/>
      <c r="K119" s="6"/>
      <c r="L119" s="147"/>
      <c r="M119" s="10"/>
      <c r="N119" s="115"/>
      <c r="O119" s="8"/>
      <c r="P119" s="11"/>
      <c r="Q119" s="11"/>
      <c r="R119" s="131"/>
      <c r="S119" s="105"/>
      <c r="T119" s="105"/>
      <c r="U119" s="113"/>
    </row>
    <row r="120" spans="1:24" s="12" customFormat="1" ht="15" customHeight="1" x14ac:dyDescent="0.25">
      <c r="A120" s="62" t="s">
        <v>18</v>
      </c>
      <c r="B120" s="59"/>
      <c r="C120" s="60"/>
      <c r="D120" s="60"/>
      <c r="E120" s="61"/>
      <c r="F120" s="61"/>
      <c r="G120" s="98"/>
      <c r="H120" s="98"/>
      <c r="I120" s="99"/>
      <c r="J120" s="99"/>
      <c r="K120" s="100"/>
      <c r="L120" s="148"/>
      <c r="M120" s="101"/>
      <c r="N120" s="142"/>
      <c r="O120" s="102"/>
      <c r="P120" s="103"/>
      <c r="Q120" s="103"/>
      <c r="R120" s="132"/>
      <c r="S120" s="106"/>
      <c r="T120" s="106"/>
      <c r="U120" s="113"/>
    </row>
    <row r="121" spans="1:24" s="12" customFormat="1" ht="15" customHeight="1" x14ac:dyDescent="0.25">
      <c r="A121" s="3"/>
      <c r="B121" s="1"/>
      <c r="C121" s="4"/>
      <c r="D121" s="4"/>
      <c r="E121" s="3"/>
      <c r="F121" s="3"/>
      <c r="G121" s="7"/>
      <c r="H121" s="7"/>
      <c r="I121" s="5">
        <v>1</v>
      </c>
      <c r="J121" s="5"/>
      <c r="K121" s="6" t="s">
        <v>19</v>
      </c>
      <c r="L121" s="147"/>
      <c r="M121" s="10">
        <f>ROUND(L121*0.9*0.195,0)</f>
        <v>0</v>
      </c>
      <c r="N121" s="115">
        <f>SUM(L121:M121)/Monitoring!$B$19</f>
        <v>0</v>
      </c>
      <c r="O121" s="8" t="e">
        <f t="shared" ref="O121:O127" si="365">L121/G121</f>
        <v>#DIV/0!</v>
      </c>
      <c r="P121" s="11" t="e">
        <f t="shared" ref="P121:P127" si="366">I121-O121</f>
        <v>#DIV/0!</v>
      </c>
      <c r="Q121" s="11"/>
      <c r="R121" s="131"/>
      <c r="S121" s="105"/>
      <c r="T121" s="105"/>
      <c r="U121" s="113"/>
    </row>
    <row r="122" spans="1:24" s="12" customFormat="1" ht="15" customHeight="1" x14ac:dyDescent="0.25">
      <c r="A122" s="3"/>
      <c r="B122" s="1"/>
      <c r="C122" s="4"/>
      <c r="D122" s="4"/>
      <c r="E122" s="3"/>
      <c r="F122" s="3"/>
      <c r="G122" s="7"/>
      <c r="H122" s="7"/>
      <c r="I122" s="5">
        <v>1</v>
      </c>
      <c r="J122" s="5"/>
      <c r="K122" s="6" t="s">
        <v>19</v>
      </c>
      <c r="L122" s="147"/>
      <c r="M122" s="10">
        <f t="shared" ref="M122:M127" si="367">ROUND(L122*0.9*0.195,0)</f>
        <v>0</v>
      </c>
      <c r="N122" s="115">
        <f>SUM(L122:M122)/Monitoring!$B$19</f>
        <v>0</v>
      </c>
      <c r="O122" s="8" t="e">
        <f t="shared" si="365"/>
        <v>#DIV/0!</v>
      </c>
      <c r="P122" s="11" t="e">
        <f t="shared" si="366"/>
        <v>#DIV/0!</v>
      </c>
      <c r="Q122" s="11"/>
      <c r="R122" s="131"/>
      <c r="S122" s="105"/>
      <c r="T122" s="105"/>
      <c r="U122" s="113"/>
    </row>
    <row r="123" spans="1:24" s="12" customFormat="1" ht="15" customHeight="1" x14ac:dyDescent="0.25">
      <c r="A123" s="3"/>
      <c r="B123" s="1"/>
      <c r="C123" s="4"/>
      <c r="D123" s="4"/>
      <c r="E123" s="3"/>
      <c r="F123" s="3"/>
      <c r="G123" s="7"/>
      <c r="H123" s="7"/>
      <c r="I123" s="5">
        <v>1</v>
      </c>
      <c r="J123" s="5"/>
      <c r="K123" s="6" t="s">
        <v>19</v>
      </c>
      <c r="L123" s="147"/>
      <c r="M123" s="10">
        <f t="shared" si="367"/>
        <v>0</v>
      </c>
      <c r="N123" s="115">
        <f>SUM(L123:M123)/Monitoring!$B$19</f>
        <v>0</v>
      </c>
      <c r="O123" s="8" t="e">
        <f t="shared" si="365"/>
        <v>#DIV/0!</v>
      </c>
      <c r="P123" s="11" t="e">
        <f t="shared" si="366"/>
        <v>#DIV/0!</v>
      </c>
      <c r="Q123" s="11"/>
      <c r="R123" s="131"/>
      <c r="S123" s="105"/>
      <c r="T123" s="105"/>
      <c r="U123" s="113"/>
    </row>
    <row r="124" spans="1:24" s="12" customFormat="1" ht="15" customHeight="1" x14ac:dyDescent="0.25">
      <c r="A124" s="3"/>
      <c r="B124" s="1"/>
      <c r="C124" s="4"/>
      <c r="D124" s="4"/>
      <c r="E124" s="3"/>
      <c r="F124" s="3"/>
      <c r="G124" s="7"/>
      <c r="H124" s="7"/>
      <c r="I124" s="5">
        <v>1</v>
      </c>
      <c r="J124" s="5"/>
      <c r="K124" s="6" t="s">
        <v>19</v>
      </c>
      <c r="L124" s="147"/>
      <c r="M124" s="10">
        <f t="shared" si="367"/>
        <v>0</v>
      </c>
      <c r="N124" s="115">
        <f>SUM(L124:M124)/Monitoring!$B$19</f>
        <v>0</v>
      </c>
      <c r="O124" s="8" t="e">
        <f t="shared" si="365"/>
        <v>#DIV/0!</v>
      </c>
      <c r="P124" s="11" t="e">
        <f t="shared" si="366"/>
        <v>#DIV/0!</v>
      </c>
      <c r="Q124" s="11"/>
      <c r="R124" s="131"/>
      <c r="S124" s="105"/>
      <c r="T124" s="105"/>
      <c r="U124" s="113"/>
    </row>
    <row r="125" spans="1:24" s="12" customFormat="1" ht="15" customHeight="1" x14ac:dyDescent="0.25">
      <c r="A125" s="3"/>
      <c r="B125" s="1"/>
      <c r="C125" s="4"/>
      <c r="D125" s="4"/>
      <c r="E125" s="3"/>
      <c r="F125" s="3"/>
      <c r="G125" s="7"/>
      <c r="H125" s="7"/>
      <c r="I125" s="5">
        <v>1</v>
      </c>
      <c r="J125" s="5"/>
      <c r="K125" s="6" t="s">
        <v>19</v>
      </c>
      <c r="L125" s="147"/>
      <c r="M125" s="10">
        <f t="shared" si="367"/>
        <v>0</v>
      </c>
      <c r="N125" s="115">
        <f>SUM(L125:M125)/Monitoring!$B$19</f>
        <v>0</v>
      </c>
      <c r="O125" s="8" t="e">
        <f t="shared" si="365"/>
        <v>#DIV/0!</v>
      </c>
      <c r="P125" s="11" t="e">
        <f t="shared" si="366"/>
        <v>#DIV/0!</v>
      </c>
      <c r="Q125" s="11"/>
      <c r="R125" s="131"/>
      <c r="S125" s="105"/>
      <c r="T125" s="105"/>
      <c r="U125" s="113"/>
    </row>
    <row r="126" spans="1:24" s="12" customFormat="1" ht="15" customHeight="1" x14ac:dyDescent="0.25">
      <c r="A126" s="3"/>
      <c r="B126" s="1"/>
      <c r="C126" s="4"/>
      <c r="D126" s="4"/>
      <c r="E126" s="3"/>
      <c r="F126" s="3"/>
      <c r="G126" s="7"/>
      <c r="H126" s="7"/>
      <c r="I126" s="5">
        <v>1</v>
      </c>
      <c r="J126" s="5"/>
      <c r="K126" s="6" t="s">
        <v>19</v>
      </c>
      <c r="L126" s="147"/>
      <c r="M126" s="10">
        <f t="shared" si="367"/>
        <v>0</v>
      </c>
      <c r="N126" s="115">
        <f>SUM(L126:M126)/Monitoring!$B$19</f>
        <v>0</v>
      </c>
      <c r="O126" s="8" t="e">
        <f t="shared" si="365"/>
        <v>#DIV/0!</v>
      </c>
      <c r="P126" s="11" t="e">
        <f t="shared" si="366"/>
        <v>#DIV/0!</v>
      </c>
      <c r="Q126" s="11"/>
      <c r="R126" s="131"/>
      <c r="S126" s="105"/>
      <c r="T126" s="105"/>
      <c r="U126" s="113"/>
    </row>
    <row r="127" spans="1:24" s="12" customFormat="1" ht="15" customHeight="1" x14ac:dyDescent="0.25">
      <c r="A127" s="3"/>
      <c r="B127" s="1"/>
      <c r="C127" s="4"/>
      <c r="D127" s="4"/>
      <c r="E127" s="3"/>
      <c r="F127" s="3"/>
      <c r="G127" s="7"/>
      <c r="H127" s="7"/>
      <c r="I127" s="5">
        <v>1</v>
      </c>
      <c r="J127" s="5"/>
      <c r="K127" s="6" t="s">
        <v>19</v>
      </c>
      <c r="L127" s="147"/>
      <c r="M127" s="10">
        <f t="shared" si="367"/>
        <v>0</v>
      </c>
      <c r="N127" s="115">
        <f>SUM(L127:M127)/Monitoring!$B$19</f>
        <v>0</v>
      </c>
      <c r="O127" s="8" t="e">
        <f t="shared" si="365"/>
        <v>#DIV/0!</v>
      </c>
      <c r="P127" s="11" t="e">
        <f t="shared" si="366"/>
        <v>#DIV/0!</v>
      </c>
      <c r="Q127" s="11"/>
      <c r="R127" s="131"/>
      <c r="S127" s="105"/>
      <c r="T127" s="105"/>
      <c r="U127" s="113"/>
    </row>
    <row r="128" spans="1:24" s="12" customFormat="1" ht="15" customHeight="1" x14ac:dyDescent="0.25">
      <c r="A128" s="3"/>
      <c r="B128" s="1"/>
      <c r="C128" s="4"/>
      <c r="D128" s="4"/>
      <c r="E128" s="3"/>
      <c r="F128" s="3"/>
      <c r="G128" s="7"/>
      <c r="H128" s="7"/>
      <c r="I128" s="5"/>
      <c r="J128" s="5"/>
      <c r="K128" s="6"/>
      <c r="L128" s="147"/>
      <c r="M128" s="10"/>
      <c r="N128" s="115"/>
      <c r="O128" s="8"/>
      <c r="P128" s="11"/>
      <c r="Q128" s="11"/>
      <c r="R128" s="131"/>
      <c r="S128" s="105"/>
      <c r="T128" s="105"/>
      <c r="U128" s="113"/>
    </row>
    <row r="129" spans="1:21" s="12" customFormat="1" ht="15" customHeight="1" x14ac:dyDescent="0.25">
      <c r="A129" s="3"/>
      <c r="B129" s="1"/>
      <c r="C129" s="4"/>
      <c r="D129" s="4"/>
      <c r="E129" s="3"/>
      <c r="F129" s="3"/>
      <c r="G129" s="7"/>
      <c r="H129" s="7"/>
      <c r="I129" s="5"/>
      <c r="J129" s="5"/>
      <c r="K129" s="6"/>
      <c r="L129" s="147"/>
      <c r="M129" s="10"/>
      <c r="N129" s="115"/>
      <c r="O129" s="8"/>
      <c r="P129" s="11"/>
      <c r="Q129" s="11"/>
      <c r="R129" s="131"/>
      <c r="S129" s="105"/>
      <c r="T129" s="105"/>
      <c r="U129" s="113"/>
    </row>
    <row r="130" spans="1:21" ht="15" customHeight="1" x14ac:dyDescent="0.25">
      <c r="A130" s="13"/>
      <c r="B130" s="20"/>
      <c r="C130" s="14"/>
      <c r="D130" s="14"/>
      <c r="E130" s="13"/>
      <c r="F130" s="13"/>
      <c r="G130" s="21"/>
      <c r="H130" s="21"/>
      <c r="I130" s="19"/>
      <c r="J130" s="19"/>
      <c r="K130" s="15"/>
      <c r="L130" s="149"/>
      <c r="M130" s="16"/>
      <c r="N130" s="16"/>
      <c r="O130" s="17"/>
      <c r="P130" s="18"/>
      <c r="Q130" s="18"/>
      <c r="R130" s="133"/>
      <c r="S130" s="107"/>
      <c r="T130" s="105"/>
    </row>
    <row r="131" spans="1:21" x14ac:dyDescent="0.25">
      <c r="A131" s="9" t="s">
        <v>4</v>
      </c>
      <c r="B131" s="4"/>
      <c r="C131" s="4"/>
      <c r="D131" s="4"/>
      <c r="E131" s="3"/>
      <c r="F131" s="3"/>
      <c r="G131" s="8"/>
      <c r="H131" s="8"/>
      <c r="I131" s="8"/>
      <c r="J131" s="8"/>
      <c r="K131" s="6"/>
      <c r="L131" s="10">
        <f>SUBTOTAL(109,L7:L130)</f>
        <v>7582263</v>
      </c>
      <c r="M131" s="10">
        <f>SUBTOTAL(109,M7:M130)</f>
        <v>1013243</v>
      </c>
      <c r="N131" s="115">
        <f>SUBTOTAL(109,N10:N130)</f>
        <v>23883.305561047247</v>
      </c>
      <c r="O131" s="8"/>
      <c r="P131" s="11"/>
      <c r="Q131" s="11"/>
      <c r="R131" s="11"/>
      <c r="S131" s="105"/>
      <c r="T131" s="105"/>
    </row>
    <row r="133" spans="1:21" s="24" customFormat="1" hidden="1" outlineLevel="1" x14ac:dyDescent="0.25">
      <c r="B133" s="24" t="s">
        <v>45</v>
      </c>
      <c r="F133" s="24" t="s">
        <v>11</v>
      </c>
      <c r="K133" s="29"/>
      <c r="L133" s="30"/>
      <c r="M133" s="30"/>
      <c r="N133" s="30"/>
      <c r="S133" s="108"/>
      <c r="T133" s="108"/>
      <c r="U133" s="25"/>
    </row>
    <row r="134" spans="1:21" s="24" customFormat="1" hidden="1" outlineLevel="1" x14ac:dyDescent="0.25">
      <c r="B134" s="24" t="s">
        <v>92</v>
      </c>
      <c r="F134" s="24" t="s">
        <v>15</v>
      </c>
      <c r="K134" s="29"/>
      <c r="L134" s="31"/>
      <c r="M134" s="31"/>
      <c r="N134" s="31"/>
      <c r="S134" s="108"/>
      <c r="T134" s="108"/>
      <c r="U134" s="25"/>
    </row>
    <row r="135" spans="1:21" s="24" customFormat="1" hidden="1" outlineLevel="1" x14ac:dyDescent="0.25">
      <c r="B135" s="24" t="s">
        <v>93</v>
      </c>
      <c r="K135" s="29"/>
      <c r="L135" s="32"/>
      <c r="M135" s="33"/>
      <c r="N135" s="33"/>
      <c r="S135" s="108"/>
      <c r="T135" s="108"/>
      <c r="U135" s="25"/>
    </row>
    <row r="136" spans="1:21" s="24" customFormat="1" hidden="1" outlineLevel="1" x14ac:dyDescent="0.25">
      <c r="B136" s="24" t="s">
        <v>94</v>
      </c>
      <c r="K136" s="29"/>
      <c r="L136" s="32"/>
      <c r="M136" s="33"/>
      <c r="N136" s="33"/>
      <c r="S136" s="108"/>
      <c r="T136" s="108"/>
      <c r="U136" s="25"/>
    </row>
    <row r="137" spans="1:21" s="24" customFormat="1" hidden="1" outlineLevel="1" x14ac:dyDescent="0.25">
      <c r="K137" s="29"/>
      <c r="L137" s="32"/>
      <c r="M137" s="33"/>
      <c r="N137" s="33"/>
      <c r="S137" s="108"/>
      <c r="T137" s="108"/>
      <c r="U137" s="25"/>
    </row>
    <row r="138" spans="1:21" s="24" customFormat="1" hidden="1" outlineLevel="1" x14ac:dyDescent="0.25">
      <c r="K138" s="29"/>
      <c r="L138" s="32"/>
      <c r="M138" s="34"/>
      <c r="N138" s="34"/>
      <c r="S138" s="108"/>
      <c r="T138" s="108"/>
      <c r="U138" s="25"/>
    </row>
    <row r="139" spans="1:21" s="24" customFormat="1" hidden="1" outlineLevel="1" x14ac:dyDescent="0.25">
      <c r="K139" s="29"/>
      <c r="L139" s="32"/>
      <c r="M139" s="33"/>
      <c r="N139" s="33"/>
      <c r="S139" s="108"/>
      <c r="T139" s="108"/>
      <c r="U139" s="25"/>
    </row>
    <row r="140" spans="1:21" s="24" customFormat="1" hidden="1" outlineLevel="1" x14ac:dyDescent="0.25">
      <c r="K140" s="29"/>
      <c r="L140" s="32"/>
      <c r="M140" s="33"/>
      <c r="N140" s="33"/>
      <c r="S140" s="108"/>
      <c r="T140" s="108"/>
      <c r="U140" s="25"/>
    </row>
    <row r="141" spans="1:21" s="24" customFormat="1" hidden="1" outlineLevel="1" x14ac:dyDescent="0.25">
      <c r="K141" s="29"/>
      <c r="L141" s="32"/>
      <c r="M141" s="33"/>
      <c r="N141" s="33"/>
      <c r="S141" s="108"/>
      <c r="T141" s="108"/>
      <c r="U141" s="25"/>
    </row>
    <row r="142" spans="1:21" s="24" customFormat="1" hidden="1" outlineLevel="1" x14ac:dyDescent="0.25">
      <c r="K142" s="29"/>
      <c r="L142" s="32"/>
      <c r="M142" s="33"/>
      <c r="N142" s="33"/>
      <c r="S142" s="108"/>
      <c r="T142" s="108"/>
      <c r="U142" s="25"/>
    </row>
    <row r="143" spans="1:21" s="24" customFormat="1" hidden="1" outlineLevel="1" x14ac:dyDescent="0.25">
      <c r="K143" s="29"/>
      <c r="L143" s="32"/>
      <c r="M143" s="33"/>
      <c r="N143" s="33"/>
      <c r="S143" s="108"/>
      <c r="T143" s="108"/>
      <c r="U143" s="25"/>
    </row>
    <row r="144" spans="1:21" s="24" customFormat="1" hidden="1" outlineLevel="1" x14ac:dyDescent="0.25">
      <c r="K144" s="29"/>
      <c r="L144" s="32"/>
      <c r="M144" s="33"/>
      <c r="N144" s="33"/>
      <c r="S144" s="108"/>
      <c r="T144" s="108"/>
      <c r="U144" s="25"/>
    </row>
    <row r="145" spans="3:21" s="24" customFormat="1" hidden="1" outlineLevel="1" x14ac:dyDescent="0.25">
      <c r="K145" s="29"/>
      <c r="L145" s="32"/>
      <c r="M145" s="33"/>
      <c r="N145" s="33"/>
      <c r="S145" s="108"/>
      <c r="T145" s="108"/>
      <c r="U145" s="25"/>
    </row>
    <row r="146" spans="3:21" s="24" customFormat="1" hidden="1" outlineLevel="1" x14ac:dyDescent="0.25">
      <c r="K146" s="29"/>
      <c r="L146" s="32"/>
      <c r="M146" s="33"/>
      <c r="N146" s="33"/>
      <c r="S146" s="108"/>
      <c r="T146" s="108"/>
      <c r="U146" s="25"/>
    </row>
    <row r="147" spans="3:21" s="24" customFormat="1" hidden="1" outlineLevel="1" x14ac:dyDescent="0.25">
      <c r="K147" s="29"/>
      <c r="L147" s="32"/>
      <c r="M147" s="33"/>
      <c r="N147" s="33"/>
      <c r="S147" s="108"/>
      <c r="T147" s="108"/>
      <c r="U147" s="25"/>
    </row>
    <row r="148" spans="3:21" s="24" customFormat="1" ht="15" hidden="1" customHeight="1" outlineLevel="1" x14ac:dyDescent="0.25">
      <c r="C148" s="141"/>
      <c r="D148" s="141"/>
      <c r="K148" s="29"/>
      <c r="L148" s="32"/>
      <c r="M148" s="33"/>
      <c r="N148" s="33"/>
      <c r="S148" s="108"/>
      <c r="T148" s="108"/>
      <c r="U148" s="25"/>
    </row>
    <row r="149" spans="3:21" s="24" customFormat="1" hidden="1" outlineLevel="1" x14ac:dyDescent="0.25">
      <c r="K149" s="29"/>
      <c r="L149" s="32"/>
      <c r="M149" s="33"/>
      <c r="N149" s="33"/>
      <c r="S149" s="108"/>
      <c r="T149" s="108"/>
      <c r="U149" s="25"/>
    </row>
    <row r="150" spans="3:21" s="24" customFormat="1" hidden="1" outlineLevel="1" x14ac:dyDescent="0.25">
      <c r="C150" s="141"/>
      <c r="D150" s="141"/>
      <c r="K150" s="29"/>
      <c r="L150" s="32"/>
      <c r="M150" s="33"/>
      <c r="N150" s="33"/>
      <c r="S150" s="108"/>
      <c r="T150" s="108"/>
      <c r="U150" s="25"/>
    </row>
    <row r="151" spans="3:21" s="24" customFormat="1" hidden="1" outlineLevel="1" x14ac:dyDescent="0.25">
      <c r="K151" s="29"/>
      <c r="L151" s="32"/>
      <c r="M151" s="33"/>
      <c r="N151" s="33"/>
      <c r="S151" s="108"/>
      <c r="T151" s="108"/>
      <c r="U151" s="25"/>
    </row>
    <row r="152" spans="3:21" s="24" customFormat="1" hidden="1" outlineLevel="1" x14ac:dyDescent="0.25">
      <c r="C152" s="141"/>
      <c r="D152" s="141"/>
      <c r="K152" s="29"/>
      <c r="L152" s="32"/>
      <c r="M152" s="33"/>
      <c r="N152" s="33"/>
      <c r="S152" s="108"/>
      <c r="T152" s="108"/>
      <c r="U152" s="25"/>
    </row>
    <row r="153" spans="3:21" s="24" customFormat="1" hidden="1" outlineLevel="1" x14ac:dyDescent="0.25">
      <c r="C153" s="144"/>
      <c r="D153" s="144"/>
      <c r="K153" s="29"/>
      <c r="L153" s="32"/>
      <c r="M153" s="33"/>
      <c r="N153" s="33"/>
      <c r="S153" s="108"/>
      <c r="T153" s="108"/>
      <c r="U153" s="25"/>
    </row>
    <row r="154" spans="3:21" s="24" customFormat="1" hidden="1" outlineLevel="1" x14ac:dyDescent="0.25">
      <c r="C154" s="141"/>
      <c r="D154" s="141"/>
      <c r="K154" s="29"/>
      <c r="L154" s="32"/>
      <c r="M154" s="33"/>
      <c r="N154" s="33"/>
      <c r="S154" s="108"/>
      <c r="T154" s="108"/>
      <c r="U154" s="25"/>
    </row>
    <row r="155" spans="3:21" s="24" customFormat="1" hidden="1" outlineLevel="1" x14ac:dyDescent="0.25">
      <c r="C155" s="144"/>
      <c r="D155" s="144"/>
      <c r="K155" s="29"/>
      <c r="L155" s="32"/>
      <c r="M155" s="33"/>
      <c r="N155" s="33"/>
      <c r="S155" s="108"/>
      <c r="T155" s="108"/>
      <c r="U155" s="25"/>
    </row>
    <row r="156" spans="3:21" s="24" customFormat="1" hidden="1" outlineLevel="1" x14ac:dyDescent="0.25">
      <c r="C156" s="141"/>
      <c r="D156" s="141"/>
      <c r="K156" s="29"/>
      <c r="L156" s="32"/>
      <c r="M156" s="33"/>
      <c r="N156" s="33"/>
      <c r="S156" s="108"/>
      <c r="T156" s="108"/>
      <c r="U156" s="25"/>
    </row>
    <row r="157" spans="3:21" ht="15" hidden="1" customHeight="1" outlineLevel="1" x14ac:dyDescent="0.25">
      <c r="L157" s="168"/>
      <c r="M157" s="168"/>
      <c r="N157" s="114"/>
      <c r="U157" s="22"/>
    </row>
    <row r="158" spans="3:21" hidden="1" outlineLevel="1" x14ac:dyDescent="0.25">
      <c r="L158" s="23"/>
      <c r="M158" s="23"/>
      <c r="N158" s="23"/>
      <c r="U158" s="22"/>
    </row>
    <row r="159" spans="3:21" hidden="1" outlineLevel="1" x14ac:dyDescent="0.25">
      <c r="L159" s="12"/>
      <c r="M159" s="57"/>
      <c r="N159" s="57"/>
      <c r="U159" s="22"/>
    </row>
    <row r="160" spans="3:21" hidden="1" outlineLevel="1" x14ac:dyDescent="0.25">
      <c r="L160" s="12"/>
      <c r="M160" s="57"/>
      <c r="N160" s="57"/>
      <c r="U160" s="22"/>
    </row>
    <row r="161" spans="6:21" hidden="1" outlineLevel="1" x14ac:dyDescent="0.25">
      <c r="L161" s="12"/>
      <c r="M161" s="57"/>
      <c r="N161" s="57"/>
      <c r="U161" s="22"/>
    </row>
    <row r="162" spans="6:21" hidden="1" outlineLevel="1" x14ac:dyDescent="0.25">
      <c r="L162" s="12"/>
      <c r="M162" s="57"/>
      <c r="N162" s="57"/>
      <c r="U162" s="22"/>
    </row>
    <row r="163" spans="6:21" hidden="1" outlineLevel="1" x14ac:dyDescent="0.25">
      <c r="K163"/>
      <c r="L163" s="12"/>
      <c r="M163" s="57"/>
      <c r="N163" s="57"/>
      <c r="S163" s="109"/>
      <c r="T163" s="109"/>
      <c r="U163" s="22"/>
    </row>
    <row r="164" spans="6:21" hidden="1" outlineLevel="1" x14ac:dyDescent="0.25">
      <c r="K164"/>
      <c r="L164" s="12"/>
      <c r="M164" s="58"/>
      <c r="N164" s="58"/>
      <c r="S164" s="109"/>
      <c r="T164" s="109"/>
      <c r="U164" s="22"/>
    </row>
    <row r="165" spans="6:21" hidden="1" outlineLevel="1" x14ac:dyDescent="0.25">
      <c r="K165"/>
      <c r="S165" s="109"/>
      <c r="T165" s="109"/>
      <c r="U165" s="22"/>
    </row>
    <row r="166" spans="6:21" ht="15" hidden="1" customHeight="1" outlineLevel="1" x14ac:dyDescent="0.25">
      <c r="K166"/>
      <c r="S166" s="109"/>
      <c r="T166" s="109"/>
      <c r="U166" s="22"/>
    </row>
    <row r="167" spans="6:21" hidden="1" outlineLevel="1" x14ac:dyDescent="0.25">
      <c r="K167"/>
      <c r="S167" s="109"/>
      <c r="T167" s="109"/>
      <c r="U167" s="22"/>
    </row>
    <row r="168" spans="6:21" hidden="1" outlineLevel="1" x14ac:dyDescent="0.25">
      <c r="K168"/>
      <c r="S168" s="109"/>
      <c r="T168" s="109"/>
      <c r="U168" s="22"/>
    </row>
    <row r="169" spans="6:21" hidden="1" outlineLevel="1" x14ac:dyDescent="0.25">
      <c r="K169"/>
      <c r="S169" s="109"/>
      <c r="T169" s="109"/>
      <c r="U169" s="22"/>
    </row>
    <row r="170" spans="6:21" ht="15" hidden="1" customHeight="1" outlineLevel="1" x14ac:dyDescent="0.25">
      <c r="K170"/>
      <c r="S170" s="109"/>
      <c r="T170" s="109"/>
      <c r="U170" s="22"/>
    </row>
    <row r="171" spans="6:21" hidden="1" outlineLevel="1" x14ac:dyDescent="0.25">
      <c r="K171"/>
      <c r="S171" s="109"/>
      <c r="T171" s="109"/>
      <c r="U171" s="22"/>
    </row>
    <row r="172" spans="6:21" hidden="1" outlineLevel="1" x14ac:dyDescent="0.25">
      <c r="K172"/>
      <c r="S172" s="109"/>
      <c r="T172" s="109"/>
      <c r="U172" s="22"/>
    </row>
    <row r="173" spans="6:21" collapsed="1" x14ac:dyDescent="0.25">
      <c r="I173" s="2"/>
      <c r="J173" s="2"/>
      <c r="U173" s="22"/>
    </row>
    <row r="174" spans="6:21" x14ac:dyDescent="0.25">
      <c r="U174" s="22"/>
    </row>
    <row r="175" spans="6:21" x14ac:dyDescent="0.25">
      <c r="F175" s="2"/>
      <c r="U175" s="22"/>
    </row>
  </sheetData>
  <autoFilter ref="A5:X117" xr:uid="{00000000-0001-0000-0000-000000000000}"/>
  <mergeCells count="2">
    <mergeCell ref="L157:M157"/>
    <mergeCell ref="A2:E2"/>
  </mergeCells>
  <dataValidations count="5">
    <dataValidation type="list" allowBlank="1" showInputMessage="1" showErrorMessage="1" sqref="A65389 A65371:A65378 A65380:A65387" xr:uid="{00000000-0002-0000-0000-000000000000}">
      <formula1>#REF!</formula1>
    </dataValidation>
    <dataValidation type="list" allowBlank="1" showInputMessage="1" showErrorMessage="1" sqref="D120:D130" xr:uid="{00000000-0002-0000-0000-000001000000}">
      <formula1>$C$133:$C$156</formula1>
    </dataValidation>
    <dataValidation type="list" allowBlank="1" showInputMessage="1" showErrorMessage="1" sqref="F6:F130" xr:uid="{00000000-0002-0000-0000-000002000000}">
      <formula1>$F$133:$F$134</formula1>
    </dataValidation>
    <dataValidation type="list" allowBlank="1" showInputMessage="1" showErrorMessage="1" sqref="B6:B130" xr:uid="{00000000-0002-0000-0000-000003000000}">
      <formula1>$B$133:$B$136</formula1>
    </dataValidation>
    <dataValidation type="list" allowBlank="1" showInputMessage="1" showErrorMessage="1" sqref="D6:D119" xr:uid="{2A411849-7B9F-43FB-B122-82BBA4E85669}">
      <formula1>"A017600063"</formula1>
    </dataValidation>
  </dataValidations>
  <pageMargins left="0.70866141732283472" right="0.70866141732283472" top="0.35433070866141736" bottom="0.74803149606299213" header="0.31496062992125984" footer="0.31496062992125984"/>
  <pageSetup paperSize="9" scale="53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0E0A93-29DA-406F-875F-11371FE17153}">
          <x14:formula1>
            <xm:f>Hónapok!$A$1:$A$24</xm:f>
          </x14:formula1>
          <xm:sqref>C6:C130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8"/>
  <sheetViews>
    <sheetView topLeftCell="A34" workbookViewId="0">
      <selection activeCell="G45" sqref="G45"/>
    </sheetView>
  </sheetViews>
  <sheetFormatPr defaultRowHeight="15" outlineLevelRow="1" x14ac:dyDescent="0.25"/>
  <cols>
    <col min="1" max="1" width="10" customWidth="1"/>
    <col min="2" max="2" width="35.140625" customWidth="1"/>
    <col min="3" max="3" width="16.85546875" customWidth="1"/>
    <col min="4" max="4" width="33.140625" customWidth="1"/>
    <col min="5" max="5" width="59.140625" customWidth="1"/>
    <col min="6" max="7" width="16.7109375" style="22" customWidth="1"/>
    <col min="8" max="8" width="13.85546875" style="36" customWidth="1"/>
    <col min="9" max="9" width="40.140625" customWidth="1"/>
  </cols>
  <sheetData>
    <row r="1" spans="1:9" s="24" customFormat="1" hidden="1" outlineLevel="1" x14ac:dyDescent="0.25">
      <c r="B1" s="24" t="s">
        <v>45</v>
      </c>
      <c r="F1" s="25"/>
      <c r="G1" s="22"/>
      <c r="H1" s="35" t="s">
        <v>11</v>
      </c>
    </row>
    <row r="2" spans="1:9" s="24" customFormat="1" hidden="1" outlineLevel="1" x14ac:dyDescent="0.25">
      <c r="B2" s="24" t="s">
        <v>92</v>
      </c>
      <c r="F2" s="25"/>
      <c r="G2" s="22"/>
      <c r="H2" s="35" t="s">
        <v>15</v>
      </c>
    </row>
    <row r="3" spans="1:9" s="24" customFormat="1" hidden="1" outlineLevel="1" x14ac:dyDescent="0.25">
      <c r="B3" s="24" t="s">
        <v>93</v>
      </c>
      <c r="F3" s="25"/>
      <c r="G3" s="22"/>
      <c r="H3" s="35"/>
    </row>
    <row r="4" spans="1:9" s="24" customFormat="1" hidden="1" outlineLevel="1" x14ac:dyDescent="0.25">
      <c r="B4" s="24" t="s">
        <v>94</v>
      </c>
      <c r="F4" s="25"/>
      <c r="G4" s="22"/>
      <c r="H4" s="35"/>
    </row>
    <row r="5" spans="1:9" s="24" customFormat="1" hidden="1" outlineLevel="1" x14ac:dyDescent="0.25">
      <c r="B5" s="24" t="s">
        <v>79</v>
      </c>
      <c r="F5" s="25"/>
      <c r="G5" s="22"/>
      <c r="H5" s="35"/>
    </row>
    <row r="6" spans="1:9" s="24" customFormat="1" hidden="1" outlineLevel="1" x14ac:dyDescent="0.25">
      <c r="B6" s="24" t="s">
        <v>80</v>
      </c>
      <c r="F6" s="25"/>
      <c r="G6" s="22"/>
      <c r="H6" s="35"/>
    </row>
    <row r="7" spans="1:9" s="24" customFormat="1" hidden="1" outlineLevel="1" x14ac:dyDescent="0.25">
      <c r="B7" s="24" t="s">
        <v>95</v>
      </c>
      <c r="F7" s="25"/>
      <c r="G7" s="22"/>
      <c r="H7" s="35"/>
    </row>
    <row r="8" spans="1:9" s="24" customFormat="1" hidden="1" outlineLevel="1" x14ac:dyDescent="0.25">
      <c r="B8" s="24" t="s">
        <v>96</v>
      </c>
      <c r="F8" s="25"/>
      <c r="G8" s="22"/>
      <c r="H8" s="35"/>
    </row>
    <row r="9" spans="1:9" s="24" customFormat="1" hidden="1" outlineLevel="1" x14ac:dyDescent="0.25">
      <c r="B9" s="24" t="s">
        <v>97</v>
      </c>
      <c r="F9" s="25"/>
      <c r="G9" s="22"/>
      <c r="H9" s="35"/>
    </row>
    <row r="10" spans="1:9" s="24" customFormat="1" hidden="1" outlineLevel="1" x14ac:dyDescent="0.25">
      <c r="F10" s="25"/>
      <c r="G10" s="22"/>
      <c r="H10" s="35"/>
    </row>
    <row r="11" spans="1:9" s="24" customFormat="1" hidden="1" outlineLevel="1" x14ac:dyDescent="0.25">
      <c r="F11" s="25"/>
      <c r="G11" s="22"/>
      <c r="H11" s="35"/>
    </row>
    <row r="12" spans="1:9" s="24" customFormat="1" hidden="1" outlineLevel="1" x14ac:dyDescent="0.25">
      <c r="F12" s="25"/>
      <c r="G12" s="22"/>
      <c r="H12" s="35"/>
    </row>
    <row r="13" spans="1:9" collapsed="1" x14ac:dyDescent="0.25">
      <c r="B13" s="23" t="s">
        <v>90</v>
      </c>
    </row>
    <row r="14" spans="1:9" s="23" customFormat="1" ht="30" x14ac:dyDescent="0.25">
      <c r="A14" s="53" t="s">
        <v>16</v>
      </c>
      <c r="B14" s="54" t="s">
        <v>7</v>
      </c>
      <c r="C14" s="63" t="s">
        <v>20</v>
      </c>
      <c r="D14" s="54" t="s">
        <v>8</v>
      </c>
      <c r="E14" s="54" t="s">
        <v>9</v>
      </c>
      <c r="F14" s="55" t="s">
        <v>6</v>
      </c>
      <c r="G14" s="55" t="s">
        <v>46</v>
      </c>
      <c r="H14" s="55" t="s">
        <v>14</v>
      </c>
      <c r="I14" s="56" t="s">
        <v>12</v>
      </c>
    </row>
    <row r="15" spans="1:9" s="43" customFormat="1" x14ac:dyDescent="0.25">
      <c r="A15" s="38"/>
      <c r="B15" s="40" t="s">
        <v>96</v>
      </c>
      <c r="C15" s="39" t="s">
        <v>99</v>
      </c>
      <c r="D15" s="40" t="s">
        <v>100</v>
      </c>
      <c r="E15" s="40" t="s">
        <v>101</v>
      </c>
      <c r="F15" s="44">
        <v>1221806</v>
      </c>
      <c r="G15" s="116">
        <v>3506.1</v>
      </c>
      <c r="H15" s="41" t="s">
        <v>11</v>
      </c>
      <c r="I15" s="42"/>
    </row>
    <row r="16" spans="1:9" ht="45" x14ac:dyDescent="0.25">
      <c r="B16" s="40" t="s">
        <v>97</v>
      </c>
      <c r="C16" s="39" t="s">
        <v>99</v>
      </c>
      <c r="D16" s="40" t="s">
        <v>100</v>
      </c>
      <c r="E16" s="40" t="s">
        <v>102</v>
      </c>
      <c r="F16" s="44">
        <v>407268</v>
      </c>
      <c r="G16" s="116">
        <v>1168.7</v>
      </c>
      <c r="H16" s="41" t="s">
        <v>11</v>
      </c>
      <c r="I16" s="146"/>
    </row>
    <row r="17" spans="2:9" x14ac:dyDescent="0.25">
      <c r="B17" s="40" t="s">
        <v>96</v>
      </c>
      <c r="C17" t="s">
        <v>103</v>
      </c>
      <c r="D17" t="s">
        <v>104</v>
      </c>
      <c r="E17" t="s">
        <v>105</v>
      </c>
      <c r="F17" s="22">
        <v>439851</v>
      </c>
      <c r="G17" s="116">
        <v>1242</v>
      </c>
      <c r="H17" s="41" t="s">
        <v>11</v>
      </c>
      <c r="I17" s="146"/>
    </row>
    <row r="18" spans="2:9" x14ac:dyDescent="0.25">
      <c r="B18" s="40" t="s">
        <v>79</v>
      </c>
      <c r="C18" t="s">
        <v>125</v>
      </c>
      <c r="D18" t="s">
        <v>108</v>
      </c>
      <c r="E18" t="s">
        <v>111</v>
      </c>
      <c r="F18" s="22">
        <v>70948</v>
      </c>
      <c r="G18" s="116">
        <f>F18/Monitoring!$B$19</f>
        <v>200.37845623746716</v>
      </c>
      <c r="H18" s="41" t="s">
        <v>11</v>
      </c>
      <c r="I18" s="146" t="s">
        <v>120</v>
      </c>
    </row>
    <row r="19" spans="2:9" x14ac:dyDescent="0.25">
      <c r="B19" s="40" t="s">
        <v>79</v>
      </c>
      <c r="C19" t="s">
        <v>125</v>
      </c>
      <c r="D19" t="s">
        <v>108</v>
      </c>
      <c r="E19" t="s">
        <v>112</v>
      </c>
      <c r="F19" s="22">
        <v>6457</v>
      </c>
      <c r="G19" s="116">
        <f>F19/Monitoring!$B$19</f>
        <v>18.236506905414185</v>
      </c>
      <c r="H19" s="41" t="s">
        <v>11</v>
      </c>
      <c r="I19" s="146" t="s">
        <v>120</v>
      </c>
    </row>
    <row r="20" spans="2:9" x14ac:dyDescent="0.25">
      <c r="B20" s="40" t="s">
        <v>79</v>
      </c>
      <c r="C20">
        <v>5100002723</v>
      </c>
      <c r="D20" t="s">
        <v>123</v>
      </c>
      <c r="E20" t="s">
        <v>122</v>
      </c>
      <c r="F20" s="22">
        <v>107079</v>
      </c>
      <c r="G20" s="116">
        <f>F20/Monitoring!$B$19</f>
        <v>302.42324963990171</v>
      </c>
      <c r="H20" s="41" t="s">
        <v>11</v>
      </c>
      <c r="I20" s="146" t="s">
        <v>120</v>
      </c>
    </row>
    <row r="21" spans="2:9" x14ac:dyDescent="0.25">
      <c r="B21" s="40" t="s">
        <v>79</v>
      </c>
      <c r="C21">
        <v>5100002731</v>
      </c>
      <c r="D21" t="s">
        <v>117</v>
      </c>
      <c r="E21" t="s">
        <v>118</v>
      </c>
      <c r="F21" s="22">
        <v>2205</v>
      </c>
      <c r="G21" s="116">
        <f>F21/Monitoring!$B$19</f>
        <v>6.2275821165306295</v>
      </c>
      <c r="H21" s="41" t="s">
        <v>11</v>
      </c>
      <c r="I21" s="146" t="s">
        <v>120</v>
      </c>
    </row>
    <row r="22" spans="2:9" x14ac:dyDescent="0.25">
      <c r="B22" s="40" t="s">
        <v>79</v>
      </c>
      <c r="C22">
        <v>5100002733</v>
      </c>
      <c r="D22" t="s">
        <v>117</v>
      </c>
      <c r="E22" t="s">
        <v>119</v>
      </c>
      <c r="F22" s="22">
        <v>124032</v>
      </c>
      <c r="G22" s="116">
        <f>F22/Monitoring!$B$19</f>
        <v>350.30361228005762</v>
      </c>
      <c r="H22" s="41" t="s">
        <v>11</v>
      </c>
      <c r="I22" s="146" t="s">
        <v>120</v>
      </c>
    </row>
    <row r="23" spans="2:9" x14ac:dyDescent="0.25">
      <c r="B23" s="40" t="s">
        <v>79</v>
      </c>
      <c r="C23" t="s">
        <v>126</v>
      </c>
      <c r="D23" t="s">
        <v>144</v>
      </c>
      <c r="E23" t="s">
        <v>111</v>
      </c>
      <c r="F23" s="22">
        <v>70948</v>
      </c>
      <c r="G23" s="116">
        <f>F23/Monitoring!$B$19</f>
        <v>200.37845623746716</v>
      </c>
      <c r="H23" s="41" t="s">
        <v>11</v>
      </c>
      <c r="I23" s="146" t="s">
        <v>120</v>
      </c>
    </row>
    <row r="24" spans="2:9" x14ac:dyDescent="0.25">
      <c r="B24" s="40" t="s">
        <v>79</v>
      </c>
      <c r="C24" t="s">
        <v>126</v>
      </c>
      <c r="D24" t="s">
        <v>144</v>
      </c>
      <c r="E24" t="s">
        <v>112</v>
      </c>
      <c r="F24" s="22">
        <v>6457</v>
      </c>
      <c r="G24" s="116">
        <f>F24/Monitoring!$B$19</f>
        <v>18.236506905414185</v>
      </c>
      <c r="H24" s="41" t="s">
        <v>11</v>
      </c>
      <c r="I24" s="146" t="s">
        <v>120</v>
      </c>
    </row>
    <row r="25" spans="2:9" x14ac:dyDescent="0.25">
      <c r="B25" s="40" t="s">
        <v>79</v>
      </c>
      <c r="C25" t="s">
        <v>125</v>
      </c>
      <c r="D25" t="s">
        <v>108</v>
      </c>
      <c r="E25" t="s">
        <v>142</v>
      </c>
      <c r="F25" s="22">
        <v>21577</v>
      </c>
      <c r="G25" s="116">
        <f>F25/Monitoring!$B$19</f>
        <v>60.939927133052784</v>
      </c>
      <c r="H25" s="41" t="s">
        <v>11</v>
      </c>
      <c r="I25" s="146" t="s">
        <v>120</v>
      </c>
    </row>
    <row r="26" spans="2:9" x14ac:dyDescent="0.25">
      <c r="B26" s="40" t="s">
        <v>79</v>
      </c>
      <c r="C26" t="s">
        <v>125</v>
      </c>
      <c r="D26" t="s">
        <v>144</v>
      </c>
      <c r="E26" t="s">
        <v>142</v>
      </c>
      <c r="F26" s="22">
        <v>6150</v>
      </c>
      <c r="G26" s="116">
        <f>F26/Monitoring!$B$19</f>
        <v>17.369446719575226</v>
      </c>
      <c r="H26" s="41" t="s">
        <v>11</v>
      </c>
      <c r="I26" s="146" t="s">
        <v>120</v>
      </c>
    </row>
    <row r="27" spans="2:9" x14ac:dyDescent="0.25">
      <c r="B27" s="40" t="s">
        <v>79</v>
      </c>
      <c r="C27">
        <v>5100002730</v>
      </c>
      <c r="D27" t="s">
        <v>117</v>
      </c>
      <c r="E27" t="s">
        <v>121</v>
      </c>
      <c r="F27" s="22">
        <v>2627</v>
      </c>
      <c r="G27" s="116">
        <f>F27/Monitoring!$B$19</f>
        <v>7.4194368345242472</v>
      </c>
      <c r="H27" s="41" t="s">
        <v>11</v>
      </c>
      <c r="I27" s="146" t="s">
        <v>120</v>
      </c>
    </row>
    <row r="28" spans="2:9" x14ac:dyDescent="0.25">
      <c r="B28" s="40" t="s">
        <v>79</v>
      </c>
      <c r="C28" t="s">
        <v>127</v>
      </c>
      <c r="D28" t="s">
        <v>128</v>
      </c>
      <c r="E28" t="s">
        <v>111</v>
      </c>
      <c r="F28" s="22">
        <v>99626</v>
      </c>
      <c r="G28" s="116">
        <f>F28/Monitoring!$B$19</f>
        <v>281.37373965600023</v>
      </c>
      <c r="H28" s="41" t="s">
        <v>11</v>
      </c>
      <c r="I28" s="146" t="s">
        <v>129</v>
      </c>
    </row>
    <row r="29" spans="2:9" x14ac:dyDescent="0.25">
      <c r="B29" s="40" t="s">
        <v>79</v>
      </c>
      <c r="C29" t="s">
        <v>127</v>
      </c>
      <c r="D29" t="s">
        <v>128</v>
      </c>
      <c r="E29" t="s">
        <v>112</v>
      </c>
      <c r="F29" s="22">
        <v>9065</v>
      </c>
      <c r="G29" s="116">
        <f>F29/Monitoring!$B$19</f>
        <v>25.602282034625922</v>
      </c>
      <c r="H29" s="41" t="s">
        <v>11</v>
      </c>
      <c r="I29" s="146" t="s">
        <v>129</v>
      </c>
    </row>
    <row r="30" spans="2:9" x14ac:dyDescent="0.25">
      <c r="B30" s="40" t="s">
        <v>79</v>
      </c>
      <c r="C30">
        <v>5100007113</v>
      </c>
      <c r="D30" t="s">
        <v>128</v>
      </c>
      <c r="E30" t="s">
        <v>138</v>
      </c>
      <c r="F30" s="22">
        <v>3025</v>
      </c>
      <c r="G30" s="116">
        <f>F30/Monitoring!$B$19</f>
        <v>8.5435083458073269</v>
      </c>
      <c r="H30" s="41" t="s">
        <v>11</v>
      </c>
      <c r="I30" s="146" t="s">
        <v>129</v>
      </c>
    </row>
    <row r="31" spans="2:9" x14ac:dyDescent="0.25">
      <c r="B31" s="40" t="s">
        <v>79</v>
      </c>
      <c r="C31">
        <v>5100005936</v>
      </c>
      <c r="D31" t="s">
        <v>117</v>
      </c>
      <c r="E31" t="s">
        <v>132</v>
      </c>
      <c r="F31" s="22">
        <v>162792</v>
      </c>
      <c r="G31" s="116">
        <f>F31/Monitoring!$B$19</f>
        <v>459.77349111757565</v>
      </c>
      <c r="H31" s="41" t="s">
        <v>11</v>
      </c>
      <c r="I31" s="146" t="s">
        <v>129</v>
      </c>
    </row>
    <row r="32" spans="2:9" x14ac:dyDescent="0.25">
      <c r="B32" s="40" t="s">
        <v>79</v>
      </c>
      <c r="C32">
        <v>5100005785</v>
      </c>
      <c r="D32" t="s">
        <v>130</v>
      </c>
      <c r="E32" t="s">
        <v>131</v>
      </c>
      <c r="F32" s="22">
        <v>132040</v>
      </c>
      <c r="G32" s="116">
        <f>F32/Monitoring!$B$19</f>
        <v>372.92060891914031</v>
      </c>
      <c r="H32" s="41" t="s">
        <v>11</v>
      </c>
      <c r="I32" s="146" t="s">
        <v>129</v>
      </c>
    </row>
    <row r="33" spans="2:9" x14ac:dyDescent="0.25">
      <c r="B33" s="40" t="s">
        <v>79</v>
      </c>
      <c r="C33" t="s">
        <v>137</v>
      </c>
      <c r="D33" t="s">
        <v>108</v>
      </c>
      <c r="E33" t="s">
        <v>111</v>
      </c>
      <c r="F33" s="22">
        <v>99626</v>
      </c>
      <c r="G33" s="116">
        <f>F33/Monitoring!$B$19</f>
        <v>281.37373965600023</v>
      </c>
      <c r="H33" s="41" t="s">
        <v>11</v>
      </c>
      <c r="I33" s="146" t="s">
        <v>129</v>
      </c>
    </row>
    <row r="34" spans="2:9" x14ac:dyDescent="0.25">
      <c r="B34" s="40" t="s">
        <v>79</v>
      </c>
      <c r="C34" t="s">
        <v>137</v>
      </c>
      <c r="D34" t="s">
        <v>108</v>
      </c>
      <c r="E34" t="s">
        <v>112</v>
      </c>
      <c r="F34" s="22">
        <v>9065</v>
      </c>
      <c r="G34" s="116">
        <f>F34/Monitoring!$B$19</f>
        <v>25.602282034625922</v>
      </c>
      <c r="H34" s="41" t="s">
        <v>11</v>
      </c>
      <c r="I34" s="146" t="s">
        <v>129</v>
      </c>
    </row>
    <row r="35" spans="2:9" x14ac:dyDescent="0.25">
      <c r="B35" s="40" t="s">
        <v>79</v>
      </c>
      <c r="C35">
        <v>5100007112</v>
      </c>
      <c r="D35" t="s">
        <v>108</v>
      </c>
      <c r="E35" t="s">
        <v>138</v>
      </c>
      <c r="F35" s="22">
        <v>2975</v>
      </c>
      <c r="G35" s="116">
        <f>F35/Monitoring!$B$19</f>
        <v>8.4022933318270407</v>
      </c>
      <c r="H35" s="41" t="s">
        <v>11</v>
      </c>
      <c r="I35" s="146" t="s">
        <v>129</v>
      </c>
    </row>
    <row r="36" spans="2:9" x14ac:dyDescent="0.25">
      <c r="B36" s="40" t="s">
        <v>79</v>
      </c>
      <c r="C36">
        <v>5100006362</v>
      </c>
      <c r="D36" t="s">
        <v>117</v>
      </c>
      <c r="E36" t="s">
        <v>136</v>
      </c>
      <c r="F36" s="22">
        <v>3283</v>
      </c>
      <c r="G36" s="116">
        <f>F36/Monitoring!$B$19</f>
        <v>9.2721778179456038</v>
      </c>
      <c r="H36" s="41" t="s">
        <v>11</v>
      </c>
      <c r="I36" s="146" t="s">
        <v>129</v>
      </c>
    </row>
    <row r="37" spans="2:9" x14ac:dyDescent="0.25">
      <c r="B37" s="40" t="s">
        <v>79</v>
      </c>
      <c r="C37">
        <v>5100006832</v>
      </c>
      <c r="D37" t="s">
        <v>130</v>
      </c>
      <c r="E37" t="s">
        <v>136</v>
      </c>
      <c r="F37" s="22">
        <v>2376</v>
      </c>
      <c r="G37" s="116">
        <f>F37/Monitoring!$B$19</f>
        <v>6.7105374643432087</v>
      </c>
      <c r="H37" s="41" t="s">
        <v>11</v>
      </c>
      <c r="I37" s="146" t="s">
        <v>129</v>
      </c>
    </row>
    <row r="38" spans="2:9" x14ac:dyDescent="0.25">
      <c r="B38" s="40" t="s">
        <v>79</v>
      </c>
      <c r="C38" t="s">
        <v>139</v>
      </c>
      <c r="D38" t="s">
        <v>108</v>
      </c>
      <c r="E38" t="s">
        <v>140</v>
      </c>
      <c r="F38" s="22">
        <v>81146</v>
      </c>
      <c r="G38" s="116">
        <f>F38/Monitoring!$B$19</f>
        <v>229.18067048888639</v>
      </c>
      <c r="H38" s="41" t="s">
        <v>11</v>
      </c>
      <c r="I38" s="146" t="s">
        <v>141</v>
      </c>
    </row>
    <row r="39" spans="2:9" x14ac:dyDescent="0.25">
      <c r="B39" s="40" t="s">
        <v>79</v>
      </c>
      <c r="C39" t="s">
        <v>139</v>
      </c>
      <c r="D39" t="s">
        <v>108</v>
      </c>
      <c r="E39" t="s">
        <v>112</v>
      </c>
      <c r="F39" s="22">
        <v>7384</v>
      </c>
      <c r="G39" s="116">
        <f>F39/Monitoring!$B$19</f>
        <v>20.854633264608694</v>
      </c>
      <c r="H39" s="41" t="s">
        <v>11</v>
      </c>
      <c r="I39" s="146" t="s">
        <v>141</v>
      </c>
    </row>
    <row r="40" spans="2:9" x14ac:dyDescent="0.25">
      <c r="B40" s="40" t="s">
        <v>79</v>
      </c>
      <c r="C40" t="s">
        <v>139</v>
      </c>
      <c r="D40" t="s">
        <v>108</v>
      </c>
      <c r="E40" t="s">
        <v>169</v>
      </c>
      <c r="F40" s="22">
        <v>5950</v>
      </c>
      <c r="G40" s="116">
        <f>F40/Monitoring!$B$19</f>
        <v>16.804586663654081</v>
      </c>
      <c r="H40" s="41" t="s">
        <v>11</v>
      </c>
      <c r="I40" s="146" t="s">
        <v>141</v>
      </c>
    </row>
    <row r="41" spans="2:9" x14ac:dyDescent="0.25">
      <c r="B41" s="40" t="s">
        <v>79</v>
      </c>
      <c r="C41">
        <v>5100010297</v>
      </c>
      <c r="D41" t="s">
        <v>117</v>
      </c>
      <c r="E41" t="s">
        <v>146</v>
      </c>
      <c r="F41" s="22">
        <v>200051</v>
      </c>
      <c r="G41" s="116">
        <f>F41/Monitoring!$B$19</f>
        <v>565.00409523540543</v>
      </c>
      <c r="H41" s="41" t="s">
        <v>11</v>
      </c>
      <c r="I41" s="146" t="s">
        <v>141</v>
      </c>
    </row>
    <row r="42" spans="2:9" x14ac:dyDescent="0.25">
      <c r="B42" s="40" t="s">
        <v>79</v>
      </c>
      <c r="C42">
        <v>5100010244</v>
      </c>
      <c r="D42" t="s">
        <v>117</v>
      </c>
      <c r="E42" t="s">
        <v>148</v>
      </c>
      <c r="F42" s="22">
        <v>3837</v>
      </c>
      <c r="G42" s="116">
        <f>F42/Monitoring!$B$19</f>
        <v>10.836840172847177</v>
      </c>
      <c r="H42" s="41" t="s">
        <v>11</v>
      </c>
      <c r="I42" s="146" t="s">
        <v>141</v>
      </c>
    </row>
    <row r="43" spans="2:9" x14ac:dyDescent="0.25">
      <c r="B43" s="40" t="s">
        <v>79</v>
      </c>
      <c r="C43" t="s">
        <v>143</v>
      </c>
      <c r="D43" t="s">
        <v>144</v>
      </c>
      <c r="E43" t="s">
        <v>140</v>
      </c>
      <c r="F43" s="22">
        <v>81146</v>
      </c>
      <c r="G43" s="116">
        <f>F43/Monitoring!$B$19</f>
        <v>229.18067048888639</v>
      </c>
      <c r="H43" s="41" t="s">
        <v>11</v>
      </c>
      <c r="I43" s="146" t="s">
        <v>141</v>
      </c>
    </row>
    <row r="44" spans="2:9" x14ac:dyDescent="0.25">
      <c r="B44" s="40" t="s">
        <v>79</v>
      </c>
      <c r="C44" t="s">
        <v>143</v>
      </c>
      <c r="D44" t="s">
        <v>144</v>
      </c>
      <c r="E44" t="s">
        <v>112</v>
      </c>
      <c r="F44" s="22">
        <v>7384</v>
      </c>
      <c r="G44" s="116">
        <f>F44/Monitoring!$B$19</f>
        <v>20.854633264608694</v>
      </c>
      <c r="H44" s="41" t="s">
        <v>11</v>
      </c>
      <c r="I44" s="146" t="s">
        <v>141</v>
      </c>
    </row>
    <row r="45" spans="2:9" x14ac:dyDescent="0.25">
      <c r="B45" s="40" t="s">
        <v>79</v>
      </c>
      <c r="C45" t="s">
        <v>143</v>
      </c>
      <c r="D45" t="s">
        <v>144</v>
      </c>
      <c r="E45" t="s">
        <v>169</v>
      </c>
      <c r="F45" s="22">
        <v>6050</v>
      </c>
      <c r="G45" s="116">
        <f>F45/Monitoring!$B$19</f>
        <v>17.087016691614654</v>
      </c>
      <c r="H45" s="41" t="s">
        <v>11</v>
      </c>
      <c r="I45" s="146" t="s">
        <v>141</v>
      </c>
    </row>
    <row r="46" spans="2:9" x14ac:dyDescent="0.25">
      <c r="B46" s="40" t="s">
        <v>79</v>
      </c>
      <c r="C46">
        <v>5100010296</v>
      </c>
      <c r="D46" t="s">
        <v>117</v>
      </c>
      <c r="E46" t="s">
        <v>145</v>
      </c>
      <c r="F46" s="22">
        <v>222681</v>
      </c>
      <c r="G46" s="116">
        <f>F46/Monitoring!$B$19</f>
        <v>628.91801056288307</v>
      </c>
      <c r="H46" s="41" t="s">
        <v>11</v>
      </c>
      <c r="I46" s="146" t="s">
        <v>141</v>
      </c>
    </row>
    <row r="47" spans="2:9" x14ac:dyDescent="0.25">
      <c r="B47" s="40" t="s">
        <v>79</v>
      </c>
      <c r="C47">
        <v>5100010309</v>
      </c>
      <c r="D47" t="s">
        <v>117</v>
      </c>
      <c r="E47" t="s">
        <v>147</v>
      </c>
      <c r="F47" s="22">
        <v>42909</v>
      </c>
      <c r="G47" s="116">
        <f>F47/Monitoring!$B$19</f>
        <v>121.18790069760217</v>
      </c>
      <c r="H47" s="41" t="s">
        <v>11</v>
      </c>
      <c r="I47" s="146" t="s">
        <v>141</v>
      </c>
    </row>
    <row r="48" spans="2:9" x14ac:dyDescent="0.25">
      <c r="B48" s="40" t="s">
        <v>79</v>
      </c>
      <c r="C48">
        <v>5100010254</v>
      </c>
      <c r="D48" t="s">
        <v>117</v>
      </c>
      <c r="E48" t="s">
        <v>149</v>
      </c>
      <c r="F48" s="22">
        <v>2627</v>
      </c>
      <c r="G48" s="116">
        <f>F48/Monitoring!$B$19</f>
        <v>7.4194368345242472</v>
      </c>
      <c r="H48" s="41" t="s">
        <v>11</v>
      </c>
      <c r="I48" s="146" t="s">
        <v>141</v>
      </c>
    </row>
    <row r="49" spans="1:9" x14ac:dyDescent="0.25">
      <c r="B49" s="40"/>
      <c r="G49" s="116">
        <f>F49/Monitoring!$B$19</f>
        <v>0</v>
      </c>
      <c r="H49" s="41"/>
      <c r="I49" s="146"/>
    </row>
    <row r="50" spans="1:9" x14ac:dyDescent="0.25">
      <c r="B50" s="40"/>
      <c r="G50" s="116">
        <f>F50/Monitoring!$B$19</f>
        <v>0</v>
      </c>
      <c r="H50" s="41"/>
      <c r="I50" s="146"/>
    </row>
    <row r="51" spans="1:9" x14ac:dyDescent="0.25">
      <c r="B51" s="40"/>
      <c r="G51" s="116">
        <f>F51/Monitoring!$B$19</f>
        <v>0</v>
      </c>
      <c r="H51" s="41"/>
      <c r="I51" s="146"/>
    </row>
    <row r="52" spans="1:9" x14ac:dyDescent="0.25">
      <c r="B52" s="40"/>
      <c r="G52" s="116">
        <f>F52/Monitoring!$B$19</f>
        <v>0</v>
      </c>
      <c r="H52" s="41"/>
      <c r="I52" s="146"/>
    </row>
    <row r="53" spans="1:9" x14ac:dyDescent="0.25">
      <c r="B53" s="40"/>
      <c r="G53" s="116">
        <f>F53/Monitoring!$B$19</f>
        <v>0</v>
      </c>
      <c r="H53" s="41"/>
      <c r="I53" s="146"/>
    </row>
    <row r="54" spans="1:9" x14ac:dyDescent="0.25">
      <c r="B54" s="40"/>
      <c r="G54" s="116">
        <f>F54/Monitoring!$B$19</f>
        <v>0</v>
      </c>
      <c r="H54" s="41"/>
      <c r="I54" s="146"/>
    </row>
    <row r="55" spans="1:9" x14ac:dyDescent="0.25">
      <c r="B55" s="40"/>
      <c r="G55" s="116">
        <f>F55/Monitoring!$B$19</f>
        <v>0</v>
      </c>
      <c r="H55" s="41"/>
      <c r="I55" s="146"/>
    </row>
    <row r="56" spans="1:9" s="43" customFormat="1" x14ac:dyDescent="0.25">
      <c r="A56" s="38"/>
      <c r="B56" s="40"/>
      <c r="C56" s="39"/>
      <c r="D56" s="40"/>
      <c r="E56" s="40"/>
      <c r="F56" s="44"/>
      <c r="G56" s="116">
        <f>F56/Monitoring!$B$19</f>
        <v>0</v>
      </c>
      <c r="H56" s="45"/>
      <c r="I56" s="46"/>
    </row>
    <row r="57" spans="1:9" s="43" customFormat="1" x14ac:dyDescent="0.25">
      <c r="A57" s="47"/>
      <c r="B57" s="49"/>
      <c r="C57" s="48"/>
      <c r="D57" s="49"/>
      <c r="E57" s="49"/>
      <c r="F57" s="50"/>
      <c r="G57" s="150">
        <f>F57/Monitoring!$B$19</f>
        <v>0</v>
      </c>
      <c r="H57" s="51"/>
      <c r="I57" s="52"/>
    </row>
    <row r="58" spans="1:9" x14ac:dyDescent="0.25">
      <c r="F58" s="75">
        <f>SUBTOTAL(109,F15:F57)</f>
        <v>3672443</v>
      </c>
      <c r="G58" s="117">
        <f>SUBTOTAL(109,G15:G57)</f>
        <v>10445.616335752817</v>
      </c>
      <c r="H58" s="37"/>
    </row>
  </sheetData>
  <autoFilter ref="A14:I57" xr:uid="{00000000-0009-0000-0000-000001000000}"/>
  <dataValidations count="2">
    <dataValidation type="list" allowBlank="1" showInputMessage="1" showErrorMessage="1" sqref="B15:B57" xr:uid="{00000000-0002-0000-0100-000000000000}">
      <formula1>$B$1:$B$9</formula1>
    </dataValidation>
    <dataValidation type="list" allowBlank="1" showInputMessage="1" showErrorMessage="1" sqref="H15:H57" xr:uid="{00000000-0002-0000-0100-000001000000}">
      <formula1>$H$1:$H$2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"/>
  <sheetViews>
    <sheetView workbookViewId="0">
      <selection activeCell="I4" sqref="I4"/>
    </sheetView>
  </sheetViews>
  <sheetFormatPr defaultRowHeight="15" x14ac:dyDescent="0.25"/>
  <cols>
    <col min="1" max="1" width="28.5703125" customWidth="1"/>
    <col min="2" max="2" width="24.7109375" customWidth="1"/>
    <col min="3" max="3" width="21.85546875" customWidth="1"/>
    <col min="4" max="4" width="22.7109375" customWidth="1"/>
    <col min="5" max="5" width="21.42578125" customWidth="1"/>
    <col min="8" max="8" width="15.28515625" customWidth="1"/>
    <col min="9" max="9" width="15.42578125" customWidth="1"/>
  </cols>
  <sheetData>
    <row r="1" spans="1:9" x14ac:dyDescent="0.25">
      <c r="A1" s="65" t="s">
        <v>21</v>
      </c>
      <c r="B1" s="139">
        <v>44348</v>
      </c>
      <c r="C1" s="139">
        <v>45077</v>
      </c>
      <c r="D1" s="140"/>
    </row>
    <row r="2" spans="1:9" x14ac:dyDescent="0.25">
      <c r="A2" s="65" t="s">
        <v>90</v>
      </c>
    </row>
    <row r="3" spans="1:9" x14ac:dyDescent="0.25">
      <c r="A3" s="67" t="s">
        <v>22</v>
      </c>
      <c r="B3" s="123" t="s">
        <v>56</v>
      </c>
      <c r="C3" s="122" t="s">
        <v>53</v>
      </c>
      <c r="D3" s="122" t="s">
        <v>54</v>
      </c>
      <c r="E3" s="124" t="s">
        <v>55</v>
      </c>
    </row>
    <row r="4" spans="1:9" x14ac:dyDescent="0.25">
      <c r="A4" s="70" t="s">
        <v>45</v>
      </c>
      <c r="B4" s="69">
        <v>6000</v>
      </c>
      <c r="C4" s="125">
        <f>SUMIF(Bérköltség!$B$6:$B$130,A4,Bérköltség!$N$6:$N$130)</f>
        <v>2840.1163611715201</v>
      </c>
      <c r="D4" s="125">
        <f>SUMIF(Dologi_Felhalm.!$B$15:$B$57,A4,Dologi_Felhalm.!$G$15:$G$57)</f>
        <v>0</v>
      </c>
      <c r="E4" s="127">
        <f>B4-C4-D4</f>
        <v>3159.8836388284799</v>
      </c>
      <c r="H4" s="23" t="s">
        <v>172</v>
      </c>
      <c r="I4" s="97">
        <f>SUMIFS(Bérköltség!$L$6:$L$130,Bérköltség!$F$6:$F$130,"Tény")+SUMIFS(Bérköltség!$M$6:$M$130,Bérköltség!$F$6:$F$130,"Tény")+SUMIFS(Dologi_Felhalm.!$F$15:$F$57,Dologi_Felhalm.!H15:H57,"Tény")</f>
        <v>12267949</v>
      </c>
    </row>
    <row r="5" spans="1:9" x14ac:dyDescent="0.25">
      <c r="A5" s="70" t="s">
        <v>92</v>
      </c>
      <c r="B5" s="69">
        <v>5920</v>
      </c>
      <c r="C5" s="125">
        <f>SUMIF(Bérköltség!$B$6:$B$130,A5,Bérköltség!$N$6:$N$130)</f>
        <v>6071.2768661564096</v>
      </c>
      <c r="D5" s="125">
        <f>SUMIF(Dologi_Felhalm.!$B$15:$B$57,A5,Dologi_Felhalm.!$G$15:$G$57)</f>
        <v>0</v>
      </c>
      <c r="E5" s="127">
        <f t="shared" ref="E5:E12" si="0">B5-C5-D5</f>
        <v>-151.2768661564096</v>
      </c>
      <c r="H5" s="23" t="s">
        <v>173</v>
      </c>
      <c r="I5" s="97">
        <f>SUMIFS(Bérköltség!$L$6:$L$130,Bérköltség!$F$6:$F$130,"Köt. váll.")+SUMIFS(Bérköltség!$M$6:$M$130,Bérköltség!$F$6:$F$130,"Köt. váll.")+SUMIFS(Dologi_Felhalm.!$F$15:$F$57,Dologi_Felhalm.!H16:H58,"Köt. váll.")</f>
        <v>0</v>
      </c>
    </row>
    <row r="6" spans="1:9" x14ac:dyDescent="0.25">
      <c r="A6" s="70" t="s">
        <v>93</v>
      </c>
      <c r="B6" s="69">
        <v>4990</v>
      </c>
      <c r="C6" s="125">
        <f>SUMIF(Bérköltség!$B$6:$B$130,A6,Bérköltség!$N$6:$N$130)</f>
        <v>5127.709210043211</v>
      </c>
      <c r="D6" s="125">
        <f>SUMIF(Dologi_Felhalm.!$B$15:$B$57,A6,Dologi_Felhalm.!$G$15:$G$57)</f>
        <v>0</v>
      </c>
      <c r="E6" s="127">
        <f t="shared" si="0"/>
        <v>-137.70921004321099</v>
      </c>
    </row>
    <row r="7" spans="1:9" x14ac:dyDescent="0.25">
      <c r="A7" s="70" t="s">
        <v>94</v>
      </c>
      <c r="B7" s="69">
        <v>10445</v>
      </c>
      <c r="C7" s="125">
        <f>SUMIF(Bérköltség!$B$6:$B$130,A7,Bérköltség!$N$6:$N$130)</f>
        <v>10237.187561781573</v>
      </c>
      <c r="D7" s="125">
        <f>SUMIF(Dologi_Felhalm.!$B$15:$B$57,A7,Dologi_Felhalm.!$G$15:$G$57)</f>
        <v>0</v>
      </c>
      <c r="E7" s="127">
        <f t="shared" si="0"/>
        <v>207.81243821842691</v>
      </c>
    </row>
    <row r="8" spans="1:9" x14ac:dyDescent="0.25">
      <c r="A8" s="70" t="s">
        <v>79</v>
      </c>
      <c r="B8" s="69">
        <v>3450</v>
      </c>
      <c r="C8" s="125">
        <f>SUMIF(Bérköltség!$B$6:$B$130,A8,Bérköltség!$N$6:$N$130)</f>
        <v>0</v>
      </c>
      <c r="D8" s="125">
        <f>SUMIF(Dologi_Felhalm.!$B$15:$B$57,A8,Dologi_Felhalm.!$G$15:$G$57)</f>
        <v>4528.8163357528183</v>
      </c>
      <c r="E8" s="127">
        <f t="shared" si="0"/>
        <v>-1078.8163357528183</v>
      </c>
    </row>
    <row r="9" spans="1:9" x14ac:dyDescent="0.25">
      <c r="A9" s="70" t="s">
        <v>80</v>
      </c>
      <c r="B9" s="69">
        <v>7000</v>
      </c>
      <c r="C9" s="125">
        <f>SUMIF(Bérköltség!$B$6:$B$130,A9,Bérköltség!$N$6:$N$130)</f>
        <v>0</v>
      </c>
      <c r="D9" s="125">
        <f>SUMIF(Dologi_Felhalm.!$B$15:$B$57,A9,Dologi_Felhalm.!$G$15:$G$57)</f>
        <v>0</v>
      </c>
      <c r="E9" s="127">
        <f t="shared" si="0"/>
        <v>7000</v>
      </c>
    </row>
    <row r="10" spans="1:9" x14ac:dyDescent="0.25">
      <c r="A10" s="70" t="s">
        <v>95</v>
      </c>
      <c r="B10" s="69">
        <v>700</v>
      </c>
      <c r="C10" s="125">
        <f>SUMIF(Bérköltség!$B$6:$B$130,A10,Bérköltség!$N$6:$N$130)</f>
        <v>0</v>
      </c>
      <c r="D10" s="125">
        <f>SUMIF(Dologi_Felhalm.!$B$15:$B$57,A10,Dologi_Felhalm.!$G$15:$G$57)</f>
        <v>0</v>
      </c>
      <c r="E10" s="127">
        <f t="shared" si="0"/>
        <v>700</v>
      </c>
    </row>
    <row r="11" spans="1:9" x14ac:dyDescent="0.25">
      <c r="A11" s="70" t="s">
        <v>96</v>
      </c>
      <c r="B11" s="69">
        <v>3510</v>
      </c>
      <c r="C11" s="125">
        <f>SUMIF(Bérköltség!$B$6:$B$130,A11,Bérköltség!$N$6:$N$130)</f>
        <v>0</v>
      </c>
      <c r="D11" s="125">
        <f>SUMIF(Dologi_Felhalm.!$B$15:$B$57,A11,Dologi_Felhalm.!$G$15:$G$57)</f>
        <v>4748.1000000000004</v>
      </c>
      <c r="E11" s="127">
        <f t="shared" si="0"/>
        <v>-1238.1000000000004</v>
      </c>
    </row>
    <row r="12" spans="1:9" x14ac:dyDescent="0.25">
      <c r="A12" s="70" t="s">
        <v>97</v>
      </c>
      <c r="B12" s="69">
        <v>1170</v>
      </c>
      <c r="C12" s="125">
        <f>SUMIF(Bérköltség!$B$6:$B$130,A12,Bérköltség!$N$6:$N$130)</f>
        <v>0</v>
      </c>
      <c r="D12" s="125">
        <f>SUMIF(Dologi_Felhalm.!$B$15:$B$57,A12,Dologi_Felhalm.!$G$15:$G$57)</f>
        <v>1168.7</v>
      </c>
      <c r="E12" s="127">
        <f t="shared" si="0"/>
        <v>1.2999999999999545</v>
      </c>
    </row>
    <row r="13" spans="1:9" x14ac:dyDescent="0.25">
      <c r="A13" s="70"/>
      <c r="B13" s="68"/>
      <c r="C13" s="125"/>
      <c r="D13" s="125"/>
      <c r="E13" s="127"/>
    </row>
    <row r="14" spans="1:9" x14ac:dyDescent="0.25">
      <c r="A14" s="67" t="s">
        <v>23</v>
      </c>
      <c r="B14" s="126">
        <f>SUM(B4:B13)</f>
        <v>43185</v>
      </c>
      <c r="C14" s="126">
        <f>SUM(C4:C13)</f>
        <v>24276.289999152716</v>
      </c>
      <c r="D14" s="126">
        <f>SUM(D4:D13)</f>
        <v>10445.61633575282</v>
      </c>
      <c r="E14" s="127">
        <f>B14-C14-D14</f>
        <v>8463.0936650944641</v>
      </c>
    </row>
    <row r="15" spans="1:9" x14ac:dyDescent="0.25">
      <c r="A15" s="145" t="s">
        <v>98</v>
      </c>
      <c r="B15" s="73">
        <f>B14*B19</f>
        <v>15290512.949999999</v>
      </c>
    </row>
    <row r="16" spans="1:9" x14ac:dyDescent="0.25">
      <c r="E16" s="71"/>
    </row>
    <row r="17" spans="1:4" x14ac:dyDescent="0.25">
      <c r="A17" t="s">
        <v>113</v>
      </c>
      <c r="B17" s="66">
        <v>33612</v>
      </c>
      <c r="C17" t="s">
        <v>17</v>
      </c>
    </row>
    <row r="18" spans="1:4" x14ac:dyDescent="0.25">
      <c r="A18" s="72" t="s">
        <v>52</v>
      </c>
      <c r="B18" s="64">
        <v>44424</v>
      </c>
    </row>
    <row r="19" spans="1:4" x14ac:dyDescent="0.25">
      <c r="A19" s="72" t="s">
        <v>50</v>
      </c>
      <c r="B19">
        <v>354.07</v>
      </c>
      <c r="C19" t="s">
        <v>51</v>
      </c>
      <c r="D19" t="s">
        <v>91</v>
      </c>
    </row>
    <row r="20" spans="1:4" x14ac:dyDescent="0.25">
      <c r="A20" s="72"/>
      <c r="B20" s="73"/>
    </row>
    <row r="22" spans="1:4" x14ac:dyDescent="0.25">
      <c r="A22" s="72"/>
      <c r="B22" s="73"/>
    </row>
    <row r="24" spans="1:4" x14ac:dyDescent="0.25">
      <c r="A24" s="76" t="s">
        <v>47</v>
      </c>
      <c r="B24" s="121">
        <f>Bérköltség!L131+Bérköltség!M131+Dologi_Felhalm.!F58</f>
        <v>12267949</v>
      </c>
    </row>
    <row r="25" spans="1:4" x14ac:dyDescent="0.25">
      <c r="A25" s="76" t="s">
        <v>46</v>
      </c>
      <c r="B25" s="118">
        <f>Bérköltség!N131+Dologi_Felhalm.!G58</f>
        <v>34328.921896800064</v>
      </c>
    </row>
    <row r="26" spans="1:4" x14ac:dyDescent="0.25">
      <c r="B26" s="74"/>
    </row>
    <row r="27" spans="1:4" x14ac:dyDescent="0.25">
      <c r="A27" s="119" t="s">
        <v>46</v>
      </c>
      <c r="B27" s="120">
        <f>B14-B25</f>
        <v>8856.0781031999359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61599-267A-4689-A8D0-2C4495640709}">
  <dimension ref="A1:A24"/>
  <sheetViews>
    <sheetView workbookViewId="0">
      <selection activeCell="A20" sqref="A20:A21"/>
    </sheetView>
  </sheetViews>
  <sheetFormatPr defaultRowHeight="15" x14ac:dyDescent="0.25"/>
  <sheetData>
    <row r="1" spans="1:1" x14ac:dyDescent="0.25">
      <c r="A1" t="s">
        <v>63</v>
      </c>
    </row>
    <row r="2" spans="1:1" x14ac:dyDescent="0.25">
      <c r="A2" t="s">
        <v>64</v>
      </c>
    </row>
    <row r="3" spans="1:1" x14ac:dyDescent="0.25">
      <c r="A3" t="s">
        <v>65</v>
      </c>
    </row>
    <row r="4" spans="1:1" x14ac:dyDescent="0.25">
      <c r="A4" t="s">
        <v>66</v>
      </c>
    </row>
    <row r="5" spans="1:1" x14ac:dyDescent="0.25">
      <c r="A5" t="s">
        <v>67</v>
      </c>
    </row>
    <row r="6" spans="1:1" x14ac:dyDescent="0.25">
      <c r="A6" t="s">
        <v>68</v>
      </c>
    </row>
    <row r="7" spans="1:1" x14ac:dyDescent="0.25">
      <c r="A7" t="s">
        <v>69</v>
      </c>
    </row>
    <row r="8" spans="1:1" x14ac:dyDescent="0.25">
      <c r="A8" t="s">
        <v>70</v>
      </c>
    </row>
    <row r="9" spans="1:1" x14ac:dyDescent="0.25">
      <c r="A9" t="s">
        <v>71</v>
      </c>
    </row>
    <row r="10" spans="1:1" x14ac:dyDescent="0.25">
      <c r="A10" t="s">
        <v>72</v>
      </c>
    </row>
    <row r="11" spans="1:1" x14ac:dyDescent="0.25">
      <c r="A11" t="s">
        <v>73</v>
      </c>
    </row>
    <row r="12" spans="1:1" x14ac:dyDescent="0.25">
      <c r="A12" t="s">
        <v>74</v>
      </c>
    </row>
    <row r="13" spans="1:1" x14ac:dyDescent="0.25">
      <c r="A13" t="s">
        <v>75</v>
      </c>
    </row>
    <row r="14" spans="1:1" x14ac:dyDescent="0.25">
      <c r="A14" t="s">
        <v>76</v>
      </c>
    </row>
    <row r="15" spans="1:1" x14ac:dyDescent="0.25">
      <c r="A15" t="s">
        <v>77</v>
      </c>
    </row>
    <row r="16" spans="1:1" x14ac:dyDescent="0.25">
      <c r="A16" t="s">
        <v>78</v>
      </c>
    </row>
    <row r="17" spans="1:1" x14ac:dyDescent="0.25">
      <c r="A17" t="s">
        <v>82</v>
      </c>
    </row>
    <row r="18" spans="1:1" x14ac:dyDescent="0.25">
      <c r="A18" t="s">
        <v>83</v>
      </c>
    </row>
    <row r="19" spans="1:1" x14ac:dyDescent="0.25">
      <c r="A19" t="s">
        <v>84</v>
      </c>
    </row>
    <row r="20" spans="1:1" x14ac:dyDescent="0.25">
      <c r="A20" t="s">
        <v>85</v>
      </c>
    </row>
    <row r="21" spans="1:1" x14ac:dyDescent="0.25">
      <c r="A21" t="s">
        <v>86</v>
      </c>
    </row>
    <row r="22" spans="1:1" x14ac:dyDescent="0.25">
      <c r="A22" t="s">
        <v>87</v>
      </c>
    </row>
    <row r="23" spans="1:1" x14ac:dyDescent="0.25">
      <c r="A23" t="s">
        <v>88</v>
      </c>
    </row>
    <row r="24" spans="1:1" x14ac:dyDescent="0.25">
      <c r="A24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8D327-CE19-4FC0-9D85-44273892C1A8}">
  <dimension ref="A1:E16"/>
  <sheetViews>
    <sheetView workbookViewId="0">
      <selection activeCell="A2" sqref="A2:E6"/>
    </sheetView>
  </sheetViews>
  <sheetFormatPr defaultRowHeight="15" x14ac:dyDescent="0.25"/>
  <cols>
    <col min="1" max="6" width="19.5703125" customWidth="1"/>
  </cols>
  <sheetData>
    <row r="1" spans="1:5" x14ac:dyDescent="0.25">
      <c r="A1" s="156" t="s">
        <v>163</v>
      </c>
      <c r="B1" s="156" t="s">
        <v>164</v>
      </c>
      <c r="C1" s="156" t="s">
        <v>165</v>
      </c>
      <c r="D1" s="156" t="s">
        <v>160</v>
      </c>
      <c r="E1" s="156" t="s">
        <v>161</v>
      </c>
    </row>
    <row r="2" spans="1:5" x14ac:dyDescent="0.25">
      <c r="A2" s="167" t="s">
        <v>166</v>
      </c>
      <c r="B2" s="157" t="s">
        <v>152</v>
      </c>
      <c r="C2" s="158" t="s">
        <v>110</v>
      </c>
      <c r="D2" s="159">
        <v>553943</v>
      </c>
      <c r="E2" s="159">
        <v>72013</v>
      </c>
    </row>
    <row r="3" spans="1:5" x14ac:dyDescent="0.25">
      <c r="A3" s="167" t="s">
        <v>167</v>
      </c>
      <c r="B3" s="157" t="s">
        <v>153</v>
      </c>
      <c r="C3" s="158" t="s">
        <v>107</v>
      </c>
      <c r="D3" s="159">
        <v>759972</v>
      </c>
      <c r="E3" s="159">
        <v>98796</v>
      </c>
    </row>
    <row r="4" spans="1:5" x14ac:dyDescent="0.25">
      <c r="A4" s="167" t="s">
        <v>116</v>
      </c>
      <c r="B4" s="157" t="s">
        <v>155</v>
      </c>
      <c r="C4" s="158" t="s">
        <v>110</v>
      </c>
      <c r="D4" s="159">
        <v>718207</v>
      </c>
      <c r="E4" s="159">
        <v>93367</v>
      </c>
    </row>
    <row r="5" spans="1:5" x14ac:dyDescent="0.25">
      <c r="A5" s="167" t="s">
        <v>109</v>
      </c>
      <c r="B5" s="157" t="s">
        <v>156</v>
      </c>
      <c r="C5" s="158" t="s">
        <v>110</v>
      </c>
      <c r="D5" s="159">
        <v>778800</v>
      </c>
      <c r="E5" s="159">
        <v>101244</v>
      </c>
    </row>
    <row r="6" spans="1:5" x14ac:dyDescent="0.25">
      <c r="A6" s="167" t="s">
        <v>168</v>
      </c>
      <c r="B6" s="157" t="s">
        <v>154</v>
      </c>
      <c r="C6" s="158" t="s">
        <v>124</v>
      </c>
      <c r="D6" s="159">
        <v>715090</v>
      </c>
      <c r="E6" s="159">
        <v>92962</v>
      </c>
    </row>
    <row r="7" spans="1:5" x14ac:dyDescent="0.25">
      <c r="A7" s="161"/>
      <c r="B7" s="160"/>
      <c r="C7" s="158"/>
      <c r="D7" s="159"/>
      <c r="E7" s="159"/>
    </row>
    <row r="8" spans="1:5" x14ac:dyDescent="0.25">
      <c r="A8" s="157"/>
      <c r="B8" s="157"/>
      <c r="C8" s="158"/>
      <c r="D8" s="159"/>
      <c r="E8" s="159"/>
    </row>
    <row r="9" spans="1:5" x14ac:dyDescent="0.25">
      <c r="A9" s="160"/>
      <c r="B9" s="160"/>
      <c r="C9" s="158"/>
      <c r="D9" s="159"/>
      <c r="E9" s="159"/>
    </row>
    <row r="10" spans="1:5" x14ac:dyDescent="0.25">
      <c r="A10" s="161"/>
      <c r="B10" s="160"/>
      <c r="C10" s="158"/>
      <c r="D10" s="159"/>
      <c r="E10" s="159"/>
    </row>
    <row r="11" spans="1:5" x14ac:dyDescent="0.25">
      <c r="A11" s="157"/>
      <c r="B11" s="157"/>
      <c r="C11" s="158"/>
      <c r="D11" s="159"/>
      <c r="E11" s="159"/>
    </row>
    <row r="12" spans="1:5" x14ac:dyDescent="0.25">
      <c r="A12" s="160"/>
      <c r="B12" s="160"/>
      <c r="C12" s="158"/>
      <c r="D12" s="159"/>
      <c r="E12" s="159"/>
    </row>
    <row r="13" spans="1:5" x14ac:dyDescent="0.25">
      <c r="A13" s="161"/>
      <c r="B13" s="160"/>
      <c r="C13" s="158"/>
      <c r="D13" s="159"/>
      <c r="E13" s="159"/>
    </row>
    <row r="14" spans="1:5" x14ac:dyDescent="0.25">
      <c r="A14" s="157"/>
      <c r="B14" s="157"/>
      <c r="C14" s="158"/>
      <c r="D14" s="159"/>
      <c r="E14" s="159"/>
    </row>
    <row r="15" spans="1:5" x14ac:dyDescent="0.25">
      <c r="A15" s="160"/>
      <c r="B15" s="160"/>
      <c r="C15" s="158"/>
      <c r="D15" s="159"/>
      <c r="E15" s="159"/>
    </row>
    <row r="16" spans="1:5" x14ac:dyDescent="0.25">
      <c r="A16" s="161"/>
      <c r="B16" s="160"/>
      <c r="C16" s="158"/>
      <c r="D16" s="159"/>
      <c r="E16" s="1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Bérköltség</vt:lpstr>
      <vt:lpstr>Dologi_Felhalm.</vt:lpstr>
      <vt:lpstr>Monitoring</vt:lpstr>
      <vt:lpstr>Hónapok</vt:lpstr>
      <vt:lpstr>Havi béradatok</vt:lpstr>
    </vt:vector>
  </TitlesOfParts>
  <Company>Pannon Egyetem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Domján Gábor</cp:lastModifiedBy>
  <cp:lastPrinted>2016-12-20T13:51:43Z</cp:lastPrinted>
  <dcterms:created xsi:type="dcterms:W3CDTF">2012-04-12T14:47:49Z</dcterms:created>
  <dcterms:modified xsi:type="dcterms:W3CDTF">2023-05-05T09:49:31Z</dcterms:modified>
</cp:coreProperties>
</file>