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MIK\SYSPELL_KA226-SCH-092659\"/>
    </mc:Choice>
  </mc:AlternateContent>
  <xr:revisionPtr revIDLastSave="0" documentId="13_ncr:1_{C5DEF213-45CA-42F1-8160-1AD1A01BC9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1" r:id="rId4"/>
    <sheet name="Havi béradatok" sheetId="20" r:id="rId5"/>
  </sheets>
  <definedNames>
    <definedName name="_xlnm._FilterDatabase" localSheetId="0" hidden="1">Bérköltség!$A$5:$W$75</definedName>
    <definedName name="_xlnm._FilterDatabase" localSheetId="1" hidden="1">Dologi_Felhalm.!$A$8:$I$30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7" l="1"/>
  <c r="L21" i="17" s="1"/>
  <c r="H21" i="17"/>
  <c r="I20" i="17"/>
  <c r="L20" i="17" s="1"/>
  <c r="O20" i="17" s="1"/>
  <c r="H20" i="17"/>
  <c r="V66" i="17"/>
  <c r="U66" i="17"/>
  <c r="V51" i="17"/>
  <c r="U51" i="17"/>
  <c r="V42" i="17"/>
  <c r="U42" i="17"/>
  <c r="V30" i="17"/>
  <c r="U30" i="17"/>
  <c r="V18" i="17"/>
  <c r="U18" i="17"/>
  <c r="I33" i="17"/>
  <c r="H33" i="17"/>
  <c r="I32" i="17"/>
  <c r="L32" i="17" s="1"/>
  <c r="H32" i="17"/>
  <c r="I31" i="17"/>
  <c r="H31" i="17"/>
  <c r="I69" i="17"/>
  <c r="H69" i="17"/>
  <c r="I68" i="17"/>
  <c r="H68" i="17"/>
  <c r="I54" i="17"/>
  <c r="H54" i="17"/>
  <c r="I53" i="17"/>
  <c r="H53" i="17"/>
  <c r="I52" i="17"/>
  <c r="L52" i="17" s="1"/>
  <c r="O52" i="17" s="1"/>
  <c r="H52" i="17"/>
  <c r="G22" i="13"/>
  <c r="G21" i="13"/>
  <c r="G20" i="13"/>
  <c r="G19" i="13"/>
  <c r="G18" i="13"/>
  <c r="V65" i="17"/>
  <c r="U65" i="17"/>
  <c r="V50" i="17"/>
  <c r="U50" i="17"/>
  <c r="V41" i="17"/>
  <c r="U41" i="17"/>
  <c r="V29" i="17"/>
  <c r="U29" i="17"/>
  <c r="V17" i="17"/>
  <c r="U17" i="17"/>
  <c r="G27" i="13"/>
  <c r="G26" i="13"/>
  <c r="G25" i="13"/>
  <c r="G24" i="13"/>
  <c r="G23" i="13"/>
  <c r="G17" i="13"/>
  <c r="G16" i="13"/>
  <c r="G15" i="13"/>
  <c r="I51" i="17"/>
  <c r="H51" i="17"/>
  <c r="W51" i="17" s="1"/>
  <c r="I30" i="17"/>
  <c r="H30" i="17"/>
  <c r="W30" i="17" s="1"/>
  <c r="I67" i="17"/>
  <c r="L67" i="17" s="1"/>
  <c r="H67" i="17"/>
  <c r="I66" i="17"/>
  <c r="L66" i="17" s="1"/>
  <c r="H66" i="17"/>
  <c r="W66" i="17" s="1"/>
  <c r="I19" i="17"/>
  <c r="L19" i="17" s="1"/>
  <c r="H19" i="17"/>
  <c r="I18" i="17"/>
  <c r="H18" i="17"/>
  <c r="W18" i="17" s="1"/>
  <c r="I45" i="17"/>
  <c r="H45" i="17"/>
  <c r="I44" i="17"/>
  <c r="H44" i="17"/>
  <c r="I43" i="17"/>
  <c r="H43" i="17"/>
  <c r="I42" i="17"/>
  <c r="H42" i="17"/>
  <c r="W42" i="17" s="1"/>
  <c r="V2" i="17"/>
  <c r="W2" i="17"/>
  <c r="M21" i="17" l="1"/>
  <c r="N21" i="17" s="1"/>
  <c r="O21" i="17"/>
  <c r="M20" i="17"/>
  <c r="N20" i="17" s="1"/>
  <c r="M32" i="17"/>
  <c r="N32" i="17" s="1"/>
  <c r="O32" i="17"/>
  <c r="L33" i="17"/>
  <c r="O33" i="17" s="1"/>
  <c r="L31" i="17"/>
  <c r="O31" i="17" s="1"/>
  <c r="L68" i="17"/>
  <c r="L69" i="17"/>
  <c r="O69" i="17" s="1"/>
  <c r="L53" i="17"/>
  <c r="L54" i="17"/>
  <c r="O54" i="17" s="1"/>
  <c r="M52" i="17"/>
  <c r="N52" i="17" s="1"/>
  <c r="L51" i="17"/>
  <c r="L30" i="17"/>
  <c r="M67" i="17"/>
  <c r="N67" i="17" s="1"/>
  <c r="O67" i="17"/>
  <c r="M66" i="17"/>
  <c r="N66" i="17" s="1"/>
  <c r="O66" i="17"/>
  <c r="M19" i="17"/>
  <c r="N19" i="17" s="1"/>
  <c r="O19" i="17"/>
  <c r="L18" i="17"/>
  <c r="L43" i="17"/>
  <c r="M43" i="17" s="1"/>
  <c r="N43" i="17" s="1"/>
  <c r="L44" i="17"/>
  <c r="M44" i="17" s="1"/>
  <c r="N44" i="17" s="1"/>
  <c r="L45" i="17"/>
  <c r="M45" i="17" s="1"/>
  <c r="N45" i="17" s="1"/>
  <c r="L42" i="17"/>
  <c r="I17" i="17"/>
  <c r="H17" i="17"/>
  <c r="W17" i="17" s="1"/>
  <c r="I50" i="17"/>
  <c r="H50" i="17"/>
  <c r="W50" i="17" s="1"/>
  <c r="I49" i="17"/>
  <c r="L49" i="17" s="1"/>
  <c r="M49" i="17" s="1"/>
  <c r="N49" i="17" s="1"/>
  <c r="H49" i="17"/>
  <c r="I29" i="17"/>
  <c r="L29" i="17" s="1"/>
  <c r="H29" i="17"/>
  <c r="W29" i="17" s="1"/>
  <c r="I28" i="17"/>
  <c r="L28" i="17" s="1"/>
  <c r="M28" i="17" s="1"/>
  <c r="N28" i="17" s="1"/>
  <c r="H28" i="17"/>
  <c r="U2" i="17"/>
  <c r="I41" i="17"/>
  <c r="L41" i="17" s="1"/>
  <c r="H41" i="17"/>
  <c r="W41" i="17" s="1"/>
  <c r="I40" i="17"/>
  <c r="L40" i="17" s="1"/>
  <c r="M40" i="17" s="1"/>
  <c r="N40" i="17" s="1"/>
  <c r="H40" i="17"/>
  <c r="I65" i="17"/>
  <c r="L65" i="17" s="1"/>
  <c r="H65" i="17"/>
  <c r="W65" i="17" s="1"/>
  <c r="I64" i="17"/>
  <c r="H64" i="17"/>
  <c r="I16" i="17"/>
  <c r="L16" i="17" s="1"/>
  <c r="H1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48" i="17"/>
  <c r="H47" i="17"/>
  <c r="H46" i="17"/>
  <c r="H39" i="17"/>
  <c r="H38" i="17"/>
  <c r="H37" i="17"/>
  <c r="H36" i="17"/>
  <c r="H35" i="17"/>
  <c r="H34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M48" i="17"/>
  <c r="N48" i="17" s="1"/>
  <c r="I48" i="17"/>
  <c r="O48" i="17" s="1"/>
  <c r="M27" i="17"/>
  <c r="N27" i="17" s="1"/>
  <c r="I27" i="17"/>
  <c r="O27" i="17" s="1"/>
  <c r="G13" i="13"/>
  <c r="M39" i="17"/>
  <c r="N39" i="17" s="1"/>
  <c r="I39" i="17"/>
  <c r="O39" i="17" s="1"/>
  <c r="G12" i="13"/>
  <c r="M47" i="17"/>
  <c r="N47" i="17" s="1"/>
  <c r="I47" i="17"/>
  <c r="O47" i="17" s="1"/>
  <c r="M46" i="17"/>
  <c r="N46" i="17" s="1"/>
  <c r="I46" i="17"/>
  <c r="O46" i="17" s="1"/>
  <c r="M26" i="17"/>
  <c r="N26" i="17" s="1"/>
  <c r="I26" i="17"/>
  <c r="O26" i="17" s="1"/>
  <c r="M25" i="17"/>
  <c r="N25" i="17" s="1"/>
  <c r="I25" i="17"/>
  <c r="O25" i="17" s="1"/>
  <c r="M75" i="17"/>
  <c r="N75" i="17" s="1"/>
  <c r="I75" i="17"/>
  <c r="O75" i="17" s="1"/>
  <c r="M74" i="17"/>
  <c r="N74" i="17" s="1"/>
  <c r="I74" i="17"/>
  <c r="O74" i="17" s="1"/>
  <c r="M73" i="17"/>
  <c r="N73" i="17" s="1"/>
  <c r="I73" i="17"/>
  <c r="O73" i="17" s="1"/>
  <c r="M38" i="17"/>
  <c r="N38" i="17" s="1"/>
  <c r="I38" i="17"/>
  <c r="O38" i="17" s="1"/>
  <c r="M37" i="17"/>
  <c r="N37" i="17" s="1"/>
  <c r="I37" i="17"/>
  <c r="O37" i="17" s="1"/>
  <c r="I15" i="17"/>
  <c r="L15" i="17" s="1"/>
  <c r="O15" i="17" s="1"/>
  <c r="I14" i="17"/>
  <c r="I63" i="17"/>
  <c r="L63" i="17" s="1"/>
  <c r="I62" i="17"/>
  <c r="I61" i="17"/>
  <c r="L61" i="17" s="1"/>
  <c r="I60" i="17"/>
  <c r="I13" i="17"/>
  <c r="L13" i="17" s="1"/>
  <c r="I12" i="17"/>
  <c r="M72" i="17"/>
  <c r="N72" i="17" s="1"/>
  <c r="I72" i="17"/>
  <c r="O72" i="17" s="1"/>
  <c r="I71" i="17"/>
  <c r="L71" i="17" s="1"/>
  <c r="M71" i="17" s="1"/>
  <c r="N71" i="17" s="1"/>
  <c r="M70" i="17"/>
  <c r="N70" i="17" s="1"/>
  <c r="I70" i="17"/>
  <c r="O70" i="17" s="1"/>
  <c r="M36" i="17"/>
  <c r="N36" i="17" s="1"/>
  <c r="I36" i="17"/>
  <c r="O36" i="17" s="1"/>
  <c r="I35" i="17"/>
  <c r="L35" i="17" s="1"/>
  <c r="M35" i="17" s="1"/>
  <c r="N35" i="17" s="1"/>
  <c r="M34" i="17"/>
  <c r="I34" i="17"/>
  <c r="M24" i="17"/>
  <c r="N24" i="17" s="1"/>
  <c r="I24" i="17"/>
  <c r="O24" i="17" s="1"/>
  <c r="I23" i="17"/>
  <c r="L23" i="17" s="1"/>
  <c r="M22" i="17"/>
  <c r="N22" i="17" s="1"/>
  <c r="I22" i="17"/>
  <c r="O22" i="17" s="1"/>
  <c r="I11" i="17"/>
  <c r="L11" i="17" s="1"/>
  <c r="I10" i="17"/>
  <c r="I59" i="17"/>
  <c r="I58" i="17"/>
  <c r="I57" i="17"/>
  <c r="L57" i="17" s="1"/>
  <c r="O57" i="17" s="1"/>
  <c r="I56" i="17"/>
  <c r="L56" i="17" s="1"/>
  <c r="I55" i="17"/>
  <c r="L55" i="17" s="1"/>
  <c r="I9" i="17"/>
  <c r="I8" i="17"/>
  <c r="O85" i="17"/>
  <c r="O84" i="17"/>
  <c r="O83" i="17"/>
  <c r="O82" i="17"/>
  <c r="O81" i="17"/>
  <c r="O80" i="17"/>
  <c r="O79" i="17"/>
  <c r="I4" i="19" l="1"/>
  <c r="M23" i="17"/>
  <c r="N23" i="17" s="1"/>
  <c r="M33" i="17"/>
  <c r="N33" i="17" s="1"/>
  <c r="M31" i="17"/>
  <c r="N31" i="17" s="1"/>
  <c r="M69" i="17"/>
  <c r="N69" i="17" s="1"/>
  <c r="M68" i="17"/>
  <c r="N68" i="17" s="1"/>
  <c r="O68" i="17"/>
  <c r="M54" i="17"/>
  <c r="N54" i="17" s="1"/>
  <c r="M53" i="17"/>
  <c r="N53" i="17" s="1"/>
  <c r="O53" i="17"/>
  <c r="M51" i="17"/>
  <c r="N51" i="17" s="1"/>
  <c r="O51" i="17"/>
  <c r="M30" i="17"/>
  <c r="N30" i="17" s="1"/>
  <c r="O30" i="17"/>
  <c r="M18" i="17"/>
  <c r="N18" i="17" s="1"/>
  <c r="O18" i="17"/>
  <c r="O43" i="17"/>
  <c r="O45" i="17"/>
  <c r="O44" i="17"/>
  <c r="M42" i="17"/>
  <c r="N42" i="17" s="1"/>
  <c r="O42" i="17"/>
  <c r="L17" i="17"/>
  <c r="O17" i="17" s="1"/>
  <c r="L50" i="17"/>
  <c r="O49" i="17"/>
  <c r="M29" i="17"/>
  <c r="N29" i="17" s="1"/>
  <c r="O29" i="17"/>
  <c r="O28" i="17"/>
  <c r="O41" i="17"/>
  <c r="M41" i="17"/>
  <c r="N41" i="17" s="1"/>
  <c r="O40" i="17"/>
  <c r="M65" i="17"/>
  <c r="N65" i="17" s="1"/>
  <c r="O65" i="17"/>
  <c r="L64" i="17"/>
  <c r="M16" i="17"/>
  <c r="N16" i="17" s="1"/>
  <c r="O16" i="17"/>
  <c r="O71" i="17"/>
  <c r="O35" i="17"/>
  <c r="O23" i="17"/>
  <c r="L14" i="17"/>
  <c r="O14" i="17" s="1"/>
  <c r="M15" i="17"/>
  <c r="N15" i="17" s="1"/>
  <c r="M61" i="17"/>
  <c r="N61" i="17" s="1"/>
  <c r="O63" i="17"/>
  <c r="M63" i="17"/>
  <c r="N63" i="17" s="1"/>
  <c r="O61" i="17"/>
  <c r="L62" i="17"/>
  <c r="L60" i="17"/>
  <c r="M13" i="17"/>
  <c r="N13" i="17" s="1"/>
  <c r="O13" i="17"/>
  <c r="L12" i="17"/>
  <c r="N34" i="17"/>
  <c r="O34" i="17"/>
  <c r="M11" i="17"/>
  <c r="N11" i="17" s="1"/>
  <c r="O11" i="17"/>
  <c r="L10" i="17"/>
  <c r="L59" i="17"/>
  <c r="L58" i="17"/>
  <c r="M56" i="17"/>
  <c r="N56" i="17" s="1"/>
  <c r="M57" i="17"/>
  <c r="N57" i="17" s="1"/>
  <c r="O56" i="17"/>
  <c r="M55" i="17"/>
  <c r="N55" i="17" s="1"/>
  <c r="O55" i="17"/>
  <c r="L8" i="17"/>
  <c r="O8" i="17" s="1"/>
  <c r="L9" i="17"/>
  <c r="O9" i="17" s="1"/>
  <c r="I7" i="17"/>
  <c r="L7" i="17" s="1"/>
  <c r="M7" i="17" l="1"/>
  <c r="N7" i="17" s="1"/>
  <c r="I3" i="19"/>
  <c r="M17" i="17"/>
  <c r="N17" i="17" s="1"/>
  <c r="M50" i="17"/>
  <c r="O50" i="17"/>
  <c r="M64" i="17"/>
  <c r="N64" i="17" s="1"/>
  <c r="O64" i="17"/>
  <c r="M14" i="17"/>
  <c r="N14" i="17" s="1"/>
  <c r="M62" i="17"/>
  <c r="N62" i="17" s="1"/>
  <c r="O62" i="17"/>
  <c r="M60" i="17"/>
  <c r="N60" i="17" s="1"/>
  <c r="O60" i="17"/>
  <c r="M12" i="17"/>
  <c r="N12" i="17" s="1"/>
  <c r="O12" i="17"/>
  <c r="M10" i="17"/>
  <c r="N10" i="17" s="1"/>
  <c r="O10" i="17"/>
  <c r="M59" i="17"/>
  <c r="N59" i="17" s="1"/>
  <c r="O59" i="17"/>
  <c r="M58" i="17"/>
  <c r="N58" i="17" s="1"/>
  <c r="O58" i="17"/>
  <c r="M9" i="17"/>
  <c r="N9" i="17" s="1"/>
  <c r="M8" i="17"/>
  <c r="N8" i="17" s="1"/>
  <c r="O7" i="17"/>
  <c r="G14" i="13"/>
  <c r="G28" i="13"/>
  <c r="N50" i="17" l="1"/>
  <c r="D7" i="19"/>
  <c r="C7" i="19"/>
  <c r="E7" i="19" l="1"/>
  <c r="G10" i="13"/>
  <c r="I6" i="17" l="1"/>
  <c r="L6" i="17" l="1"/>
  <c r="N6" i="17" s="1"/>
  <c r="G29" i="13"/>
  <c r="G11" i="13"/>
  <c r="O6" i="17" l="1"/>
  <c r="C6" i="19"/>
  <c r="L89" i="17"/>
  <c r="B13" i="19"/>
  <c r="B14" i="19" s="1"/>
  <c r="D10" i="19"/>
  <c r="C10" i="19"/>
  <c r="D9" i="19"/>
  <c r="C9" i="19"/>
  <c r="D8" i="19"/>
  <c r="C8" i="19"/>
  <c r="D6" i="19"/>
  <c r="D5" i="19"/>
  <c r="D4" i="19"/>
  <c r="C4" i="19"/>
  <c r="C5" i="19" l="1"/>
  <c r="E5" i="19" s="1"/>
  <c r="E8" i="19"/>
  <c r="E9" i="19"/>
  <c r="E10" i="19"/>
  <c r="E4" i="19"/>
  <c r="E6" i="19"/>
  <c r="M6" i="17" l="1"/>
  <c r="D13" i="19" l="1"/>
  <c r="G31" i="13"/>
  <c r="M85" i="17" l="1"/>
  <c r="N85" i="17" s="1"/>
  <c r="M84" i="17"/>
  <c r="N84" i="17" s="1"/>
  <c r="M83" i="17"/>
  <c r="N83" i="17" s="1"/>
  <c r="M82" i="17"/>
  <c r="N82" i="17" s="1"/>
  <c r="M81" i="17"/>
  <c r="N81" i="17" s="1"/>
  <c r="M80" i="17"/>
  <c r="N80" i="17" s="1"/>
  <c r="M79" i="17"/>
  <c r="F31" i="13"/>
  <c r="N79" i="17" l="1"/>
  <c r="N89" i="17" s="1"/>
  <c r="M89" i="17"/>
  <c r="B23" i="19" s="1"/>
  <c r="B24" i="19" l="1"/>
  <c r="B27" i="19" s="1"/>
  <c r="C13" i="19" l="1"/>
  <c r="E1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52D5FF01-CAAC-4173-9C0C-A4FA517E470C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57" authorId="0" shapeId="0" xr:uid="{89F443B7-D789-4269-AAB2-257BCF9CC41D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<sst xmlns="http://schemas.openxmlformats.org/spreadsheetml/2006/main" count="769" uniqueCount="149">
  <si>
    <t>résztvevő</t>
  </si>
  <si>
    <t>projekt pozíció</t>
  </si>
  <si>
    <t>óra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</si>
  <si>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</si>
  <si>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</si>
  <si>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</si>
  <si>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</si>
  <si>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</si>
  <si>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</si>
  <si>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</si>
  <si>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</si>
  <si>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</si>
  <si>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</si>
  <si>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</si>
  <si>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</si>
  <si>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</si>
  <si>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</si>
  <si>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</si>
  <si>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</si>
  <si>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</si>
  <si>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</si>
  <si>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</si>
  <si>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</si>
  <si>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</si>
  <si>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</si>
  <si>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</si>
  <si>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</si>
  <si>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</si>
  <si>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</si>
  <si>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</si>
  <si>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</si>
  <si>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</si>
  <si>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</si>
  <si>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</si>
  <si>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</si>
  <si>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</si>
  <si>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</si>
  <si>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</si>
  <si>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</si>
  <si>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</si>
  <si>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</si>
  <si>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</si>
  <si>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</si>
  <si>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</si>
  <si>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</si>
  <si>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</si>
  <si>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</si>
  <si>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</si>
  <si>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</si>
  <si>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</si>
  <si>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</si>
  <si>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</si>
  <si>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</si>
  <si>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</si>
  <si>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</si>
  <si>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</si>
  <si>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</si>
  <si>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</si>
  <si>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</si>
  <si>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</si>
  <si>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</si>
  <si>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</si>
  <si>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</si>
  <si>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</si>
  <si>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</si>
  <si>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</si>
  <si>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</si>
  <si>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</si>
  <si>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</si>
  <si>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</si>
  <si>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</si>
  <si>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2022.10</t>
  </si>
  <si>
    <t>2022.11</t>
  </si>
  <si>
    <t>2022.12</t>
  </si>
  <si>
    <t>2023.01</t>
  </si>
  <si>
    <t>2023.02</t>
  </si>
  <si>
    <t>Forintban (árf. Függő)</t>
  </si>
  <si>
    <t>1. támogatási részlet (40%)</t>
  </si>
  <si>
    <t>Syspell - E017600068</t>
  </si>
  <si>
    <t>E017600068</t>
  </si>
  <si>
    <t>Intellectual output O3 (oktató)</t>
  </si>
  <si>
    <t>Intellectual output O3 (technikus)</t>
  </si>
  <si>
    <t>Intellectual output O4 (oktató)</t>
  </si>
  <si>
    <t>Intellectual output O4 (technikus)</t>
  </si>
  <si>
    <t>Dávid Ákos</t>
  </si>
  <si>
    <t>E011100000</t>
  </si>
  <si>
    <t>Ez még csak becslés, hogy számoljon valamivel a tábla.</t>
  </si>
  <si>
    <t>i</t>
  </si>
  <si>
    <t>Kovács-Ujvári Orsolya</t>
  </si>
  <si>
    <t>E011110000</t>
  </si>
  <si>
    <t>Projekt</t>
  </si>
  <si>
    <t>pénzügyi központ</t>
  </si>
  <si>
    <t>terhelés</t>
  </si>
  <si>
    <t>Ausztria 2022.03.15-16 meeting</t>
  </si>
  <si>
    <t>Külföldi kiküldetés gépkocsiktg</t>
  </si>
  <si>
    <t>Fodor Fruzsina</t>
  </si>
  <si>
    <t>E031110000</t>
  </si>
  <si>
    <t>Horváth Ádám</t>
  </si>
  <si>
    <t>Pekárdy Milán Péter</t>
  </si>
  <si>
    <t>Kerstner Máté</t>
  </si>
  <si>
    <t>vacsora biztosítása</t>
  </si>
  <si>
    <t>Egyetem Centrum Kft.</t>
  </si>
  <si>
    <t>catering biztosítása</t>
  </si>
  <si>
    <t>Oliva 2004 Kft.</t>
  </si>
  <si>
    <t>belső átvezetés</t>
  </si>
  <si>
    <t>NAV</t>
  </si>
  <si>
    <t>catering biztosításának repi járuléka</t>
  </si>
  <si>
    <t>E021100000</t>
  </si>
  <si>
    <t>Dolgozó</t>
  </si>
  <si>
    <t>adóazonosító</t>
  </si>
  <si>
    <t>8403740913</t>
  </si>
  <si>
    <t>8479830956</t>
  </si>
  <si>
    <t>8447411184</t>
  </si>
  <si>
    <t>8469560212</t>
  </si>
  <si>
    <t>8409091712</t>
  </si>
  <si>
    <t>8443330120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</si>
  <si>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</si>
  <si>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</si>
  <si>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</si>
  <si>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</si>
  <si>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</si>
  <si>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</si>
  <si>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</si>
  <si>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</si>
  <si>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</si>
  <si>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Dávid Ákos</t>
  </si>
  <si>
    <t>új futamidő: 2023.06.30</t>
  </si>
  <si>
    <t>2023.03</t>
  </si>
  <si>
    <t>2023.04</t>
  </si>
  <si>
    <t>2023.05</t>
  </si>
  <si>
    <t>2023.06</t>
  </si>
  <si>
    <t>EGYEZIK</t>
  </si>
  <si>
    <t>HIBÁS</t>
  </si>
  <si>
    <t>utazási terv</t>
  </si>
  <si>
    <t>külföldi kiküldetés napidíj</t>
  </si>
  <si>
    <t>Bristol, UK, 2023.05.02-04</t>
  </si>
  <si>
    <t>külföldi kiküldetés napidíj járuléka</t>
  </si>
  <si>
    <t>OTP Travel Kft.</t>
  </si>
  <si>
    <t>Dávid Ákos, külföldi kiküldetés utasbiztosítás</t>
  </si>
  <si>
    <t>külföldi kiküldetés repülőjegy biztosítás (Dávid Ákos)</t>
  </si>
  <si>
    <t>United 4 Bonafini Bindair Kft.</t>
  </si>
  <si>
    <t>külföldi kiküldetés repülőjegy  (Dávid Ákos)</t>
  </si>
  <si>
    <t>Összes Tény</t>
  </si>
  <si>
    <t>Összes Kötváll</t>
  </si>
  <si>
    <t>külföldi kiküldetés szállásdíj (Dávid Ákos)</t>
  </si>
  <si>
    <t>Weco-Travel Kft.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</si>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</sst>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.0\ [$€-1]_-;\-* #,##0.0\ [$€-1]_-;_-* &quot;-&quot;??\ [$€-1]_-;_-@_-"/>
    <numFmt numFmtId="172" formatCode="_-* #,##0_-;\-* #,##0_-;_-* &quot;-&quot;??_-;_-@_-"/>
  </numFmts>
  <fonts count="47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0" fontId="0" fillId="29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1" xfId="0" applyBorder="1"/>
    <xf numFmtId="0" fontId="0" fillId="0" borderId="31" xfId="0" applyBorder="1" applyAlignment="1">
      <alignment vertical="center" wrapText="1"/>
    </xf>
    <xf numFmtId="1" fontId="0" fillId="0" borderId="31" xfId="0" applyNumberFormat="1" applyBorder="1" applyAlignment="1">
      <alignment horizontal="center"/>
    </xf>
    <xf numFmtId="165" fontId="0" fillId="0" borderId="31" xfId="2" applyNumberFormat="1" applyFont="1" applyFill="1" applyBorder="1"/>
    <xf numFmtId="167" fontId="0" fillId="0" borderId="31" xfId="2" applyNumberFormat="1" applyFont="1" applyFill="1" applyBorder="1" applyAlignment="1">
      <alignment vertical="center" wrapText="1"/>
    </xf>
    <xf numFmtId="165" fontId="0" fillId="0" borderId="31" xfId="2" applyNumberFormat="1" applyFont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1" fontId="0" fillId="0" borderId="33" xfId="0" applyNumberFormat="1" applyBorder="1" applyAlignment="1">
      <alignment horizontal="center" vertical="center" wrapText="1"/>
    </xf>
    <xf numFmtId="165" fontId="0" fillId="0" borderId="33" xfId="2" applyNumberFormat="1" applyFont="1" applyFill="1" applyBorder="1" applyAlignment="1">
      <alignment vertical="center" wrapText="1"/>
    </xf>
    <xf numFmtId="165" fontId="0" fillId="0" borderId="33" xfId="2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14" fontId="0" fillId="0" borderId="3" xfId="0" applyNumberFormat="1" applyBorder="1" applyAlignment="1">
      <alignment vertical="center" wrapText="1"/>
    </xf>
    <xf numFmtId="171" fontId="0" fillId="0" borderId="0" xfId="0" applyNumberFormat="1"/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2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172" fontId="0" fillId="0" borderId="0" xfId="0" applyNumberFormat="1"/>
    <xf numFmtId="0" fontId="43" fillId="0" borderId="35" xfId="0" applyFont="1" applyBorder="1"/>
    <xf numFmtId="0" fontId="43" fillId="0" borderId="0" xfId="0" applyFont="1"/>
    <xf numFmtId="0" fontId="44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0" fontId="45" fillId="0" borderId="0" xfId="0" applyFon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3" fillId="0" borderId="35" xfId="0" applyFont="1" applyBorder="1" applyAlignment="1">
      <alignment horizontal="left"/>
    </xf>
    <xf numFmtId="0" fontId="46" fillId="0" borderId="0" xfId="0" applyFont="1"/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topLeftCell="D1" zoomScaleNormal="100" workbookViewId="0">
      <pane ySplit="5" topLeftCell="A6" activePane="bottomLeft" state="frozen"/>
      <selection pane="bottomLeft" activeCell="T1" sqref="T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1.8554687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4.42578125" bestFit="1" customWidth="1"/>
    <col min="16" max="16" width="14.7109375" bestFit="1" customWidth="1"/>
    <col min="17" max="17" width="13.140625" customWidth="1"/>
    <col min="18" max="19" width="13.5703125" style="92" customWidth="1"/>
    <col min="20" max="20" width="9.5703125" style="86" bestFit="1" customWidth="1"/>
    <col min="21" max="23" width="11.7109375" customWidth="1"/>
  </cols>
  <sheetData>
    <row r="1" spans="1:23" x14ac:dyDescent="0.25">
      <c r="A1" t="s">
        <v>122</v>
      </c>
      <c r="C1" t="s">
        <v>146</v>
      </c>
      <c r="D1" t="s">
        <v>147</v>
      </c>
      <c r="E1" t="s">
        <v>124</v>
      </c>
      <c r="L1" s="2" t="s">
        <v>119</v>
      </c>
      <c r="M1" s="2" t="s">
        <v>120</v>
      </c>
      <c r="S1" s="92" t="s">
        <v>123</v>
      </c>
      <c r="T1" t="s">
        <v>148</v>
      </c>
    </row>
    <row r="2" spans="1:23" ht="18.75" x14ac:dyDescent="0.3">
      <c r="A2" s="175" t="s">
        <v>78</v>
      </c>
      <c r="B2" s="175"/>
      <c r="C2" s="175"/>
      <c r="D2" s="175"/>
      <c r="E2" s="175"/>
      <c r="F2" s="25"/>
      <c r="N2" s="122"/>
      <c r="O2" s="123"/>
      <c r="P2" s="123"/>
      <c r="T2" s="21"/>
      <c r="U2" s="155" t="e">
        <f>IF(VLOOKUP($S2,'Havi béradatok'!$B:$E,2,FALSE)=E2,"EGYEZIK","HIBÁS")</f>
        <v>#N/A</v>
      </c>
      <c r="V2" s="170" t="e">
        <f>VLOOKUP($S2,'Havi béradatok'!$B:$E,3,FALSE)-G2</f>
        <v>#N/A</v>
      </c>
      <c r="W2" s="171" t="e">
        <f>VLOOKUP($S2,'Havi béradatok'!$B:$E,4,FALSE)-H2</f>
        <v>#N/A</v>
      </c>
    </row>
    <row r="3" spans="1:23" ht="15" customHeight="1" x14ac:dyDescent="0.25">
      <c r="A3" s="69" t="s">
        <v>0</v>
      </c>
      <c r="B3" s="70"/>
      <c r="C3" s="70"/>
      <c r="D3" s="70" t="s">
        <v>90</v>
      </c>
      <c r="E3" s="70" t="s">
        <v>23</v>
      </c>
      <c r="F3" s="71"/>
      <c r="G3" s="72" t="s">
        <v>24</v>
      </c>
      <c r="H3" s="124"/>
      <c r="I3" s="73" t="s">
        <v>25</v>
      </c>
      <c r="J3" s="73" t="s">
        <v>60</v>
      </c>
      <c r="K3" s="73" t="s">
        <v>61</v>
      </c>
      <c r="L3" s="73"/>
      <c r="M3" s="73"/>
      <c r="N3" s="73"/>
      <c r="O3" s="74" t="s">
        <v>26</v>
      </c>
      <c r="P3" s="124" t="s">
        <v>57</v>
      </c>
      <c r="Q3" s="116"/>
      <c r="R3" s="73" t="s">
        <v>41</v>
      </c>
      <c r="S3" s="73"/>
      <c r="T3" s="98"/>
      <c r="U3" s="156"/>
      <c r="V3" s="156"/>
      <c r="W3" s="156"/>
    </row>
    <row r="4" spans="1:23" ht="24.75" customHeight="1" x14ac:dyDescent="0.25">
      <c r="A4" s="75" t="s">
        <v>27</v>
      </c>
      <c r="B4" s="67" t="s">
        <v>1</v>
      </c>
      <c r="C4" s="67" t="s">
        <v>4</v>
      </c>
      <c r="D4" s="67" t="s">
        <v>91</v>
      </c>
      <c r="E4" s="67" t="s">
        <v>28</v>
      </c>
      <c r="F4" s="26" t="s">
        <v>9</v>
      </c>
      <c r="G4" s="76" t="s">
        <v>29</v>
      </c>
      <c r="H4" s="125" t="s">
        <v>116</v>
      </c>
      <c r="I4" s="77" t="s">
        <v>30</v>
      </c>
      <c r="J4" s="77" t="s">
        <v>26</v>
      </c>
      <c r="K4" s="78" t="s">
        <v>2</v>
      </c>
      <c r="L4" s="79" t="s">
        <v>12</v>
      </c>
      <c r="M4" s="79" t="s">
        <v>31</v>
      </c>
      <c r="N4" s="79" t="s">
        <v>47</v>
      </c>
      <c r="O4" s="80" t="s">
        <v>32</v>
      </c>
      <c r="P4" s="125" t="s">
        <v>58</v>
      </c>
      <c r="Q4" s="117" t="s">
        <v>56</v>
      </c>
      <c r="R4" s="78" t="s">
        <v>42</v>
      </c>
      <c r="S4" s="78" t="s">
        <v>108</v>
      </c>
      <c r="T4" s="99"/>
      <c r="U4" s="157" t="s">
        <v>118</v>
      </c>
      <c r="V4" s="157" t="s">
        <v>119</v>
      </c>
      <c r="W4" s="157" t="s">
        <v>120</v>
      </c>
    </row>
    <row r="5" spans="1:23" ht="18.75" customHeight="1" x14ac:dyDescent="0.25">
      <c r="A5" s="81" t="s">
        <v>33</v>
      </c>
      <c r="B5" s="68"/>
      <c r="C5" s="68" t="s">
        <v>34</v>
      </c>
      <c r="D5" s="68" t="s">
        <v>92</v>
      </c>
      <c r="E5" s="68" t="s">
        <v>35</v>
      </c>
      <c r="F5" s="27"/>
      <c r="G5" s="82" t="s">
        <v>36</v>
      </c>
      <c r="H5" s="126" t="s">
        <v>117</v>
      </c>
      <c r="I5" s="83" t="s">
        <v>37</v>
      </c>
      <c r="J5" s="83"/>
      <c r="K5" s="84"/>
      <c r="L5" s="83" t="s">
        <v>38</v>
      </c>
      <c r="M5" s="83" t="s">
        <v>39</v>
      </c>
      <c r="N5" s="83" t="s">
        <v>48</v>
      </c>
      <c r="O5" s="85" t="s">
        <v>40</v>
      </c>
      <c r="P5" s="126" t="s">
        <v>59</v>
      </c>
      <c r="Q5" s="118"/>
      <c r="R5" s="84" t="s">
        <v>43</v>
      </c>
      <c r="S5" s="84" t="s">
        <v>109</v>
      </c>
      <c r="T5" s="100"/>
      <c r="U5" s="158" t="s">
        <v>121</v>
      </c>
      <c r="V5" s="158" t="s">
        <v>121</v>
      </c>
      <c r="W5" s="158" t="s">
        <v>121</v>
      </c>
    </row>
    <row r="6" spans="1:23" ht="15" customHeight="1" x14ac:dyDescent="0.25">
      <c r="A6" s="3"/>
      <c r="B6" s="1"/>
      <c r="C6" s="4"/>
      <c r="D6" s="4"/>
      <c r="E6" s="3"/>
      <c r="F6" s="3"/>
      <c r="G6" s="7"/>
      <c r="H6" s="7"/>
      <c r="I6" s="167" t="e">
        <f>K6/J6</f>
        <v>#DIV/0!</v>
      </c>
      <c r="J6" s="6"/>
      <c r="K6" s="6"/>
      <c r="L6" s="134" t="e">
        <f>ROUND(G6*I6,0)</f>
        <v>#DIV/0!</v>
      </c>
      <c r="M6" s="10" t="e">
        <f>ROUND(L6*P6,0)</f>
        <v>#DIV/0!</v>
      </c>
      <c r="N6" s="130" t="e">
        <f>SUM(L6:M6)/Monitoring!$B$18</f>
        <v>#DIV/0!</v>
      </c>
      <c r="O6" s="11" t="e">
        <f>I6-L6/G6</f>
        <v>#DIV/0!</v>
      </c>
      <c r="P6" s="11">
        <v>0.13</v>
      </c>
      <c r="Q6" s="119"/>
      <c r="R6" s="93"/>
      <c r="S6" s="93"/>
      <c r="T6" s="21"/>
    </row>
    <row r="7" spans="1:23" s="12" customFormat="1" x14ac:dyDescent="0.25">
      <c r="A7" s="3" t="s">
        <v>84</v>
      </c>
      <c r="B7" s="1" t="s">
        <v>44</v>
      </c>
      <c r="C7" s="4" t="s">
        <v>63</v>
      </c>
      <c r="D7" s="4" t="s">
        <v>79</v>
      </c>
      <c r="E7" s="3" t="s">
        <v>85</v>
      </c>
      <c r="F7" s="3" t="s">
        <v>10</v>
      </c>
      <c r="G7" s="7">
        <v>859999</v>
      </c>
      <c r="H7" s="7">
        <f>ROUND(G7*P7,0)</f>
        <v>111800</v>
      </c>
      <c r="I7" s="167">
        <f>K7/J7</f>
        <v>0.11494252873563218</v>
      </c>
      <c r="J7" s="6">
        <v>174</v>
      </c>
      <c r="K7" s="6">
        <v>20</v>
      </c>
      <c r="L7" s="134">
        <f>ROUND(G7*I7,0)</f>
        <v>98850</v>
      </c>
      <c r="M7" s="10">
        <f>ROUND(L7*P7,0)</f>
        <v>12851</v>
      </c>
      <c r="N7" s="130">
        <f>SUM(L7:M7)/Monitoring!$B$18</f>
        <v>260.3752913752914</v>
      </c>
      <c r="O7" s="11">
        <f>I7-L7/G7</f>
        <v>5.3461703436452623E-7</v>
      </c>
      <c r="P7" s="11">
        <v>0.13</v>
      </c>
      <c r="Q7" s="119">
        <v>44651</v>
      </c>
      <c r="R7" s="93" t="s">
        <v>87</v>
      </c>
      <c r="S7" s="93"/>
      <c r="T7" s="101"/>
    </row>
    <row r="8" spans="1:23" s="12" customFormat="1" x14ac:dyDescent="0.25">
      <c r="A8" s="3" t="s">
        <v>84</v>
      </c>
      <c r="B8" s="1" t="s">
        <v>44</v>
      </c>
      <c r="C8" s="4" t="s">
        <v>64</v>
      </c>
      <c r="D8" s="4" t="s">
        <v>79</v>
      </c>
      <c r="E8" s="3" t="s">
        <v>85</v>
      </c>
      <c r="F8" s="3" t="s">
        <v>10</v>
      </c>
      <c r="G8" s="7">
        <v>860000</v>
      </c>
      <c r="H8" s="7">
        <f t="shared" ref="H8:H75" si="0">ROUND(G8*P8,0)</f>
        <v>111800</v>
      </c>
      <c r="I8" s="167">
        <f t="shared" ref="I8:I9" si="1">K8/J8</f>
        <v>0.11494252873563218</v>
      </c>
      <c r="J8" s="6">
        <v>174</v>
      </c>
      <c r="K8" s="6">
        <v>20</v>
      </c>
      <c r="L8" s="134">
        <f t="shared" ref="L8:L9" si="2">ROUND(G8*I8,0)</f>
        <v>98851</v>
      </c>
      <c r="M8" s="10">
        <f t="shared" ref="M8:M9" si="3">ROUND(L8*P8,0)</f>
        <v>12851</v>
      </c>
      <c r="N8" s="130">
        <f>SUM(L8:M8)/Monitoring!$B$18</f>
        <v>260.3776223776224</v>
      </c>
      <c r="O8" s="11">
        <f t="shared" ref="O8:O9" si="4">I8-L8/G8</f>
        <v>-4.9452018177631452E-7</v>
      </c>
      <c r="P8" s="11">
        <v>0.13</v>
      </c>
      <c r="Q8" s="119">
        <v>44651</v>
      </c>
      <c r="R8" s="93" t="s">
        <v>87</v>
      </c>
      <c r="S8" s="93"/>
      <c r="T8" s="101"/>
    </row>
    <row r="9" spans="1:23" s="12" customFormat="1" x14ac:dyDescent="0.25">
      <c r="A9" s="3" t="s">
        <v>84</v>
      </c>
      <c r="B9" s="1" t="s">
        <v>44</v>
      </c>
      <c r="C9" s="4" t="s">
        <v>65</v>
      </c>
      <c r="D9" s="4" t="s">
        <v>79</v>
      </c>
      <c r="E9" s="3" t="s">
        <v>85</v>
      </c>
      <c r="F9" s="3" t="s">
        <v>10</v>
      </c>
      <c r="G9" s="7">
        <v>859999</v>
      </c>
      <c r="H9" s="7">
        <f t="shared" si="0"/>
        <v>111800</v>
      </c>
      <c r="I9" s="167">
        <f t="shared" si="1"/>
        <v>0.11494252873563218</v>
      </c>
      <c r="J9" s="6">
        <v>174</v>
      </c>
      <c r="K9" s="6">
        <v>20</v>
      </c>
      <c r="L9" s="134">
        <f t="shared" si="2"/>
        <v>98850</v>
      </c>
      <c r="M9" s="10">
        <f t="shared" si="3"/>
        <v>12851</v>
      </c>
      <c r="N9" s="130">
        <f>SUM(L9:M9)/Monitoring!$B$18</f>
        <v>260.3752913752914</v>
      </c>
      <c r="O9" s="11">
        <f t="shared" si="4"/>
        <v>5.3461703436452623E-7</v>
      </c>
      <c r="P9" s="11">
        <v>0.13</v>
      </c>
      <c r="Q9" s="119">
        <v>44651</v>
      </c>
      <c r="R9" s="93" t="s">
        <v>87</v>
      </c>
      <c r="S9" s="93"/>
      <c r="T9" s="101"/>
    </row>
    <row r="10" spans="1:23" s="12" customFormat="1" x14ac:dyDescent="0.25">
      <c r="A10" s="3" t="s">
        <v>84</v>
      </c>
      <c r="B10" s="1" t="s">
        <v>44</v>
      </c>
      <c r="C10" s="4" t="s">
        <v>66</v>
      </c>
      <c r="D10" s="4" t="s">
        <v>79</v>
      </c>
      <c r="E10" s="3" t="s">
        <v>85</v>
      </c>
      <c r="F10" s="3" t="s">
        <v>10</v>
      </c>
      <c r="G10" s="7">
        <v>719999</v>
      </c>
      <c r="H10" s="7">
        <f t="shared" si="0"/>
        <v>93600</v>
      </c>
      <c r="I10" s="167">
        <f t="shared" ref="I10" si="5">K10/J10</f>
        <v>0.13793103448275862</v>
      </c>
      <c r="J10" s="6">
        <v>174</v>
      </c>
      <c r="K10" s="6">
        <v>24</v>
      </c>
      <c r="L10" s="134">
        <f t="shared" ref="L10" si="6">ROUND(G10*I10,0)</f>
        <v>99310</v>
      </c>
      <c r="M10" s="10">
        <f t="shared" ref="M10" si="7">ROUND(L10*P10,0)</f>
        <v>12910</v>
      </c>
      <c r="N10" s="130">
        <f>SUM(L10:M10)/Monitoring!$B$18</f>
        <v>261.58508158508158</v>
      </c>
      <c r="O10" s="11">
        <f t="shared" ref="O10" si="8">I10-L10/G10</f>
        <v>2.8735672094604148E-7</v>
      </c>
      <c r="P10" s="11">
        <v>0.13</v>
      </c>
      <c r="Q10" s="119">
        <v>44732</v>
      </c>
      <c r="R10" s="93" t="s">
        <v>87</v>
      </c>
      <c r="S10" s="93"/>
      <c r="T10" s="101"/>
    </row>
    <row r="11" spans="1:23" s="12" customFormat="1" x14ac:dyDescent="0.25">
      <c r="A11" s="3" t="s">
        <v>84</v>
      </c>
      <c r="B11" s="1" t="s">
        <v>44</v>
      </c>
      <c r="C11" s="4" t="s">
        <v>67</v>
      </c>
      <c r="D11" s="4" t="s">
        <v>79</v>
      </c>
      <c r="E11" s="3" t="s">
        <v>85</v>
      </c>
      <c r="F11" s="3" t="s">
        <v>10</v>
      </c>
      <c r="G11" s="7">
        <v>657391</v>
      </c>
      <c r="H11" s="7">
        <f t="shared" si="0"/>
        <v>85461</v>
      </c>
      <c r="I11" s="167">
        <f t="shared" ref="I11:I22" si="9">K11/J11</f>
        <v>0.13793103448275862</v>
      </c>
      <c r="J11" s="6">
        <v>174</v>
      </c>
      <c r="K11" s="6">
        <v>24</v>
      </c>
      <c r="L11" s="134">
        <f t="shared" ref="L11" si="10">ROUND(G11*I11,0)</f>
        <v>90675</v>
      </c>
      <c r="M11" s="10">
        <f t="shared" ref="M11:M22" si="11">ROUND(L11*P11,0)</f>
        <v>11788</v>
      </c>
      <c r="N11" s="130">
        <f>SUM(L11:M11)/Monitoring!$B$18</f>
        <v>238.84149184149183</v>
      </c>
      <c r="O11" s="11">
        <f t="shared" ref="O11" si="12">I11-L11/G11</f>
        <v>-5.7699351654894038E-7</v>
      </c>
      <c r="P11" s="11">
        <v>0.13</v>
      </c>
      <c r="Q11" s="119">
        <v>44732</v>
      </c>
      <c r="R11" s="93" t="s">
        <v>87</v>
      </c>
      <c r="S11" s="93"/>
      <c r="T11" s="101"/>
    </row>
    <row r="12" spans="1:23" s="12" customFormat="1" x14ac:dyDescent="0.25">
      <c r="A12" s="3" t="s">
        <v>84</v>
      </c>
      <c r="B12" s="1" t="s">
        <v>44</v>
      </c>
      <c r="C12" s="4" t="s">
        <v>68</v>
      </c>
      <c r="D12" s="4" t="s">
        <v>79</v>
      </c>
      <c r="E12" s="3" t="s">
        <v>85</v>
      </c>
      <c r="F12" s="3" t="s">
        <v>10</v>
      </c>
      <c r="G12" s="7">
        <v>719999</v>
      </c>
      <c r="H12" s="7">
        <f t="shared" si="0"/>
        <v>93600</v>
      </c>
      <c r="I12" s="167">
        <f t="shared" ref="I12" si="13">K12/J12</f>
        <v>0.13793103448275862</v>
      </c>
      <c r="J12" s="6">
        <v>174</v>
      </c>
      <c r="K12" s="6">
        <v>24</v>
      </c>
      <c r="L12" s="134">
        <f t="shared" ref="L12" si="14">ROUND(G12*I12,0)</f>
        <v>99310</v>
      </c>
      <c r="M12" s="10">
        <f t="shared" ref="M12" si="15">ROUND(L12*P12,0)</f>
        <v>12910</v>
      </c>
      <c r="N12" s="130">
        <f>SUM(L12:M12)/Monitoring!$B$18</f>
        <v>261.58508158508158</v>
      </c>
      <c r="O12" s="11">
        <f t="shared" ref="O12" si="16">I12-L12/G12</f>
        <v>2.8735672094604148E-7</v>
      </c>
      <c r="P12" s="11">
        <v>0.13</v>
      </c>
      <c r="Q12" s="119">
        <v>44789</v>
      </c>
      <c r="R12" s="93" t="s">
        <v>87</v>
      </c>
      <c r="S12" s="93"/>
      <c r="T12" s="101"/>
    </row>
    <row r="13" spans="1:23" s="12" customFormat="1" x14ac:dyDescent="0.25">
      <c r="A13" s="3" t="s">
        <v>84</v>
      </c>
      <c r="B13" s="1" t="s">
        <v>44</v>
      </c>
      <c r="C13" s="4" t="s">
        <v>71</v>
      </c>
      <c r="D13" s="4" t="s">
        <v>79</v>
      </c>
      <c r="E13" s="3" t="s">
        <v>107</v>
      </c>
      <c r="F13" s="3" t="s">
        <v>10</v>
      </c>
      <c r="G13" s="7">
        <v>775999</v>
      </c>
      <c r="H13" s="7">
        <f t="shared" si="0"/>
        <v>100880</v>
      </c>
      <c r="I13" s="167">
        <f t="shared" ref="I13" si="17">K13/J13</f>
        <v>0.12643678160919541</v>
      </c>
      <c r="J13" s="6">
        <v>174</v>
      </c>
      <c r="K13" s="6">
        <v>22</v>
      </c>
      <c r="L13" s="134">
        <f t="shared" ref="L13" si="18">ROUND(G13*I13,0)</f>
        <v>98115</v>
      </c>
      <c r="M13" s="10">
        <f t="shared" ref="M13" si="19">ROUND(L13*P13,0)</f>
        <v>12755</v>
      </c>
      <c r="N13" s="130">
        <f>SUM(L13:M13)/Monitoring!$B$18</f>
        <v>258.43822843822846</v>
      </c>
      <c r="O13" s="11">
        <f t="shared" ref="O13" si="20">I13-L13/G13</f>
        <v>-2.3699521001230295E-7</v>
      </c>
      <c r="P13" s="11">
        <v>0.13</v>
      </c>
      <c r="Q13" s="119">
        <v>44825</v>
      </c>
      <c r="R13" s="93" t="s">
        <v>87</v>
      </c>
      <c r="S13" s="93"/>
      <c r="T13" s="101"/>
    </row>
    <row r="14" spans="1:23" s="12" customFormat="1" x14ac:dyDescent="0.25">
      <c r="A14" s="3" t="s">
        <v>84</v>
      </c>
      <c r="B14" s="1" t="s">
        <v>44</v>
      </c>
      <c r="C14" s="4" t="s">
        <v>72</v>
      </c>
      <c r="D14" s="4" t="s">
        <v>79</v>
      </c>
      <c r="E14" s="3" t="s">
        <v>107</v>
      </c>
      <c r="F14" s="3" t="s">
        <v>10</v>
      </c>
      <c r="G14" s="7">
        <v>776000</v>
      </c>
      <c r="H14" s="7">
        <f t="shared" si="0"/>
        <v>100880</v>
      </c>
      <c r="I14" s="167">
        <f t="shared" ref="I14:I15" si="21">K14/J14</f>
        <v>0.12643678160919541</v>
      </c>
      <c r="J14" s="6">
        <v>174</v>
      </c>
      <c r="K14" s="6">
        <v>22</v>
      </c>
      <c r="L14" s="134">
        <f t="shared" ref="L14:L15" si="22">ROUND(G14*I14,0)</f>
        <v>98115</v>
      </c>
      <c r="M14" s="10">
        <f t="shared" ref="M14:M15" si="23">ROUND(L14*P14,0)</f>
        <v>12755</v>
      </c>
      <c r="N14" s="130">
        <f>SUM(L14:M14)/Monitoring!$B$18</f>
        <v>258.43822843822846</v>
      </c>
      <c r="O14" s="11">
        <f t="shared" ref="O14:O15" si="24">I14-L14/G14</f>
        <v>-7.4060907684359023E-8</v>
      </c>
      <c r="P14" s="11">
        <v>0.13</v>
      </c>
      <c r="Q14" s="119">
        <v>44825</v>
      </c>
      <c r="R14" s="93" t="s">
        <v>87</v>
      </c>
      <c r="S14" s="93" t="s">
        <v>110</v>
      </c>
      <c r="T14" s="101"/>
      <c r="U14" s="155" t="e">
        <v>#N/A</v>
      </c>
      <c r="V14" s="155" t="e">
        <v>#N/A</v>
      </c>
      <c r="W14" s="159" t="e">
        <v>#N/A</v>
      </c>
    </row>
    <row r="15" spans="1:23" s="12" customFormat="1" x14ac:dyDescent="0.25">
      <c r="A15" s="3" t="s">
        <v>84</v>
      </c>
      <c r="B15" s="1" t="s">
        <v>44</v>
      </c>
      <c r="C15" s="4" t="s">
        <v>73</v>
      </c>
      <c r="D15" s="4" t="s">
        <v>79</v>
      </c>
      <c r="E15" s="3" t="s">
        <v>107</v>
      </c>
      <c r="F15" s="3" t="s">
        <v>10</v>
      </c>
      <c r="G15" s="7">
        <v>901299</v>
      </c>
      <c r="H15" s="7">
        <f t="shared" si="0"/>
        <v>117169</v>
      </c>
      <c r="I15" s="167">
        <f t="shared" si="21"/>
        <v>0.10919540229885058</v>
      </c>
      <c r="J15" s="6">
        <v>174</v>
      </c>
      <c r="K15" s="6">
        <v>19</v>
      </c>
      <c r="L15" s="134">
        <f t="shared" si="22"/>
        <v>98418</v>
      </c>
      <c r="M15" s="10">
        <f t="shared" si="23"/>
        <v>12794</v>
      </c>
      <c r="N15" s="130">
        <f>SUM(L15:M15)/Monitoring!$B$18</f>
        <v>259.23543123543124</v>
      </c>
      <c r="O15" s="11">
        <f t="shared" si="24"/>
        <v>-3.2520112445977301E-7</v>
      </c>
      <c r="P15" s="11">
        <v>0.13</v>
      </c>
      <c r="Q15" s="119">
        <v>44893</v>
      </c>
      <c r="R15" s="93" t="s">
        <v>87</v>
      </c>
      <c r="S15" s="93" t="s">
        <v>110</v>
      </c>
      <c r="T15" s="101"/>
      <c r="U15" s="155" t="s">
        <v>131</v>
      </c>
      <c r="V15" s="155" t="s">
        <v>132</v>
      </c>
      <c r="W15" s="166" t="s">
        <v>132</v>
      </c>
    </row>
    <row r="16" spans="1:23" s="12" customFormat="1" x14ac:dyDescent="0.25">
      <c r="A16" s="3" t="s">
        <v>84</v>
      </c>
      <c r="B16" s="1" t="s">
        <v>44</v>
      </c>
      <c r="C16" s="4" t="s">
        <v>74</v>
      </c>
      <c r="D16" s="4" t="s">
        <v>79</v>
      </c>
      <c r="E16" s="3" t="s">
        <v>107</v>
      </c>
      <c r="F16" s="3" t="s">
        <v>10</v>
      </c>
      <c r="G16" s="7">
        <v>888500</v>
      </c>
      <c r="H16" s="7">
        <f t="shared" ref="H16" si="25">ROUND(G16*P16,0)</f>
        <v>115505</v>
      </c>
      <c r="I16" s="167">
        <f t="shared" ref="I16" si="26">K16/J16</f>
        <v>0.10919540229885058</v>
      </c>
      <c r="J16" s="6">
        <v>174</v>
      </c>
      <c r="K16" s="6">
        <v>19</v>
      </c>
      <c r="L16" s="134">
        <f t="shared" ref="L16" si="27">ROUND(G16*I16,0)</f>
        <v>97020</v>
      </c>
      <c r="M16" s="10">
        <f t="shared" ref="M16" si="28">ROUND(L16*P16,0)</f>
        <v>12613</v>
      </c>
      <c r="N16" s="130">
        <f>SUM(L16:M16)/Monitoring!$B$18</f>
        <v>255.55477855477855</v>
      </c>
      <c r="O16" s="11">
        <f t="shared" ref="O16" si="29">I16-L16/G16</f>
        <v>1.2936694286647121E-7</v>
      </c>
      <c r="P16" s="11">
        <v>0.13</v>
      </c>
      <c r="Q16" s="119">
        <v>41284</v>
      </c>
      <c r="R16" s="93" t="s">
        <v>87</v>
      </c>
      <c r="S16" s="93" t="s">
        <v>110</v>
      </c>
      <c r="T16" s="101"/>
      <c r="U16" s="12" t="s">
        <v>131</v>
      </c>
      <c r="V16" s="12">
        <v>0</v>
      </c>
      <c r="W16" s="12">
        <v>0</v>
      </c>
    </row>
    <row r="17" spans="1:23" s="12" customFormat="1" x14ac:dyDescent="0.25">
      <c r="A17" s="3" t="s">
        <v>84</v>
      </c>
      <c r="B17" s="1" t="s">
        <v>44</v>
      </c>
      <c r="C17" s="4" t="s">
        <v>75</v>
      </c>
      <c r="D17" s="4" t="s">
        <v>79</v>
      </c>
      <c r="E17" s="3" t="s">
        <v>107</v>
      </c>
      <c r="F17" s="3" t="s">
        <v>10</v>
      </c>
      <c r="G17" s="7">
        <v>888500</v>
      </c>
      <c r="H17" s="7">
        <f t="shared" ref="H17" si="30">ROUND(G17*P17,0)</f>
        <v>115505</v>
      </c>
      <c r="I17" s="167">
        <f t="shared" ref="I17" si="31">K17/J17</f>
        <v>0.10919540229885058</v>
      </c>
      <c r="J17" s="6">
        <v>174</v>
      </c>
      <c r="K17" s="6">
        <v>19</v>
      </c>
      <c r="L17" s="134">
        <f t="shared" ref="L17" si="32">ROUND(G17*I17,0)</f>
        <v>97020</v>
      </c>
      <c r="M17" s="10">
        <f t="shared" ref="M17" si="33">ROUND(L17*P17,0)</f>
        <v>12613</v>
      </c>
      <c r="N17" s="130">
        <f>SUM(L17:M17)/Monitoring!$B$18</f>
        <v>255.55477855477855</v>
      </c>
      <c r="O17" s="11">
        <f t="shared" ref="O17" si="34">I17-L17/G17</f>
        <v>1.2936694286647121E-7</v>
      </c>
      <c r="P17" s="11">
        <v>0.13</v>
      </c>
      <c r="Q17" s="119">
        <v>44953</v>
      </c>
      <c r="R17" s="93" t="s">
        <v>87</v>
      </c>
      <c r="S17" s="93" t="s">
        <v>110</v>
      </c>
      <c r="T17" s="101"/>
      <c r="U17" s="12" t="str">
        <f>IF(VLOOKUP($S17,'Havi béradatok'!$B:$E,2,FALSE)=E17,"EGYEZIK","HIBÁS")</f>
        <v>EGYEZIK</v>
      </c>
      <c r="V17" s="12">
        <f>VLOOKUP($S17,'Havi béradatok'!$B:$E,3,FALSE)-G17</f>
        <v>-125300</v>
      </c>
      <c r="W17" s="12">
        <f>VLOOKUP($S17,'Havi béradatok'!$B:$E,4,FALSE)-H17</f>
        <v>-16289</v>
      </c>
    </row>
    <row r="18" spans="1:23" s="12" customFormat="1" x14ac:dyDescent="0.25">
      <c r="A18" s="3" t="s">
        <v>84</v>
      </c>
      <c r="B18" s="1" t="s">
        <v>44</v>
      </c>
      <c r="C18" s="4" t="s">
        <v>127</v>
      </c>
      <c r="D18" s="4" t="s">
        <v>79</v>
      </c>
      <c r="E18" s="3" t="s">
        <v>107</v>
      </c>
      <c r="F18" s="3" t="s">
        <v>10</v>
      </c>
      <c r="G18" s="7">
        <v>763200</v>
      </c>
      <c r="H18" s="7">
        <f t="shared" ref="H18" si="35">ROUND(G18*P18,0)</f>
        <v>99216</v>
      </c>
      <c r="I18" s="167">
        <f t="shared" ref="I18" si="36">K18/J18</f>
        <v>0.13218390804597702</v>
      </c>
      <c r="J18" s="6">
        <v>174</v>
      </c>
      <c r="K18" s="6">
        <v>23</v>
      </c>
      <c r="L18" s="134">
        <f t="shared" ref="L18" si="37">ROUND(G18*I18,0)</f>
        <v>100883</v>
      </c>
      <c r="M18" s="10">
        <f t="shared" ref="M18" si="38">ROUND(L18*P18,0)</f>
        <v>13115</v>
      </c>
      <c r="N18" s="130">
        <f>SUM(L18:M18)/Monitoring!$B$18</f>
        <v>265.72960372960375</v>
      </c>
      <c r="O18" s="11">
        <f t="shared" ref="O18" si="39">I18-L18/G18</f>
        <v>-3.1627268126666053E-7</v>
      </c>
      <c r="P18" s="11">
        <v>0.13</v>
      </c>
      <c r="Q18" s="119">
        <v>44978</v>
      </c>
      <c r="R18" s="93" t="s">
        <v>87</v>
      </c>
      <c r="S18" s="93" t="s">
        <v>110</v>
      </c>
      <c r="T18" s="101"/>
      <c r="U18" s="12" t="str">
        <f>IF(VLOOKUP($S18,'Havi béradatok'!$B:$E,2,FALSE)=E18,"EGYEZIK","HIBÁS")</f>
        <v>EGYEZIK</v>
      </c>
      <c r="V18" s="12">
        <f>VLOOKUP($S18,'Havi béradatok'!$B:$E,3,FALSE)-G18</f>
        <v>0</v>
      </c>
      <c r="W18" s="12">
        <f>VLOOKUP($S18,'Havi béradatok'!$B:$E,4,FALSE)-H18</f>
        <v>0</v>
      </c>
    </row>
    <row r="19" spans="1:23" s="12" customFormat="1" x14ac:dyDescent="0.25">
      <c r="A19" s="3" t="s">
        <v>84</v>
      </c>
      <c r="B19" s="1" t="s">
        <v>44</v>
      </c>
      <c r="C19" s="4" t="s">
        <v>128</v>
      </c>
      <c r="D19" s="4" t="s">
        <v>79</v>
      </c>
      <c r="E19" s="3" t="s">
        <v>107</v>
      </c>
      <c r="F19" s="3" t="s">
        <v>14</v>
      </c>
      <c r="G19" s="7">
        <v>763200</v>
      </c>
      <c r="H19" s="7">
        <f t="shared" ref="H19" si="40">ROUND(G19*P19,0)</f>
        <v>99216</v>
      </c>
      <c r="I19" s="167">
        <f t="shared" ref="I19" si="41">K19/J19</f>
        <v>0.13218390804597702</v>
      </c>
      <c r="J19" s="6">
        <v>174</v>
      </c>
      <c r="K19" s="6">
        <v>23</v>
      </c>
      <c r="L19" s="134">
        <f t="shared" ref="L19" si="42">ROUND(G19*I19,0)</f>
        <v>100883</v>
      </c>
      <c r="M19" s="10">
        <f t="shared" ref="M19" si="43">ROUND(L19*P19,0)</f>
        <v>13115</v>
      </c>
      <c r="N19" s="130">
        <f>SUM(L19:M19)/Monitoring!$B$18</f>
        <v>265.72960372960375</v>
      </c>
      <c r="O19" s="11">
        <f t="shared" ref="O19" si="44">I19-L19/G19</f>
        <v>-3.1627268126666053E-7</v>
      </c>
      <c r="P19" s="11">
        <v>0.13</v>
      </c>
      <c r="Q19" s="119">
        <v>44978</v>
      </c>
      <c r="R19" s="93" t="s">
        <v>87</v>
      </c>
      <c r="S19" s="93" t="s">
        <v>110</v>
      </c>
      <c r="T19" s="101"/>
    </row>
    <row r="20" spans="1:23" s="12" customFormat="1" x14ac:dyDescent="0.25">
      <c r="A20" s="3" t="s">
        <v>84</v>
      </c>
      <c r="B20" s="1" t="s">
        <v>44</v>
      </c>
      <c r="C20" s="4" t="s">
        <v>129</v>
      </c>
      <c r="D20" s="4" t="s">
        <v>79</v>
      </c>
      <c r="E20" s="3" t="s">
        <v>107</v>
      </c>
      <c r="F20" s="3" t="s">
        <v>14</v>
      </c>
      <c r="G20" s="7">
        <v>860500</v>
      </c>
      <c r="H20" s="7">
        <f t="shared" ref="H20" si="45">ROUND(G20*P20,0)</f>
        <v>111865</v>
      </c>
      <c r="I20" s="167">
        <f t="shared" ref="I20" si="46">K20/J20</f>
        <v>0.1206896551724138</v>
      </c>
      <c r="J20" s="6">
        <v>174</v>
      </c>
      <c r="K20" s="6">
        <v>21</v>
      </c>
      <c r="L20" s="134">
        <f t="shared" ref="L20" si="47">ROUND(G20*I20,0)</f>
        <v>103853</v>
      </c>
      <c r="M20" s="10">
        <f t="shared" ref="M20" si="48">ROUND(L20*P20,0)</f>
        <v>13501</v>
      </c>
      <c r="N20" s="130">
        <f>SUM(L20:M20)/Monitoring!$B$18</f>
        <v>273.55244755244757</v>
      </c>
      <c r="O20" s="11">
        <f t="shared" ref="O20" si="49">I20-L20/G20</f>
        <v>5.2094812559577708E-7</v>
      </c>
      <c r="P20" s="11">
        <v>0.13</v>
      </c>
      <c r="Q20" s="119">
        <v>45034</v>
      </c>
      <c r="R20" s="93" t="s">
        <v>87</v>
      </c>
      <c r="S20" s="93" t="s">
        <v>110</v>
      </c>
      <c r="T20" s="101"/>
    </row>
    <row r="21" spans="1:23" s="12" customFormat="1" x14ac:dyDescent="0.25">
      <c r="A21" s="3" t="s">
        <v>84</v>
      </c>
      <c r="B21" s="1" t="s">
        <v>44</v>
      </c>
      <c r="C21" s="4" t="s">
        <v>130</v>
      </c>
      <c r="D21" s="4" t="s">
        <v>79</v>
      </c>
      <c r="E21" s="3" t="s">
        <v>107</v>
      </c>
      <c r="F21" s="3" t="s">
        <v>14</v>
      </c>
      <c r="G21" s="7">
        <v>860500</v>
      </c>
      <c r="H21" s="7">
        <f t="shared" ref="H21" si="50">ROUND(G21*P21,0)</f>
        <v>111865</v>
      </c>
      <c r="I21" s="167">
        <f t="shared" ref="I21" si="51">K21/J21</f>
        <v>0.1206896551724138</v>
      </c>
      <c r="J21" s="6">
        <v>174</v>
      </c>
      <c r="K21" s="6">
        <v>21</v>
      </c>
      <c r="L21" s="134">
        <f t="shared" ref="L21" si="52">ROUND(G21*I21,0)</f>
        <v>103853</v>
      </c>
      <c r="M21" s="10">
        <f t="shared" ref="M21" si="53">ROUND(L21*P21,0)</f>
        <v>13501</v>
      </c>
      <c r="N21" s="130">
        <f>SUM(L21:M21)/Monitoring!$B$18</f>
        <v>273.55244755244757</v>
      </c>
      <c r="O21" s="11">
        <f t="shared" ref="O21" si="54">I21-L21/G21</f>
        <v>5.2094812559577708E-7</v>
      </c>
      <c r="P21" s="11">
        <v>0.13</v>
      </c>
      <c r="Q21" s="119">
        <v>45034</v>
      </c>
      <c r="R21" s="93" t="s">
        <v>87</v>
      </c>
      <c r="S21" s="93" t="s">
        <v>110</v>
      </c>
      <c r="T21" s="101"/>
    </row>
    <row r="22" spans="1:23" s="12" customFormat="1" x14ac:dyDescent="0.25">
      <c r="A22" s="3" t="s">
        <v>95</v>
      </c>
      <c r="B22" s="1" t="s">
        <v>80</v>
      </c>
      <c r="C22" s="4" t="s">
        <v>66</v>
      </c>
      <c r="D22" s="4" t="s">
        <v>79</v>
      </c>
      <c r="E22" s="3" t="s">
        <v>96</v>
      </c>
      <c r="F22" s="3" t="s">
        <v>10</v>
      </c>
      <c r="G22" s="7">
        <v>610000</v>
      </c>
      <c r="H22" s="7">
        <f t="shared" si="0"/>
        <v>79300</v>
      </c>
      <c r="I22" s="167">
        <f t="shared" si="9"/>
        <v>0.17241379310344829</v>
      </c>
      <c r="J22" s="6">
        <v>174</v>
      </c>
      <c r="K22" s="6">
        <v>30</v>
      </c>
      <c r="L22" s="134">
        <v>101781</v>
      </c>
      <c r="M22" s="10">
        <f t="shared" si="11"/>
        <v>13232</v>
      </c>
      <c r="N22" s="130">
        <f>SUM(L22:M22)/Monitoring!$B$18</f>
        <v>268.09557109557107</v>
      </c>
      <c r="O22" s="11">
        <f t="shared" ref="O22" si="55">I22-L22/G22</f>
        <v>5.5596947427925536E-3</v>
      </c>
      <c r="P22" s="11">
        <v>0.13</v>
      </c>
      <c r="Q22" s="119">
        <v>44734</v>
      </c>
      <c r="R22" s="93" t="s">
        <v>87</v>
      </c>
      <c r="S22" s="93"/>
      <c r="T22" s="101"/>
    </row>
    <row r="23" spans="1:23" s="12" customFormat="1" x14ac:dyDescent="0.25">
      <c r="A23" s="3" t="s">
        <v>95</v>
      </c>
      <c r="B23" s="1" t="s">
        <v>80</v>
      </c>
      <c r="C23" s="4" t="s">
        <v>67</v>
      </c>
      <c r="D23" s="4" t="s">
        <v>79</v>
      </c>
      <c r="E23" s="3" t="s">
        <v>96</v>
      </c>
      <c r="F23" s="3" t="s">
        <v>10</v>
      </c>
      <c r="G23" s="7">
        <v>477391</v>
      </c>
      <c r="H23" s="7">
        <f t="shared" si="0"/>
        <v>62061</v>
      </c>
      <c r="I23" s="167">
        <f t="shared" ref="I23:I34" si="56">K23/J23</f>
        <v>0.17241379310344829</v>
      </c>
      <c r="J23" s="6">
        <v>174</v>
      </c>
      <c r="K23" s="6">
        <v>30</v>
      </c>
      <c r="L23" s="134">
        <f t="shared" ref="L23" si="57">ROUND(G23*I23,0)</f>
        <v>82309</v>
      </c>
      <c r="M23" s="10">
        <f t="shared" ref="M23:M34" si="58">ROUND(L23*P23,0)</f>
        <v>10700</v>
      </c>
      <c r="N23" s="130">
        <f>SUM(L23:M23)/Monitoring!$B$18</f>
        <v>216.80419580419581</v>
      </c>
      <c r="O23" s="11">
        <f t="shared" ref="O23:O34" si="59">I23-L23/G23</f>
        <v>-4.3339013872101262E-7</v>
      </c>
      <c r="P23" s="11">
        <v>0.13</v>
      </c>
      <c r="Q23" s="119">
        <v>44734</v>
      </c>
      <c r="R23" s="93" t="s">
        <v>87</v>
      </c>
      <c r="S23" s="93"/>
      <c r="T23" s="101"/>
    </row>
    <row r="24" spans="1:23" s="12" customFormat="1" x14ac:dyDescent="0.25">
      <c r="A24" s="3" t="s">
        <v>95</v>
      </c>
      <c r="B24" s="1" t="s">
        <v>80</v>
      </c>
      <c r="C24" s="4" t="s">
        <v>68</v>
      </c>
      <c r="D24" s="4" t="s">
        <v>79</v>
      </c>
      <c r="E24" s="3" t="s">
        <v>96</v>
      </c>
      <c r="F24" s="3" t="s">
        <v>10</v>
      </c>
      <c r="G24" s="7">
        <v>610000</v>
      </c>
      <c r="H24" s="7">
        <f t="shared" si="0"/>
        <v>79300</v>
      </c>
      <c r="I24" s="167">
        <f t="shared" si="56"/>
        <v>0.17241379310344829</v>
      </c>
      <c r="J24" s="6">
        <v>174</v>
      </c>
      <c r="K24" s="6">
        <v>30</v>
      </c>
      <c r="L24" s="134">
        <v>101781</v>
      </c>
      <c r="M24" s="10">
        <f t="shared" si="58"/>
        <v>13232</v>
      </c>
      <c r="N24" s="130">
        <f>SUM(L24:M24)/Monitoring!$B$18</f>
        <v>268.09557109557107</v>
      </c>
      <c r="O24" s="11">
        <f t="shared" si="59"/>
        <v>5.5596947427925536E-3</v>
      </c>
      <c r="P24" s="11">
        <v>0.13</v>
      </c>
      <c r="Q24" s="119">
        <v>44734</v>
      </c>
      <c r="R24" s="93" t="s">
        <v>87</v>
      </c>
      <c r="S24" s="93"/>
      <c r="T24" s="101"/>
    </row>
    <row r="25" spans="1:23" s="12" customFormat="1" x14ac:dyDescent="0.25">
      <c r="A25" s="3" t="s">
        <v>95</v>
      </c>
      <c r="B25" s="1" t="s">
        <v>80</v>
      </c>
      <c r="C25" s="4" t="s">
        <v>71</v>
      </c>
      <c r="D25" s="4" t="s">
        <v>79</v>
      </c>
      <c r="E25" s="3" t="s">
        <v>96</v>
      </c>
      <c r="F25" s="3" t="s">
        <v>10</v>
      </c>
      <c r="G25" s="7">
        <v>660000</v>
      </c>
      <c r="H25" s="7">
        <f t="shared" si="0"/>
        <v>85800</v>
      </c>
      <c r="I25" s="167">
        <f t="shared" ref="I25" si="60">K25/J25</f>
        <v>0.14942528735632185</v>
      </c>
      <c r="J25" s="6">
        <v>174</v>
      </c>
      <c r="K25" s="6">
        <v>26</v>
      </c>
      <c r="L25" s="134">
        <v>98621</v>
      </c>
      <c r="M25" s="10">
        <f t="shared" ref="M25" si="61">ROUND(L25*P25,0)</f>
        <v>12821</v>
      </c>
      <c r="N25" s="130">
        <f>SUM(L25:M25)/Monitoring!$B$18</f>
        <v>259.77156177156178</v>
      </c>
      <c r="O25" s="11">
        <f t="shared" ref="O25" si="62">I25-L25/G25</f>
        <v>-4.7021943572200797E-7</v>
      </c>
      <c r="P25" s="11">
        <v>0.13</v>
      </c>
      <c r="Q25" s="119">
        <v>44832</v>
      </c>
      <c r="R25" s="93" t="s">
        <v>87</v>
      </c>
      <c r="S25" s="93"/>
      <c r="T25" s="101"/>
    </row>
    <row r="26" spans="1:23" s="12" customFormat="1" x14ac:dyDescent="0.25">
      <c r="A26" s="3" t="s">
        <v>95</v>
      </c>
      <c r="B26" s="1" t="s">
        <v>80</v>
      </c>
      <c r="C26" s="4" t="s">
        <v>72</v>
      </c>
      <c r="D26" s="4" t="s">
        <v>79</v>
      </c>
      <c r="E26" s="3" t="s">
        <v>96</v>
      </c>
      <c r="F26" s="3" t="s">
        <v>10</v>
      </c>
      <c r="G26" s="7">
        <v>660000</v>
      </c>
      <c r="H26" s="7">
        <f t="shared" si="0"/>
        <v>85800</v>
      </c>
      <c r="I26" s="167">
        <f t="shared" ref="I26" si="63">K26/J26</f>
        <v>0.14942528735632185</v>
      </c>
      <c r="J26" s="6">
        <v>174</v>
      </c>
      <c r="K26" s="6">
        <v>26</v>
      </c>
      <c r="L26" s="134">
        <v>98621</v>
      </c>
      <c r="M26" s="10">
        <f t="shared" ref="M26" si="64">ROUND(L26*P26,0)</f>
        <v>12821</v>
      </c>
      <c r="N26" s="130">
        <f>SUM(L26:M26)/Monitoring!$B$18</f>
        <v>259.77156177156178</v>
      </c>
      <c r="O26" s="11">
        <f t="shared" ref="O26" si="65">I26-L26/G26</f>
        <v>-4.7021943572200797E-7</v>
      </c>
      <c r="P26" s="11">
        <v>0.13</v>
      </c>
      <c r="Q26" s="119">
        <v>44875</v>
      </c>
      <c r="R26" s="93" t="s">
        <v>87</v>
      </c>
      <c r="S26" s="93" t="s">
        <v>111</v>
      </c>
      <c r="T26" s="101"/>
      <c r="U26" s="155" t="e">
        <v>#N/A</v>
      </c>
      <c r="V26" s="159" t="e">
        <v>#N/A</v>
      </c>
      <c r="W26" s="155" t="e">
        <v>#N/A</v>
      </c>
    </row>
    <row r="27" spans="1:23" s="12" customFormat="1" x14ac:dyDescent="0.25">
      <c r="A27" s="3" t="s">
        <v>95</v>
      </c>
      <c r="B27" s="1" t="s">
        <v>80</v>
      </c>
      <c r="C27" s="4" t="s">
        <v>73</v>
      </c>
      <c r="D27" s="4" t="s">
        <v>79</v>
      </c>
      <c r="E27" s="3" t="s">
        <v>96</v>
      </c>
      <c r="F27" s="3" t="s">
        <v>10</v>
      </c>
      <c r="G27" s="7">
        <v>660000</v>
      </c>
      <c r="H27" s="7">
        <f t="shared" si="0"/>
        <v>85800</v>
      </c>
      <c r="I27" s="167">
        <f t="shared" ref="I27" si="66">K27/J27</f>
        <v>0.14942528735632185</v>
      </c>
      <c r="J27" s="6">
        <v>174</v>
      </c>
      <c r="K27" s="6">
        <v>26</v>
      </c>
      <c r="L27" s="134">
        <v>98621</v>
      </c>
      <c r="M27" s="10">
        <f t="shared" ref="M27" si="67">ROUND(L27*P27,0)</f>
        <v>12821</v>
      </c>
      <c r="N27" s="130">
        <f>SUM(L27:M27)/Monitoring!$B$18</f>
        <v>259.77156177156178</v>
      </c>
      <c r="O27" s="11">
        <f t="shared" ref="O27" si="68">I27-L27/G27</f>
        <v>-4.7021943572200797E-7</v>
      </c>
      <c r="P27" s="11">
        <v>0.13</v>
      </c>
      <c r="Q27" s="119">
        <v>44875</v>
      </c>
      <c r="R27" s="93" t="s">
        <v>87</v>
      </c>
      <c r="S27" s="93" t="s">
        <v>111</v>
      </c>
      <c r="T27" s="101"/>
      <c r="U27" s="155" t="s">
        <v>131</v>
      </c>
      <c r="V27" s="155" t="s">
        <v>132</v>
      </c>
      <c r="W27" s="155" t="s">
        <v>132</v>
      </c>
    </row>
    <row r="28" spans="1:23" s="12" customFormat="1" x14ac:dyDescent="0.25">
      <c r="A28" s="3" t="s">
        <v>95</v>
      </c>
      <c r="B28" s="1" t="s">
        <v>80</v>
      </c>
      <c r="C28" s="4" t="s">
        <v>74</v>
      </c>
      <c r="D28" s="4" t="s">
        <v>79</v>
      </c>
      <c r="E28" s="3" t="s">
        <v>96</v>
      </c>
      <c r="F28" s="3" t="s">
        <v>10</v>
      </c>
      <c r="G28" s="7">
        <v>700000</v>
      </c>
      <c r="H28" s="7">
        <f t="shared" ref="H28" si="69">ROUND(G28*P28,0)</f>
        <v>91000</v>
      </c>
      <c r="I28" s="167">
        <f t="shared" ref="I28" si="70">K28/J28</f>
        <v>0.14367816091954022</v>
      </c>
      <c r="J28" s="6">
        <v>174</v>
      </c>
      <c r="K28" s="6">
        <v>25</v>
      </c>
      <c r="L28" s="134">
        <f t="shared" ref="L28" si="71">ROUND(G28*I28,0)</f>
        <v>100575</v>
      </c>
      <c r="M28" s="10">
        <f t="shared" ref="M28" si="72">ROUND(L28*P28,0)</f>
        <v>13075</v>
      </c>
      <c r="N28" s="130">
        <f>SUM(L28:M28)/Monitoring!$B$18</f>
        <v>264.9184149184149</v>
      </c>
      <c r="O28" s="11">
        <f t="shared" ref="O28" si="73">I28-L28/G28</f>
        <v>-4.1050903121231386E-7</v>
      </c>
      <c r="P28" s="11">
        <v>0.13</v>
      </c>
      <c r="Q28" s="119">
        <v>44944</v>
      </c>
      <c r="R28" s="93" t="s">
        <v>87</v>
      </c>
      <c r="S28" s="93" t="s">
        <v>111</v>
      </c>
      <c r="T28" s="101"/>
      <c r="U28" s="12" t="s">
        <v>131</v>
      </c>
      <c r="V28" s="12">
        <v>0</v>
      </c>
      <c r="W28" s="12">
        <v>0</v>
      </c>
    </row>
    <row r="29" spans="1:23" s="12" customFormat="1" x14ac:dyDescent="0.25">
      <c r="A29" s="3" t="s">
        <v>95</v>
      </c>
      <c r="B29" s="1" t="s">
        <v>80</v>
      </c>
      <c r="C29" s="4" t="s">
        <v>75</v>
      </c>
      <c r="D29" s="4" t="s">
        <v>79</v>
      </c>
      <c r="E29" s="3" t="s">
        <v>96</v>
      </c>
      <c r="F29" s="3" t="s">
        <v>10</v>
      </c>
      <c r="G29" s="7">
        <v>700000</v>
      </c>
      <c r="H29" s="7">
        <f t="shared" ref="H29" si="74">ROUND(G29*P29,0)</f>
        <v>91000</v>
      </c>
      <c r="I29" s="167">
        <f t="shared" ref="I29" si="75">K29/J29</f>
        <v>0.14367816091954022</v>
      </c>
      <c r="J29" s="6">
        <v>174</v>
      </c>
      <c r="K29" s="6">
        <v>25</v>
      </c>
      <c r="L29" s="134">
        <f t="shared" ref="L29" si="76">ROUND(G29*I29,0)</f>
        <v>100575</v>
      </c>
      <c r="M29" s="10">
        <f t="shared" ref="M29" si="77">ROUND(L29*P29,0)</f>
        <v>13075</v>
      </c>
      <c r="N29" s="130">
        <f>SUM(L29:M29)/Monitoring!$B$18</f>
        <v>264.9184149184149</v>
      </c>
      <c r="O29" s="11">
        <f t="shared" ref="O29" si="78">I29-L29/G29</f>
        <v>-4.1050903121231386E-7</v>
      </c>
      <c r="P29" s="11">
        <v>0.13</v>
      </c>
      <c r="Q29" s="119">
        <v>44944</v>
      </c>
      <c r="R29" s="93" t="s">
        <v>87</v>
      </c>
      <c r="S29" s="93" t="s">
        <v>111</v>
      </c>
      <c r="T29" s="101"/>
      <c r="U29" s="12" t="str">
        <f>IF(VLOOKUP($S29,'Havi béradatok'!$B:$E,2,FALSE)=E29,"EGYEZIK","HIBÁS")</f>
        <v>EGYEZIK</v>
      </c>
      <c r="V29" s="12">
        <f>VLOOKUP($S29,'Havi béradatok'!$B:$E,3,FALSE)-G29</f>
        <v>0</v>
      </c>
      <c r="W29" s="12">
        <f>VLOOKUP($S29,'Havi béradatok'!$B:$E,4,FALSE)-H29</f>
        <v>0</v>
      </c>
    </row>
    <row r="30" spans="1:23" s="12" customFormat="1" x14ac:dyDescent="0.25">
      <c r="A30" s="3" t="s">
        <v>95</v>
      </c>
      <c r="B30" s="1" t="s">
        <v>80</v>
      </c>
      <c r="C30" s="4" t="s">
        <v>127</v>
      </c>
      <c r="D30" s="4" t="s">
        <v>79</v>
      </c>
      <c r="E30" s="3" t="s">
        <v>96</v>
      </c>
      <c r="F30" s="3" t="s">
        <v>10</v>
      </c>
      <c r="G30" s="7">
        <v>700000</v>
      </c>
      <c r="H30" s="7">
        <f t="shared" ref="H30" si="79">ROUND(G30*P30,0)</f>
        <v>91000</v>
      </c>
      <c r="I30" s="167">
        <f t="shared" ref="I30" si="80">K30/J30</f>
        <v>0.14367816091954022</v>
      </c>
      <c r="J30" s="6">
        <v>174</v>
      </c>
      <c r="K30" s="6">
        <v>25</v>
      </c>
      <c r="L30" s="134">
        <f t="shared" ref="L30" si="81">ROUND(G30*I30,0)</f>
        <v>100575</v>
      </c>
      <c r="M30" s="10">
        <f t="shared" ref="M30" si="82">ROUND(L30*P30,0)</f>
        <v>13075</v>
      </c>
      <c r="N30" s="130">
        <f>SUM(L30:M30)/Monitoring!$B$18</f>
        <v>264.9184149184149</v>
      </c>
      <c r="O30" s="11">
        <f t="shared" ref="O30" si="83">I30-L30/G30</f>
        <v>-4.1050903121231386E-7</v>
      </c>
      <c r="P30" s="11">
        <v>0.13</v>
      </c>
      <c r="Q30" s="119">
        <v>44980</v>
      </c>
      <c r="R30" s="93" t="s">
        <v>87</v>
      </c>
      <c r="S30" s="93" t="s">
        <v>111</v>
      </c>
      <c r="T30" s="101"/>
      <c r="U30" s="12" t="str">
        <f>IF(VLOOKUP($S30,'Havi béradatok'!$B:$E,2,FALSE)=E30,"EGYEZIK","HIBÁS")</f>
        <v>EGYEZIK</v>
      </c>
      <c r="V30" s="12">
        <f>VLOOKUP($S30,'Havi béradatok'!$B:$E,3,FALSE)-G30</f>
        <v>0</v>
      </c>
      <c r="W30" s="12">
        <f>VLOOKUP($S30,'Havi béradatok'!$B:$E,4,FALSE)-H30</f>
        <v>0</v>
      </c>
    </row>
    <row r="31" spans="1:23" s="12" customFormat="1" x14ac:dyDescent="0.25">
      <c r="A31" s="3" t="s">
        <v>95</v>
      </c>
      <c r="B31" s="1" t="s">
        <v>80</v>
      </c>
      <c r="C31" s="4" t="s">
        <v>128</v>
      </c>
      <c r="D31" s="4" t="s">
        <v>79</v>
      </c>
      <c r="E31" s="3" t="s">
        <v>96</v>
      </c>
      <c r="F31" s="3" t="s">
        <v>14</v>
      </c>
      <c r="G31" s="7">
        <v>700000</v>
      </c>
      <c r="H31" s="7">
        <f t="shared" ref="H31" si="84">ROUND(G31*P31,0)</f>
        <v>91000</v>
      </c>
      <c r="I31" s="167">
        <f t="shared" ref="I31" si="85">K31/J31</f>
        <v>0.14367816091954022</v>
      </c>
      <c r="J31" s="6">
        <v>174</v>
      </c>
      <c r="K31" s="6">
        <v>25</v>
      </c>
      <c r="L31" s="134">
        <f t="shared" ref="L31" si="86">ROUND(G31*I31,0)</f>
        <v>100575</v>
      </c>
      <c r="M31" s="10">
        <f t="shared" ref="M31" si="87">ROUND(L31*P31,0)</f>
        <v>13075</v>
      </c>
      <c r="N31" s="130">
        <f>SUM(L31:M31)/Monitoring!$B$18</f>
        <v>264.9184149184149</v>
      </c>
      <c r="O31" s="11">
        <f t="shared" ref="O31" si="88">I31-L31/G31</f>
        <v>-4.1050903121231386E-7</v>
      </c>
      <c r="P31" s="11">
        <v>0.13</v>
      </c>
      <c r="Q31" s="119">
        <v>45002</v>
      </c>
      <c r="R31" s="93" t="s">
        <v>87</v>
      </c>
      <c r="S31" s="93" t="s">
        <v>111</v>
      </c>
      <c r="T31" s="101"/>
      <c r="U31" s="155"/>
      <c r="V31" s="155"/>
      <c r="W31" s="155"/>
    </row>
    <row r="32" spans="1:23" s="12" customFormat="1" x14ac:dyDescent="0.25">
      <c r="A32" s="3" t="s">
        <v>95</v>
      </c>
      <c r="B32" s="1" t="s">
        <v>80</v>
      </c>
      <c r="C32" s="4" t="s">
        <v>129</v>
      </c>
      <c r="D32" s="4" t="s">
        <v>79</v>
      </c>
      <c r="E32" s="3" t="s">
        <v>96</v>
      </c>
      <c r="F32" s="3" t="s">
        <v>14</v>
      </c>
      <c r="G32" s="7">
        <v>700000</v>
      </c>
      <c r="H32" s="7">
        <f t="shared" ref="H32:H33" si="89">ROUND(G32*P32,0)</f>
        <v>91000</v>
      </c>
      <c r="I32" s="167">
        <f t="shared" ref="I32:I33" si="90">K32/J32</f>
        <v>0.14367816091954022</v>
      </c>
      <c r="J32" s="6">
        <v>174</v>
      </c>
      <c r="K32" s="6">
        <v>25</v>
      </c>
      <c r="L32" s="134">
        <f t="shared" ref="L32:L33" si="91">ROUND(G32*I32,0)</f>
        <v>100575</v>
      </c>
      <c r="M32" s="10">
        <f t="shared" ref="M32:M33" si="92">ROUND(L32*P32,0)</f>
        <v>13075</v>
      </c>
      <c r="N32" s="130">
        <f>SUM(L32:M32)/Monitoring!$B$18</f>
        <v>264.9184149184149</v>
      </c>
      <c r="O32" s="11">
        <f t="shared" ref="O32:O33" si="93">I32-L32/G32</f>
        <v>-4.1050903121231386E-7</v>
      </c>
      <c r="P32" s="11">
        <v>0.13</v>
      </c>
      <c r="Q32" s="119">
        <v>45002</v>
      </c>
      <c r="R32" s="93" t="s">
        <v>87</v>
      </c>
      <c r="S32" s="93" t="s">
        <v>111</v>
      </c>
      <c r="T32" s="101"/>
      <c r="U32" s="155"/>
      <c r="V32" s="155"/>
      <c r="W32" s="155"/>
    </row>
    <row r="33" spans="1:23" s="12" customFormat="1" x14ac:dyDescent="0.25">
      <c r="A33" s="3" t="s">
        <v>95</v>
      </c>
      <c r="B33" s="1" t="s">
        <v>80</v>
      </c>
      <c r="C33" s="4" t="s">
        <v>130</v>
      </c>
      <c r="D33" s="4" t="s">
        <v>79</v>
      </c>
      <c r="E33" s="3" t="s">
        <v>96</v>
      </c>
      <c r="F33" s="3" t="s">
        <v>14</v>
      </c>
      <c r="G33" s="7">
        <v>700000</v>
      </c>
      <c r="H33" s="7">
        <f t="shared" si="89"/>
        <v>91000</v>
      </c>
      <c r="I33" s="167">
        <f t="shared" si="90"/>
        <v>0.14367816091954022</v>
      </c>
      <c r="J33" s="6">
        <v>174</v>
      </c>
      <c r="K33" s="6">
        <v>25</v>
      </c>
      <c r="L33" s="134">
        <f t="shared" si="91"/>
        <v>100575</v>
      </c>
      <c r="M33" s="10">
        <f t="shared" si="92"/>
        <v>13075</v>
      </c>
      <c r="N33" s="130">
        <f>SUM(L33:M33)/Monitoring!$B$18</f>
        <v>264.9184149184149</v>
      </c>
      <c r="O33" s="11">
        <f t="shared" si="93"/>
        <v>-4.1050903121231386E-7</v>
      </c>
      <c r="P33" s="11">
        <v>0.13</v>
      </c>
      <c r="Q33" s="119">
        <v>45002</v>
      </c>
      <c r="R33" s="93" t="s">
        <v>87</v>
      </c>
      <c r="S33" s="93" t="s">
        <v>111</v>
      </c>
      <c r="T33" s="101"/>
      <c r="U33" s="155"/>
      <c r="V33" s="155"/>
      <c r="W33" s="155"/>
    </row>
    <row r="34" spans="1:23" s="12" customFormat="1" x14ac:dyDescent="0.25">
      <c r="A34" s="3" t="s">
        <v>97</v>
      </c>
      <c r="B34" s="1" t="s">
        <v>80</v>
      </c>
      <c r="C34" s="4" t="s">
        <v>66</v>
      </c>
      <c r="D34" s="4" t="s">
        <v>79</v>
      </c>
      <c r="E34" s="3" t="s">
        <v>96</v>
      </c>
      <c r="F34" s="3" t="s">
        <v>10</v>
      </c>
      <c r="G34" s="7">
        <v>958000</v>
      </c>
      <c r="H34" s="7">
        <f t="shared" si="0"/>
        <v>124540</v>
      </c>
      <c r="I34" s="167">
        <f t="shared" si="56"/>
        <v>0.21264367816091953</v>
      </c>
      <c r="J34" s="6">
        <v>174</v>
      </c>
      <c r="K34" s="6">
        <v>37</v>
      </c>
      <c r="L34" s="134">
        <v>199713</v>
      </c>
      <c r="M34" s="10">
        <f t="shared" si="58"/>
        <v>25963</v>
      </c>
      <c r="N34" s="130">
        <f>SUM(L34:M34)/Monitoring!$B$18</f>
        <v>526.0512820512821</v>
      </c>
      <c r="O34" s="11">
        <f t="shared" si="59"/>
        <v>4.1749934010030243E-3</v>
      </c>
      <c r="P34" s="11">
        <v>0.13</v>
      </c>
      <c r="Q34" s="119">
        <v>44734</v>
      </c>
      <c r="R34" s="93" t="s">
        <v>87</v>
      </c>
      <c r="S34" s="93"/>
      <c r="T34" s="101"/>
    </row>
    <row r="35" spans="1:23" s="12" customFormat="1" x14ac:dyDescent="0.25">
      <c r="A35" s="3" t="s">
        <v>97</v>
      </c>
      <c r="B35" s="1" t="s">
        <v>80</v>
      </c>
      <c r="C35" s="4" t="s">
        <v>67</v>
      </c>
      <c r="D35" s="4" t="s">
        <v>79</v>
      </c>
      <c r="E35" s="3" t="s">
        <v>96</v>
      </c>
      <c r="F35" s="3" t="s">
        <v>10</v>
      </c>
      <c r="G35" s="7">
        <v>791391</v>
      </c>
      <c r="H35" s="7">
        <f t="shared" si="0"/>
        <v>102881</v>
      </c>
      <c r="I35" s="167">
        <f t="shared" ref="I35:I36" si="94">K35/J35</f>
        <v>0.21264367816091953</v>
      </c>
      <c r="J35" s="6">
        <v>174</v>
      </c>
      <c r="K35" s="6">
        <v>37</v>
      </c>
      <c r="L35" s="134">
        <f t="shared" ref="L35" si="95">ROUND(G35*I35,0)</f>
        <v>168284</v>
      </c>
      <c r="M35" s="10">
        <f t="shared" ref="M35:M36" si="96">ROUND(L35*P35,0)</f>
        <v>21877</v>
      </c>
      <c r="N35" s="130">
        <f>SUM(L35:M35)/Monitoring!$B$18</f>
        <v>443.26573426573424</v>
      </c>
      <c r="O35" s="11">
        <f t="shared" ref="O35:O36" si="97">I35-L35/G35</f>
        <v>3.7036489961006502E-7</v>
      </c>
      <c r="P35" s="11">
        <v>0.13</v>
      </c>
      <c r="Q35" s="119">
        <v>44734</v>
      </c>
      <c r="R35" s="93" t="s">
        <v>87</v>
      </c>
      <c r="S35" s="93"/>
      <c r="T35" s="101"/>
    </row>
    <row r="36" spans="1:23" s="12" customFormat="1" x14ac:dyDescent="0.25">
      <c r="A36" s="3" t="s">
        <v>97</v>
      </c>
      <c r="B36" s="1" t="s">
        <v>80</v>
      </c>
      <c r="C36" s="4" t="s">
        <v>68</v>
      </c>
      <c r="D36" s="4" t="s">
        <v>79</v>
      </c>
      <c r="E36" s="3" t="s">
        <v>96</v>
      </c>
      <c r="F36" s="3" t="s">
        <v>10</v>
      </c>
      <c r="G36" s="7">
        <v>957999</v>
      </c>
      <c r="H36" s="7">
        <f t="shared" si="0"/>
        <v>124540</v>
      </c>
      <c r="I36" s="167">
        <f t="shared" si="94"/>
        <v>0.21264367816091953</v>
      </c>
      <c r="J36" s="6">
        <v>174</v>
      </c>
      <c r="K36" s="6">
        <v>37</v>
      </c>
      <c r="L36" s="134">
        <v>199713</v>
      </c>
      <c r="M36" s="10">
        <f t="shared" si="96"/>
        <v>25963</v>
      </c>
      <c r="N36" s="130">
        <f>SUM(L36:M36)/Monitoring!$B$18</f>
        <v>526.0512820512821</v>
      </c>
      <c r="O36" s="11">
        <f t="shared" si="97"/>
        <v>4.1747757925454376E-3</v>
      </c>
      <c r="P36" s="11">
        <v>0.13</v>
      </c>
      <c r="Q36" s="119">
        <v>44734</v>
      </c>
      <c r="R36" s="93" t="s">
        <v>87</v>
      </c>
      <c r="S36" s="93"/>
      <c r="T36" s="101"/>
    </row>
    <row r="37" spans="1:23" s="12" customFormat="1" x14ac:dyDescent="0.25">
      <c r="A37" s="3" t="s">
        <v>97</v>
      </c>
      <c r="B37" s="1" t="s">
        <v>80</v>
      </c>
      <c r="C37" s="4" t="s">
        <v>71</v>
      </c>
      <c r="D37" s="4" t="s">
        <v>79</v>
      </c>
      <c r="E37" s="3" t="s">
        <v>96</v>
      </c>
      <c r="F37" s="3" t="s">
        <v>10</v>
      </c>
      <c r="G37" s="7">
        <v>1008000</v>
      </c>
      <c r="H37" s="7">
        <f t="shared" si="0"/>
        <v>131040</v>
      </c>
      <c r="I37" s="167">
        <f t="shared" ref="I37" si="98">K37/J37</f>
        <v>0.20114942528735633</v>
      </c>
      <c r="J37" s="6">
        <v>174</v>
      </c>
      <c r="K37" s="6">
        <v>35</v>
      </c>
      <c r="L37" s="134">
        <v>202724</v>
      </c>
      <c r="M37" s="10">
        <f t="shared" ref="M37" si="99">ROUND(L37*P37,0)</f>
        <v>26354</v>
      </c>
      <c r="N37" s="130">
        <f>SUM(L37:M37)/Monitoring!$B$18</f>
        <v>533.98135198135196</v>
      </c>
      <c r="O37" s="11">
        <f t="shared" ref="O37" si="100">I37-L37/G37</f>
        <v>3.4345922276968199E-5</v>
      </c>
      <c r="P37" s="11">
        <v>0.13</v>
      </c>
      <c r="Q37" s="119">
        <v>44830</v>
      </c>
      <c r="R37" s="93" t="s">
        <v>87</v>
      </c>
      <c r="S37" s="93"/>
      <c r="T37" s="101"/>
    </row>
    <row r="38" spans="1:23" s="12" customFormat="1" x14ac:dyDescent="0.25">
      <c r="A38" s="3" t="s">
        <v>97</v>
      </c>
      <c r="B38" s="1" t="s">
        <v>80</v>
      </c>
      <c r="C38" s="4" t="s">
        <v>72</v>
      </c>
      <c r="D38" s="4" t="s">
        <v>79</v>
      </c>
      <c r="E38" s="3" t="s">
        <v>96</v>
      </c>
      <c r="F38" s="3" t="s">
        <v>10</v>
      </c>
      <c r="G38" s="7">
        <v>1008000</v>
      </c>
      <c r="H38" s="7">
        <f t="shared" si="0"/>
        <v>131040</v>
      </c>
      <c r="I38" s="167">
        <f t="shared" ref="I38:I46" si="101">K38/J38</f>
        <v>0.20114942528735633</v>
      </c>
      <c r="J38" s="6">
        <v>174</v>
      </c>
      <c r="K38" s="6">
        <v>35</v>
      </c>
      <c r="L38" s="134">
        <v>202724</v>
      </c>
      <c r="M38" s="10">
        <f t="shared" ref="M38:M46" si="102">ROUND(L38*P38,0)</f>
        <v>26354</v>
      </c>
      <c r="N38" s="130">
        <f>SUM(L38:M38)/Monitoring!$B$18</f>
        <v>533.98135198135196</v>
      </c>
      <c r="O38" s="11">
        <f t="shared" ref="O38:O46" si="103">I38-L38/G38</f>
        <v>3.4345922276968199E-5</v>
      </c>
      <c r="P38" s="11">
        <v>0.13</v>
      </c>
      <c r="Q38" s="119">
        <v>44860</v>
      </c>
      <c r="R38" s="93" t="s">
        <v>87</v>
      </c>
      <c r="S38" s="93" t="s">
        <v>112</v>
      </c>
      <c r="T38" s="101"/>
      <c r="U38" s="155" t="e">
        <v>#N/A</v>
      </c>
      <c r="V38" s="155" t="e">
        <v>#N/A</v>
      </c>
      <c r="W38" s="155" t="e">
        <v>#N/A</v>
      </c>
    </row>
    <row r="39" spans="1:23" s="12" customFormat="1" x14ac:dyDescent="0.25">
      <c r="A39" s="3" t="s">
        <v>97</v>
      </c>
      <c r="B39" s="1" t="s">
        <v>80</v>
      </c>
      <c r="C39" s="4" t="s">
        <v>73</v>
      </c>
      <c r="D39" s="4" t="s">
        <v>79</v>
      </c>
      <c r="E39" s="3" t="s">
        <v>96</v>
      </c>
      <c r="F39" s="3" t="s">
        <v>10</v>
      </c>
      <c r="G39" s="7">
        <v>1007999</v>
      </c>
      <c r="H39" s="7">
        <f t="shared" si="0"/>
        <v>131040</v>
      </c>
      <c r="I39" s="167">
        <f t="shared" ref="I39" si="104">K39/J39</f>
        <v>0.20114942528735633</v>
      </c>
      <c r="J39" s="6">
        <v>174</v>
      </c>
      <c r="K39" s="6">
        <v>35</v>
      </c>
      <c r="L39" s="134">
        <v>202724</v>
      </c>
      <c r="M39" s="10">
        <f t="shared" ref="M39" si="105">ROUND(L39*P39,0)</f>
        <v>26354</v>
      </c>
      <c r="N39" s="130">
        <f>SUM(L39:M39)/Monitoring!$B$18</f>
        <v>533.98135198135196</v>
      </c>
      <c r="O39" s="11">
        <f t="shared" ref="O39" si="106">I39-L39/G39</f>
        <v>3.4146403151080751E-5</v>
      </c>
      <c r="P39" s="11">
        <v>0.13</v>
      </c>
      <c r="Q39" s="119">
        <v>44860</v>
      </c>
      <c r="R39" s="93" t="s">
        <v>87</v>
      </c>
      <c r="S39" s="93" t="s">
        <v>112</v>
      </c>
      <c r="T39" s="101"/>
      <c r="U39" s="155" t="s">
        <v>131</v>
      </c>
      <c r="V39" s="155" t="s">
        <v>132</v>
      </c>
      <c r="W39" s="155" t="s">
        <v>132</v>
      </c>
    </row>
    <row r="40" spans="1:23" s="12" customFormat="1" x14ac:dyDescent="0.25">
      <c r="A40" s="3" t="s">
        <v>97</v>
      </c>
      <c r="B40" s="1" t="s">
        <v>80</v>
      </c>
      <c r="C40" s="4" t="s">
        <v>74</v>
      </c>
      <c r="D40" s="4" t="s">
        <v>79</v>
      </c>
      <c r="E40" s="3" t="s">
        <v>96</v>
      </c>
      <c r="F40" s="3" t="s">
        <v>10</v>
      </c>
      <c r="G40" s="7">
        <v>1100000</v>
      </c>
      <c r="H40" s="7">
        <f t="shared" ref="H40" si="107">ROUND(G40*P40,0)</f>
        <v>143000</v>
      </c>
      <c r="I40" s="167">
        <f t="shared" ref="I40" si="108">K40/J40</f>
        <v>0.18390804597701149</v>
      </c>
      <c r="J40" s="6">
        <v>174</v>
      </c>
      <c r="K40" s="6">
        <v>32</v>
      </c>
      <c r="L40" s="134">
        <f t="shared" ref="L40" si="109">ROUND(G40*I40,0)</f>
        <v>202299</v>
      </c>
      <c r="M40" s="10">
        <f t="shared" ref="M40" si="110">ROUND(L40*P40,0)</f>
        <v>26299</v>
      </c>
      <c r="N40" s="130">
        <f>SUM(L40:M40)/Monitoring!$B$18</f>
        <v>532.8624708624709</v>
      </c>
      <c r="O40" s="11">
        <f t="shared" ref="O40" si="111">I40-L40/G40</f>
        <v>-1.3584117034004528E-7</v>
      </c>
      <c r="P40" s="11">
        <v>0.13</v>
      </c>
      <c r="Q40" s="119">
        <v>44938</v>
      </c>
      <c r="R40" s="93" t="s">
        <v>87</v>
      </c>
      <c r="S40" s="93" t="s">
        <v>112</v>
      </c>
      <c r="T40" s="101"/>
      <c r="U40" s="12" t="s">
        <v>131</v>
      </c>
      <c r="V40" s="12">
        <v>0</v>
      </c>
      <c r="W40" s="12">
        <v>0</v>
      </c>
    </row>
    <row r="41" spans="1:23" s="12" customFormat="1" x14ac:dyDescent="0.25">
      <c r="A41" s="3" t="s">
        <v>97</v>
      </c>
      <c r="B41" s="1" t="s">
        <v>80</v>
      </c>
      <c r="C41" s="4" t="s">
        <v>75</v>
      </c>
      <c r="D41" s="4" t="s">
        <v>79</v>
      </c>
      <c r="E41" s="3" t="s">
        <v>96</v>
      </c>
      <c r="F41" s="3" t="s">
        <v>10</v>
      </c>
      <c r="G41" s="7">
        <v>1100000</v>
      </c>
      <c r="H41" s="7">
        <f t="shared" ref="H41" si="112">ROUND(G41*P41,0)</f>
        <v>143000</v>
      </c>
      <c r="I41" s="167">
        <f t="shared" ref="I41" si="113">K41/J41</f>
        <v>0.18390804597701149</v>
      </c>
      <c r="J41" s="6">
        <v>174</v>
      </c>
      <c r="K41" s="6">
        <v>32</v>
      </c>
      <c r="L41" s="134">
        <f t="shared" ref="L41" si="114">ROUND(G41*I41,0)</f>
        <v>202299</v>
      </c>
      <c r="M41" s="10">
        <f t="shared" ref="M41" si="115">ROUND(L41*P41,0)</f>
        <v>26299</v>
      </c>
      <c r="N41" s="130">
        <f>SUM(L41:M41)/Monitoring!$B$18</f>
        <v>532.8624708624709</v>
      </c>
      <c r="O41" s="11">
        <f t="shared" ref="O41" si="116">I41-L41/G41</f>
        <v>-1.3584117034004528E-7</v>
      </c>
      <c r="P41" s="11">
        <v>0.13</v>
      </c>
      <c r="Q41" s="119">
        <v>44938</v>
      </c>
      <c r="R41" s="93" t="s">
        <v>87</v>
      </c>
      <c r="S41" s="93" t="s">
        <v>112</v>
      </c>
      <c r="T41" s="101"/>
      <c r="U41" s="12" t="str">
        <f>IF(VLOOKUP($S41,'Havi béradatok'!$B:$E,2,FALSE)=E41,"EGYEZIK","HIBÁS")</f>
        <v>EGYEZIK</v>
      </c>
      <c r="V41" s="12">
        <f>VLOOKUP($S41,'Havi béradatok'!$B:$E,3,FALSE)-G41</f>
        <v>1</v>
      </c>
      <c r="W41" s="12">
        <f>VLOOKUP($S41,'Havi béradatok'!$B:$E,4,FALSE)-H41</f>
        <v>0</v>
      </c>
    </row>
    <row r="42" spans="1:23" s="12" customFormat="1" x14ac:dyDescent="0.25">
      <c r="A42" s="3" t="s">
        <v>97</v>
      </c>
      <c r="B42" s="1" t="s">
        <v>80</v>
      </c>
      <c r="C42" s="4" t="s">
        <v>127</v>
      </c>
      <c r="D42" s="4" t="s">
        <v>79</v>
      </c>
      <c r="E42" s="3" t="s">
        <v>96</v>
      </c>
      <c r="F42" s="3" t="s">
        <v>10</v>
      </c>
      <c r="G42" s="7">
        <v>1100000</v>
      </c>
      <c r="H42" s="7">
        <f t="shared" ref="H42" si="117">ROUND(G42*P42,0)</f>
        <v>143000</v>
      </c>
      <c r="I42" s="167">
        <f t="shared" ref="I42" si="118">K42/J42</f>
        <v>0.22988505747126436</v>
      </c>
      <c r="J42" s="6">
        <v>174</v>
      </c>
      <c r="K42" s="6">
        <v>40</v>
      </c>
      <c r="L42" s="134">
        <f t="shared" ref="L42" si="119">ROUND(G42*I42,0)</f>
        <v>252874</v>
      </c>
      <c r="M42" s="10">
        <f t="shared" ref="M42" si="120">ROUND(L42*P42,0)</f>
        <v>32874</v>
      </c>
      <c r="N42" s="130">
        <f>SUM(L42:M42)/Monitoring!$B$18</f>
        <v>666.07925407925404</v>
      </c>
      <c r="O42" s="11">
        <f t="shared" ref="O42" si="121">I42-L42/G42</f>
        <v>-3.9707419016710155E-7</v>
      </c>
      <c r="P42" s="11">
        <v>0.13</v>
      </c>
      <c r="Q42" s="119">
        <v>44977</v>
      </c>
      <c r="R42" s="93" t="s">
        <v>87</v>
      </c>
      <c r="S42" s="93" t="s">
        <v>112</v>
      </c>
      <c r="T42" s="101"/>
      <c r="U42" s="12" t="str">
        <f>IF(VLOOKUP($S42,'Havi béradatok'!$B:$E,2,FALSE)=E42,"EGYEZIK","HIBÁS")</f>
        <v>EGYEZIK</v>
      </c>
      <c r="V42" s="173">
        <f>VLOOKUP($S42,'Havi béradatok'!$B:$E,3,FALSE)-G42</f>
        <v>1</v>
      </c>
      <c r="W42" s="12">
        <f>VLOOKUP($S42,'Havi béradatok'!$B:$E,4,FALSE)-H42</f>
        <v>0</v>
      </c>
    </row>
    <row r="43" spans="1:23" s="12" customFormat="1" x14ac:dyDescent="0.25">
      <c r="A43" s="3" t="s">
        <v>97</v>
      </c>
      <c r="B43" s="1" t="s">
        <v>80</v>
      </c>
      <c r="C43" s="4" t="s">
        <v>128</v>
      </c>
      <c r="D43" s="4" t="s">
        <v>79</v>
      </c>
      <c r="E43" s="3" t="s">
        <v>96</v>
      </c>
      <c r="F43" s="3" t="s">
        <v>14</v>
      </c>
      <c r="G43" s="7">
        <v>1100000</v>
      </c>
      <c r="H43" s="7">
        <f t="shared" ref="H43:H45" si="122">ROUND(G43*P43,0)</f>
        <v>143000</v>
      </c>
      <c r="I43" s="167">
        <f t="shared" ref="I43:I45" si="123">K43/J43</f>
        <v>0.22988505747126436</v>
      </c>
      <c r="J43" s="6">
        <v>174</v>
      </c>
      <c r="K43" s="6">
        <v>40</v>
      </c>
      <c r="L43" s="134">
        <f t="shared" ref="L43:L45" si="124">ROUND(G43*I43,0)</f>
        <v>252874</v>
      </c>
      <c r="M43" s="10">
        <f t="shared" ref="M43:M45" si="125">ROUND(L43*P43,0)</f>
        <v>32874</v>
      </c>
      <c r="N43" s="130">
        <f>SUM(L43:M43)/Monitoring!$B$18</f>
        <v>666.07925407925404</v>
      </c>
      <c r="O43" s="11">
        <f t="shared" ref="O43:O45" si="126">I43-L43/G43</f>
        <v>-3.9707419016710155E-7</v>
      </c>
      <c r="P43" s="11">
        <v>0.13</v>
      </c>
      <c r="Q43" s="119">
        <v>44977</v>
      </c>
      <c r="R43" s="93" t="s">
        <v>87</v>
      </c>
      <c r="S43" s="93" t="s">
        <v>112</v>
      </c>
      <c r="T43" s="101"/>
    </row>
    <row r="44" spans="1:23" s="12" customFormat="1" x14ac:dyDescent="0.25">
      <c r="A44" s="3" t="s">
        <v>97</v>
      </c>
      <c r="B44" s="1" t="s">
        <v>80</v>
      </c>
      <c r="C44" s="4" t="s">
        <v>129</v>
      </c>
      <c r="D44" s="4" t="s">
        <v>79</v>
      </c>
      <c r="E44" s="3" t="s">
        <v>96</v>
      </c>
      <c r="F44" s="3" t="s">
        <v>14</v>
      </c>
      <c r="G44" s="7">
        <v>1100000</v>
      </c>
      <c r="H44" s="7">
        <f t="shared" si="122"/>
        <v>143000</v>
      </c>
      <c r="I44" s="167">
        <f t="shared" si="123"/>
        <v>0.22988505747126436</v>
      </c>
      <c r="J44" s="6">
        <v>174</v>
      </c>
      <c r="K44" s="6">
        <v>40</v>
      </c>
      <c r="L44" s="134">
        <f t="shared" si="124"/>
        <v>252874</v>
      </c>
      <c r="M44" s="10">
        <f t="shared" si="125"/>
        <v>32874</v>
      </c>
      <c r="N44" s="130">
        <f>SUM(L44:M44)/Monitoring!$B$18</f>
        <v>666.07925407925404</v>
      </c>
      <c r="O44" s="11">
        <f t="shared" si="126"/>
        <v>-3.9707419016710155E-7</v>
      </c>
      <c r="P44" s="11">
        <v>0.13</v>
      </c>
      <c r="Q44" s="119">
        <v>44977</v>
      </c>
      <c r="R44" s="93" t="s">
        <v>87</v>
      </c>
      <c r="S44" s="93" t="s">
        <v>112</v>
      </c>
      <c r="T44" s="101"/>
    </row>
    <row r="45" spans="1:23" s="12" customFormat="1" x14ac:dyDescent="0.25">
      <c r="A45" s="3" t="s">
        <v>97</v>
      </c>
      <c r="B45" s="1" t="s">
        <v>80</v>
      </c>
      <c r="C45" s="4" t="s">
        <v>130</v>
      </c>
      <c r="D45" s="4" t="s">
        <v>79</v>
      </c>
      <c r="E45" s="3" t="s">
        <v>96</v>
      </c>
      <c r="F45" s="3" t="s">
        <v>14</v>
      </c>
      <c r="G45" s="7">
        <v>1100000</v>
      </c>
      <c r="H45" s="7">
        <f t="shared" si="122"/>
        <v>143000</v>
      </c>
      <c r="I45" s="167">
        <f t="shared" si="123"/>
        <v>0.22988505747126436</v>
      </c>
      <c r="J45" s="6">
        <v>174</v>
      </c>
      <c r="K45" s="6">
        <v>40</v>
      </c>
      <c r="L45" s="134">
        <f t="shared" si="124"/>
        <v>252874</v>
      </c>
      <c r="M45" s="10">
        <f t="shared" si="125"/>
        <v>32874</v>
      </c>
      <c r="N45" s="130">
        <f>SUM(L45:M45)/Monitoring!$B$18</f>
        <v>666.07925407925404</v>
      </c>
      <c r="O45" s="11">
        <f t="shared" si="126"/>
        <v>-3.9707419016710155E-7</v>
      </c>
      <c r="P45" s="11">
        <v>0.13</v>
      </c>
      <c r="Q45" s="119">
        <v>44977</v>
      </c>
      <c r="R45" s="93" t="s">
        <v>87</v>
      </c>
      <c r="S45" s="93" t="s">
        <v>112</v>
      </c>
      <c r="T45" s="101"/>
    </row>
    <row r="46" spans="1:23" s="12" customFormat="1" x14ac:dyDescent="0.25">
      <c r="A46" s="3" t="s">
        <v>99</v>
      </c>
      <c r="B46" s="1" t="s">
        <v>80</v>
      </c>
      <c r="C46" s="4" t="s">
        <v>71</v>
      </c>
      <c r="D46" s="4" t="s">
        <v>79</v>
      </c>
      <c r="E46" s="3" t="s">
        <v>96</v>
      </c>
      <c r="F46" s="3" t="s">
        <v>10</v>
      </c>
      <c r="G46" s="7">
        <v>853000</v>
      </c>
      <c r="H46" s="7">
        <f t="shared" si="0"/>
        <v>110890</v>
      </c>
      <c r="I46" s="167">
        <f t="shared" si="101"/>
        <v>0.2413793103448276</v>
      </c>
      <c r="J46" s="6">
        <v>174</v>
      </c>
      <c r="K46" s="6">
        <v>42</v>
      </c>
      <c r="L46" s="134">
        <v>201989</v>
      </c>
      <c r="M46" s="10">
        <f t="shared" si="102"/>
        <v>26259</v>
      </c>
      <c r="N46" s="130">
        <f>SUM(L46:M46)/Monitoring!$B$18</f>
        <v>532.04662004662009</v>
      </c>
      <c r="O46" s="11">
        <f t="shared" si="103"/>
        <v>4.5809516109471815E-3</v>
      </c>
      <c r="P46" s="11">
        <v>0.13</v>
      </c>
      <c r="Q46" s="119">
        <v>44832</v>
      </c>
      <c r="R46" s="93" t="s">
        <v>87</v>
      </c>
      <c r="S46" s="93"/>
      <c r="T46" s="101"/>
    </row>
    <row r="47" spans="1:23" s="12" customFormat="1" x14ac:dyDescent="0.25">
      <c r="A47" s="3" t="s">
        <v>99</v>
      </c>
      <c r="B47" s="1" t="s">
        <v>80</v>
      </c>
      <c r="C47" s="4" t="s">
        <v>72</v>
      </c>
      <c r="D47" s="4" t="s">
        <v>79</v>
      </c>
      <c r="E47" s="3" t="s">
        <v>96</v>
      </c>
      <c r="F47" s="3" t="s">
        <v>10</v>
      </c>
      <c r="G47" s="7">
        <v>853000</v>
      </c>
      <c r="H47" s="7">
        <f t="shared" si="0"/>
        <v>110890</v>
      </c>
      <c r="I47" s="167">
        <f t="shared" ref="I47" si="127">K47/J47</f>
        <v>0.23563218390804597</v>
      </c>
      <c r="J47" s="6">
        <v>174</v>
      </c>
      <c r="K47" s="6">
        <v>41</v>
      </c>
      <c r="L47" s="134">
        <v>199983</v>
      </c>
      <c r="M47" s="10">
        <f t="shared" ref="M47" si="128">ROUND(L47*P47,0)</f>
        <v>25998</v>
      </c>
      <c r="N47" s="130">
        <f>SUM(L47:M47)/Monitoring!$B$18</f>
        <v>526.76223776223776</v>
      </c>
      <c r="O47" s="11">
        <f t="shared" ref="O47" si="129">I47-L47/G47</f>
        <v>1.1855250569322573E-3</v>
      </c>
      <c r="P47" s="11">
        <v>0.13</v>
      </c>
      <c r="Q47" s="119">
        <v>44875</v>
      </c>
      <c r="R47" s="93" t="s">
        <v>87</v>
      </c>
      <c r="S47" s="93" t="s">
        <v>113</v>
      </c>
      <c r="T47" s="101"/>
      <c r="U47" s="155" t="e">
        <v>#N/A</v>
      </c>
      <c r="V47" s="155" t="e">
        <v>#N/A</v>
      </c>
      <c r="W47" s="155" t="e">
        <v>#N/A</v>
      </c>
    </row>
    <row r="48" spans="1:23" s="12" customFormat="1" x14ac:dyDescent="0.25">
      <c r="A48" s="3" t="s">
        <v>99</v>
      </c>
      <c r="B48" s="1" t="s">
        <v>80</v>
      </c>
      <c r="C48" s="4" t="s">
        <v>73</v>
      </c>
      <c r="D48" s="4" t="s">
        <v>79</v>
      </c>
      <c r="E48" s="3" t="s">
        <v>96</v>
      </c>
      <c r="F48" s="3" t="s">
        <v>10</v>
      </c>
      <c r="G48" s="7">
        <v>853000</v>
      </c>
      <c r="H48" s="7">
        <f t="shared" si="0"/>
        <v>110890</v>
      </c>
      <c r="I48" s="167">
        <f t="shared" ref="I48" si="130">K48/J48</f>
        <v>0.23563218390804597</v>
      </c>
      <c r="J48" s="6">
        <v>174</v>
      </c>
      <c r="K48" s="6">
        <v>41</v>
      </c>
      <c r="L48" s="134">
        <v>199983</v>
      </c>
      <c r="M48" s="10">
        <f t="shared" ref="M48" si="131">ROUND(L48*P48,0)</f>
        <v>25998</v>
      </c>
      <c r="N48" s="130">
        <f>SUM(L48:M48)/Monitoring!$B$18</f>
        <v>526.76223776223776</v>
      </c>
      <c r="O48" s="11">
        <f t="shared" ref="O48" si="132">I48-L48/G48</f>
        <v>1.1855250569322573E-3</v>
      </c>
      <c r="P48" s="11">
        <v>0.13</v>
      </c>
      <c r="Q48" s="119">
        <v>44875</v>
      </c>
      <c r="R48" s="93" t="s">
        <v>87</v>
      </c>
      <c r="S48" s="93" t="s">
        <v>113</v>
      </c>
      <c r="T48" s="101"/>
      <c r="U48" s="155" t="s">
        <v>131</v>
      </c>
      <c r="V48" s="155" t="s">
        <v>132</v>
      </c>
      <c r="W48" s="155" t="s">
        <v>132</v>
      </c>
    </row>
    <row r="49" spans="1:23" s="12" customFormat="1" x14ac:dyDescent="0.25">
      <c r="A49" s="3" t="s">
        <v>99</v>
      </c>
      <c r="B49" s="1" t="s">
        <v>80</v>
      </c>
      <c r="C49" s="4" t="s">
        <v>74</v>
      </c>
      <c r="D49" s="4" t="s">
        <v>79</v>
      </c>
      <c r="E49" s="3" t="s">
        <v>96</v>
      </c>
      <c r="F49" s="3" t="s">
        <v>10</v>
      </c>
      <c r="G49" s="7">
        <v>904200</v>
      </c>
      <c r="H49" s="7">
        <f t="shared" ref="H49" si="133">ROUND(G49*P49,0)</f>
        <v>117546</v>
      </c>
      <c r="I49" s="167">
        <f t="shared" ref="I49" si="134">K49/J49</f>
        <v>0.11494252873563218</v>
      </c>
      <c r="J49" s="6">
        <v>174</v>
      </c>
      <c r="K49" s="6">
        <v>20</v>
      </c>
      <c r="L49" s="134">
        <f t="shared" ref="L49" si="135">ROUND(G49*I49,0)</f>
        <v>103931</v>
      </c>
      <c r="M49" s="10">
        <f t="shared" ref="M49" si="136">ROUND(L49*P49,0)</f>
        <v>13511</v>
      </c>
      <c r="N49" s="130">
        <f>SUM(L49:M49)/Monitoring!$B$18</f>
        <v>273.75757575757575</v>
      </c>
      <c r="O49" s="11">
        <f t="shared" ref="O49" si="137">I49-L49/G49</f>
        <v>3.8136207275440981E-8</v>
      </c>
      <c r="P49" s="11">
        <v>0.13</v>
      </c>
      <c r="Q49" s="119">
        <v>44944</v>
      </c>
      <c r="R49" s="93" t="s">
        <v>87</v>
      </c>
      <c r="S49" s="93" t="s">
        <v>113</v>
      </c>
      <c r="T49" s="101"/>
      <c r="U49" s="12" t="s">
        <v>131</v>
      </c>
      <c r="V49" s="12">
        <v>0</v>
      </c>
      <c r="W49" s="12">
        <v>0</v>
      </c>
    </row>
    <row r="50" spans="1:23" s="12" customFormat="1" x14ac:dyDescent="0.25">
      <c r="A50" s="3" t="s">
        <v>99</v>
      </c>
      <c r="B50" s="1" t="s">
        <v>80</v>
      </c>
      <c r="C50" s="4" t="s">
        <v>75</v>
      </c>
      <c r="D50" s="4" t="s">
        <v>79</v>
      </c>
      <c r="E50" s="3" t="s">
        <v>96</v>
      </c>
      <c r="F50" s="3" t="s">
        <v>10</v>
      </c>
      <c r="G50" s="7">
        <v>904200</v>
      </c>
      <c r="H50" s="7">
        <f t="shared" ref="H50" si="138">ROUND(G50*P50,0)</f>
        <v>117546</v>
      </c>
      <c r="I50" s="167">
        <f t="shared" ref="I50" si="139">K50/J50</f>
        <v>0.11494252873563218</v>
      </c>
      <c r="J50" s="6">
        <v>174</v>
      </c>
      <c r="K50" s="6">
        <v>20</v>
      </c>
      <c r="L50" s="134">
        <f t="shared" ref="L50" si="140">ROUND(G50*I50,0)</f>
        <v>103931</v>
      </c>
      <c r="M50" s="10">
        <f t="shared" ref="M50" si="141">ROUND(L50*P50,0)</f>
        <v>13511</v>
      </c>
      <c r="N50" s="130">
        <f>SUM(L50:M50)/Monitoring!$B$18</f>
        <v>273.75757575757575</v>
      </c>
      <c r="O50" s="11">
        <f t="shared" ref="O50" si="142">I50-L50/G50</f>
        <v>3.8136207275440981E-8</v>
      </c>
      <c r="P50" s="11">
        <v>0.13</v>
      </c>
      <c r="Q50" s="119">
        <v>44944</v>
      </c>
      <c r="R50" s="93" t="s">
        <v>87</v>
      </c>
      <c r="S50" s="93" t="s">
        <v>113</v>
      </c>
      <c r="T50" s="101"/>
      <c r="U50" s="12" t="str">
        <f>IF(VLOOKUP($S50,'Havi béradatok'!$B:$E,2,FALSE)=E50,"EGYEZIK","HIBÁS")</f>
        <v>EGYEZIK</v>
      </c>
      <c r="V50" s="12">
        <f>VLOOKUP($S50,'Havi béradatok'!$B:$E,3,FALSE)-G50</f>
        <v>0</v>
      </c>
      <c r="W50" s="12">
        <f>VLOOKUP($S50,'Havi béradatok'!$B:$E,4,FALSE)-H50</f>
        <v>0</v>
      </c>
    </row>
    <row r="51" spans="1:23" s="12" customFormat="1" x14ac:dyDescent="0.25">
      <c r="A51" s="3" t="s">
        <v>99</v>
      </c>
      <c r="B51" s="1" t="s">
        <v>80</v>
      </c>
      <c r="C51" s="4" t="s">
        <v>127</v>
      </c>
      <c r="D51" s="4" t="s">
        <v>79</v>
      </c>
      <c r="E51" s="3" t="s">
        <v>96</v>
      </c>
      <c r="F51" s="3" t="s">
        <v>10</v>
      </c>
      <c r="G51" s="7">
        <v>904200</v>
      </c>
      <c r="H51" s="7">
        <f t="shared" ref="H51" si="143">ROUND(G51*P51,0)</f>
        <v>117546</v>
      </c>
      <c r="I51" s="167">
        <f t="shared" ref="I51" si="144">K51/J51</f>
        <v>0.11494252873563218</v>
      </c>
      <c r="J51" s="6">
        <v>174</v>
      </c>
      <c r="K51" s="6">
        <v>20</v>
      </c>
      <c r="L51" s="134">
        <f t="shared" ref="L51" si="145">ROUND(G51*I51,0)</f>
        <v>103931</v>
      </c>
      <c r="M51" s="10">
        <f t="shared" ref="M51" si="146">ROUND(L51*P51,0)</f>
        <v>13511</v>
      </c>
      <c r="N51" s="130">
        <f>SUM(L51:M51)/Monitoring!$B$18</f>
        <v>273.75757575757575</v>
      </c>
      <c r="O51" s="11">
        <f t="shared" ref="O51" si="147">I51-L51/G51</f>
        <v>3.8136207275440981E-8</v>
      </c>
      <c r="P51" s="11">
        <v>0.13</v>
      </c>
      <c r="Q51" s="119">
        <v>44980</v>
      </c>
      <c r="R51" s="93" t="s">
        <v>87</v>
      </c>
      <c r="S51" s="93" t="s">
        <v>113</v>
      </c>
      <c r="T51" s="101"/>
      <c r="U51" s="12" t="str">
        <f>IF(VLOOKUP($S51,'Havi béradatok'!$B:$E,2,FALSE)=E51,"EGYEZIK","HIBÁS")</f>
        <v>EGYEZIK</v>
      </c>
      <c r="V51" s="12">
        <f>VLOOKUP($S51,'Havi béradatok'!$B:$E,3,FALSE)-G51</f>
        <v>0</v>
      </c>
      <c r="W51" s="12">
        <f>VLOOKUP($S51,'Havi béradatok'!$B:$E,4,FALSE)-H51</f>
        <v>0</v>
      </c>
    </row>
    <row r="52" spans="1:23" s="12" customFormat="1" x14ac:dyDescent="0.25">
      <c r="A52" s="3" t="s">
        <v>99</v>
      </c>
      <c r="B52" s="1" t="s">
        <v>80</v>
      </c>
      <c r="C52" s="4" t="s">
        <v>128</v>
      </c>
      <c r="D52" s="4" t="s">
        <v>79</v>
      </c>
      <c r="E52" s="3" t="s">
        <v>96</v>
      </c>
      <c r="F52" s="3" t="s">
        <v>14</v>
      </c>
      <c r="G52" s="7">
        <v>904200</v>
      </c>
      <c r="H52" s="7">
        <f t="shared" ref="H52" si="148">ROUND(G52*P52,0)</f>
        <v>117546</v>
      </c>
      <c r="I52" s="167">
        <f t="shared" ref="I52" si="149">K52/J52</f>
        <v>0.11494252873563218</v>
      </c>
      <c r="J52" s="6">
        <v>174</v>
      </c>
      <c r="K52" s="6">
        <v>20</v>
      </c>
      <c r="L52" s="134">
        <f t="shared" ref="L52" si="150">ROUND(G52*I52,0)</f>
        <v>103931</v>
      </c>
      <c r="M52" s="10">
        <f t="shared" ref="M52" si="151">ROUND(L52*P52,0)</f>
        <v>13511</v>
      </c>
      <c r="N52" s="130">
        <f>SUM(L52:M52)/Monitoring!$B$18</f>
        <v>273.75757575757575</v>
      </c>
      <c r="O52" s="11">
        <f t="shared" ref="O52" si="152">I52-L52/G52</f>
        <v>3.8136207275440981E-8</v>
      </c>
      <c r="P52" s="11">
        <v>0.13</v>
      </c>
      <c r="Q52" s="119">
        <v>45002</v>
      </c>
      <c r="R52" s="93" t="s">
        <v>87</v>
      </c>
      <c r="S52" s="93" t="s">
        <v>113</v>
      </c>
      <c r="T52" s="101"/>
      <c r="U52" s="155"/>
      <c r="V52" s="155"/>
      <c r="W52" s="155"/>
    </row>
    <row r="53" spans="1:23" s="12" customFormat="1" x14ac:dyDescent="0.25">
      <c r="A53" s="3" t="s">
        <v>99</v>
      </c>
      <c r="B53" s="1" t="s">
        <v>80</v>
      </c>
      <c r="C53" s="4" t="s">
        <v>129</v>
      </c>
      <c r="D53" s="4" t="s">
        <v>79</v>
      </c>
      <c r="E53" s="3" t="s">
        <v>96</v>
      </c>
      <c r="F53" s="3" t="s">
        <v>14</v>
      </c>
      <c r="G53" s="7">
        <v>904200</v>
      </c>
      <c r="H53" s="7">
        <f t="shared" ref="H53:H54" si="153">ROUND(G53*P53,0)</f>
        <v>117546</v>
      </c>
      <c r="I53" s="167">
        <f t="shared" ref="I53:I54" si="154">K53/J53</f>
        <v>0.11494252873563218</v>
      </c>
      <c r="J53" s="6">
        <v>174</v>
      </c>
      <c r="K53" s="6">
        <v>20</v>
      </c>
      <c r="L53" s="134">
        <f t="shared" ref="L53:L54" si="155">ROUND(G53*I53,0)</f>
        <v>103931</v>
      </c>
      <c r="M53" s="10">
        <f t="shared" ref="M53:M54" si="156">ROUND(L53*P53,0)</f>
        <v>13511</v>
      </c>
      <c r="N53" s="130">
        <f>SUM(L53:M53)/Monitoring!$B$18</f>
        <v>273.75757575757575</v>
      </c>
      <c r="O53" s="11">
        <f t="shared" ref="O53:O54" si="157">I53-L53/G53</f>
        <v>3.8136207275440981E-8</v>
      </c>
      <c r="P53" s="11">
        <v>0.13</v>
      </c>
      <c r="Q53" s="119">
        <v>45002</v>
      </c>
      <c r="R53" s="93" t="s">
        <v>87</v>
      </c>
      <c r="S53" s="93" t="s">
        <v>113</v>
      </c>
      <c r="T53" s="101"/>
      <c r="U53" s="155"/>
      <c r="V53" s="155"/>
      <c r="W53" s="155"/>
    </row>
    <row r="54" spans="1:23" s="12" customFormat="1" x14ac:dyDescent="0.25">
      <c r="A54" s="3" t="s">
        <v>99</v>
      </c>
      <c r="B54" s="1" t="s">
        <v>80</v>
      </c>
      <c r="C54" s="4" t="s">
        <v>130</v>
      </c>
      <c r="D54" s="4" t="s">
        <v>79</v>
      </c>
      <c r="E54" s="3" t="s">
        <v>96</v>
      </c>
      <c r="F54" s="3" t="s">
        <v>14</v>
      </c>
      <c r="G54" s="7">
        <v>904200</v>
      </c>
      <c r="H54" s="7">
        <f t="shared" si="153"/>
        <v>117546</v>
      </c>
      <c r="I54" s="167">
        <f t="shared" si="154"/>
        <v>0.11494252873563218</v>
      </c>
      <c r="J54" s="6">
        <v>174</v>
      </c>
      <c r="K54" s="6">
        <v>20</v>
      </c>
      <c r="L54" s="134">
        <f t="shared" si="155"/>
        <v>103931</v>
      </c>
      <c r="M54" s="10">
        <f t="shared" si="156"/>
        <v>13511</v>
      </c>
      <c r="N54" s="130">
        <f>SUM(L54:M54)/Monitoring!$B$18</f>
        <v>273.75757575757575</v>
      </c>
      <c r="O54" s="11">
        <f t="shared" si="157"/>
        <v>3.8136207275440981E-8</v>
      </c>
      <c r="P54" s="11">
        <v>0.13</v>
      </c>
      <c r="Q54" s="119">
        <v>45002</v>
      </c>
      <c r="R54" s="93" t="s">
        <v>87</v>
      </c>
      <c r="S54" s="93" t="s">
        <v>113</v>
      </c>
      <c r="T54" s="101"/>
      <c r="U54" s="155"/>
      <c r="V54" s="155"/>
      <c r="W54" s="155"/>
    </row>
    <row r="55" spans="1:23" s="12" customFormat="1" x14ac:dyDescent="0.25">
      <c r="A55" s="3" t="s">
        <v>88</v>
      </c>
      <c r="B55" s="1" t="s">
        <v>44</v>
      </c>
      <c r="C55" s="4" t="s">
        <v>63</v>
      </c>
      <c r="D55" s="4" t="s">
        <v>79</v>
      </c>
      <c r="E55" s="3" t="s">
        <v>89</v>
      </c>
      <c r="F55" s="3" t="s">
        <v>10</v>
      </c>
      <c r="G55" s="7">
        <v>443000</v>
      </c>
      <c r="H55" s="7">
        <f t="shared" si="0"/>
        <v>57590</v>
      </c>
      <c r="I55" s="167">
        <f>K55/J55</f>
        <v>9.1954022988505746E-2</v>
      </c>
      <c r="J55" s="6">
        <v>174</v>
      </c>
      <c r="K55" s="6">
        <v>16</v>
      </c>
      <c r="L55" s="134">
        <f>ROUND(G55*I55,0)</f>
        <v>40736</v>
      </c>
      <c r="M55" s="10">
        <f>ROUND(L55*P55,0)</f>
        <v>5296</v>
      </c>
      <c r="N55" s="130">
        <f>SUM(L55:M55)/Monitoring!$B$18</f>
        <v>107.30069930069931</v>
      </c>
      <c r="O55" s="11">
        <f>I55-L55/G55</f>
        <v>-8.3028463195022884E-7</v>
      </c>
      <c r="P55" s="11">
        <v>0.13</v>
      </c>
      <c r="Q55" s="119">
        <v>44651</v>
      </c>
      <c r="R55" s="93" t="s">
        <v>87</v>
      </c>
      <c r="S55" s="93"/>
      <c r="T55" s="101"/>
    </row>
    <row r="56" spans="1:23" s="12" customFormat="1" x14ac:dyDescent="0.25">
      <c r="A56" s="3" t="s">
        <v>88</v>
      </c>
      <c r="B56" s="1" t="s">
        <v>44</v>
      </c>
      <c r="C56" s="4" t="s">
        <v>64</v>
      </c>
      <c r="D56" s="4" t="s">
        <v>79</v>
      </c>
      <c r="E56" s="3" t="s">
        <v>89</v>
      </c>
      <c r="F56" s="3" t="s">
        <v>10</v>
      </c>
      <c r="G56" s="7">
        <v>443000</v>
      </c>
      <c r="H56" s="7">
        <f t="shared" si="0"/>
        <v>57590</v>
      </c>
      <c r="I56" s="167">
        <f t="shared" ref="I56:I57" si="158">K56/J56</f>
        <v>9.1954022988505746E-2</v>
      </c>
      <c r="J56" s="6">
        <v>174</v>
      </c>
      <c r="K56" s="6">
        <v>16</v>
      </c>
      <c r="L56" s="134">
        <f t="shared" ref="L56:L57" si="159">ROUND(G56*I56,0)</f>
        <v>40736</v>
      </c>
      <c r="M56" s="10">
        <f t="shared" ref="M56:M57" si="160">ROUND(L56*P56,0)</f>
        <v>5296</v>
      </c>
      <c r="N56" s="130">
        <f>SUM(L56:M56)/Monitoring!$B$18</f>
        <v>107.30069930069931</v>
      </c>
      <c r="O56" s="11">
        <f t="shared" ref="O56:O57" si="161">I56-L56/G56</f>
        <v>-8.3028463195022884E-7</v>
      </c>
      <c r="P56" s="11">
        <v>0.13</v>
      </c>
      <c r="Q56" s="119">
        <v>44651</v>
      </c>
      <c r="R56" s="93" t="s">
        <v>87</v>
      </c>
      <c r="S56" s="93"/>
      <c r="T56" s="101"/>
    </row>
    <row r="57" spans="1:23" s="12" customFormat="1" x14ac:dyDescent="0.25">
      <c r="A57" s="3" t="s">
        <v>88</v>
      </c>
      <c r="B57" s="1" t="s">
        <v>44</v>
      </c>
      <c r="C57" s="4" t="s">
        <v>65</v>
      </c>
      <c r="D57" s="4" t="s">
        <v>79</v>
      </c>
      <c r="E57" s="3" t="s">
        <v>89</v>
      </c>
      <c r="F57" s="3" t="s">
        <v>10</v>
      </c>
      <c r="G57" s="7">
        <v>424014</v>
      </c>
      <c r="H57" s="7">
        <f t="shared" si="0"/>
        <v>55122</v>
      </c>
      <c r="I57" s="167">
        <f t="shared" si="158"/>
        <v>9.1954022988505746E-2</v>
      </c>
      <c r="J57" s="6">
        <v>174</v>
      </c>
      <c r="K57" s="6">
        <v>16</v>
      </c>
      <c r="L57" s="134">
        <f t="shared" si="159"/>
        <v>38990</v>
      </c>
      <c r="M57" s="10">
        <f t="shared" si="160"/>
        <v>5069</v>
      </c>
      <c r="N57" s="130">
        <f>SUM(L57:M57)/Monitoring!$B$18</f>
        <v>102.7016317016317</v>
      </c>
      <c r="O57" s="11">
        <f t="shared" si="161"/>
        <v>-4.8794745391433914E-7</v>
      </c>
      <c r="P57" s="11">
        <v>0.13</v>
      </c>
      <c r="Q57" s="119">
        <v>44651</v>
      </c>
      <c r="R57" s="93" t="s">
        <v>87</v>
      </c>
      <c r="S57" s="93"/>
      <c r="T57" s="101"/>
    </row>
    <row r="58" spans="1:23" s="12" customFormat="1" x14ac:dyDescent="0.25">
      <c r="A58" s="3" t="s">
        <v>88</v>
      </c>
      <c r="B58" s="1" t="s">
        <v>44</v>
      </c>
      <c r="C58" s="4" t="s">
        <v>66</v>
      </c>
      <c r="D58" s="4" t="s">
        <v>79</v>
      </c>
      <c r="E58" s="3" t="s">
        <v>89</v>
      </c>
      <c r="F58" s="3" t="s">
        <v>10</v>
      </c>
      <c r="G58" s="7">
        <v>442999</v>
      </c>
      <c r="H58" s="7">
        <f t="shared" si="0"/>
        <v>57590</v>
      </c>
      <c r="I58" s="167">
        <f t="shared" ref="I58" si="162">K58/J58</f>
        <v>9.1954022988505746E-2</v>
      </c>
      <c r="J58" s="6">
        <v>174</v>
      </c>
      <c r="K58" s="6">
        <v>16</v>
      </c>
      <c r="L58" s="134">
        <f t="shared" ref="L58" si="163">ROUND(G58*I58,0)</f>
        <v>40736</v>
      </c>
      <c r="M58" s="10">
        <f t="shared" ref="M58" si="164">ROUND(L58*P58,0)</f>
        <v>5296</v>
      </c>
      <c r="N58" s="130">
        <f>SUM(L58:M58)/Monitoring!$B$18</f>
        <v>107.30069930069931</v>
      </c>
      <c r="O58" s="11">
        <f t="shared" ref="O58" si="165">I58-L58/G58</f>
        <v>-1.0378581327408209E-6</v>
      </c>
      <c r="P58" s="11">
        <v>0.13</v>
      </c>
      <c r="Q58" s="119">
        <v>44726</v>
      </c>
      <c r="R58" s="93" t="s">
        <v>87</v>
      </c>
      <c r="S58" s="93"/>
      <c r="T58" s="101"/>
    </row>
    <row r="59" spans="1:23" s="12" customFormat="1" x14ac:dyDescent="0.25">
      <c r="A59" s="3" t="s">
        <v>88</v>
      </c>
      <c r="B59" s="1" t="s">
        <v>44</v>
      </c>
      <c r="C59" s="4" t="s">
        <v>67</v>
      </c>
      <c r="D59" s="4" t="s">
        <v>79</v>
      </c>
      <c r="E59" s="3" t="s">
        <v>89</v>
      </c>
      <c r="F59" s="3" t="s">
        <v>10</v>
      </c>
      <c r="G59" s="7">
        <v>385218</v>
      </c>
      <c r="H59" s="7">
        <f t="shared" si="0"/>
        <v>50078</v>
      </c>
      <c r="I59" s="167">
        <f t="shared" ref="I59:I70" si="166">K59/J59</f>
        <v>9.1954022988505746E-2</v>
      </c>
      <c r="J59" s="6">
        <v>174</v>
      </c>
      <c r="K59" s="6">
        <v>16</v>
      </c>
      <c r="L59" s="134">
        <f t="shared" ref="L59" si="167">ROUND(G59*I59,0)</f>
        <v>35422</v>
      </c>
      <c r="M59" s="10">
        <f t="shared" ref="M59:M70" si="168">ROUND(L59*P59,0)</f>
        <v>4605</v>
      </c>
      <c r="N59" s="130">
        <f>SUM(L59:M59)/Monitoring!$B$18</f>
        <v>93.303030303030297</v>
      </c>
      <c r="O59" s="11">
        <f t="shared" ref="O59:O70" si="169">I59-L59/G59</f>
        <v>8.9514920435795897E-7</v>
      </c>
      <c r="P59" s="11">
        <v>0.13</v>
      </c>
      <c r="Q59" s="119">
        <v>44726</v>
      </c>
      <c r="R59" s="93" t="s">
        <v>87</v>
      </c>
      <c r="S59" s="93"/>
      <c r="T59" s="101"/>
    </row>
    <row r="60" spans="1:23" s="12" customFormat="1" x14ac:dyDescent="0.25">
      <c r="A60" s="3" t="s">
        <v>88</v>
      </c>
      <c r="B60" s="1" t="s">
        <v>44</v>
      </c>
      <c r="C60" s="4" t="s">
        <v>68</v>
      </c>
      <c r="D60" s="4" t="s">
        <v>79</v>
      </c>
      <c r="E60" s="3" t="s">
        <v>89</v>
      </c>
      <c r="F60" s="3" t="s">
        <v>10</v>
      </c>
      <c r="G60" s="7">
        <v>443000</v>
      </c>
      <c r="H60" s="7">
        <f t="shared" si="0"/>
        <v>57590</v>
      </c>
      <c r="I60" s="167">
        <f t="shared" ref="I60" si="170">K60/J60</f>
        <v>9.1954022988505746E-2</v>
      </c>
      <c r="J60" s="6">
        <v>174</v>
      </c>
      <c r="K60" s="6">
        <v>16</v>
      </c>
      <c r="L60" s="134">
        <f t="shared" ref="L60" si="171">ROUND(G60*I60,0)</f>
        <v>40736</v>
      </c>
      <c r="M60" s="10">
        <f t="shared" ref="M60" si="172">ROUND(L60*P60,0)</f>
        <v>5296</v>
      </c>
      <c r="N60" s="130">
        <f>SUM(L60:M60)/Monitoring!$B$18</f>
        <v>107.30069930069931</v>
      </c>
      <c r="O60" s="11">
        <f t="shared" ref="O60" si="173">I60-L60/G60</f>
        <v>-8.3028463195022884E-7</v>
      </c>
      <c r="P60" s="11">
        <v>0.13</v>
      </c>
      <c r="Q60" s="119">
        <v>44796</v>
      </c>
      <c r="R60" s="93" t="s">
        <v>87</v>
      </c>
      <c r="S60" s="93"/>
      <c r="T60" s="101"/>
    </row>
    <row r="61" spans="1:23" s="12" customFormat="1" x14ac:dyDescent="0.25">
      <c r="A61" s="3" t="s">
        <v>88</v>
      </c>
      <c r="B61" s="1" t="s">
        <v>44</v>
      </c>
      <c r="C61" s="4" t="s">
        <v>71</v>
      </c>
      <c r="D61" s="4" t="s">
        <v>79</v>
      </c>
      <c r="E61" s="3" t="s">
        <v>89</v>
      </c>
      <c r="F61" s="3" t="s">
        <v>10</v>
      </c>
      <c r="G61" s="7">
        <v>443000</v>
      </c>
      <c r="H61" s="7">
        <f t="shared" si="0"/>
        <v>57590</v>
      </c>
      <c r="I61" s="167">
        <f t="shared" ref="I61:I63" si="174">K61/J61</f>
        <v>9.1954022988505746E-2</v>
      </c>
      <c r="J61" s="6">
        <v>174</v>
      </c>
      <c r="K61" s="6">
        <v>16</v>
      </c>
      <c r="L61" s="134">
        <f t="shared" ref="L61:L63" si="175">ROUND(G61*I61,0)</f>
        <v>40736</v>
      </c>
      <c r="M61" s="10">
        <f t="shared" ref="M61:M63" si="176">ROUND(L61*P61,0)</f>
        <v>5296</v>
      </c>
      <c r="N61" s="130">
        <f>SUM(L61:M61)/Monitoring!$B$18</f>
        <v>107.30069930069931</v>
      </c>
      <c r="O61" s="11">
        <f t="shared" ref="O61:O63" si="177">I61-L61/G61</f>
        <v>-8.3028463195022884E-7</v>
      </c>
      <c r="P61" s="11">
        <v>0.13</v>
      </c>
      <c r="Q61" s="119">
        <v>44796</v>
      </c>
      <c r="R61" s="93" t="s">
        <v>87</v>
      </c>
      <c r="S61" s="93"/>
      <c r="T61" s="101"/>
    </row>
    <row r="62" spans="1:23" s="12" customFormat="1" x14ac:dyDescent="0.25">
      <c r="A62" s="3" t="s">
        <v>88</v>
      </c>
      <c r="B62" s="1" t="s">
        <v>44</v>
      </c>
      <c r="C62" s="4" t="s">
        <v>72</v>
      </c>
      <c r="D62" s="4" t="s">
        <v>79</v>
      </c>
      <c r="E62" s="3" t="s">
        <v>89</v>
      </c>
      <c r="F62" s="3" t="s">
        <v>10</v>
      </c>
      <c r="G62" s="7">
        <v>442999</v>
      </c>
      <c r="H62" s="7">
        <f t="shared" si="0"/>
        <v>57590</v>
      </c>
      <c r="I62" s="167">
        <f t="shared" si="174"/>
        <v>9.1954022988505746E-2</v>
      </c>
      <c r="J62" s="6">
        <v>174</v>
      </c>
      <c r="K62" s="6">
        <v>16</v>
      </c>
      <c r="L62" s="134">
        <f t="shared" si="175"/>
        <v>40736</v>
      </c>
      <c r="M62" s="10">
        <f t="shared" si="176"/>
        <v>5296</v>
      </c>
      <c r="N62" s="130">
        <f>SUM(L62:M62)/Monitoring!$B$18</f>
        <v>107.30069930069931</v>
      </c>
      <c r="O62" s="11">
        <f t="shared" si="177"/>
        <v>-1.0378581327408209E-6</v>
      </c>
      <c r="P62" s="11">
        <v>0.13</v>
      </c>
      <c r="Q62" s="119">
        <v>44796</v>
      </c>
      <c r="R62" s="93" t="s">
        <v>87</v>
      </c>
      <c r="S62" s="93" t="s">
        <v>114</v>
      </c>
      <c r="T62" s="101"/>
      <c r="U62" s="155" t="e">
        <v>#N/A</v>
      </c>
      <c r="V62" s="155" t="e">
        <v>#N/A</v>
      </c>
      <c r="W62" s="155" t="e">
        <v>#N/A</v>
      </c>
    </row>
    <row r="63" spans="1:23" s="12" customFormat="1" x14ac:dyDescent="0.25">
      <c r="A63" s="3" t="s">
        <v>88</v>
      </c>
      <c r="B63" s="1" t="s">
        <v>44</v>
      </c>
      <c r="C63" s="4" t="s">
        <v>73</v>
      </c>
      <c r="D63" s="4" t="s">
        <v>79</v>
      </c>
      <c r="E63" s="3" t="s">
        <v>89</v>
      </c>
      <c r="F63" s="3" t="s">
        <v>10</v>
      </c>
      <c r="G63" s="7">
        <v>442998</v>
      </c>
      <c r="H63" s="7">
        <f t="shared" si="0"/>
        <v>57590</v>
      </c>
      <c r="I63" s="167">
        <f t="shared" si="174"/>
        <v>9.1954022988505746E-2</v>
      </c>
      <c r="J63" s="6">
        <v>174</v>
      </c>
      <c r="K63" s="6">
        <v>16</v>
      </c>
      <c r="L63" s="134">
        <f t="shared" si="175"/>
        <v>40735</v>
      </c>
      <c r="M63" s="10">
        <f t="shared" si="176"/>
        <v>5296</v>
      </c>
      <c r="N63" s="130">
        <f>SUM(L63:M63)/Monitoring!$B$18</f>
        <v>107.2983682983683</v>
      </c>
      <c r="O63" s="11">
        <f t="shared" si="177"/>
        <v>1.0119139636499686E-6</v>
      </c>
      <c r="P63" s="11">
        <v>0.13</v>
      </c>
      <c r="Q63" s="119">
        <v>44796</v>
      </c>
      <c r="R63" s="93" t="s">
        <v>87</v>
      </c>
      <c r="S63" s="93" t="s">
        <v>114</v>
      </c>
      <c r="T63" s="101"/>
      <c r="U63" s="155" t="s">
        <v>131</v>
      </c>
      <c r="V63" s="155" t="s">
        <v>132</v>
      </c>
      <c r="W63" s="155" t="s">
        <v>132</v>
      </c>
    </row>
    <row r="64" spans="1:23" s="12" customFormat="1" x14ac:dyDescent="0.25">
      <c r="A64" s="3" t="s">
        <v>88</v>
      </c>
      <c r="B64" s="1" t="s">
        <v>44</v>
      </c>
      <c r="C64" s="4" t="s">
        <v>74</v>
      </c>
      <c r="D64" s="4" t="s">
        <v>79</v>
      </c>
      <c r="E64" s="3" t="s">
        <v>89</v>
      </c>
      <c r="F64" s="3" t="s">
        <v>10</v>
      </c>
      <c r="G64" s="7">
        <v>509500</v>
      </c>
      <c r="H64" s="7">
        <f t="shared" ref="H64" si="178">ROUND(G64*P64,0)</f>
        <v>66235</v>
      </c>
      <c r="I64" s="167">
        <f t="shared" ref="I64" si="179">K64/J64</f>
        <v>8.0459770114942528E-2</v>
      </c>
      <c r="J64" s="6">
        <v>174</v>
      </c>
      <c r="K64" s="6">
        <v>14</v>
      </c>
      <c r="L64" s="134">
        <f t="shared" ref="L64" si="180">ROUND(G64*I64,0)</f>
        <v>40994</v>
      </c>
      <c r="M64" s="10">
        <f t="shared" ref="M64" si="181">ROUND(L64*P64,0)</f>
        <v>5329</v>
      </c>
      <c r="N64" s="130">
        <f>SUM(L64:M64)/Monitoring!$B$18</f>
        <v>107.97902097902097</v>
      </c>
      <c r="O64" s="11">
        <f t="shared" ref="O64" si="182">I64-L64/G64</f>
        <v>4.9631710150044306E-7</v>
      </c>
      <c r="P64" s="11">
        <v>0.13</v>
      </c>
      <c r="Q64" s="119">
        <v>44796</v>
      </c>
      <c r="R64" s="93" t="s">
        <v>87</v>
      </c>
      <c r="S64" s="93" t="s">
        <v>114</v>
      </c>
      <c r="T64" s="101"/>
      <c r="U64" s="12" t="s">
        <v>131</v>
      </c>
      <c r="V64" s="12">
        <v>0</v>
      </c>
      <c r="W64" s="12">
        <v>0</v>
      </c>
    </row>
    <row r="65" spans="1:23" s="12" customFormat="1" x14ac:dyDescent="0.25">
      <c r="A65" s="3" t="s">
        <v>88</v>
      </c>
      <c r="B65" s="1" t="s">
        <v>44</v>
      </c>
      <c r="C65" s="4" t="s">
        <v>75</v>
      </c>
      <c r="D65" s="4" t="s">
        <v>79</v>
      </c>
      <c r="E65" s="3" t="s">
        <v>89</v>
      </c>
      <c r="F65" s="3" t="s">
        <v>10</v>
      </c>
      <c r="G65" s="7">
        <v>509500</v>
      </c>
      <c r="H65" s="7">
        <f t="shared" ref="H65" si="183">ROUND(G65*P65,0)</f>
        <v>66235</v>
      </c>
      <c r="I65" s="167">
        <f t="shared" ref="I65" si="184">K65/J65</f>
        <v>8.0459770114942528E-2</v>
      </c>
      <c r="J65" s="6">
        <v>174</v>
      </c>
      <c r="K65" s="6">
        <v>14</v>
      </c>
      <c r="L65" s="134">
        <f t="shared" ref="L65" si="185">ROUND(G65*I65,0)</f>
        <v>40994</v>
      </c>
      <c r="M65" s="10">
        <f t="shared" ref="M65" si="186">ROUND(L65*P65,0)</f>
        <v>5329</v>
      </c>
      <c r="N65" s="130">
        <f>SUM(L65:M65)/Monitoring!$B$18</f>
        <v>107.97902097902097</v>
      </c>
      <c r="O65" s="11">
        <f t="shared" ref="O65" si="187">I65-L65/G65</f>
        <v>4.9631710150044306E-7</v>
      </c>
      <c r="P65" s="11">
        <v>0.13</v>
      </c>
      <c r="Q65" s="119">
        <v>44796</v>
      </c>
      <c r="R65" s="93" t="s">
        <v>87</v>
      </c>
      <c r="S65" s="93" t="s">
        <v>114</v>
      </c>
      <c r="T65" s="101"/>
      <c r="U65" s="12" t="str">
        <f>IF(VLOOKUP($S65,'Havi béradatok'!$B:$E,2,FALSE)=E65,"EGYEZIK","HIBÁS")</f>
        <v>EGYEZIK</v>
      </c>
      <c r="V65" s="12">
        <f>VLOOKUP($S65,'Havi béradatok'!$B:$E,3,FALSE)-G65</f>
        <v>0</v>
      </c>
      <c r="W65" s="12">
        <f>VLOOKUP($S65,'Havi béradatok'!$B:$E,4,FALSE)-H65</f>
        <v>0</v>
      </c>
    </row>
    <row r="66" spans="1:23" s="12" customFormat="1" x14ac:dyDescent="0.25">
      <c r="A66" s="3" t="s">
        <v>88</v>
      </c>
      <c r="B66" s="1" t="s">
        <v>44</v>
      </c>
      <c r="C66" s="4" t="s">
        <v>127</v>
      </c>
      <c r="D66" s="4" t="s">
        <v>79</v>
      </c>
      <c r="E66" s="3" t="s">
        <v>89</v>
      </c>
      <c r="F66" s="3" t="s">
        <v>10</v>
      </c>
      <c r="G66" s="7">
        <v>509500</v>
      </c>
      <c r="H66" s="7">
        <f t="shared" ref="H66" si="188">ROUND(G66*P66,0)</f>
        <v>66235</v>
      </c>
      <c r="I66" s="167">
        <f t="shared" ref="I66" si="189">K66/J66</f>
        <v>8.0459770114942528E-2</v>
      </c>
      <c r="J66" s="6">
        <v>174</v>
      </c>
      <c r="K66" s="6">
        <v>14</v>
      </c>
      <c r="L66" s="134">
        <f t="shared" ref="L66" si="190">ROUND(G66*I66,0)</f>
        <v>40994</v>
      </c>
      <c r="M66" s="10">
        <f t="shared" ref="M66" si="191">ROUND(L66*P66,0)</f>
        <v>5329</v>
      </c>
      <c r="N66" s="130">
        <f>SUM(L66:M66)/Monitoring!$B$18</f>
        <v>107.97902097902097</v>
      </c>
      <c r="O66" s="11">
        <f t="shared" ref="O66" si="192">I66-L66/G66</f>
        <v>4.9631710150044306E-7</v>
      </c>
      <c r="P66" s="11">
        <v>0.13</v>
      </c>
      <c r="Q66" s="119">
        <v>44980</v>
      </c>
      <c r="R66" s="93" t="s">
        <v>87</v>
      </c>
      <c r="S66" s="93" t="s">
        <v>114</v>
      </c>
      <c r="T66" s="101"/>
      <c r="U66" s="12" t="str">
        <f>IF(VLOOKUP($S66,'Havi béradatok'!$B:$E,2,FALSE)=E66,"EGYEZIK","HIBÁS")</f>
        <v>EGYEZIK</v>
      </c>
      <c r="V66" s="12">
        <f>VLOOKUP($S66,'Havi béradatok'!$B:$E,3,FALSE)-G66</f>
        <v>0</v>
      </c>
      <c r="W66" s="12">
        <f>VLOOKUP($S66,'Havi béradatok'!$B:$E,4,FALSE)-H66</f>
        <v>0</v>
      </c>
    </row>
    <row r="67" spans="1:23" s="12" customFormat="1" x14ac:dyDescent="0.25">
      <c r="A67" s="3" t="s">
        <v>88</v>
      </c>
      <c r="B67" s="1" t="s">
        <v>44</v>
      </c>
      <c r="C67" s="4" t="s">
        <v>128</v>
      </c>
      <c r="D67" s="4" t="s">
        <v>79</v>
      </c>
      <c r="E67" s="3" t="s">
        <v>89</v>
      </c>
      <c r="F67" s="3" t="s">
        <v>14</v>
      </c>
      <c r="G67" s="7">
        <v>509500</v>
      </c>
      <c r="H67" s="7">
        <f t="shared" ref="H67" si="193">ROUND(G67*P67,0)</f>
        <v>66235</v>
      </c>
      <c r="I67" s="167">
        <f t="shared" ref="I67" si="194">K67/J67</f>
        <v>8.0459770114942528E-2</v>
      </c>
      <c r="J67" s="6">
        <v>174</v>
      </c>
      <c r="K67" s="6">
        <v>14</v>
      </c>
      <c r="L67" s="134">
        <f t="shared" ref="L67" si="195">ROUND(G67*I67,0)</f>
        <v>40994</v>
      </c>
      <c r="M67" s="10">
        <f t="shared" ref="M67" si="196">ROUND(L67*P67,0)</f>
        <v>5329</v>
      </c>
      <c r="N67" s="130">
        <f>SUM(L67:M67)/Monitoring!$B$18</f>
        <v>107.97902097902097</v>
      </c>
      <c r="O67" s="11">
        <f t="shared" ref="O67" si="197">I67-L67/G67</f>
        <v>4.9631710150044306E-7</v>
      </c>
      <c r="P67" s="11">
        <v>0.13</v>
      </c>
      <c r="Q67" s="119">
        <v>45002</v>
      </c>
      <c r="R67" s="93" t="s">
        <v>87</v>
      </c>
      <c r="S67" s="93" t="s">
        <v>114</v>
      </c>
      <c r="T67" s="101"/>
    </row>
    <row r="68" spans="1:23" s="12" customFormat="1" x14ac:dyDescent="0.25">
      <c r="A68" s="3" t="s">
        <v>88</v>
      </c>
      <c r="B68" s="1" t="s">
        <v>44</v>
      </c>
      <c r="C68" s="4" t="s">
        <v>129</v>
      </c>
      <c r="D68" s="4" t="s">
        <v>79</v>
      </c>
      <c r="E68" s="3" t="s">
        <v>89</v>
      </c>
      <c r="F68" s="3" t="s">
        <v>14</v>
      </c>
      <c r="G68" s="7">
        <v>509500</v>
      </c>
      <c r="H68" s="7">
        <f t="shared" ref="H68:H69" si="198">ROUND(G68*P68,0)</f>
        <v>66235</v>
      </c>
      <c r="I68" s="167">
        <f t="shared" ref="I68:I69" si="199">K68/J68</f>
        <v>8.0459770114942528E-2</v>
      </c>
      <c r="J68" s="6">
        <v>174</v>
      </c>
      <c r="K68" s="6">
        <v>14</v>
      </c>
      <c r="L68" s="134">
        <f t="shared" ref="L68:L69" si="200">ROUND(G68*I68,0)</f>
        <v>40994</v>
      </c>
      <c r="M68" s="10">
        <f t="shared" ref="M68:M69" si="201">ROUND(L68*P68,0)</f>
        <v>5329</v>
      </c>
      <c r="N68" s="130">
        <f>SUM(L68:M68)/Monitoring!$B$18</f>
        <v>107.97902097902097</v>
      </c>
      <c r="O68" s="11">
        <f t="shared" ref="O68:O69" si="202">I68-L68/G68</f>
        <v>4.9631710150044306E-7</v>
      </c>
      <c r="P68" s="11">
        <v>0.13</v>
      </c>
      <c r="Q68" s="119">
        <v>45002</v>
      </c>
      <c r="R68" s="93" t="s">
        <v>87</v>
      </c>
      <c r="S68" s="93" t="s">
        <v>114</v>
      </c>
      <c r="T68" s="101"/>
    </row>
    <row r="69" spans="1:23" s="12" customFormat="1" x14ac:dyDescent="0.25">
      <c r="A69" s="3" t="s">
        <v>88</v>
      </c>
      <c r="B69" s="1" t="s">
        <v>44</v>
      </c>
      <c r="C69" s="4" t="s">
        <v>130</v>
      </c>
      <c r="D69" s="4" t="s">
        <v>79</v>
      </c>
      <c r="E69" s="3" t="s">
        <v>89</v>
      </c>
      <c r="F69" s="3" t="s">
        <v>14</v>
      </c>
      <c r="G69" s="7">
        <v>509500</v>
      </c>
      <c r="H69" s="7">
        <f t="shared" si="198"/>
        <v>66235</v>
      </c>
      <c r="I69" s="167">
        <f t="shared" si="199"/>
        <v>8.0459770114942528E-2</v>
      </c>
      <c r="J69" s="6">
        <v>174</v>
      </c>
      <c r="K69" s="6">
        <v>14</v>
      </c>
      <c r="L69" s="134">
        <f t="shared" si="200"/>
        <v>40994</v>
      </c>
      <c r="M69" s="10">
        <f t="shared" si="201"/>
        <v>5329</v>
      </c>
      <c r="N69" s="130">
        <f>SUM(L69:M69)/Monitoring!$B$18</f>
        <v>107.97902097902097</v>
      </c>
      <c r="O69" s="11">
        <f t="shared" si="202"/>
        <v>4.9631710150044306E-7</v>
      </c>
      <c r="P69" s="11">
        <v>0.13</v>
      </c>
      <c r="Q69" s="119">
        <v>45002</v>
      </c>
      <c r="R69" s="93" t="s">
        <v>87</v>
      </c>
      <c r="S69" s="93" t="s">
        <v>114</v>
      </c>
      <c r="T69" s="101"/>
    </row>
    <row r="70" spans="1:23" s="12" customFormat="1" x14ac:dyDescent="0.25">
      <c r="A70" s="3" t="s">
        <v>98</v>
      </c>
      <c r="B70" s="1" t="s">
        <v>80</v>
      </c>
      <c r="C70" s="4" t="s">
        <v>66</v>
      </c>
      <c r="D70" s="4" t="s">
        <v>79</v>
      </c>
      <c r="E70" s="3" t="s">
        <v>96</v>
      </c>
      <c r="F70" s="3" t="s">
        <v>10</v>
      </c>
      <c r="G70" s="7">
        <v>1004799</v>
      </c>
      <c r="H70" s="7">
        <f t="shared" si="0"/>
        <v>130624</v>
      </c>
      <c r="I70" s="167">
        <f t="shared" si="166"/>
        <v>0.20114942528735633</v>
      </c>
      <c r="J70" s="6">
        <v>174</v>
      </c>
      <c r="K70" s="6">
        <v>35</v>
      </c>
      <c r="L70" s="134">
        <v>201545</v>
      </c>
      <c r="M70" s="10">
        <f t="shared" si="168"/>
        <v>26201</v>
      </c>
      <c r="N70" s="130">
        <f>SUM(L70:M70)/Monitoring!$B$18</f>
        <v>530.87645687645693</v>
      </c>
      <c r="O70" s="11">
        <f t="shared" si="169"/>
        <v>5.6702024913474203E-4</v>
      </c>
      <c r="P70" s="11">
        <v>0.13</v>
      </c>
      <c r="Q70" s="119">
        <v>44735</v>
      </c>
      <c r="R70" s="93" t="s">
        <v>87</v>
      </c>
      <c r="S70" s="93"/>
      <c r="T70" s="101"/>
    </row>
    <row r="71" spans="1:23" s="12" customFormat="1" x14ac:dyDescent="0.25">
      <c r="A71" s="3" t="s">
        <v>98</v>
      </c>
      <c r="B71" s="1" t="s">
        <v>80</v>
      </c>
      <c r="C71" s="4" t="s">
        <v>67</v>
      </c>
      <c r="D71" s="4" t="s">
        <v>79</v>
      </c>
      <c r="E71" s="3" t="s">
        <v>96</v>
      </c>
      <c r="F71" s="3" t="s">
        <v>10</v>
      </c>
      <c r="G71" s="7">
        <v>786365</v>
      </c>
      <c r="H71" s="7">
        <f t="shared" si="0"/>
        <v>102227</v>
      </c>
      <c r="I71" s="167">
        <f t="shared" ref="I71:I72" si="203">K71/J71</f>
        <v>0.20114942528735633</v>
      </c>
      <c r="J71" s="6">
        <v>174</v>
      </c>
      <c r="K71" s="6">
        <v>35</v>
      </c>
      <c r="L71" s="134">
        <f t="shared" ref="L71" si="204">ROUND(G71*I71,0)</f>
        <v>158177</v>
      </c>
      <c r="M71" s="10">
        <f t="shared" ref="M71:M72" si="205">ROUND(L71*P71,0)</f>
        <v>20563</v>
      </c>
      <c r="N71" s="130">
        <f>SUM(L71:M71)/Monitoring!$B$18</f>
        <v>416.64335664335664</v>
      </c>
      <c r="O71" s="11">
        <f t="shared" ref="O71:O72" si="206">I71-L71/G71</f>
        <v>-1.6809485167690319E-7</v>
      </c>
      <c r="P71" s="11">
        <v>0.13</v>
      </c>
      <c r="Q71" s="119">
        <v>44735</v>
      </c>
      <c r="R71" s="93" t="s">
        <v>87</v>
      </c>
      <c r="S71" s="93"/>
      <c r="T71" s="101"/>
    </row>
    <row r="72" spans="1:23" s="12" customFormat="1" x14ac:dyDescent="0.25">
      <c r="A72" s="3" t="s">
        <v>98</v>
      </c>
      <c r="B72" s="1" t="s">
        <v>80</v>
      </c>
      <c r="C72" s="4" t="s">
        <v>68</v>
      </c>
      <c r="D72" s="4" t="s">
        <v>79</v>
      </c>
      <c r="E72" s="3" t="s">
        <v>96</v>
      </c>
      <c r="F72" s="3" t="s">
        <v>10</v>
      </c>
      <c r="G72" s="7">
        <v>1004800</v>
      </c>
      <c r="H72" s="7">
        <f t="shared" si="0"/>
        <v>130624</v>
      </c>
      <c r="I72" s="167">
        <f t="shared" si="203"/>
        <v>0.20114942528735633</v>
      </c>
      <c r="J72" s="6">
        <v>174</v>
      </c>
      <c r="K72" s="6">
        <v>35</v>
      </c>
      <c r="L72" s="134">
        <v>201545</v>
      </c>
      <c r="M72" s="10">
        <f t="shared" si="205"/>
        <v>26201</v>
      </c>
      <c r="N72" s="130">
        <f>SUM(L72:M72)/Monitoring!$B$18</f>
        <v>530.87645687645693</v>
      </c>
      <c r="O72" s="11">
        <f t="shared" si="206"/>
        <v>5.6721987334359958E-4</v>
      </c>
      <c r="P72" s="11">
        <v>0.13</v>
      </c>
      <c r="Q72" s="119">
        <v>44735</v>
      </c>
      <c r="R72" s="93" t="s">
        <v>87</v>
      </c>
      <c r="S72" s="93"/>
      <c r="T72" s="101"/>
    </row>
    <row r="73" spans="1:23" s="12" customFormat="1" x14ac:dyDescent="0.25">
      <c r="A73" s="3" t="s">
        <v>98</v>
      </c>
      <c r="B73" s="1" t="s">
        <v>80</v>
      </c>
      <c r="C73" s="4" t="s">
        <v>71</v>
      </c>
      <c r="D73" s="4" t="s">
        <v>79</v>
      </c>
      <c r="E73" s="3" t="s">
        <v>96</v>
      </c>
      <c r="F73" s="3" t="s">
        <v>10</v>
      </c>
      <c r="G73" s="7">
        <v>1054800</v>
      </c>
      <c r="H73" s="7">
        <f t="shared" si="0"/>
        <v>137124</v>
      </c>
      <c r="I73" s="167">
        <f t="shared" ref="I73" si="207">K73/J73</f>
        <v>0.10344827586206896</v>
      </c>
      <c r="J73" s="6">
        <v>174</v>
      </c>
      <c r="K73" s="6">
        <v>18</v>
      </c>
      <c r="L73" s="134">
        <v>103710</v>
      </c>
      <c r="M73" s="10">
        <f t="shared" ref="M73" si="208">ROUND(L73*P73,0)</f>
        <v>13482</v>
      </c>
      <c r="N73" s="130">
        <f>SUM(L73:M73)/Monitoring!$B$18</f>
        <v>273.17482517482517</v>
      </c>
      <c r="O73" s="11">
        <f t="shared" ref="O73" si="209">I73-L73/G73</f>
        <v>5.1263190930132124E-3</v>
      </c>
      <c r="P73" s="11">
        <v>0.13</v>
      </c>
      <c r="Q73" s="119">
        <v>44830</v>
      </c>
      <c r="R73" s="93" t="s">
        <v>87</v>
      </c>
      <c r="S73" s="93"/>
      <c r="T73" s="101"/>
    </row>
    <row r="74" spans="1:23" s="12" customFormat="1" x14ac:dyDescent="0.25">
      <c r="A74" s="3" t="s">
        <v>98</v>
      </c>
      <c r="B74" s="1" t="s">
        <v>80</v>
      </c>
      <c r="C74" s="4" t="s">
        <v>72</v>
      </c>
      <c r="D74" s="4" t="s">
        <v>79</v>
      </c>
      <c r="E74" s="3" t="s">
        <v>96</v>
      </c>
      <c r="F74" s="3" t="s">
        <v>10</v>
      </c>
      <c r="G74" s="7">
        <v>1054800</v>
      </c>
      <c r="H74" s="7">
        <f t="shared" si="0"/>
        <v>137124</v>
      </c>
      <c r="I74" s="167">
        <f t="shared" ref="I74:I75" si="210">K74/J74</f>
        <v>0.10344827586206896</v>
      </c>
      <c r="J74" s="6">
        <v>174</v>
      </c>
      <c r="K74" s="6">
        <v>18</v>
      </c>
      <c r="L74" s="134">
        <v>103710</v>
      </c>
      <c r="M74" s="10">
        <f t="shared" ref="M74:M75" si="211">ROUND(L74*P74,0)</f>
        <v>13482</v>
      </c>
      <c r="N74" s="130">
        <f>SUM(L74:M74)/Monitoring!$B$18</f>
        <v>273.17482517482517</v>
      </c>
      <c r="O74" s="11">
        <f t="shared" ref="O74:O75" si="212">I74-L74/G74</f>
        <v>5.1263190930132124E-3</v>
      </c>
      <c r="P74" s="11">
        <v>0.13</v>
      </c>
      <c r="Q74" s="119">
        <v>44830</v>
      </c>
      <c r="R74" s="93" t="s">
        <v>87</v>
      </c>
      <c r="S74" s="93" t="s">
        <v>115</v>
      </c>
      <c r="T74" s="101"/>
      <c r="U74" s="155" t="e">
        <v>#N/A</v>
      </c>
      <c r="V74" s="155" t="e">
        <v>#N/A</v>
      </c>
      <c r="W74" s="155" t="e">
        <v>#N/A</v>
      </c>
    </row>
    <row r="75" spans="1:23" s="12" customFormat="1" x14ac:dyDescent="0.25">
      <c r="A75" s="3" t="s">
        <v>98</v>
      </c>
      <c r="B75" s="1" t="s">
        <v>80</v>
      </c>
      <c r="C75" s="4" t="s">
        <v>73</v>
      </c>
      <c r="D75" s="4" t="s">
        <v>79</v>
      </c>
      <c r="E75" s="3" t="s">
        <v>96</v>
      </c>
      <c r="F75" s="3" t="s">
        <v>10</v>
      </c>
      <c r="G75" s="7">
        <v>1054800</v>
      </c>
      <c r="H75" s="7">
        <f t="shared" si="0"/>
        <v>137124</v>
      </c>
      <c r="I75" s="167">
        <f t="shared" si="210"/>
        <v>0.10344827586206896</v>
      </c>
      <c r="J75" s="6">
        <v>174</v>
      </c>
      <c r="K75" s="6">
        <v>18</v>
      </c>
      <c r="L75" s="134">
        <v>103710</v>
      </c>
      <c r="M75" s="10">
        <f t="shared" si="211"/>
        <v>13482</v>
      </c>
      <c r="N75" s="130">
        <f>SUM(L75:M75)/Monitoring!$B$18</f>
        <v>273.17482517482517</v>
      </c>
      <c r="O75" s="11">
        <f t="shared" si="212"/>
        <v>5.1263190930132124E-3</v>
      </c>
      <c r="P75" s="11">
        <v>0.13</v>
      </c>
      <c r="Q75" s="119">
        <v>44830</v>
      </c>
      <c r="R75" s="93" t="s">
        <v>87</v>
      </c>
      <c r="S75" s="93" t="s">
        <v>115</v>
      </c>
      <c r="T75" s="101"/>
      <c r="U75" s="155" t="e">
        <v>#N/A</v>
      </c>
      <c r="V75" s="166" t="e">
        <v>#N/A</v>
      </c>
      <c r="W75" s="155" t="e">
        <v>#N/A</v>
      </c>
    </row>
    <row r="76" spans="1:23" ht="15" customHeight="1" x14ac:dyDescent="0.25">
      <c r="A76" s="3"/>
      <c r="B76" s="1"/>
      <c r="C76" s="4"/>
      <c r="D76" s="4"/>
      <c r="E76" s="3"/>
      <c r="F76" s="3"/>
      <c r="G76" s="7"/>
      <c r="H76" s="7"/>
      <c r="I76" s="168"/>
      <c r="J76" s="6"/>
      <c r="K76" s="6"/>
      <c r="L76" s="134"/>
      <c r="M76" s="10"/>
      <c r="N76" s="103"/>
      <c r="O76" s="11"/>
      <c r="P76" s="11"/>
      <c r="Q76" s="119"/>
      <c r="R76" s="93"/>
      <c r="S76" s="93"/>
    </row>
    <row r="77" spans="1:23" s="12" customFormat="1" ht="15" customHeight="1" x14ac:dyDescent="0.25">
      <c r="A77" s="3"/>
      <c r="B77" s="1"/>
      <c r="C77" s="4"/>
      <c r="D77" s="4"/>
      <c r="E77" s="3"/>
      <c r="F77" s="3"/>
      <c r="G77" s="7"/>
      <c r="H77" s="7"/>
      <c r="I77" s="168"/>
      <c r="J77" s="6"/>
      <c r="K77" s="6"/>
      <c r="L77" s="134"/>
      <c r="M77" s="10"/>
      <c r="N77" s="103"/>
      <c r="O77" s="11"/>
      <c r="P77" s="11"/>
      <c r="Q77" s="119"/>
      <c r="R77" s="93"/>
      <c r="S77" s="93"/>
      <c r="T77" s="101"/>
    </row>
    <row r="78" spans="1:23" s="12" customFormat="1" ht="15" customHeight="1" x14ac:dyDescent="0.25">
      <c r="A78" s="54" t="s">
        <v>17</v>
      </c>
      <c r="B78" s="51"/>
      <c r="C78" s="52"/>
      <c r="D78" s="52"/>
      <c r="E78" s="53"/>
      <c r="F78" s="53"/>
      <c r="G78" s="87"/>
      <c r="H78" s="87"/>
      <c r="I78" s="88"/>
      <c r="J78" s="88"/>
      <c r="K78" s="89"/>
      <c r="L78" s="135"/>
      <c r="M78" s="90"/>
      <c r="N78" s="129"/>
      <c r="O78" s="91"/>
      <c r="P78" s="91"/>
      <c r="Q78" s="120"/>
      <c r="R78" s="94"/>
      <c r="S78" s="94"/>
      <c r="T78" s="101"/>
    </row>
    <row r="79" spans="1:23" s="12" customFormat="1" ht="15" customHeight="1" x14ac:dyDescent="0.25">
      <c r="A79" s="3"/>
      <c r="B79" s="1"/>
      <c r="C79" s="4"/>
      <c r="D79" s="4"/>
      <c r="E79" s="3"/>
      <c r="F79" s="3"/>
      <c r="G79" s="7"/>
      <c r="H79" s="7"/>
      <c r="I79" s="5">
        <v>1</v>
      </c>
      <c r="J79" s="5"/>
      <c r="K79" s="6" t="s">
        <v>18</v>
      </c>
      <c r="L79" s="134"/>
      <c r="M79" s="10">
        <f>ROUND(L79*0.9*0.195,0)</f>
        <v>0</v>
      </c>
      <c r="N79" s="103">
        <f>SUM(L79:M79)/Monitoring!$B$18</f>
        <v>0</v>
      </c>
      <c r="O79" s="11" t="e">
        <f t="shared" ref="O79:O85" si="213">I79-L79/G79</f>
        <v>#DIV/0!</v>
      </c>
      <c r="P79" s="11"/>
      <c r="Q79" s="119"/>
      <c r="R79" s="93"/>
      <c r="S79" s="93"/>
      <c r="T79" s="101"/>
    </row>
    <row r="80" spans="1:23" s="12" customFormat="1" ht="15" customHeight="1" x14ac:dyDescent="0.25">
      <c r="A80" s="3"/>
      <c r="B80" s="1"/>
      <c r="C80" s="4"/>
      <c r="D80" s="4"/>
      <c r="E80" s="3"/>
      <c r="F80" s="3"/>
      <c r="G80" s="7"/>
      <c r="H80" s="7"/>
      <c r="I80" s="5">
        <v>1</v>
      </c>
      <c r="J80" s="5"/>
      <c r="K80" s="6" t="s">
        <v>18</v>
      </c>
      <c r="L80" s="134"/>
      <c r="M80" s="10">
        <f t="shared" ref="M80:M85" si="214">ROUND(L80*0.9*0.195,0)</f>
        <v>0</v>
      </c>
      <c r="N80" s="103">
        <f>SUM(L80:M80)/Monitoring!$B$18</f>
        <v>0</v>
      </c>
      <c r="O80" s="11" t="e">
        <f t="shared" si="213"/>
        <v>#DIV/0!</v>
      </c>
      <c r="P80" s="11"/>
      <c r="Q80" s="119"/>
      <c r="R80" s="93"/>
      <c r="S80" s="93"/>
      <c r="T80" s="101"/>
    </row>
    <row r="81" spans="1:20" s="12" customFormat="1" ht="15" customHeight="1" x14ac:dyDescent="0.25">
      <c r="A81" s="3"/>
      <c r="B81" s="1"/>
      <c r="C81" s="4"/>
      <c r="D81" s="4"/>
      <c r="E81" s="3"/>
      <c r="F81" s="3"/>
      <c r="G81" s="7"/>
      <c r="H81" s="7"/>
      <c r="I81" s="5">
        <v>1</v>
      </c>
      <c r="J81" s="5"/>
      <c r="K81" s="6" t="s">
        <v>18</v>
      </c>
      <c r="L81" s="134"/>
      <c r="M81" s="10">
        <f t="shared" si="214"/>
        <v>0</v>
      </c>
      <c r="N81" s="103">
        <f>SUM(L81:M81)/Monitoring!$B$18</f>
        <v>0</v>
      </c>
      <c r="O81" s="11" t="e">
        <f t="shared" si="213"/>
        <v>#DIV/0!</v>
      </c>
      <c r="P81" s="11"/>
      <c r="Q81" s="119"/>
      <c r="R81" s="93"/>
      <c r="S81" s="93"/>
      <c r="T81" s="101"/>
    </row>
    <row r="82" spans="1:20" s="12" customFormat="1" ht="15" customHeight="1" x14ac:dyDescent="0.25">
      <c r="A82" s="3"/>
      <c r="B82" s="1"/>
      <c r="C82" s="4"/>
      <c r="D82" s="4"/>
      <c r="E82" s="3"/>
      <c r="F82" s="3"/>
      <c r="G82" s="7"/>
      <c r="H82" s="7"/>
      <c r="I82" s="5">
        <v>1</v>
      </c>
      <c r="J82" s="5"/>
      <c r="K82" s="6" t="s">
        <v>18</v>
      </c>
      <c r="L82" s="134"/>
      <c r="M82" s="10">
        <f t="shared" si="214"/>
        <v>0</v>
      </c>
      <c r="N82" s="103">
        <f>SUM(L82:M82)/Monitoring!$B$18</f>
        <v>0</v>
      </c>
      <c r="O82" s="11" t="e">
        <f t="shared" si="213"/>
        <v>#DIV/0!</v>
      </c>
      <c r="P82" s="11"/>
      <c r="Q82" s="119"/>
      <c r="R82" s="93"/>
      <c r="S82" s="93"/>
      <c r="T82" s="101"/>
    </row>
    <row r="83" spans="1:20" s="12" customFormat="1" ht="15" customHeight="1" x14ac:dyDescent="0.25">
      <c r="A83" s="3"/>
      <c r="B83" s="1"/>
      <c r="C83" s="4"/>
      <c r="D83" s="4"/>
      <c r="E83" s="3"/>
      <c r="F83" s="3"/>
      <c r="G83" s="7"/>
      <c r="H83" s="7"/>
      <c r="I83" s="5">
        <v>1</v>
      </c>
      <c r="J83" s="5"/>
      <c r="K83" s="6" t="s">
        <v>18</v>
      </c>
      <c r="L83" s="134"/>
      <c r="M83" s="10">
        <f t="shared" si="214"/>
        <v>0</v>
      </c>
      <c r="N83" s="103">
        <f>SUM(L83:M83)/Monitoring!$B$18</f>
        <v>0</v>
      </c>
      <c r="O83" s="11" t="e">
        <f t="shared" si="213"/>
        <v>#DIV/0!</v>
      </c>
      <c r="P83" s="11"/>
      <c r="Q83" s="119"/>
      <c r="R83" s="93"/>
      <c r="S83" s="93"/>
      <c r="T83" s="101"/>
    </row>
    <row r="84" spans="1:20" s="12" customFormat="1" ht="15" customHeight="1" x14ac:dyDescent="0.25">
      <c r="A84" s="3"/>
      <c r="B84" s="1"/>
      <c r="C84" s="4"/>
      <c r="D84" s="4"/>
      <c r="E84" s="3"/>
      <c r="F84" s="3"/>
      <c r="G84" s="7"/>
      <c r="H84" s="7"/>
      <c r="I84" s="5">
        <v>1</v>
      </c>
      <c r="J84" s="5"/>
      <c r="K84" s="6" t="s">
        <v>18</v>
      </c>
      <c r="L84" s="134"/>
      <c r="M84" s="10">
        <f t="shared" si="214"/>
        <v>0</v>
      </c>
      <c r="N84" s="103">
        <f>SUM(L84:M84)/Monitoring!$B$18</f>
        <v>0</v>
      </c>
      <c r="O84" s="11" t="e">
        <f t="shared" si="213"/>
        <v>#DIV/0!</v>
      </c>
      <c r="P84" s="11"/>
      <c r="Q84" s="119"/>
      <c r="R84" s="93"/>
      <c r="S84" s="93"/>
      <c r="T84" s="101"/>
    </row>
    <row r="85" spans="1:20" s="12" customFormat="1" ht="15" customHeight="1" x14ac:dyDescent="0.25">
      <c r="A85" s="3"/>
      <c r="B85" s="1"/>
      <c r="C85" s="4"/>
      <c r="D85" s="4"/>
      <c r="E85" s="3"/>
      <c r="F85" s="3"/>
      <c r="G85" s="7"/>
      <c r="H85" s="7"/>
      <c r="I85" s="5">
        <v>1</v>
      </c>
      <c r="J85" s="5"/>
      <c r="K85" s="6" t="s">
        <v>18</v>
      </c>
      <c r="L85" s="134"/>
      <c r="M85" s="10">
        <f t="shared" si="214"/>
        <v>0</v>
      </c>
      <c r="N85" s="103">
        <f>SUM(L85:M85)/Monitoring!$B$18</f>
        <v>0</v>
      </c>
      <c r="O85" s="11" t="e">
        <f t="shared" si="213"/>
        <v>#DIV/0!</v>
      </c>
      <c r="P85" s="11"/>
      <c r="Q85" s="119"/>
      <c r="R85" s="93"/>
      <c r="S85" s="93"/>
      <c r="T85" s="101"/>
    </row>
    <row r="86" spans="1:20" s="12" customFormat="1" ht="15" customHeight="1" x14ac:dyDescent="0.25">
      <c r="A86" s="3"/>
      <c r="B86" s="1"/>
      <c r="C86" s="4"/>
      <c r="D86" s="4"/>
      <c r="E86" s="3"/>
      <c r="F86" s="3"/>
      <c r="G86" s="7"/>
      <c r="H86" s="7"/>
      <c r="I86" s="5"/>
      <c r="J86" s="5"/>
      <c r="K86" s="6"/>
      <c r="L86" s="134"/>
      <c r="M86" s="10"/>
      <c r="N86" s="103"/>
      <c r="O86" s="11"/>
      <c r="P86" s="11"/>
      <c r="Q86" s="119"/>
      <c r="R86" s="93"/>
      <c r="S86" s="93"/>
      <c r="T86" s="101"/>
    </row>
    <row r="87" spans="1:20" s="12" customFormat="1" ht="15" customHeight="1" x14ac:dyDescent="0.25">
      <c r="A87" s="3"/>
      <c r="B87" s="1"/>
      <c r="C87" s="4"/>
      <c r="D87" s="4"/>
      <c r="E87" s="3"/>
      <c r="F87" s="3"/>
      <c r="G87" s="7"/>
      <c r="H87" s="7"/>
      <c r="I87" s="5"/>
      <c r="J87" s="5"/>
      <c r="K87" s="6"/>
      <c r="L87" s="134"/>
      <c r="M87" s="10"/>
      <c r="N87" s="103"/>
      <c r="O87" s="11"/>
      <c r="P87" s="11"/>
      <c r="Q87" s="119"/>
      <c r="R87" s="93"/>
      <c r="S87" s="93"/>
      <c r="T87" s="101"/>
    </row>
    <row r="88" spans="1:20" ht="15" customHeight="1" x14ac:dyDescent="0.25">
      <c r="A88" s="13"/>
      <c r="B88" s="19"/>
      <c r="C88" s="14"/>
      <c r="D88" s="14"/>
      <c r="E88" s="13"/>
      <c r="F88" s="13"/>
      <c r="G88" s="20"/>
      <c r="H88" s="20"/>
      <c r="I88" s="18"/>
      <c r="J88" s="18"/>
      <c r="K88" s="15"/>
      <c r="L88" s="136"/>
      <c r="M88" s="16"/>
      <c r="N88" s="16"/>
      <c r="O88" s="17"/>
      <c r="P88" s="17"/>
      <c r="Q88" s="121"/>
      <c r="R88" s="95"/>
      <c r="S88" s="93"/>
    </row>
    <row r="89" spans="1:20" x14ac:dyDescent="0.25">
      <c r="A89" s="9" t="s">
        <v>3</v>
      </c>
      <c r="B89" s="4"/>
      <c r="C89" s="4"/>
      <c r="D89" s="4"/>
      <c r="E89" s="3"/>
      <c r="F89" s="3"/>
      <c r="G89" s="8"/>
      <c r="H89" s="8"/>
      <c r="I89" s="8"/>
      <c r="J89" s="8"/>
      <c r="K89" s="6"/>
      <c r="L89" s="10">
        <f>SUBTOTAL(109,L7:L88)</f>
        <v>7964631</v>
      </c>
      <c r="M89" s="10">
        <f>SUBTOTAL(109,M7:M88)</f>
        <v>1035411</v>
      </c>
      <c r="N89" s="103">
        <f>SUBTOTAL(109,N7:N88)</f>
        <v>20979.118881118895</v>
      </c>
      <c r="O89" s="11"/>
      <c r="P89" s="11"/>
      <c r="Q89" s="11"/>
      <c r="R89" s="93"/>
      <c r="S89" s="93"/>
    </row>
    <row r="91" spans="1:20" s="23" customFormat="1" hidden="1" outlineLevel="1" x14ac:dyDescent="0.25">
      <c r="B91" s="23" t="s">
        <v>44</v>
      </c>
      <c r="F91" s="23" t="s">
        <v>10</v>
      </c>
      <c r="K91" s="28"/>
      <c r="L91" s="29"/>
      <c r="M91" s="29"/>
      <c r="N91" s="29"/>
      <c r="R91" s="96"/>
      <c r="S91" s="96"/>
      <c r="T91" s="24"/>
    </row>
    <row r="92" spans="1:20" s="23" customFormat="1" hidden="1" outlineLevel="1" x14ac:dyDescent="0.25">
      <c r="B92" s="23" t="s">
        <v>80</v>
      </c>
      <c r="F92" s="23" t="s">
        <v>14</v>
      </c>
      <c r="K92" s="28"/>
      <c r="L92" s="30"/>
      <c r="M92" s="30"/>
      <c r="N92" s="30"/>
      <c r="R92" s="96"/>
      <c r="S92" s="96"/>
      <c r="T92" s="24"/>
    </row>
    <row r="93" spans="1:20" s="23" customFormat="1" hidden="1" outlineLevel="1" x14ac:dyDescent="0.25">
      <c r="B93" s="23" t="s">
        <v>81</v>
      </c>
      <c r="K93" s="28"/>
      <c r="L93" s="31"/>
      <c r="M93" s="32"/>
      <c r="N93" s="32"/>
      <c r="R93" s="96"/>
      <c r="S93" s="96"/>
      <c r="T93" s="24"/>
    </row>
    <row r="94" spans="1:20" s="23" customFormat="1" hidden="1" outlineLevel="1" x14ac:dyDescent="0.25">
      <c r="B94" s="23" t="s">
        <v>82</v>
      </c>
      <c r="K94" s="28"/>
      <c r="L94" s="31"/>
      <c r="M94" s="32"/>
      <c r="N94" s="32"/>
      <c r="R94" s="96"/>
      <c r="S94" s="96"/>
      <c r="T94" s="24"/>
    </row>
    <row r="95" spans="1:20" s="23" customFormat="1" hidden="1" outlineLevel="1" x14ac:dyDescent="0.25">
      <c r="B95" s="23" t="s">
        <v>83</v>
      </c>
      <c r="K95" s="28"/>
      <c r="L95" s="31"/>
      <c r="M95" s="32"/>
      <c r="N95" s="32"/>
      <c r="R95" s="96"/>
      <c r="S95" s="96"/>
      <c r="T95" s="24"/>
    </row>
    <row r="96" spans="1:20" s="23" customFormat="1" hidden="1" outlineLevel="1" x14ac:dyDescent="0.25">
      <c r="K96" s="28"/>
      <c r="L96" s="31"/>
      <c r="M96" s="32"/>
      <c r="N96" s="32"/>
      <c r="R96" s="96"/>
      <c r="S96" s="96"/>
      <c r="T96" s="24"/>
    </row>
    <row r="97" spans="3:20" s="23" customFormat="1" hidden="1" outlineLevel="1" x14ac:dyDescent="0.25">
      <c r="C97" s="128"/>
      <c r="D97" s="128"/>
      <c r="K97" s="28"/>
      <c r="L97" s="31"/>
      <c r="M97" s="33"/>
      <c r="N97" s="33"/>
      <c r="R97" s="96"/>
      <c r="S97" s="96"/>
      <c r="T97" s="24"/>
    </row>
    <row r="98" spans="3:20" s="23" customFormat="1" hidden="1" outlineLevel="1" x14ac:dyDescent="0.25">
      <c r="K98" s="28"/>
      <c r="L98" s="31"/>
      <c r="M98" s="32"/>
      <c r="N98" s="32"/>
      <c r="R98" s="96"/>
      <c r="S98" s="96"/>
      <c r="T98" s="24"/>
    </row>
    <row r="99" spans="3:20" s="23" customFormat="1" hidden="1" outlineLevel="1" x14ac:dyDescent="0.25">
      <c r="C99" s="128"/>
      <c r="D99" s="128"/>
      <c r="K99" s="28"/>
      <c r="L99" s="31"/>
      <c r="M99" s="32"/>
      <c r="N99" s="32"/>
      <c r="R99" s="96"/>
      <c r="S99" s="96"/>
      <c r="T99" s="24"/>
    </row>
    <row r="100" spans="3:20" s="23" customFormat="1" hidden="1" outlineLevel="1" x14ac:dyDescent="0.25">
      <c r="K100" s="28"/>
      <c r="L100" s="31"/>
      <c r="M100" s="32"/>
      <c r="N100" s="32"/>
      <c r="R100" s="96"/>
      <c r="S100" s="96"/>
      <c r="T100" s="24"/>
    </row>
    <row r="101" spans="3:20" s="23" customFormat="1" hidden="1" outlineLevel="1" x14ac:dyDescent="0.25">
      <c r="C101" s="128"/>
      <c r="D101" s="128"/>
      <c r="K101" s="28"/>
      <c r="L101" s="31"/>
      <c r="M101" s="32"/>
      <c r="N101" s="32"/>
      <c r="R101" s="96"/>
      <c r="S101" s="96"/>
      <c r="T101" s="24"/>
    </row>
    <row r="102" spans="3:20" s="23" customFormat="1" hidden="1" outlineLevel="1" x14ac:dyDescent="0.25">
      <c r="C102" s="131"/>
      <c r="D102" s="128"/>
      <c r="K102" s="28"/>
      <c r="L102" s="31"/>
      <c r="M102" s="32"/>
      <c r="N102" s="32"/>
      <c r="R102" s="96"/>
      <c r="S102" s="96"/>
      <c r="T102" s="24"/>
    </row>
    <row r="103" spans="3:20" s="23" customFormat="1" hidden="1" outlineLevel="1" x14ac:dyDescent="0.25">
      <c r="C103" s="131"/>
      <c r="D103" s="128"/>
      <c r="K103" s="28"/>
      <c r="L103" s="31"/>
      <c r="M103" s="32"/>
      <c r="N103" s="32"/>
      <c r="R103" s="96"/>
      <c r="S103" s="96"/>
      <c r="T103" s="24"/>
    </row>
    <row r="104" spans="3:20" s="23" customFormat="1" hidden="1" outlineLevel="1" x14ac:dyDescent="0.25">
      <c r="C104" s="131"/>
      <c r="D104" s="128"/>
      <c r="K104" s="28"/>
      <c r="L104" s="31"/>
      <c r="M104" s="32"/>
      <c r="N104" s="32"/>
      <c r="R104" s="96"/>
      <c r="S104" s="96"/>
      <c r="T104" s="24"/>
    </row>
    <row r="105" spans="3:20" s="23" customFormat="1" hidden="1" outlineLevel="1" x14ac:dyDescent="0.25">
      <c r="C105" s="131"/>
      <c r="D105" s="128"/>
      <c r="K105" s="28"/>
      <c r="L105" s="31"/>
      <c r="M105" s="32"/>
      <c r="N105" s="32"/>
      <c r="R105" s="96"/>
      <c r="S105" s="96"/>
      <c r="T105" s="24"/>
    </row>
    <row r="106" spans="3:20" s="23" customFormat="1" hidden="1" outlineLevel="1" x14ac:dyDescent="0.25">
      <c r="C106" s="131"/>
      <c r="D106" s="131"/>
      <c r="K106" s="28"/>
      <c r="L106" s="31"/>
      <c r="M106" s="32"/>
      <c r="N106" s="32"/>
      <c r="R106" s="96"/>
      <c r="S106" s="96"/>
      <c r="T106" s="24"/>
    </row>
    <row r="107" spans="3:20" ht="15" hidden="1" customHeight="1" outlineLevel="1" x14ac:dyDescent="0.25">
      <c r="L107" s="174"/>
      <c r="M107" s="174"/>
      <c r="N107" s="102"/>
      <c r="T107" s="21"/>
    </row>
    <row r="108" spans="3:20" hidden="1" outlineLevel="1" x14ac:dyDescent="0.25">
      <c r="L108" s="22"/>
      <c r="M108" s="22"/>
      <c r="N108" s="22"/>
      <c r="T108" s="21"/>
    </row>
    <row r="109" spans="3:20" hidden="1" outlineLevel="1" x14ac:dyDescent="0.25">
      <c r="L109" s="12"/>
      <c r="M109" s="49"/>
      <c r="N109" s="49"/>
      <c r="T109" s="21"/>
    </row>
    <row r="110" spans="3:20" hidden="1" outlineLevel="1" x14ac:dyDescent="0.25">
      <c r="L110" s="12"/>
      <c r="M110" s="49"/>
      <c r="N110" s="49"/>
      <c r="T110" s="21"/>
    </row>
    <row r="111" spans="3:20" hidden="1" outlineLevel="1" x14ac:dyDescent="0.25">
      <c r="L111" s="12"/>
      <c r="M111" s="49"/>
      <c r="N111" s="49"/>
      <c r="T111" s="21"/>
    </row>
    <row r="112" spans="3:20" hidden="1" outlineLevel="1" x14ac:dyDescent="0.25">
      <c r="L112" s="12"/>
      <c r="M112" s="49"/>
      <c r="N112" s="49"/>
      <c r="T112" s="21"/>
    </row>
    <row r="113" spans="6:20" hidden="1" outlineLevel="1" x14ac:dyDescent="0.25">
      <c r="K113"/>
      <c r="L113" s="12"/>
      <c r="M113" s="49"/>
      <c r="N113" s="49"/>
      <c r="R113" s="97"/>
      <c r="S113" s="97"/>
      <c r="T113" s="21"/>
    </row>
    <row r="114" spans="6:20" hidden="1" outlineLevel="1" x14ac:dyDescent="0.25">
      <c r="K114"/>
      <c r="L114" s="12"/>
      <c r="M114" s="50"/>
      <c r="N114" s="50"/>
      <c r="R114" s="97"/>
      <c r="S114" s="97"/>
      <c r="T114" s="21"/>
    </row>
    <row r="115" spans="6:20" hidden="1" outlineLevel="1" x14ac:dyDescent="0.25">
      <c r="K115"/>
      <c r="R115" s="97"/>
      <c r="S115" s="97"/>
      <c r="T115" s="21"/>
    </row>
    <row r="116" spans="6:20" ht="15" hidden="1" customHeight="1" outlineLevel="1" x14ac:dyDescent="0.25">
      <c r="K116"/>
      <c r="R116" s="97"/>
      <c r="S116" s="97"/>
      <c r="T116" s="21"/>
    </row>
    <row r="117" spans="6:20" hidden="1" outlineLevel="1" x14ac:dyDescent="0.25">
      <c r="K117"/>
      <c r="R117" s="97"/>
      <c r="S117" s="97"/>
      <c r="T117" s="21"/>
    </row>
    <row r="118" spans="6:20" hidden="1" outlineLevel="1" x14ac:dyDescent="0.25">
      <c r="K118"/>
      <c r="R118" s="97"/>
      <c r="S118" s="97"/>
      <c r="T118" s="21"/>
    </row>
    <row r="119" spans="6:20" hidden="1" outlineLevel="1" x14ac:dyDescent="0.25">
      <c r="K119"/>
      <c r="R119" s="97"/>
      <c r="S119" s="97"/>
      <c r="T119" s="21"/>
    </row>
    <row r="120" spans="6:20" ht="15" hidden="1" customHeight="1" outlineLevel="1" x14ac:dyDescent="0.25">
      <c r="K120"/>
      <c r="R120" s="97"/>
      <c r="S120" s="97"/>
      <c r="T120" s="21"/>
    </row>
    <row r="121" spans="6:20" hidden="1" outlineLevel="1" x14ac:dyDescent="0.25">
      <c r="K121"/>
      <c r="R121" s="97"/>
      <c r="S121" s="97"/>
      <c r="T121" s="21"/>
    </row>
    <row r="122" spans="6:20" hidden="1" outlineLevel="1" x14ac:dyDescent="0.25">
      <c r="K122"/>
      <c r="R122" s="97"/>
      <c r="S122" s="97"/>
      <c r="T122" s="21"/>
    </row>
    <row r="123" spans="6:20" collapsed="1" x14ac:dyDescent="0.25">
      <c r="I123" s="2"/>
      <c r="J123" s="2"/>
      <c r="T123" s="21"/>
    </row>
    <row r="124" spans="6:20" x14ac:dyDescent="0.25">
      <c r="T124" s="21"/>
    </row>
    <row r="125" spans="6:20" x14ac:dyDescent="0.25">
      <c r="F125" s="2"/>
      <c r="T125" s="21"/>
    </row>
  </sheetData>
  <autoFilter ref="A5:W75" xr:uid="{00000000-0001-0000-0000-000000000000}"/>
  <mergeCells count="2">
    <mergeCell ref="L107:M107"/>
    <mergeCell ref="A2:E2"/>
  </mergeCells>
  <phoneticPr fontId="39" type="noConversion"/>
  <dataValidations count="5">
    <dataValidation type="list" allowBlank="1" showInputMessage="1" showErrorMessage="1" sqref="A65339 A65321:A65328 A65330:A65337" xr:uid="{00000000-0002-0000-0000-000000000000}">
      <formula1>#REF!</formula1>
    </dataValidation>
    <dataValidation type="list" allowBlank="1" showInputMessage="1" showErrorMessage="1" sqref="F6:F88" xr:uid="{00000000-0002-0000-0000-000002000000}">
      <formula1>$F$91:$F$92</formula1>
    </dataValidation>
    <dataValidation type="list" allowBlank="1" showInputMessage="1" showErrorMessage="1" sqref="B6:B88" xr:uid="{00000000-0002-0000-0000-000003000000}">
      <formula1>$B$91:$B$95</formula1>
    </dataValidation>
    <dataValidation type="list" allowBlank="1" showInputMessage="1" showErrorMessage="1" sqref="D6:D77" xr:uid="{3F2BA9EC-888A-42DF-B411-B596CBA1080F}">
      <formula1>"E017600068"</formula1>
    </dataValidation>
    <dataValidation type="list" allowBlank="1" showInputMessage="1" showErrorMessage="1" sqref="D78:D88" xr:uid="{00000000-0002-0000-0000-000001000000}">
      <formula1>$C$91:$C$106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6838B-1FC2-4F73-BB3A-46A2A8F3065D}">
          <x14:formula1>
            <xm:f>Hónapok!$A$1:$A$16</xm:f>
          </x14:formula1>
          <xm:sqref>C6:C88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7" workbookViewId="0">
      <selection activeCell="C16" sqref="C16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style="97" customWidth="1"/>
    <col min="4" max="4" width="33.140625" customWidth="1"/>
    <col min="5" max="5" width="35.28515625" customWidth="1"/>
    <col min="6" max="7" width="16.7109375" style="21" customWidth="1"/>
    <col min="8" max="8" width="13.85546875" style="35" customWidth="1"/>
    <col min="9" max="9" width="40.140625" customWidth="1"/>
  </cols>
  <sheetData>
    <row r="1" spans="1:9" s="23" customFormat="1" hidden="1" outlineLevel="1" x14ac:dyDescent="0.25">
      <c r="B1" s="23" t="s">
        <v>44</v>
      </c>
      <c r="C1" s="138"/>
      <c r="F1" s="24"/>
      <c r="G1" s="21"/>
      <c r="H1" s="34" t="s">
        <v>10</v>
      </c>
    </row>
    <row r="2" spans="1:9" s="23" customFormat="1" hidden="1" outlineLevel="1" x14ac:dyDescent="0.25">
      <c r="B2" s="23" t="s">
        <v>69</v>
      </c>
      <c r="C2" s="138"/>
      <c r="F2" s="24"/>
      <c r="G2" s="21"/>
      <c r="H2" s="34" t="s">
        <v>14</v>
      </c>
    </row>
    <row r="3" spans="1:9" s="23" customFormat="1" hidden="1" outlineLevel="1" x14ac:dyDescent="0.25">
      <c r="B3" s="23" t="s">
        <v>70</v>
      </c>
      <c r="C3" s="138"/>
      <c r="F3" s="24"/>
      <c r="G3" s="21"/>
      <c r="H3" s="34"/>
    </row>
    <row r="4" spans="1:9" s="23" customFormat="1" hidden="1" outlineLevel="1" x14ac:dyDescent="0.25">
      <c r="C4" s="138"/>
      <c r="F4" s="24"/>
      <c r="G4" s="21"/>
      <c r="H4" s="34"/>
    </row>
    <row r="5" spans="1:9" s="23" customFormat="1" hidden="1" outlineLevel="1" x14ac:dyDescent="0.25">
      <c r="C5" s="138"/>
      <c r="F5" s="24"/>
      <c r="G5" s="21"/>
      <c r="H5" s="34"/>
    </row>
    <row r="6" spans="1:9" s="23" customFormat="1" hidden="1" outlineLevel="1" x14ac:dyDescent="0.25">
      <c r="C6" s="138"/>
      <c r="F6" s="24"/>
      <c r="G6" s="21"/>
      <c r="H6" s="34"/>
    </row>
    <row r="7" spans="1:9" collapsed="1" x14ac:dyDescent="0.25">
      <c r="B7" s="22" t="s">
        <v>79</v>
      </c>
    </row>
    <row r="8" spans="1:9" s="22" customFormat="1" ht="30" x14ac:dyDescent="0.25">
      <c r="A8" s="45" t="s">
        <v>15</v>
      </c>
      <c r="B8" s="46" t="s">
        <v>6</v>
      </c>
      <c r="C8" s="55" t="s">
        <v>19</v>
      </c>
      <c r="D8" s="46" t="s">
        <v>7</v>
      </c>
      <c r="E8" s="46" t="s">
        <v>8</v>
      </c>
      <c r="F8" s="47" t="s">
        <v>5</v>
      </c>
      <c r="G8" s="47" t="s">
        <v>45</v>
      </c>
      <c r="H8" s="47" t="s">
        <v>13</v>
      </c>
      <c r="I8" s="48" t="s">
        <v>11</v>
      </c>
    </row>
    <row r="9" spans="1:9" x14ac:dyDescent="0.25">
      <c r="A9" s="140"/>
      <c r="B9" s="141"/>
      <c r="C9" s="142"/>
      <c r="D9" s="140"/>
      <c r="E9" s="140"/>
      <c r="F9" s="143"/>
      <c r="G9" s="144"/>
      <c r="H9" s="145"/>
      <c r="I9" s="146"/>
    </row>
    <row r="10" spans="1:9" x14ac:dyDescent="0.25">
      <c r="B10" s="38" t="s">
        <v>69</v>
      </c>
      <c r="C10" s="139">
        <v>5100005397</v>
      </c>
      <c r="D10" t="s">
        <v>84</v>
      </c>
      <c r="E10" t="s">
        <v>94</v>
      </c>
      <c r="F10" s="42">
        <v>29830</v>
      </c>
      <c r="G10" s="104">
        <f>F10/Monitoring!$B$18</f>
        <v>69.533799533799538</v>
      </c>
      <c r="H10" s="39" t="s">
        <v>10</v>
      </c>
      <c r="I10" s="133" t="s">
        <v>93</v>
      </c>
    </row>
    <row r="11" spans="1:9" s="41" customFormat="1" x14ac:dyDescent="0.25">
      <c r="A11" s="37"/>
      <c r="B11" s="38" t="s">
        <v>44</v>
      </c>
      <c r="C11" s="137">
        <v>5100008674</v>
      </c>
      <c r="D11" s="38" t="s">
        <v>103</v>
      </c>
      <c r="E11" s="38" t="s">
        <v>100</v>
      </c>
      <c r="F11" s="42">
        <v>34310</v>
      </c>
      <c r="G11" s="104">
        <f>F11/Monitoring!$B$18</f>
        <v>79.976689976689983</v>
      </c>
      <c r="H11" s="39" t="s">
        <v>10</v>
      </c>
      <c r="I11" s="153">
        <v>44837</v>
      </c>
    </row>
    <row r="12" spans="1:9" s="41" customFormat="1" x14ac:dyDescent="0.25">
      <c r="A12" s="37"/>
      <c r="B12" s="38" t="s">
        <v>44</v>
      </c>
      <c r="C12" s="137">
        <v>5100008915</v>
      </c>
      <c r="D12" s="38" t="s">
        <v>101</v>
      </c>
      <c r="E12" s="38" t="s">
        <v>102</v>
      </c>
      <c r="F12" s="42">
        <v>49850</v>
      </c>
      <c r="G12" s="104">
        <f>F12/Monitoring!$B$18</f>
        <v>116.2004662004662</v>
      </c>
      <c r="H12" s="39" t="s">
        <v>10</v>
      </c>
      <c r="I12" s="153">
        <v>44837</v>
      </c>
    </row>
    <row r="13" spans="1:9" s="41" customFormat="1" x14ac:dyDescent="0.25">
      <c r="A13" s="37"/>
      <c r="B13" s="38" t="s">
        <v>44</v>
      </c>
      <c r="C13" s="137" t="s">
        <v>104</v>
      </c>
      <c r="D13" s="38" t="s">
        <v>105</v>
      </c>
      <c r="E13" s="38" t="s">
        <v>106</v>
      </c>
      <c r="F13" s="42">
        <v>16470</v>
      </c>
      <c r="G13" s="104">
        <f>F13/Monitoring!$B$18</f>
        <v>38.391608391608393</v>
      </c>
      <c r="H13" s="39" t="s">
        <v>10</v>
      </c>
      <c r="I13" s="153">
        <v>44837</v>
      </c>
    </row>
    <row r="14" spans="1:9" s="41" customFormat="1" x14ac:dyDescent="0.25">
      <c r="A14" s="37"/>
      <c r="B14" s="38" t="s">
        <v>69</v>
      </c>
      <c r="C14" s="137" t="s">
        <v>133</v>
      </c>
      <c r="D14" s="38" t="s">
        <v>84</v>
      </c>
      <c r="E14" s="38" t="s">
        <v>134</v>
      </c>
      <c r="F14" s="42">
        <v>57545</v>
      </c>
      <c r="G14" s="104">
        <f>F14/Monitoring!$B$18</f>
        <v>134.13752913752913</v>
      </c>
      <c r="H14" s="39" t="s">
        <v>14</v>
      </c>
      <c r="I14" s="40" t="s">
        <v>135</v>
      </c>
    </row>
    <row r="15" spans="1:9" s="41" customFormat="1" x14ac:dyDescent="0.25">
      <c r="A15" s="37"/>
      <c r="B15" s="38" t="s">
        <v>69</v>
      </c>
      <c r="C15" s="137" t="s">
        <v>133</v>
      </c>
      <c r="D15" s="38" t="s">
        <v>84</v>
      </c>
      <c r="E15" s="38" t="s">
        <v>136</v>
      </c>
      <c r="F15" s="42">
        <v>5237</v>
      </c>
      <c r="G15" s="104">
        <f>F15/Monitoring!$B$18</f>
        <v>12.207459207459207</v>
      </c>
      <c r="H15" s="39" t="s">
        <v>14</v>
      </c>
      <c r="I15" s="40" t="s">
        <v>135</v>
      </c>
    </row>
    <row r="16" spans="1:9" s="41" customFormat="1" ht="30" x14ac:dyDescent="0.25">
      <c r="A16" s="37"/>
      <c r="B16" s="38" t="s">
        <v>69</v>
      </c>
      <c r="C16" s="137">
        <v>5100013281</v>
      </c>
      <c r="D16" s="38" t="s">
        <v>145</v>
      </c>
      <c r="E16" s="38" t="s">
        <v>144</v>
      </c>
      <c r="F16" s="42">
        <v>97633</v>
      </c>
      <c r="G16" s="104">
        <f>F16/Monitoring!$B$18</f>
        <v>227.58275058275058</v>
      </c>
      <c r="H16" s="39" t="s">
        <v>10</v>
      </c>
      <c r="I16" s="40" t="s">
        <v>135</v>
      </c>
    </row>
    <row r="17" spans="1:9" s="41" customFormat="1" ht="30" x14ac:dyDescent="0.25">
      <c r="A17" s="37"/>
      <c r="B17" s="38" t="s">
        <v>69</v>
      </c>
      <c r="C17" s="137">
        <v>5100012943</v>
      </c>
      <c r="D17" s="38" t="s">
        <v>140</v>
      </c>
      <c r="E17" s="38" t="s">
        <v>139</v>
      </c>
      <c r="F17" s="42">
        <v>3719</v>
      </c>
      <c r="G17" s="104">
        <f>F17/Monitoring!$B$18</f>
        <v>8.6689976689976689</v>
      </c>
      <c r="H17" s="39" t="s">
        <v>10</v>
      </c>
      <c r="I17" s="40" t="s">
        <v>135</v>
      </c>
    </row>
    <row r="18" spans="1:9" s="41" customFormat="1" ht="30" x14ac:dyDescent="0.25">
      <c r="A18" s="37"/>
      <c r="B18" s="38" t="s">
        <v>69</v>
      </c>
      <c r="C18" s="137">
        <v>5100012945</v>
      </c>
      <c r="D18" s="38" t="s">
        <v>140</v>
      </c>
      <c r="E18" s="38" t="s">
        <v>139</v>
      </c>
      <c r="F18" s="42">
        <v>1908</v>
      </c>
      <c r="G18" s="104">
        <f>F18/Monitoring!$B$18</f>
        <v>4.4475524475524475</v>
      </c>
      <c r="H18" s="39" t="s">
        <v>10</v>
      </c>
      <c r="I18" s="40" t="s">
        <v>135</v>
      </c>
    </row>
    <row r="19" spans="1:9" s="41" customFormat="1" ht="30" x14ac:dyDescent="0.25">
      <c r="A19" s="37"/>
      <c r="B19" s="38" t="s">
        <v>69</v>
      </c>
      <c r="C19" s="137">
        <v>5100012947</v>
      </c>
      <c r="D19" s="38" t="s">
        <v>140</v>
      </c>
      <c r="E19" s="38" t="s">
        <v>139</v>
      </c>
      <c r="F19" s="42">
        <v>2596</v>
      </c>
      <c r="G19" s="104">
        <f>F19/Monitoring!$B$18</f>
        <v>6.0512820512820511</v>
      </c>
      <c r="H19" s="39" t="s">
        <v>10</v>
      </c>
      <c r="I19" s="40" t="s">
        <v>135</v>
      </c>
    </row>
    <row r="20" spans="1:9" s="41" customFormat="1" ht="30" x14ac:dyDescent="0.25">
      <c r="A20" s="37"/>
      <c r="B20" s="38" t="s">
        <v>69</v>
      </c>
      <c r="C20" s="137">
        <v>5100012949</v>
      </c>
      <c r="D20" s="38" t="s">
        <v>140</v>
      </c>
      <c r="E20" s="38" t="s">
        <v>141</v>
      </c>
      <c r="F20" s="42">
        <v>72222</v>
      </c>
      <c r="G20" s="104">
        <f>F20/Monitoring!$B$18</f>
        <v>168.34965034965035</v>
      </c>
      <c r="H20" s="39" t="s">
        <v>10</v>
      </c>
      <c r="I20" s="40" t="s">
        <v>135</v>
      </c>
    </row>
    <row r="21" spans="1:9" s="41" customFormat="1" ht="30" x14ac:dyDescent="0.25">
      <c r="A21" s="37"/>
      <c r="B21" s="38" t="s">
        <v>69</v>
      </c>
      <c r="C21" s="137">
        <v>5100012950</v>
      </c>
      <c r="D21" s="38" t="s">
        <v>140</v>
      </c>
      <c r="E21" s="38" t="s">
        <v>141</v>
      </c>
      <c r="F21" s="42">
        <v>51580</v>
      </c>
      <c r="G21" s="104">
        <f>F21/Monitoring!$B$18</f>
        <v>120.23310023310023</v>
      </c>
      <c r="H21" s="39" t="s">
        <v>10</v>
      </c>
      <c r="I21" s="40" t="s">
        <v>135</v>
      </c>
    </row>
    <row r="22" spans="1:9" s="41" customFormat="1" ht="30" x14ac:dyDescent="0.25">
      <c r="A22" s="37"/>
      <c r="B22" s="38" t="s">
        <v>69</v>
      </c>
      <c r="C22" s="137">
        <v>5100012951</v>
      </c>
      <c r="D22" s="38" t="s">
        <v>140</v>
      </c>
      <c r="E22" s="38" t="s">
        <v>141</v>
      </c>
      <c r="F22" s="42">
        <v>39374</v>
      </c>
      <c r="G22" s="104">
        <f>F22/Monitoring!$B$18</f>
        <v>91.780885780885782</v>
      </c>
      <c r="H22" s="39" t="s">
        <v>10</v>
      </c>
      <c r="I22" s="40" t="s">
        <v>135</v>
      </c>
    </row>
    <row r="23" spans="1:9" s="41" customFormat="1" ht="30" x14ac:dyDescent="0.25">
      <c r="A23" s="37"/>
      <c r="B23" s="38" t="s">
        <v>69</v>
      </c>
      <c r="C23" s="137">
        <v>5100012907</v>
      </c>
      <c r="D23" s="38" t="s">
        <v>137</v>
      </c>
      <c r="E23" s="38" t="s">
        <v>138</v>
      </c>
      <c r="F23" s="42">
        <v>985</v>
      </c>
      <c r="G23" s="104">
        <f>F23/Monitoring!$B$18</f>
        <v>2.2960372960372961</v>
      </c>
      <c r="H23" s="39" t="s">
        <v>10</v>
      </c>
      <c r="I23" s="40" t="s">
        <v>135</v>
      </c>
    </row>
    <row r="24" spans="1:9" s="41" customFormat="1" x14ac:dyDescent="0.25">
      <c r="A24" s="37"/>
      <c r="B24" s="38"/>
      <c r="C24" s="137"/>
      <c r="D24" s="38"/>
      <c r="E24" s="38"/>
      <c r="F24" s="42"/>
      <c r="G24" s="104">
        <f>F24/Monitoring!$B$18</f>
        <v>0</v>
      </c>
      <c r="H24" s="39"/>
      <c r="I24" s="40"/>
    </row>
    <row r="25" spans="1:9" s="41" customFormat="1" x14ac:dyDescent="0.25">
      <c r="A25" s="37"/>
      <c r="B25" s="38"/>
      <c r="C25" s="137"/>
      <c r="D25" s="38"/>
      <c r="E25" s="38"/>
      <c r="F25" s="42"/>
      <c r="G25" s="104">
        <f>F25/Monitoring!$B$18</f>
        <v>0</v>
      </c>
      <c r="H25" s="39"/>
      <c r="I25" s="40"/>
    </row>
    <row r="26" spans="1:9" s="41" customFormat="1" x14ac:dyDescent="0.25">
      <c r="A26" s="37"/>
      <c r="B26" s="38"/>
      <c r="C26" s="137"/>
      <c r="D26" s="38"/>
      <c r="E26" s="38"/>
      <c r="F26" s="42"/>
      <c r="G26" s="104">
        <f>F26/Monitoring!$B$18</f>
        <v>0</v>
      </c>
      <c r="H26" s="39"/>
      <c r="I26" s="40"/>
    </row>
    <row r="27" spans="1:9" s="41" customFormat="1" x14ac:dyDescent="0.25">
      <c r="A27" s="37"/>
      <c r="B27" s="38"/>
      <c r="C27" s="137"/>
      <c r="D27" s="38"/>
      <c r="E27" s="38"/>
      <c r="F27" s="42"/>
      <c r="G27" s="104">
        <f>F27/Monitoring!$B$18</f>
        <v>0</v>
      </c>
      <c r="H27" s="39"/>
      <c r="I27" s="40"/>
    </row>
    <row r="28" spans="1:9" s="41" customFormat="1" x14ac:dyDescent="0.25">
      <c r="A28" s="37"/>
      <c r="B28" s="38"/>
      <c r="C28" s="137"/>
      <c r="D28" s="38"/>
      <c r="E28" s="38"/>
      <c r="F28" s="42"/>
      <c r="G28" s="104">
        <f>F28/Monitoring!$B$18</f>
        <v>0</v>
      </c>
      <c r="H28" s="39"/>
      <c r="I28" s="40"/>
    </row>
    <row r="29" spans="1:9" s="41" customFormat="1" x14ac:dyDescent="0.25">
      <c r="A29" s="37"/>
      <c r="B29" s="38"/>
      <c r="C29" s="137"/>
      <c r="D29" s="38"/>
      <c r="E29" s="38"/>
      <c r="F29" s="42"/>
      <c r="G29" s="42">
        <f>F29/Monitoring!$B$18</f>
        <v>0</v>
      </c>
      <c r="H29" s="43"/>
      <c r="I29" s="44"/>
    </row>
    <row r="30" spans="1:9" s="41" customFormat="1" x14ac:dyDescent="0.25">
      <c r="A30" s="147"/>
      <c r="B30" s="148"/>
      <c r="C30" s="149"/>
      <c r="D30" s="148"/>
      <c r="E30" s="148"/>
      <c r="F30" s="150"/>
      <c r="G30" s="150"/>
      <c r="H30" s="151"/>
      <c r="I30" s="152"/>
    </row>
    <row r="31" spans="1:9" x14ac:dyDescent="0.25">
      <c r="F31" s="65">
        <f>SUBTOTAL(109,F9:F30)</f>
        <v>463259</v>
      </c>
      <c r="G31" s="105">
        <f>SUBTOTAL(109,G9:G30)</f>
        <v>1079.8578088578088</v>
      </c>
      <c r="H31" s="36"/>
    </row>
  </sheetData>
  <autoFilter ref="A8:I30" xr:uid="{00000000-0001-0000-0100-000000000000}"/>
  <dataValidations count="2">
    <dataValidation type="list" allowBlank="1" showInputMessage="1" showErrorMessage="1" sqref="B9:B30" xr:uid="{00000000-0002-0000-0100-000000000000}">
      <formula1>$B$1:$B$3</formula1>
    </dataValidation>
    <dataValidation type="list" allowBlank="1" showInputMessage="1" showErrorMessage="1" sqref="H9:H30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D18" sqref="D18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6.7109375" customWidth="1"/>
    <col min="9" max="9" width="24.140625" customWidth="1"/>
  </cols>
  <sheetData>
    <row r="1" spans="1:9" x14ac:dyDescent="0.25">
      <c r="A1" s="57" t="s">
        <v>20</v>
      </c>
      <c r="B1" s="127">
        <v>44256</v>
      </c>
      <c r="C1" s="127">
        <v>44985</v>
      </c>
      <c r="D1" s="169" t="s">
        <v>126</v>
      </c>
    </row>
    <row r="2" spans="1:9" x14ac:dyDescent="0.25">
      <c r="A2" s="57" t="s">
        <v>79</v>
      </c>
    </row>
    <row r="3" spans="1:9" x14ac:dyDescent="0.25">
      <c r="A3" s="58" t="s">
        <v>21</v>
      </c>
      <c r="B3" s="111" t="s">
        <v>55</v>
      </c>
      <c r="C3" s="110" t="s">
        <v>52</v>
      </c>
      <c r="D3" s="110" t="s">
        <v>53</v>
      </c>
      <c r="E3" s="112" t="s">
        <v>54</v>
      </c>
      <c r="H3" s="22" t="s">
        <v>142</v>
      </c>
      <c r="I3" s="86">
        <f>SUMIFS(Bérköltség!$L$6:$L$88,Bérköltség!$F$6:$F$88,"Tény")+SUMIFS(Bérköltség!$M$6:$M$88,Bérköltség!$F$6:$F$88,"Tény")+SUMIFS(Dologi_Felhalm.!$F$9:$F$30,Dologi_Felhalm.!H9:H30,"Tény")</f>
        <v>7362324</v>
      </c>
    </row>
    <row r="4" spans="1:9" x14ac:dyDescent="0.25">
      <c r="A4" s="61" t="s">
        <v>44</v>
      </c>
      <c r="B4" s="60">
        <v>6000</v>
      </c>
      <c r="C4" s="113">
        <f>SUMIF(Bérköltség!$B$6:$B$88,A4,Bérköltség!$N$6:$N$88)</f>
        <v>5503.9067599067594</v>
      </c>
      <c r="D4" s="113">
        <f>SUMIF(Dologi_Felhalm.!$B$9:$B$30,A4,Dologi_Felhalm.!$G$9:$G$30)</f>
        <v>234.56876456876458</v>
      </c>
      <c r="E4" s="115">
        <f>B4-C4-D4</f>
        <v>261.52447552447609</v>
      </c>
      <c r="H4" s="22" t="s">
        <v>143</v>
      </c>
      <c r="I4" s="86">
        <f>SUMIFS(Bérköltség!$L$6:$L$88,Bérköltség!$F$6:$F$88,"Köt. váll.")+SUMIFS(Bérköltség!$M$6:$M$88,Bérköltség!$F$6:$F$88,"Köt. váll.")+SUMIFS(Dologi_Felhalm.!$F$9:$F$30,Dologi_Felhalm.!H9:H30,"Köt. váll.")</f>
        <v>2100977</v>
      </c>
    </row>
    <row r="5" spans="1:9" x14ac:dyDescent="0.25">
      <c r="A5" s="61" t="s">
        <v>80</v>
      </c>
      <c r="B5" s="60">
        <v>518</v>
      </c>
      <c r="C5" s="113">
        <f>SUMIF(Bérköltség!$B$6:$B$88,A5,Bérköltség!$N$6:$N$88)</f>
        <v>15475.212121212118</v>
      </c>
      <c r="D5" s="113">
        <f>SUMIF(Dologi_Felhalm.!$B$9:$B$30,A5,Dologi_Felhalm.!$G$9:$G$30)</f>
        <v>0</v>
      </c>
      <c r="E5" s="115">
        <f t="shared" ref="E5:E10" si="0">B5-C5-D5</f>
        <v>-14957.212121212118</v>
      </c>
    </row>
    <row r="6" spans="1:9" x14ac:dyDescent="0.25">
      <c r="A6" s="61" t="s">
        <v>81</v>
      </c>
      <c r="B6" s="60">
        <v>15290</v>
      </c>
      <c r="C6" s="113">
        <f>SUMIF(Bérköltség!$B$6:$B$88,A6,Bérköltség!$N$6:$N$88)</f>
        <v>0</v>
      </c>
      <c r="D6" s="113">
        <f>SUMIF(Dologi_Felhalm.!$B$9:$B$30,A6,Dologi_Felhalm.!$G$9:$G$30)</f>
        <v>0</v>
      </c>
      <c r="E6" s="115">
        <f t="shared" si="0"/>
        <v>15290</v>
      </c>
    </row>
    <row r="7" spans="1:9" x14ac:dyDescent="0.25">
      <c r="A7" s="61" t="s">
        <v>82</v>
      </c>
      <c r="B7" s="60">
        <v>370</v>
      </c>
      <c r="C7" s="113">
        <f>SUMIF(Bérköltség!$B$6:$B$88,A7,Bérköltség!$N$6:$N$88)</f>
        <v>0</v>
      </c>
      <c r="D7" s="113">
        <f>SUMIF(Dologi_Felhalm.!$B$9:$B$30,A7,Dologi_Felhalm.!$G$9:$G$30)</f>
        <v>0</v>
      </c>
      <c r="E7" s="115">
        <f t="shared" ref="E7" si="1">B7-C7-D7</f>
        <v>370</v>
      </c>
    </row>
    <row r="8" spans="1:9" x14ac:dyDescent="0.25">
      <c r="A8" s="61" t="s">
        <v>83</v>
      </c>
      <c r="B8" s="60">
        <v>2200</v>
      </c>
      <c r="C8" s="113">
        <f>SUMIF(Bérköltség!$B$6:$B$88,A8,Bérköltség!$N$6:$N$88)</f>
        <v>0</v>
      </c>
      <c r="D8" s="113">
        <f>SUMIF(Dologi_Felhalm.!$B$9:$B$30,A8,Dologi_Felhalm.!$G$9:$G$30)</f>
        <v>0</v>
      </c>
      <c r="E8" s="115">
        <f t="shared" si="0"/>
        <v>2200</v>
      </c>
    </row>
    <row r="9" spans="1:9" x14ac:dyDescent="0.25">
      <c r="A9" s="61" t="s">
        <v>69</v>
      </c>
      <c r="B9" s="60">
        <v>1725</v>
      </c>
      <c r="C9" s="113">
        <f>SUMIF(Bérköltség!$B$6:$B$88,A9,Bérköltség!$N$6:$N$88)</f>
        <v>0</v>
      </c>
      <c r="D9" s="113">
        <f>SUMIF(Dologi_Felhalm.!$B$9:$B$30,A9,Dologi_Felhalm.!$G$9:$G$30)</f>
        <v>845.28904428904434</v>
      </c>
      <c r="E9" s="115">
        <f t="shared" si="0"/>
        <v>879.71095571095566</v>
      </c>
    </row>
    <row r="10" spans="1:9" x14ac:dyDescent="0.25">
      <c r="A10" s="61" t="s">
        <v>70</v>
      </c>
      <c r="B10" s="60">
        <v>2100</v>
      </c>
      <c r="C10" s="113">
        <f>SUMIF(Bérköltség!$B$6:$B$88,A10,Bérköltség!$N$6:$N$88)</f>
        <v>0</v>
      </c>
      <c r="D10" s="113">
        <f>SUMIF(Dologi_Felhalm.!$B$9:$B$30,A10,Dologi_Felhalm.!$G$9:$G$30)</f>
        <v>0</v>
      </c>
      <c r="E10" s="115">
        <f t="shared" si="0"/>
        <v>2100</v>
      </c>
    </row>
    <row r="11" spans="1:9" x14ac:dyDescent="0.25">
      <c r="A11" s="61"/>
      <c r="B11" s="60"/>
      <c r="C11" s="113"/>
      <c r="D11" s="113"/>
      <c r="E11" s="115"/>
    </row>
    <row r="12" spans="1:9" x14ac:dyDescent="0.25">
      <c r="A12" s="61"/>
      <c r="B12" s="59"/>
      <c r="C12" s="113"/>
      <c r="D12" s="113"/>
      <c r="E12" s="115"/>
    </row>
    <row r="13" spans="1:9" x14ac:dyDescent="0.25">
      <c r="A13" s="58" t="s">
        <v>22</v>
      </c>
      <c r="B13" s="114">
        <f>SUM(B4:B12)</f>
        <v>28203</v>
      </c>
      <c r="C13" s="114">
        <f>SUM(C4:C12)</f>
        <v>20979.118881118877</v>
      </c>
      <c r="D13" s="114">
        <f>SUM(D4:D12)</f>
        <v>1079.857808857809</v>
      </c>
      <c r="E13" s="115">
        <f>B13-C13-D13</f>
        <v>6144.0233100233145</v>
      </c>
    </row>
    <row r="14" spans="1:9" x14ac:dyDescent="0.25">
      <c r="A14" s="132" t="s">
        <v>76</v>
      </c>
      <c r="B14" s="64">
        <f>B13*B18</f>
        <v>12099087</v>
      </c>
    </row>
    <row r="15" spans="1:9" x14ac:dyDescent="0.25">
      <c r="E15" s="62"/>
    </row>
    <row r="16" spans="1:9" x14ac:dyDescent="0.25">
      <c r="A16" t="s">
        <v>77</v>
      </c>
      <c r="B16" s="154">
        <v>11281.2</v>
      </c>
      <c r="C16" t="s">
        <v>16</v>
      </c>
    </row>
    <row r="17" spans="1:4" x14ac:dyDescent="0.25">
      <c r="A17" s="63" t="s">
        <v>51</v>
      </c>
      <c r="B17" s="56">
        <v>44837</v>
      </c>
    </row>
    <row r="18" spans="1:4" x14ac:dyDescent="0.25">
      <c r="A18" s="63" t="s">
        <v>49</v>
      </c>
      <c r="B18">
        <v>429</v>
      </c>
      <c r="C18" t="s">
        <v>50</v>
      </c>
      <c r="D18" t="s">
        <v>86</v>
      </c>
    </row>
    <row r="19" spans="1:4" x14ac:dyDescent="0.25">
      <c r="A19" s="63"/>
      <c r="B19" s="64"/>
    </row>
    <row r="21" spans="1:4" x14ac:dyDescent="0.25">
      <c r="A21" s="63"/>
      <c r="B21" s="64"/>
    </row>
    <row r="23" spans="1:4" x14ac:dyDescent="0.25">
      <c r="A23" s="66" t="s">
        <v>46</v>
      </c>
      <c r="B23" s="109">
        <f>Bérköltség!L89+Bérköltség!M89+Dologi_Felhalm.!F31</f>
        <v>9463301</v>
      </c>
    </row>
    <row r="24" spans="1:4" x14ac:dyDescent="0.25">
      <c r="A24" s="66" t="s">
        <v>45</v>
      </c>
      <c r="B24" s="106">
        <f>Bérköltség!N89+Dologi_Felhalm.!G31</f>
        <v>22058.976689976706</v>
      </c>
    </row>
    <row r="25" spans="1:4" x14ac:dyDescent="0.25">
      <c r="A25" s="66"/>
      <c r="B25" s="106"/>
    </row>
    <row r="26" spans="1:4" x14ac:dyDescent="0.25">
      <c r="A26" s="107" t="s">
        <v>54</v>
      </c>
      <c r="B26" s="108"/>
    </row>
    <row r="27" spans="1:4" x14ac:dyDescent="0.25">
      <c r="A27" s="107" t="s">
        <v>45</v>
      </c>
      <c r="B27" s="108">
        <f>B13-B24</f>
        <v>6144.0233100232945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FEAD-A68F-4D9F-A6A7-7EB3C5D58306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819-B117-4AEC-A7FA-CC334E22B29D}">
  <dimension ref="A1:E15"/>
  <sheetViews>
    <sheetView workbookViewId="0">
      <selection activeCell="A2" sqref="A2:E6"/>
    </sheetView>
  </sheetViews>
  <sheetFormatPr defaultRowHeight="15" x14ac:dyDescent="0.25"/>
  <cols>
    <col min="1" max="5" width="25.5703125" customWidth="1"/>
  </cols>
  <sheetData>
    <row r="1" spans="1:5" x14ac:dyDescent="0.25">
      <c r="A1" s="160" t="s">
        <v>122</v>
      </c>
      <c r="B1" s="160" t="s">
        <v>123</v>
      </c>
      <c r="C1" s="160" t="s">
        <v>124</v>
      </c>
      <c r="D1" s="160" t="s">
        <v>119</v>
      </c>
      <c r="E1" s="160" t="s">
        <v>120</v>
      </c>
    </row>
    <row r="2" spans="1:5" x14ac:dyDescent="0.25">
      <c r="A2" s="172" t="s">
        <v>125</v>
      </c>
      <c r="B2" s="161" t="s">
        <v>110</v>
      </c>
      <c r="C2" s="162" t="s">
        <v>107</v>
      </c>
      <c r="D2" s="163">
        <v>763200</v>
      </c>
      <c r="E2" s="163">
        <v>99216</v>
      </c>
    </row>
    <row r="3" spans="1:5" x14ac:dyDescent="0.25">
      <c r="A3" s="172" t="s">
        <v>95</v>
      </c>
      <c r="B3" s="161" t="s">
        <v>111</v>
      </c>
      <c r="C3" s="162" t="s">
        <v>96</v>
      </c>
      <c r="D3" s="163">
        <v>700000</v>
      </c>
      <c r="E3" s="163">
        <v>91000</v>
      </c>
    </row>
    <row r="4" spans="1:5" x14ac:dyDescent="0.25">
      <c r="A4" s="172" t="s">
        <v>97</v>
      </c>
      <c r="B4" s="161" t="s">
        <v>112</v>
      </c>
      <c r="C4" s="162" t="s">
        <v>96</v>
      </c>
      <c r="D4" s="163">
        <v>1100001</v>
      </c>
      <c r="E4" s="163">
        <v>143000</v>
      </c>
    </row>
    <row r="5" spans="1:5" x14ac:dyDescent="0.25">
      <c r="A5" s="172" t="s">
        <v>99</v>
      </c>
      <c r="B5" s="161" t="s">
        <v>113</v>
      </c>
      <c r="C5" s="162" t="s">
        <v>96</v>
      </c>
      <c r="D5" s="163">
        <v>904200</v>
      </c>
      <c r="E5" s="163">
        <v>117546</v>
      </c>
    </row>
    <row r="6" spans="1:5" x14ac:dyDescent="0.25">
      <c r="A6" s="172" t="s">
        <v>88</v>
      </c>
      <c r="B6" s="161" t="s">
        <v>114</v>
      </c>
      <c r="C6" s="162" t="s">
        <v>89</v>
      </c>
      <c r="D6" s="163">
        <v>509500</v>
      </c>
      <c r="E6" s="163">
        <v>66235</v>
      </c>
    </row>
    <row r="7" spans="1:5" x14ac:dyDescent="0.25">
      <c r="A7" s="164"/>
      <c r="B7" s="165"/>
      <c r="C7" s="162"/>
      <c r="D7" s="163"/>
      <c r="E7" s="163"/>
    </row>
    <row r="8" spans="1:5" x14ac:dyDescent="0.25">
      <c r="A8" s="172"/>
      <c r="B8" s="161"/>
      <c r="C8" s="162"/>
      <c r="D8" s="163"/>
      <c r="E8" s="163"/>
    </row>
    <row r="9" spans="1:5" x14ac:dyDescent="0.25">
      <c r="A9" s="161"/>
      <c r="B9" s="161"/>
      <c r="C9" s="162"/>
      <c r="D9" s="163"/>
      <c r="E9" s="163"/>
    </row>
    <row r="10" spans="1:5" x14ac:dyDescent="0.25">
      <c r="A10" s="164"/>
      <c r="B10" s="165"/>
      <c r="C10" s="162"/>
      <c r="D10" s="163"/>
      <c r="E10" s="163"/>
    </row>
    <row r="11" spans="1:5" x14ac:dyDescent="0.25">
      <c r="A11" s="161"/>
      <c r="B11" s="161"/>
      <c r="C11" s="162"/>
      <c r="D11" s="163"/>
      <c r="E11" s="163"/>
    </row>
    <row r="12" spans="1:5" x14ac:dyDescent="0.25">
      <c r="A12" s="165"/>
      <c r="B12" s="165"/>
      <c r="C12" s="162"/>
      <c r="D12" s="163"/>
      <c r="E12" s="163"/>
    </row>
    <row r="13" spans="1:5" x14ac:dyDescent="0.25">
      <c r="A13" s="164"/>
      <c r="B13" s="165"/>
      <c r="C13" s="162"/>
      <c r="D13" s="163"/>
      <c r="E13" s="163"/>
    </row>
    <row r="14" spans="1:5" x14ac:dyDescent="0.25">
      <c r="A14" s="161"/>
      <c r="B14" s="161"/>
      <c r="C14" s="162"/>
      <c r="D14" s="163"/>
      <c r="E14" s="163"/>
    </row>
    <row r="15" spans="1:5" x14ac:dyDescent="0.25">
      <c r="A15" s="164"/>
      <c r="B15" s="165"/>
      <c r="C15" s="162"/>
      <c r="D15" s="163"/>
      <c r="E15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2023-05-05T09:48:48Z</dcterms:modified>
</cp:coreProperties>
</file>