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" sheetId="1" r:id="rId4"/>
    <sheet state="visible" name="PANEL ACTUALIZADO" sheetId="2" r:id="rId5"/>
    <sheet state="visible" name="PANEL ACTUALIZADO 2" sheetId="3" r:id="rId6"/>
    <sheet state="visible" name="panel 1205" sheetId="4" r:id="rId7"/>
    <sheet state="visible" name="Hoja 4" sheetId="5" r:id="rId8"/>
    <sheet state="visible" name="ESTAN MIN MAX ACTU" sheetId="6" r:id="rId9"/>
    <sheet state="visible" name="CALCULOS" sheetId="7" r:id="rId10"/>
  </sheets>
  <definedNames/>
  <calcPr/>
</workbook>
</file>

<file path=xl/sharedStrings.xml><?xml version="1.0" encoding="utf-8"?>
<sst xmlns="http://schemas.openxmlformats.org/spreadsheetml/2006/main" count="465" uniqueCount="116">
  <si>
    <t>Especie</t>
  </si>
  <si>
    <t>Bono</t>
  </si>
  <si>
    <t>TIR</t>
  </si>
  <si>
    <t>MD</t>
  </si>
  <si>
    <t>D.</t>
  </si>
  <si>
    <t>Conv.</t>
  </si>
  <si>
    <t>Paridad</t>
  </si>
  <si>
    <t>VT</t>
  </si>
  <si>
    <t>Cierre</t>
  </si>
  <si>
    <t>Última</t>
  </si>
  <si>
    <t>Tasa Vigente</t>
  </si>
  <si>
    <t>TTM</t>
  </si>
  <si>
    <t>TASA/PARIDAD</t>
  </si>
  <si>
    <t>TASA*TIR*10</t>
  </si>
  <si>
    <t>TIR/PARIDAD</t>
  </si>
  <si>
    <r>
      <rPr>
        <rFont val="Roboto,Arial"/>
        <color rgb="FF1155CC"/>
        <sz val="12.0"/>
        <u/>
      </rPr>
      <t>YFCJD</t>
    </r>
  </si>
  <si>
    <t>YFCJO</t>
  </si>
  <si>
    <r>
      <rPr>
        <rFont val="Roboto,Arial"/>
        <color rgb="FF1155CC"/>
        <sz val="12.0"/>
        <u/>
      </rPr>
      <t>YMCID</t>
    </r>
  </si>
  <si>
    <t>YMCIO</t>
  </si>
  <si>
    <r>
      <rPr>
        <rFont val="Roboto,Arial"/>
        <color rgb="FF1155CC"/>
        <sz val="12.0"/>
        <u/>
      </rPr>
      <t>YMCJD</t>
    </r>
  </si>
  <si>
    <t>YMCJO</t>
  </si>
  <si>
    <r>
      <rPr>
        <rFont val="Roboto,Arial"/>
        <color rgb="FF1155CC"/>
        <sz val="12.0"/>
        <u/>
      </rPr>
      <t>YCA6P</t>
    </r>
  </si>
  <si>
    <t>YCA6O</t>
  </si>
  <si>
    <t>YM34D</t>
  </si>
  <si>
    <t>YM34O</t>
  </si>
  <si>
    <t>vista</t>
  </si>
  <si>
    <t>TASA-PARIDAD</t>
  </si>
  <si>
    <t>TASA+TIR</t>
  </si>
  <si>
    <t>TIR-PARIDAD</t>
  </si>
  <si>
    <t>INDICE VALORES</t>
  </si>
  <si>
    <t>INDICE RATIOS</t>
  </si>
  <si>
    <t>RATIO TIR+TASA-PAR-MD</t>
  </si>
  <si>
    <t>RATIO COMP PONDE</t>
  </si>
  <si>
    <r>
      <rPr>
        <rFont val="Roboto,Arial"/>
        <color rgb="FF1155CC"/>
        <sz val="12.0"/>
        <u/>
      </rPr>
      <t>YFCJD</t>
    </r>
  </si>
  <si>
    <r>
      <rPr>
        <rFont val="Roboto,Arial"/>
        <color rgb="FF1155CC"/>
        <sz val="12.0"/>
        <u/>
      </rPr>
      <t>YMCID</t>
    </r>
  </si>
  <si>
    <r>
      <rPr>
        <rFont val="Roboto,Arial"/>
        <color rgb="FF1155CC"/>
        <sz val="12.0"/>
        <u/>
      </rPr>
      <t>YMCJD</t>
    </r>
  </si>
  <si>
    <r>
      <rPr>
        <rFont val="Roboto,Arial"/>
        <color rgb="FF1155CC"/>
        <sz val="12.0"/>
        <u/>
      </rPr>
      <t>YCA6P</t>
    </r>
  </si>
  <si>
    <t>PESO</t>
  </si>
  <si>
    <t>CONV</t>
  </si>
  <si>
    <t>PARIDAD</t>
  </si>
  <si>
    <t>COTIZACION</t>
  </si>
  <si>
    <t>TASA</t>
  </si>
  <si>
    <t>ON</t>
  </si>
  <si>
    <t xml:space="preserve">INDICE </t>
  </si>
  <si>
    <t>YFCJD</t>
  </si>
  <si>
    <t>YMCID</t>
  </si>
  <si>
    <t>YMCJD</t>
  </si>
  <si>
    <t>YCA6P</t>
  </si>
  <si>
    <r>
      <rPr>
        <rFont val="Roboto,Arial"/>
        <color rgb="FF1155CC"/>
        <sz val="12.0"/>
        <u/>
      </rPr>
      <t>YFCJD</t>
    </r>
  </si>
  <si>
    <r>
      <rPr>
        <rFont val="Roboto,Arial"/>
        <color rgb="FF1155CC"/>
        <sz val="12.0"/>
        <u/>
      </rPr>
      <t>YMCID</t>
    </r>
  </si>
  <si>
    <r>
      <rPr>
        <rFont val="Roboto,Arial"/>
        <color rgb="FF1155CC"/>
        <sz val="12.0"/>
        <u/>
      </rPr>
      <t>YMCJD</t>
    </r>
  </si>
  <si>
    <r>
      <rPr>
        <rFont val="Roboto,Arial"/>
        <color rgb="FF1155CC"/>
        <sz val="12.0"/>
        <u/>
      </rPr>
      <t>YCA6P</t>
    </r>
  </si>
  <si>
    <t>Objetivo</t>
  </si>
  <si>
    <t>Cotización</t>
  </si>
  <si>
    <t>Tasa</t>
  </si>
  <si>
    <t>Máxima Rentabilidad</t>
  </si>
  <si>
    <t>Menor Riesgo / Estabilidad</t>
  </si>
  <si>
    <t>Liquidez y oportunidad</t>
  </si>
  <si>
    <t>Aprovechar amortización</t>
  </si>
  <si>
    <t>Balanceado</t>
  </si>
  <si>
    <r>
      <rPr>
        <rFont val="Roboto,Arial"/>
        <color rgb="FF1155CC"/>
        <sz val="12.0"/>
        <u/>
      </rPr>
      <t>YFCJD</t>
    </r>
  </si>
  <si>
    <r>
      <rPr>
        <rFont val="Roboto,Arial"/>
        <color rgb="FF1155CC"/>
        <sz val="12.0"/>
        <u/>
      </rPr>
      <t>YMCID</t>
    </r>
  </si>
  <si>
    <r>
      <rPr>
        <rFont val="Roboto,Arial"/>
        <color rgb="FF1155CC"/>
        <sz val="12.0"/>
        <u/>
      </rPr>
      <t>YMCJD</t>
    </r>
  </si>
  <si>
    <r>
      <rPr>
        <rFont val="Roboto,Arial"/>
        <color rgb="FF1155CC"/>
        <sz val="12.0"/>
        <u/>
      </rPr>
      <t>YCA6P</t>
    </r>
  </si>
  <si>
    <r>
      <rPr>
        <rFont val="Roboto"/>
        <color rgb="FF1155CC"/>
        <sz val="12.0"/>
        <u/>
      </rPr>
      <t>YFCJD</t>
    </r>
  </si>
  <si>
    <r>
      <rPr>
        <rFont val="Roboto"/>
        <color rgb="FF1155CC"/>
        <sz val="12.0"/>
        <u/>
      </rPr>
      <t>YMCID</t>
    </r>
  </si>
  <si>
    <r>
      <rPr>
        <rFont val="Roboto"/>
        <color rgb="FF1155CC"/>
        <sz val="12.0"/>
        <u/>
      </rPr>
      <t>YMCJD</t>
    </r>
  </si>
  <si>
    <r>
      <rPr>
        <rFont val="Roboto"/>
        <color rgb="FF1155CC"/>
        <sz val="12.0"/>
        <u/>
      </rPr>
      <t>YFCID</t>
    </r>
  </si>
  <si>
    <t>YFCIO</t>
  </si>
  <si>
    <r>
      <rPr>
        <rFont val="Roboto"/>
        <color rgb="FF1155CC"/>
        <sz val="12.0"/>
        <u/>
      </rPr>
      <t>YM34D</t>
    </r>
  </si>
  <si>
    <r>
      <rPr>
        <rFont val="Roboto,Arial"/>
        <color rgb="FF1155CC"/>
        <sz val="12.0"/>
        <u/>
      </rPr>
      <t>YFCJD</t>
    </r>
  </si>
  <si>
    <r>
      <rPr>
        <rFont val="Roboto,Arial"/>
        <color rgb="FF1155CC"/>
        <sz val="12.0"/>
        <u/>
      </rPr>
      <t>YMCID</t>
    </r>
  </si>
  <si>
    <r>
      <rPr>
        <rFont val="Roboto,Arial"/>
        <color rgb="FF1155CC"/>
        <sz val="12.0"/>
        <u/>
      </rPr>
      <t>YMCJD</t>
    </r>
  </si>
  <si>
    <r>
      <rPr>
        <rFont val="Roboto"/>
        <color rgb="FF1155CC"/>
        <sz val="12.0"/>
        <u/>
      </rPr>
      <t>YFCID</t>
    </r>
  </si>
  <si>
    <t>Var. Diaria</t>
  </si>
  <si>
    <r>
      <rPr>
        <rFont val="Roboto"/>
        <color rgb="FF1155CC"/>
        <sz val="12.0"/>
        <u/>
      </rPr>
      <t>YCA6P</t>
    </r>
  </si>
  <si>
    <r>
      <rPr>
        <rFont val="Roboto"/>
        <color rgb="FF1155CC"/>
        <sz val="12.0"/>
        <u/>
      </rPr>
      <t>YFCJD</t>
    </r>
  </si>
  <si>
    <r>
      <rPr>
        <rFont val="Roboto"/>
        <color rgb="FF1155CC"/>
        <sz val="12.0"/>
        <u/>
      </rPr>
      <t>YM34D</t>
    </r>
  </si>
  <si>
    <r>
      <rPr>
        <rFont val="Roboto"/>
        <color rgb="FF1155CC"/>
        <sz val="12.0"/>
        <u/>
      </rPr>
      <t>YMCID</t>
    </r>
  </si>
  <si>
    <r>
      <rPr>
        <rFont val="Roboto"/>
        <color rgb="FF1155CC"/>
        <sz val="12.0"/>
        <u/>
      </rPr>
      <t>YMCJD</t>
    </r>
  </si>
  <si>
    <r>
      <rPr>
        <rFont val="Roboto"/>
        <color rgb="FF1155CC"/>
        <sz val="12.0"/>
        <u/>
      </rPr>
      <t>YFCJD</t>
    </r>
  </si>
  <si>
    <r>
      <rPr>
        <rFont val="Roboto"/>
        <color rgb="FF1155CC"/>
        <sz val="12.0"/>
        <u/>
      </rPr>
      <t>YMCID</t>
    </r>
  </si>
  <si>
    <r>
      <rPr>
        <rFont val="Roboto"/>
        <color rgb="FF1155CC"/>
        <sz val="12.0"/>
        <u/>
      </rPr>
      <t>YMCJD</t>
    </r>
  </si>
  <si>
    <r>
      <rPr>
        <rFont val="Roboto"/>
        <color rgb="FF1155CC"/>
        <sz val="12.0"/>
        <u/>
      </rPr>
      <t>YFCID</t>
    </r>
  </si>
  <si>
    <r>
      <rPr>
        <rFont val="Roboto"/>
        <color rgb="FF1155CC"/>
        <sz val="12.0"/>
        <u/>
      </rPr>
      <t>YM34D</t>
    </r>
  </si>
  <si>
    <t>YFCID</t>
  </si>
  <si>
    <t>TASA+2TIR</t>
  </si>
  <si>
    <r>
      <rPr>
        <rFont val="Roboto,Arial"/>
        <color rgb="FF1155CC"/>
        <sz val="12.0"/>
        <u/>
      </rPr>
      <t>YFCJD</t>
    </r>
  </si>
  <si>
    <r>
      <rPr>
        <rFont val="Roboto,Arial"/>
        <color rgb="FF1155CC"/>
        <sz val="12.0"/>
        <u/>
      </rPr>
      <t>YMCID</t>
    </r>
  </si>
  <si>
    <r>
      <rPr>
        <rFont val="Roboto,Arial"/>
        <color rgb="FF1155CC"/>
        <sz val="12.0"/>
        <u/>
      </rPr>
      <t>YMCJD</t>
    </r>
  </si>
  <si>
    <r>
      <rPr>
        <rFont val="Roboto,Arial"/>
        <color rgb="FF1155CC"/>
        <sz val="12.0"/>
        <u/>
      </rPr>
      <t>YCA6P</t>
    </r>
  </si>
  <si>
    <t>ym34d</t>
  </si>
  <si>
    <t>interes</t>
  </si>
  <si>
    <t>amort</t>
  </si>
  <si>
    <t>total</t>
  </si>
  <si>
    <t>ymcjd</t>
  </si>
  <si>
    <t>Año</t>
  </si>
  <si>
    <t>Fecha de pago</t>
  </si>
  <si>
    <t>Flujo de caja (USD)</t>
  </si>
  <si>
    <t>tir</t>
  </si>
  <si>
    <t>tirsem</t>
  </si>
  <si>
    <t>tira</t>
  </si>
  <si>
    <t>tasa</t>
  </si>
  <si>
    <t>tns</t>
  </si>
  <si>
    <t>Esto nunca puede ser -100 salvo pago de "amortizaciones", el valor tecnico se entiendo com VR + IC</t>
  </si>
  <si>
    <t>dur</t>
  </si>
  <si>
    <t>duran</t>
  </si>
  <si>
    <t>modd</t>
  </si>
  <si>
    <t xml:space="preserve">En este caso seria </t>
  </si>
  <si>
    <t xml:space="preserve">VR </t>
  </si>
  <si>
    <t>I anual</t>
  </si>
  <si>
    <t xml:space="preserve">Esto lo puse de mas  jaja </t>
  </si>
  <si>
    <t>I semestral</t>
  </si>
  <si>
    <t>D/da</t>
  </si>
  <si>
    <t>(Feha a hoy- Fecha emision)/120</t>
  </si>
  <si>
    <t>IC=100*0,04125*((Fecha a hoy- Feha emision)/120)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</si>
</sst>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%"/>
    <numFmt numFmtId="165" formatCode="0.00000"/>
    <numFmt numFmtId="166" formatCode="dd/mm/yyyy"/>
    <numFmt numFmtId="167" formatCode="d/m/yyyy"/>
  </numFmts>
  <fonts count="22">
    <font>
      <sz val="10.0"/>
      <color rgb="FF000000"/>
      <name val="Arial"/>
      <scheme val="minor"/>
    </font>
    <font>
      <b/>
      <sz val="12.0"/>
      <color theme="1"/>
      <name val="Roboto"/>
    </font>
    <font>
      <color theme="1"/>
      <name val="Arial"/>
    </font>
    <font>
      <u/>
      <sz val="12.0"/>
      <color rgb="FF1155CC"/>
      <name val="Roboto"/>
    </font>
    <font>
      <u/>
      <sz val="12.0"/>
      <color rgb="FF212529"/>
      <name val="Roboto"/>
    </font>
    <font>
      <sz val="12.0"/>
      <color rgb="FF212529"/>
      <name val="Roboto"/>
    </font>
    <font>
      <sz val="12.0"/>
      <color theme="1"/>
      <name val="Roboto"/>
    </font>
    <font>
      <u/>
      <sz val="12.0"/>
      <color rgb="FF1155CC"/>
      <name val="Roboto"/>
    </font>
    <font>
      <u/>
      <sz val="12.0"/>
      <color rgb="FF1155CC"/>
      <name val="Roboto"/>
    </font>
    <font>
      <u/>
      <sz val="12.0"/>
      <color rgb="FF1155CC"/>
      <name val="Roboto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sz val="12.0"/>
      <color rgb="FF0000FF"/>
      <name val="Roboto"/>
    </font>
    <font>
      <sz val="12.0"/>
      <color rgb="FF075BA2"/>
      <name val="Roboto"/>
    </font>
    <font>
      <sz val="12.0"/>
      <color rgb="FF343A40"/>
      <name val="Roboto"/>
    </font>
    <font>
      <u/>
      <sz val="12.0"/>
      <color rgb="FF0000FF"/>
      <name val="Roboto"/>
    </font>
    <font>
      <b/>
      <sz val="12.0"/>
      <color rgb="FF000000"/>
      <name val="Roboto"/>
    </font>
    <font>
      <u/>
      <sz val="12.0"/>
      <color rgb="FF0000FF"/>
      <name val="Roboto"/>
    </font>
    <font>
      <sz val="12.0"/>
      <color rgb="FF000000"/>
      <name val="Roboto"/>
    </font>
    <font>
      <sz val="12.0"/>
      <color rgb="FF960211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000000"/>
      </bottom>
    </border>
    <border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2" fontId="4" numFmtId="0" xfId="0" applyAlignment="1" applyBorder="1" applyFill="1" applyFont="1">
      <alignment horizontal="center" shrinkToFit="0" vertical="bottom" wrapText="0"/>
    </xf>
    <xf borderId="5" fillId="2" fontId="5" numFmtId="10" xfId="0" applyAlignment="1" applyBorder="1" applyFont="1" applyNumberFormat="1">
      <alignment readingOrder="0" shrinkToFit="0" vertical="bottom" wrapText="0"/>
    </xf>
    <xf borderId="5" fillId="2" fontId="5" numFmtId="2" xfId="0" applyAlignment="1" applyBorder="1" applyFont="1" applyNumberFormat="1">
      <alignment shrinkToFit="0" vertical="bottom" wrapText="0"/>
    </xf>
    <xf borderId="5" fillId="2" fontId="5" numFmtId="4" xfId="0" applyAlignment="1" applyBorder="1" applyFont="1" applyNumberFormat="1">
      <alignment horizontal="right" readingOrder="0" shrinkToFit="0" vertical="bottom" wrapText="0"/>
    </xf>
    <xf borderId="5" fillId="2" fontId="5" numFmtId="10" xfId="0" applyAlignment="1" applyBorder="1" applyFont="1" applyNumberFormat="1">
      <alignment horizontal="right" shrinkToFit="0" vertical="bottom" wrapText="0"/>
    </xf>
    <xf borderId="5" fillId="2" fontId="5" numFmtId="0" xfId="0" applyAlignment="1" applyBorder="1" applyFont="1">
      <alignment horizontal="right" readingOrder="0" shrinkToFit="0" vertical="bottom" wrapText="0"/>
    </xf>
    <xf borderId="5" fillId="2" fontId="5" numFmtId="0" xfId="0" applyAlignment="1" applyBorder="1" applyFont="1">
      <alignment horizontal="right" shrinkToFit="0" vertical="bottom" wrapText="0"/>
    </xf>
    <xf borderId="5" fillId="0" fontId="6" numFmtId="164" xfId="0" applyAlignment="1" applyBorder="1" applyFont="1" applyNumberFormat="1">
      <alignment horizontal="right" shrinkToFit="0" vertical="bottom" wrapText="0"/>
    </xf>
    <xf borderId="5" fillId="0" fontId="6" numFmtId="10" xfId="0" applyAlignment="1" applyBorder="1" applyFont="1" applyNumberFormat="1">
      <alignment horizontal="right" shrinkToFit="0" vertical="bottom" wrapText="0"/>
    </xf>
    <xf borderId="6" fillId="0" fontId="7" numFmtId="0" xfId="0" applyAlignment="1" applyBorder="1" applyFont="1">
      <alignment shrinkToFit="0" vertical="bottom" wrapText="0"/>
    </xf>
    <xf borderId="7" fillId="0" fontId="6" numFmtId="164" xfId="0" applyAlignment="1" applyBorder="1" applyFont="1" applyNumberFormat="1">
      <alignment horizontal="right" shrinkToFit="0" vertical="bottom" wrapText="0"/>
    </xf>
    <xf borderId="7" fillId="0" fontId="6" numFmtId="10" xfId="0" applyAlignment="1" applyBorder="1" applyFont="1" applyNumberFormat="1">
      <alignment horizontal="right" shrinkToFit="0" vertical="bottom" wrapText="0"/>
    </xf>
    <xf borderId="5" fillId="2" fontId="5" numFmtId="2" xfId="0" applyAlignment="1" applyBorder="1" applyFont="1" applyNumberFormat="1">
      <alignment readingOrder="0" shrinkToFit="0" vertical="bottom" wrapText="0"/>
    </xf>
    <xf borderId="5" fillId="2" fontId="5" numFmtId="10" xfId="0" applyAlignment="1" applyBorder="1" applyFont="1" applyNumberFormat="1">
      <alignment horizontal="right"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readingOrder="0" shrinkToFit="0" vertical="bottom" wrapText="0"/>
    </xf>
    <xf borderId="10" fillId="2" fontId="5" numFmtId="10" xfId="0" applyAlignment="1" applyBorder="1" applyFont="1" applyNumberFormat="1">
      <alignment readingOrder="0" shrinkToFit="0" vertical="bottom" wrapText="0"/>
    </xf>
    <xf borderId="10" fillId="2" fontId="5" numFmtId="2" xfId="0" applyAlignment="1" applyBorder="1" applyFont="1" applyNumberFormat="1">
      <alignment readingOrder="0" shrinkToFit="0" vertical="bottom" wrapText="0"/>
    </xf>
    <xf borderId="10" fillId="2" fontId="5" numFmtId="4" xfId="0" applyAlignment="1" applyBorder="1" applyFont="1" applyNumberFormat="1">
      <alignment horizontal="right" readingOrder="0" shrinkToFit="0" vertical="bottom" wrapText="0"/>
    </xf>
    <xf borderId="10" fillId="2" fontId="5" numFmtId="10" xfId="0" applyAlignment="1" applyBorder="1" applyFont="1" applyNumberFormat="1">
      <alignment horizontal="right" readingOrder="0" shrinkToFit="0" vertical="bottom" wrapText="0"/>
    </xf>
    <xf borderId="10" fillId="2" fontId="5" numFmtId="0" xfId="0" applyAlignment="1" applyBorder="1" applyFont="1">
      <alignment horizontal="right" readingOrder="0" shrinkToFit="0" vertical="bottom" wrapText="0"/>
    </xf>
    <xf borderId="10" fillId="2" fontId="5" numFmtId="10" xfId="0" applyAlignment="1" applyBorder="1" applyFont="1" applyNumberFormat="1">
      <alignment horizontal="right" shrinkToFit="0" vertical="bottom" wrapText="0"/>
    </xf>
    <xf borderId="10" fillId="2" fontId="5" numFmtId="0" xfId="0" applyAlignment="1" applyBorder="1" applyFont="1">
      <alignment horizontal="right" shrinkToFit="0" vertical="bottom" wrapText="0"/>
    </xf>
    <xf borderId="11" fillId="0" fontId="6" numFmtId="164" xfId="0" applyAlignment="1" applyBorder="1" applyFont="1" applyNumberFormat="1">
      <alignment horizontal="right" shrinkToFit="0" vertical="bottom" wrapText="0"/>
    </xf>
    <xf borderId="12" fillId="0" fontId="6" numFmtId="10" xfId="0" applyAlignment="1" applyBorder="1" applyFont="1" applyNumberFormat="1">
      <alignment horizontal="right" shrinkToFit="0" vertical="bottom" wrapText="0"/>
    </xf>
    <xf borderId="13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left" readingOrder="0" shrinkToFit="0" vertical="bottom" wrapText="0"/>
    </xf>
    <xf borderId="5" fillId="0" fontId="11" numFmtId="0" xfId="0" applyAlignment="1" applyBorder="1" applyFont="1">
      <alignment horizontal="right" shrinkToFit="0" vertical="bottom" wrapText="0"/>
    </xf>
    <xf borderId="5" fillId="0" fontId="11" numFmtId="165" xfId="0" applyAlignment="1" applyBorder="1" applyFont="1" applyNumberFormat="1">
      <alignment horizontal="right" shrinkToFit="0" vertical="bottom" wrapText="0"/>
    </xf>
    <xf borderId="14" fillId="0" fontId="2" numFmtId="165" xfId="0" applyAlignment="1" applyBorder="1" applyFont="1" applyNumberFormat="1">
      <alignment horizontal="right" shrinkToFit="0" vertical="bottom" wrapText="0"/>
    </xf>
    <xf borderId="5" fillId="0" fontId="2" numFmtId="165" xfId="0" applyAlignment="1" applyBorder="1" applyFont="1" applyNumberFormat="1">
      <alignment horizontal="right" shrinkToFit="0" vertical="bottom" wrapText="0"/>
    </xf>
    <xf borderId="7" fillId="0" fontId="11" numFmtId="0" xfId="0" applyAlignment="1" applyBorder="1" applyFont="1">
      <alignment horizontal="right" shrinkToFit="0" vertical="bottom" wrapText="0"/>
    </xf>
    <xf borderId="7" fillId="0" fontId="11" numFmtId="165" xfId="0" applyAlignment="1" applyBorder="1" applyFont="1" applyNumberFormat="1">
      <alignment horizontal="right" shrinkToFit="0" vertical="bottom" wrapText="0"/>
    </xf>
    <xf borderId="15" fillId="0" fontId="2" numFmtId="165" xfId="0" applyAlignment="1" applyBorder="1" applyFont="1" applyNumberFormat="1">
      <alignment horizontal="right" shrinkToFit="0" vertical="bottom" wrapText="0"/>
    </xf>
    <xf borderId="7" fillId="0" fontId="2" numFmtId="165" xfId="0" applyAlignment="1" applyBorder="1" applyFont="1" applyNumberFormat="1">
      <alignment horizontal="right" shrinkToFit="0" vertical="bottom" wrapText="0"/>
    </xf>
    <xf borderId="9" fillId="0" fontId="11" numFmtId="0" xfId="0" applyAlignment="1" applyBorder="1" applyFont="1">
      <alignment horizontal="right" shrinkToFit="0" vertical="bottom" wrapText="0"/>
    </xf>
    <xf borderId="9" fillId="0" fontId="11" numFmtId="165" xfId="0" applyAlignment="1" applyBorder="1" applyFont="1" applyNumberFormat="1">
      <alignment horizontal="right" shrinkToFit="0" vertical="bottom" wrapText="0"/>
    </xf>
    <xf borderId="16" fillId="0" fontId="11" numFmtId="165" xfId="0" applyAlignment="1" applyBorder="1" applyFont="1" applyNumberFormat="1">
      <alignment horizontal="right" shrinkToFit="0" vertical="bottom" wrapText="0"/>
    </xf>
    <xf borderId="8" fillId="0" fontId="2" numFmtId="165" xfId="0" applyAlignment="1" applyBorder="1" applyFont="1" applyNumberFormat="1">
      <alignment horizontal="right" shrinkToFit="0" vertical="bottom" wrapText="0"/>
    </xf>
    <xf borderId="9" fillId="0" fontId="2" numFmtId="165" xfId="0" applyAlignment="1" applyBorder="1" applyFont="1" applyNumberFormat="1">
      <alignment horizontal="right" shrinkToFit="0" vertical="bottom" wrapText="0"/>
    </xf>
    <xf borderId="16" fillId="0" fontId="2" numFmtId="165" xfId="0" applyAlignment="1" applyBorder="1" applyFont="1" applyNumberFormat="1">
      <alignment horizontal="right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17" fillId="0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readingOrder="0" shrinkToFit="0" vertical="bottom" wrapText="0"/>
    </xf>
    <xf borderId="19" fillId="0" fontId="2" numFmtId="0" xfId="0" applyAlignment="1" applyBorder="1" applyFont="1">
      <alignment readingOrder="0" shrinkToFit="0" vertical="bottom" wrapText="0"/>
    </xf>
    <xf borderId="20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22" fillId="0" fontId="2" numFmtId="0" xfId="0" applyAlignment="1" applyBorder="1" applyFont="1">
      <alignment shrinkToFit="0" vertical="bottom" wrapText="0"/>
    </xf>
    <xf borderId="23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20" fillId="0" fontId="12" numFmtId="0" xfId="0" applyAlignment="1" applyBorder="1" applyFont="1">
      <alignment readingOrder="0" shrinkToFit="0" vertical="center" wrapText="0"/>
    </xf>
    <xf borderId="24" fillId="0" fontId="12" numFmtId="0" xfId="0" applyAlignment="1" applyBorder="1" applyFont="1">
      <alignment readingOrder="0" shrinkToFit="0" vertical="center" wrapText="0"/>
    </xf>
    <xf borderId="24" fillId="0" fontId="12" numFmtId="10" xfId="0" applyAlignment="1" applyBorder="1" applyFont="1" applyNumberFormat="1">
      <alignment readingOrder="0" shrinkToFit="0" vertical="center" wrapText="0"/>
    </xf>
    <xf borderId="24" fillId="0" fontId="12" numFmtId="2" xfId="0" applyAlignment="1" applyBorder="1" applyFont="1" applyNumberFormat="1">
      <alignment readingOrder="0" shrinkToFit="0" vertical="center" wrapText="0"/>
    </xf>
    <xf borderId="24" fillId="0" fontId="12" numFmtId="4" xfId="0" applyAlignment="1" applyBorder="1" applyFont="1" applyNumberFormat="1">
      <alignment readingOrder="0" shrinkToFit="0" vertical="center" wrapText="0"/>
    </xf>
    <xf borderId="22" fillId="0" fontId="12" numFmtId="0" xfId="0" applyAlignment="1" applyBorder="1" applyFont="1">
      <alignment readingOrder="0" shrinkToFit="0" vertical="center" wrapText="0"/>
    </xf>
    <xf borderId="25" fillId="0" fontId="12" numFmtId="0" xfId="0" applyAlignment="1" applyBorder="1" applyFont="1">
      <alignment readingOrder="0" shrinkToFit="0" vertical="center" wrapText="0"/>
    </xf>
    <xf borderId="25" fillId="0" fontId="12" numFmtId="10" xfId="0" applyAlignment="1" applyBorder="1" applyFont="1" applyNumberFormat="1">
      <alignment readingOrder="0" shrinkToFit="0" vertical="center" wrapText="0"/>
    </xf>
    <xf borderId="25" fillId="0" fontId="12" numFmtId="2" xfId="0" applyAlignment="1" applyBorder="1" applyFont="1" applyNumberFormat="1">
      <alignment readingOrder="0" shrinkToFit="0" vertical="center" wrapText="0"/>
    </xf>
    <xf borderId="25" fillId="0" fontId="12" numFmtId="4" xfId="0" applyAlignment="1" applyBorder="1" applyFont="1" applyNumberFormat="1">
      <alignment readingOrder="0" shrinkToFit="0" vertical="center" wrapText="0"/>
    </xf>
    <xf borderId="17" fillId="0" fontId="12" numFmtId="0" xfId="0" applyAlignment="1" applyBorder="1" applyFont="1">
      <alignment readingOrder="0" shrinkToFit="0" vertical="center" wrapText="0"/>
    </xf>
    <xf borderId="18" fillId="0" fontId="12" numFmtId="0" xfId="0" applyAlignment="1" applyBorder="1" applyFont="1">
      <alignment readingOrder="0" shrinkToFit="0" vertical="center" wrapText="0"/>
    </xf>
    <xf borderId="18" fillId="0" fontId="12" numFmtId="10" xfId="0" applyAlignment="1" applyBorder="1" applyFont="1" applyNumberFormat="1">
      <alignment readingOrder="0" shrinkToFit="0" vertical="center" wrapText="0"/>
    </xf>
    <xf borderId="18" fillId="0" fontId="12" numFmtId="2" xfId="0" applyAlignment="1" applyBorder="1" applyFont="1" applyNumberFormat="1">
      <alignment readingOrder="0" shrinkToFit="0" vertical="center" wrapText="0"/>
    </xf>
    <xf borderId="18" fillId="0" fontId="12" numFmtId="4" xfId="0" applyAlignment="1" applyBorder="1" applyFont="1" applyNumberFormat="1">
      <alignment readingOrder="0" shrinkToFit="0" vertical="center" wrapText="0"/>
    </xf>
    <xf borderId="18" fillId="0" fontId="12" numFmtId="9" xfId="0" applyAlignment="1" applyBorder="1" applyFont="1" applyNumberFormat="1">
      <alignment readingOrder="0" shrinkToFit="0" vertical="center" wrapText="0"/>
    </xf>
    <xf borderId="19" fillId="0" fontId="12" numFmtId="9" xfId="0" applyAlignment="1" applyBorder="1" applyFont="1" applyNumberFormat="1">
      <alignment readingOrder="0" shrinkToFit="0" vertical="center" wrapText="0"/>
    </xf>
    <xf borderId="0" fillId="0" fontId="13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9" xfId="0" applyAlignment="1" applyFont="1" applyNumberFormat="1">
      <alignment readingOrder="0"/>
    </xf>
    <xf borderId="9" fillId="0" fontId="12" numFmtId="10" xfId="0" applyAlignment="1" applyBorder="1" applyFont="1" applyNumberFormat="1">
      <alignment readingOrder="0" shrinkToFit="0" vertical="center" wrapText="0"/>
    </xf>
    <xf borderId="9" fillId="0" fontId="12" numFmtId="2" xfId="0" applyAlignment="1" applyBorder="1" applyFont="1" applyNumberFormat="1">
      <alignment readingOrder="0" shrinkToFit="0" vertical="center" wrapText="0"/>
    </xf>
    <xf borderId="9" fillId="0" fontId="12" numFmtId="4" xfId="0" applyAlignment="1" applyBorder="1" applyFont="1" applyNumberFormat="1">
      <alignment readingOrder="0" shrinkToFit="0" vertical="center" wrapText="0"/>
    </xf>
    <xf borderId="9" fillId="0" fontId="1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bottom" wrapText="0"/>
    </xf>
    <xf borderId="16" fillId="0" fontId="2" numFmtId="0" xfId="0" applyAlignment="1" applyBorder="1" applyFont="1">
      <alignment shrinkToFit="0" vertical="bottom" wrapText="0"/>
    </xf>
    <xf borderId="26" fillId="0" fontId="14" numFmtId="0" xfId="0" applyAlignment="1" applyBorder="1" applyFont="1">
      <alignment readingOrder="0" shrinkToFit="0" vertical="bottom" wrapText="0"/>
    </xf>
    <xf borderId="10" fillId="0" fontId="15" numFmtId="0" xfId="0" applyAlignment="1" applyBorder="1" applyFont="1">
      <alignment horizontal="center" readingOrder="0" shrinkToFit="0" vertical="center" wrapText="0"/>
    </xf>
    <xf borderId="10" fillId="2" fontId="5" numFmtId="4" xfId="0" applyAlignment="1" applyBorder="1" applyFont="1" applyNumberFormat="1">
      <alignment readingOrder="0" shrinkToFit="0" vertical="bottom" wrapText="0"/>
    </xf>
    <xf borderId="10" fillId="2" fontId="16" numFmtId="0" xfId="0" applyAlignment="1" applyBorder="1" applyFont="1">
      <alignment readingOrder="0" shrinkToFit="0" vertical="bottom" wrapText="0"/>
    </xf>
    <xf borderId="27" fillId="0" fontId="17" numFmtId="0" xfId="0" applyAlignment="1" applyBorder="1" applyFont="1">
      <alignment readingOrder="0" shrinkToFit="0" vertical="bottom" wrapText="0"/>
    </xf>
    <xf borderId="11" fillId="0" fontId="15" numFmtId="0" xfId="0" applyAlignment="1" applyBorder="1" applyFont="1">
      <alignment horizontal="center" readingOrder="0" shrinkToFit="0" vertical="center" wrapText="0"/>
    </xf>
    <xf borderId="13" fillId="2" fontId="18" numFmtId="0" xfId="0" applyAlignment="1" applyBorder="1" applyFont="1">
      <alignment readingOrder="0" shrinkToFit="0" vertical="bottom" wrapText="0"/>
    </xf>
    <xf borderId="13" fillId="2" fontId="18" numFmtId="0" xfId="0" applyAlignment="1" applyBorder="1" applyFont="1">
      <alignment vertical="bottom"/>
    </xf>
    <xf borderId="13" fillId="0" fontId="19" numFmtId="0" xfId="0" applyAlignment="1" applyBorder="1" applyFont="1">
      <alignment readingOrder="0" vertical="bottom"/>
    </xf>
    <xf borderId="13" fillId="0" fontId="15" numFmtId="0" xfId="0" applyAlignment="1" applyBorder="1" applyFont="1">
      <alignment horizontal="center" readingOrder="0"/>
    </xf>
    <xf borderId="13" fillId="2" fontId="5" numFmtId="10" xfId="0" applyAlignment="1" applyBorder="1" applyFont="1" applyNumberFormat="1">
      <alignment readingOrder="0" vertical="bottom"/>
    </xf>
    <xf borderId="13" fillId="2" fontId="5" numFmtId="0" xfId="0" applyAlignment="1" applyBorder="1" applyFont="1">
      <alignment readingOrder="0" vertical="bottom"/>
    </xf>
    <xf borderId="13" fillId="2" fontId="16" numFmtId="0" xfId="0" applyAlignment="1" applyBorder="1" applyFont="1">
      <alignment readingOrder="0" vertical="bottom"/>
    </xf>
    <xf borderId="13" fillId="2" fontId="5" numFmtId="10" xfId="0" applyAlignment="1" applyBorder="1" applyFont="1" applyNumberFormat="1">
      <alignment readingOrder="0" shrinkToFit="0" vertical="bottom" wrapText="0"/>
    </xf>
    <xf borderId="13" fillId="2" fontId="20" numFmtId="0" xfId="0" applyAlignment="1" applyBorder="1" applyFont="1">
      <alignment vertical="bottom"/>
    </xf>
    <xf borderId="13" fillId="2" fontId="21" numFmtId="10" xfId="0" applyAlignment="1" applyBorder="1" applyFont="1" applyNumberFormat="1">
      <alignment readingOrder="0" shrinkToFit="0" vertical="bottom" wrapText="0"/>
    </xf>
    <xf borderId="0" fillId="0" fontId="12" numFmtId="10" xfId="0" applyAlignment="1" applyFont="1" applyNumberFormat="1">
      <alignment readingOrder="0"/>
    </xf>
    <xf borderId="0" fillId="2" fontId="20" numFmtId="0" xfId="0" applyAlignment="1" applyFont="1">
      <alignment vertical="bottom"/>
    </xf>
    <xf borderId="5" fillId="0" fontId="11" numFmtId="9" xfId="0" applyAlignment="1" applyBorder="1" applyFont="1" applyNumberFormat="1">
      <alignment horizontal="right" shrinkToFit="0" vertical="bottom" wrapText="0"/>
    </xf>
    <xf borderId="7" fillId="0" fontId="11" numFmtId="9" xfId="0" applyAlignment="1" applyBorder="1" applyFont="1" applyNumberFormat="1">
      <alignment horizontal="right" shrinkToFit="0" vertical="bottom" wrapText="0"/>
    </xf>
    <xf borderId="0" fillId="0" fontId="12" numFmtId="10" xfId="0" applyFont="1" applyNumberFormat="1"/>
    <xf borderId="0" fillId="0" fontId="12" numFmtId="166" xfId="0" applyAlignment="1" applyFont="1" applyNumberFormat="1">
      <alignment readingOrder="0"/>
    </xf>
    <xf borderId="0" fillId="2" fontId="5" numFmtId="0" xfId="0" applyAlignment="1" applyFont="1">
      <alignment readingOrder="0" vertical="bottom"/>
    </xf>
    <xf borderId="0" fillId="2" fontId="5" numFmtId="166" xfId="0" applyAlignment="1" applyFont="1" applyNumberFormat="1">
      <alignment readingOrder="0" vertical="bottom"/>
    </xf>
    <xf borderId="0" fillId="2" fontId="5" numFmtId="167" xfId="0" applyAlignment="1" applyFont="1" applyNumberFormat="1">
      <alignment readingOrder="0" vertical="bottom"/>
    </xf>
    <xf borderId="0" fillId="0" fontId="12" numFmtId="0" xfId="0" applyFont="1"/>
    <xf borderId="0" fillId="3" fontId="12" numFmtId="0" xfId="0" applyAlignment="1" applyFill="1" applyFont="1">
      <alignment readingOrder="0"/>
    </xf>
    <xf borderId="0" fillId="3" fontId="1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6">
    <tableStyle count="3" pivot="0" name="PANEL-style">
      <tableStyleElement dxfId="1" type="headerRow"/>
      <tableStyleElement dxfId="2" type="firstRowStripe"/>
      <tableStyleElement dxfId="3" type="secondRowStripe"/>
    </tableStyle>
    <tableStyle count="3" pivot="0" name="PANEL-style 2">
      <tableStyleElement dxfId="1" type="headerRow"/>
      <tableStyleElement dxfId="2" type="firstRowStripe"/>
      <tableStyleElement dxfId="3" type="secondRowStripe"/>
    </tableStyle>
    <tableStyle count="3" pivot="0" name="PANEL-style 3">
      <tableStyleElement dxfId="1" type="headerRow"/>
      <tableStyleElement dxfId="2" type="firstRowStripe"/>
      <tableStyleElement dxfId="3" type="secondRowStripe"/>
    </tableStyle>
    <tableStyle count="3" pivot="0" name="PANEL-style 4">
      <tableStyleElement dxfId="1" type="headerRow"/>
      <tableStyleElement dxfId="2" type="firstRowStripe"/>
      <tableStyleElement dxfId="3" type="secondRowStripe"/>
    </tableStyle>
    <tableStyle count="3" pivot="0" name="PANEL-style 5">
      <tableStyleElement dxfId="1" type="headerRow"/>
      <tableStyleElement dxfId="2" type="firstRowStripe"/>
      <tableStyleElement dxfId="3" type="secondRowStripe"/>
    </tableStyle>
    <tableStyle count="3" pivot="0" name="PANEL ACTUALIZADO-style">
      <tableStyleElement dxfId="1" type="headerRow"/>
      <tableStyleElement dxfId="2" type="firstRowStripe"/>
      <tableStyleElement dxfId="3" type="secondRowStripe"/>
    </tableStyle>
    <tableStyle count="3" pivot="0" name="PANEL ACTUALIZADO-style 2">
      <tableStyleElement dxfId="1" type="headerRow"/>
      <tableStyleElement dxfId="2" type="firstRowStripe"/>
      <tableStyleElement dxfId="3" type="secondRowStripe"/>
    </tableStyle>
    <tableStyle count="3" pivot="0" name="PANEL ACTUALIZADO-style 3">
      <tableStyleElement dxfId="1" type="headerRow"/>
      <tableStyleElement dxfId="2" type="firstRowStripe"/>
      <tableStyleElement dxfId="3" type="secondRowStripe"/>
    </tableStyle>
    <tableStyle count="3" pivot="0" name="PANEL ACTUALIZADO-style 4">
      <tableStyleElement dxfId="1" type="headerRow"/>
      <tableStyleElement dxfId="2" type="firstRowStripe"/>
      <tableStyleElement dxfId="3" type="secondRowStripe"/>
    </tableStyle>
    <tableStyle count="3" pivot="0" name="PANEL ACTUALIZADO-style 5">
      <tableStyleElement dxfId="1" type="headerRow"/>
      <tableStyleElement dxfId="2" type="firstRowStripe"/>
      <tableStyleElement dxfId="3" type="secondRowStripe"/>
    </tableStyle>
    <tableStyle count="3" pivot="0" name="PANEL ACTUALIZADO 2-style">
      <tableStyleElement dxfId="1" type="headerRow"/>
      <tableStyleElement dxfId="2" type="firstRowStripe"/>
      <tableStyleElement dxfId="3" type="secondRowStripe"/>
    </tableStyle>
    <tableStyle count="3" pivot="0" name="PANEL ACTUALIZADO 2-style 2">
      <tableStyleElement dxfId="1" type="headerRow"/>
      <tableStyleElement dxfId="2" type="firstRowStripe"/>
      <tableStyleElement dxfId="3" type="secondRowStripe"/>
    </tableStyle>
    <tableStyle count="3" pivot="0" name="PANEL ACTUALIZADO 2-style 3">
      <tableStyleElement dxfId="1" type="headerRow"/>
      <tableStyleElement dxfId="2" type="firstRowStripe"/>
      <tableStyleElement dxfId="3" type="secondRowStripe"/>
    </tableStyle>
    <tableStyle count="3" pivot="0" name="PANEL ACTUALIZADO 2-style 4">
      <tableStyleElement dxfId="1" type="headerRow"/>
      <tableStyleElement dxfId="2" type="firstRowStripe"/>
      <tableStyleElement dxfId="3" type="secondRowStripe"/>
    </tableStyle>
    <tableStyle count="3" pivot="0" name="PANEL ACTUALIZADO 2-style 5">
      <tableStyleElement dxfId="1" type="headerRow"/>
      <tableStyleElement dxfId="2" type="firstRowStripe"/>
      <tableStyleElement dxfId="3" type="secondRowStripe"/>
    </tableStyle>
    <tableStyle count="3" pivot="0" name="panel 1205-style">
      <tableStyleElement dxfId="1" type="headerRow"/>
      <tableStyleElement dxfId="2" type="firstRowStripe"/>
      <tableStyleElement dxfId="3" type="secondRowStripe"/>
    </tableStyle>
    <tableStyle count="3" pivot="0" name="panel 1205-style 2">
      <tableStyleElement dxfId="1" type="headerRow"/>
      <tableStyleElement dxfId="2" type="firstRowStripe"/>
      <tableStyleElement dxfId="3" type="secondRowStripe"/>
    </tableStyle>
    <tableStyle count="3" pivot="0" name="panel 1205-style 3">
      <tableStyleElement dxfId="1" type="headerRow"/>
      <tableStyleElement dxfId="2" type="firstRowStripe"/>
      <tableStyleElement dxfId="3" type="secondRowStripe"/>
    </tableStyle>
    <tableStyle count="3" pivot="0" name="panel 1205-style 4">
      <tableStyleElement dxfId="1" type="headerRow"/>
      <tableStyleElement dxfId="2" type="firstRowStripe"/>
      <tableStyleElement dxfId="3" type="secondRowStripe"/>
    </tableStyle>
    <tableStyle count="3" pivot="0" name="panel 1205-style 5">
      <tableStyleElement dxfId="1" type="headerRow"/>
      <tableStyleElement dxfId="2" type="firstRowStripe"/>
      <tableStyleElement dxfId="3" type="secondRowStripe"/>
    </tableStyle>
    <tableStyle count="2" pivot="0" name="Hoja 4-style">
      <tableStyleElement dxfId="2" type="firstRowStripe"/>
      <tableStyleElement dxfId="3" type="secondRowStripe"/>
    </tableStyle>
    <tableStyle count="3" pivot="0" name="ESTAN MIN MAX ACTU-style">
      <tableStyleElement dxfId="1" type="headerRow"/>
      <tableStyleElement dxfId="2" type="firstRowStripe"/>
      <tableStyleElement dxfId="3" type="secondRowStripe"/>
    </tableStyle>
    <tableStyle count="3" pivot="0" name="ESTAN MIN MAX ACTU-style 2">
      <tableStyleElement dxfId="1" type="headerRow"/>
      <tableStyleElement dxfId="2" type="firstRowStripe"/>
      <tableStyleElement dxfId="3" type="secondRowStripe"/>
    </tableStyle>
    <tableStyle count="3" pivot="0" name="ESTAN MIN MAX ACTU-style 3">
      <tableStyleElement dxfId="1" type="headerRow"/>
      <tableStyleElement dxfId="2" type="firstRowStripe"/>
      <tableStyleElement dxfId="3" type="secondRowStripe"/>
    </tableStyle>
    <tableStyle count="3" pivot="0" name="ESTAN MIN MAX ACTU-style 4">
      <tableStyleElement dxfId="1" type="headerRow"/>
      <tableStyleElement dxfId="2" type="firstRowStripe"/>
      <tableStyleElement dxfId="3" type="secondRowStripe"/>
    </tableStyle>
    <tableStyle count="3" pivot="0" name="ESTAN MIN MAX ACTU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INDICE  frente a 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PANEL!$I$27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PANEL!$H$28:$H$32</c:f>
            </c:strRef>
          </c:cat>
          <c:val>
            <c:numRef>
              <c:f>PANEL!$I$28:$I$32</c:f>
              <c:numCache/>
            </c:numRef>
          </c:val>
        </c:ser>
        <c:axId val="2067446451"/>
        <c:axId val="162216079"/>
      </c:barChart>
      <c:catAx>
        <c:axId val="206744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16079"/>
      </c:catAx>
      <c:valAx>
        <c:axId val="162216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446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ACTUALIZADO 2'!$M$8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'PANEL ACTUALIZADO 2'!$M$9:$M$14</c:f>
              <c:numCache/>
            </c:numRef>
          </c:val>
        </c:ser>
        <c:ser>
          <c:idx val="1"/>
          <c:order val="1"/>
          <c:tx>
            <c:strRef>
              <c:f>'PANEL ACTUALIZADO 2'!$N$8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'PANEL ACTUALIZADO 2'!$N$9:$N$14</c:f>
              <c:numCache/>
            </c:numRef>
          </c:val>
        </c:ser>
        <c:ser>
          <c:idx val="2"/>
          <c:order val="2"/>
          <c:tx>
            <c:strRef>
              <c:f>'PANEL ACTUALIZADO 2'!$O$8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'PANEL ACTUALIZADO 2'!$O$9:$O$14</c:f>
              <c:numCache/>
            </c:numRef>
          </c:val>
        </c:ser>
        <c:axId val="62621780"/>
        <c:axId val="58949513"/>
      </c:barChart>
      <c:catAx>
        <c:axId val="62621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49513"/>
      </c:catAx>
      <c:valAx>
        <c:axId val="58949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21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INDICE  frente a 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'panel 1205'!$I$25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1205'!$H$26:$H$30</c:f>
            </c:strRef>
          </c:cat>
          <c:val>
            <c:numRef>
              <c:f>'panel 1205'!$I$26:$I$30</c:f>
              <c:numCache/>
            </c:numRef>
          </c:val>
        </c:ser>
        <c:axId val="865857295"/>
        <c:axId val="1303478859"/>
      </c:barChart>
      <c:catAx>
        <c:axId val="86585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478859"/>
      </c:catAx>
      <c:valAx>
        <c:axId val="1303478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57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1205'!$M$8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1205'!$A$9:$A$13</c:f>
            </c:strRef>
          </c:cat>
          <c:val>
            <c:numRef>
              <c:f>'panel 1205'!$M$9:$M$13</c:f>
              <c:numCache/>
            </c:numRef>
          </c:val>
        </c:ser>
        <c:ser>
          <c:idx val="1"/>
          <c:order val="1"/>
          <c:tx>
            <c:strRef>
              <c:f>'panel 1205'!$N$8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'panel 1205'!$A$9:$A$13</c:f>
            </c:strRef>
          </c:cat>
          <c:val>
            <c:numRef>
              <c:f>'panel 1205'!$N$9:$N$13</c:f>
              <c:numCache/>
            </c:numRef>
          </c:val>
        </c:ser>
        <c:ser>
          <c:idx val="2"/>
          <c:order val="2"/>
          <c:tx>
            <c:strRef>
              <c:f>'panel 1205'!$O$8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'panel 1205'!$A$9:$A$13</c:f>
            </c:strRef>
          </c:cat>
          <c:val>
            <c:numRef>
              <c:f>'panel 1205'!$O$9:$O$13</c:f>
              <c:numCache/>
            </c:numRef>
          </c:val>
        </c:ser>
        <c:axId val="1296843252"/>
        <c:axId val="1797651783"/>
      </c:barChart>
      <c:catAx>
        <c:axId val="1296843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651783"/>
      </c:catAx>
      <c:valAx>
        <c:axId val="1797651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843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1205'!$M$15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1205'!$A$16:$A$20</c:f>
            </c:strRef>
          </c:cat>
          <c:val>
            <c:numRef>
              <c:f>'panel 1205'!$M$16:$M$20</c:f>
              <c:numCache/>
            </c:numRef>
          </c:val>
        </c:ser>
        <c:ser>
          <c:idx val="1"/>
          <c:order val="1"/>
          <c:tx>
            <c:strRef>
              <c:f>'panel 1205'!$N$15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'panel 1205'!$A$16:$A$20</c:f>
            </c:strRef>
          </c:cat>
          <c:val>
            <c:numRef>
              <c:f>'panel 1205'!$N$16:$N$20</c:f>
              <c:numCache/>
            </c:numRef>
          </c:val>
        </c:ser>
        <c:ser>
          <c:idx val="2"/>
          <c:order val="2"/>
          <c:tx>
            <c:strRef>
              <c:f>'panel 1205'!$O$15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'panel 1205'!$A$16:$A$20</c:f>
            </c:strRef>
          </c:cat>
          <c:val>
            <c:numRef>
              <c:f>'panel 1205'!$O$16:$O$20</c:f>
              <c:numCache/>
            </c:numRef>
          </c:val>
        </c:ser>
        <c:axId val="2140993555"/>
        <c:axId val="464820604"/>
      </c:barChart>
      <c:catAx>
        <c:axId val="214099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820604"/>
      </c:catAx>
      <c:valAx>
        <c:axId val="464820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993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INDICE  frente a 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'ESTAN MIN MAX ACTU'!$I$25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ACTU'!$H$26:$H$30</c:f>
            </c:strRef>
          </c:cat>
          <c:val>
            <c:numRef>
              <c:f>'ESTAN MIN MAX ACTU'!$I$26:$I$30</c:f>
              <c:numCache/>
            </c:numRef>
          </c:val>
        </c:ser>
        <c:axId val="972452944"/>
        <c:axId val="1063439410"/>
      </c:barChart>
      <c:catAx>
        <c:axId val="9724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439410"/>
      </c:catAx>
      <c:valAx>
        <c:axId val="1063439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452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'ESTAN MIN MAX ACTU'!$M$15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ACTU'!$A$16:$A$20</c:f>
            </c:strRef>
          </c:cat>
          <c:val>
            <c:numRef>
              <c:f>'ESTAN MIN MAX ACTU'!$M$16:$M$20</c:f>
              <c:numCache/>
            </c:numRef>
          </c:val>
        </c:ser>
        <c:ser>
          <c:idx val="1"/>
          <c:order val="1"/>
          <c:tx>
            <c:strRef>
              <c:f>'ESTAN MIN MAX ACTU'!$N$15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ACTU'!$A$16:$A$20</c:f>
            </c:strRef>
          </c:cat>
          <c:val>
            <c:numRef>
              <c:f>'ESTAN MIN MAX ACTU'!$N$16:$N$20</c:f>
              <c:numCache/>
            </c:numRef>
          </c:val>
        </c:ser>
        <c:ser>
          <c:idx val="2"/>
          <c:order val="2"/>
          <c:tx>
            <c:strRef>
              <c:f>'ESTAN MIN MAX ACTU'!$O$15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ACTU'!$A$16:$A$20</c:f>
            </c:strRef>
          </c:cat>
          <c:val>
            <c:numRef>
              <c:f>'ESTAN MIN MAX ACTU'!$O$16:$O$20</c:f>
              <c:numCache/>
            </c:numRef>
          </c:val>
        </c:ser>
        <c:axId val="351192821"/>
        <c:axId val="899816000"/>
      </c:barChart>
      <c:catAx>
        <c:axId val="351192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816000"/>
      </c:catAx>
      <c:valAx>
        <c:axId val="89981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192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'ESTAN MIN MAX ACTU'!$M$8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ACTU'!$A$9:$A$13</c:f>
            </c:strRef>
          </c:cat>
          <c:val>
            <c:numRef>
              <c:f>'ESTAN MIN MAX ACTU'!$M$9:$M$13</c:f>
              <c:numCache/>
            </c:numRef>
          </c:val>
        </c:ser>
        <c:ser>
          <c:idx val="1"/>
          <c:order val="1"/>
          <c:tx>
            <c:strRef>
              <c:f>'ESTAN MIN MAX ACTU'!$N$8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ACTU'!$A$9:$A$13</c:f>
            </c:strRef>
          </c:cat>
          <c:val>
            <c:numRef>
              <c:f>'ESTAN MIN MAX ACTU'!$N$9:$N$13</c:f>
              <c:numCache/>
            </c:numRef>
          </c:val>
        </c:ser>
        <c:ser>
          <c:idx val="2"/>
          <c:order val="2"/>
          <c:tx>
            <c:strRef>
              <c:f>'ESTAN MIN MAX ACTU'!$O$8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'ESTAN MIN MAX ACTU'!$A$9:$A$13</c:f>
            </c:strRef>
          </c:cat>
          <c:val>
            <c:numRef>
              <c:f>'ESTAN MIN MAX ACTU'!$O$9:$O$13</c:f>
              <c:numCache/>
            </c:numRef>
          </c:val>
        </c:ser>
        <c:axId val="166857672"/>
        <c:axId val="1107993463"/>
      </c:barChart>
      <c:catAx>
        <c:axId val="16685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993463"/>
      </c:catAx>
      <c:valAx>
        <c:axId val="1107993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5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PANEL!$M$8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PANEL!$A$9:$A$14</c:f>
            </c:strRef>
          </c:cat>
          <c:val>
            <c:numRef>
              <c:f>PANEL!$M$9:$M$13</c:f>
              <c:numCache/>
            </c:numRef>
          </c:val>
        </c:ser>
        <c:ser>
          <c:idx val="1"/>
          <c:order val="1"/>
          <c:tx>
            <c:strRef>
              <c:f>PANEL!$N$8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PANEL!$A$9:$A$14</c:f>
            </c:strRef>
          </c:cat>
          <c:val>
            <c:numRef>
              <c:f>PANEL!$N$9:$N$13</c:f>
              <c:numCache/>
            </c:numRef>
          </c:val>
        </c:ser>
        <c:ser>
          <c:idx val="2"/>
          <c:order val="2"/>
          <c:tx>
            <c:strRef>
              <c:f>PANEL!$O$8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PANEL!$A$9:$A$14</c:f>
            </c:strRef>
          </c:cat>
          <c:val>
            <c:numRef>
              <c:f>PANEL!$O$9:$O$13</c:f>
              <c:numCache/>
            </c:numRef>
          </c:val>
        </c:ser>
        <c:axId val="86181027"/>
        <c:axId val="1724547855"/>
      </c:barChart>
      <c:catAx>
        <c:axId val="86181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547855"/>
      </c:catAx>
      <c:valAx>
        <c:axId val="1724547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181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PANEL!$M$16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PANEL!$A$17:$A$22</c:f>
            </c:strRef>
          </c:cat>
          <c:val>
            <c:numRef>
              <c:f>PANEL!$M$17:$M$21</c:f>
              <c:numCache/>
            </c:numRef>
          </c:val>
        </c:ser>
        <c:ser>
          <c:idx val="1"/>
          <c:order val="1"/>
          <c:tx>
            <c:strRef>
              <c:f>PANEL!$N$16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PANEL!$A$17:$A$22</c:f>
            </c:strRef>
          </c:cat>
          <c:val>
            <c:numRef>
              <c:f>PANEL!$N$17:$N$21</c:f>
              <c:numCache/>
            </c:numRef>
          </c:val>
        </c:ser>
        <c:ser>
          <c:idx val="2"/>
          <c:order val="2"/>
          <c:tx>
            <c:strRef>
              <c:f>PANEL!$O$16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PANEL!$A$17:$A$22</c:f>
            </c:strRef>
          </c:cat>
          <c:val>
            <c:numRef>
              <c:f>PANEL!$O$17:$O$21</c:f>
              <c:numCache/>
            </c:numRef>
          </c:val>
        </c:ser>
        <c:axId val="606645490"/>
        <c:axId val="1043728120"/>
      </c:barChart>
      <c:catAx>
        <c:axId val="606645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728120"/>
      </c:catAx>
      <c:valAx>
        <c:axId val="1043728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645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INDICE  frente a 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'PANEL ACTUALIZADO'!$I$25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ACTUALIZADO'!$H$26:$H$30</c:f>
            </c:strRef>
          </c:cat>
          <c:val>
            <c:numRef>
              <c:f>'PANEL ACTUALIZADO'!$I$26:$I$30</c:f>
              <c:numCache/>
            </c:numRef>
          </c:val>
        </c:ser>
        <c:axId val="642181687"/>
        <c:axId val="455792371"/>
      </c:barChart>
      <c:catAx>
        <c:axId val="642181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792371"/>
      </c:catAx>
      <c:valAx>
        <c:axId val="455792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181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ACTUALIZADO'!$M$8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ACTUALIZADO'!$A$9:$A$13</c:f>
            </c:strRef>
          </c:cat>
          <c:val>
            <c:numRef>
              <c:f>'PANEL ACTUALIZADO'!$M$9:$M$13</c:f>
              <c:numCache/>
            </c:numRef>
          </c:val>
        </c:ser>
        <c:ser>
          <c:idx val="1"/>
          <c:order val="1"/>
          <c:tx>
            <c:strRef>
              <c:f>'PANEL ACTUALIZADO'!$N$8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ACTUALIZADO'!$A$9:$A$13</c:f>
            </c:strRef>
          </c:cat>
          <c:val>
            <c:numRef>
              <c:f>'PANEL ACTUALIZADO'!$N$9:$N$13</c:f>
              <c:numCache/>
            </c:numRef>
          </c:val>
        </c:ser>
        <c:ser>
          <c:idx val="2"/>
          <c:order val="2"/>
          <c:tx>
            <c:strRef>
              <c:f>'PANEL ACTUALIZADO'!$O$8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ACTUALIZADO'!$A$9:$A$13</c:f>
            </c:strRef>
          </c:cat>
          <c:val>
            <c:numRef>
              <c:f>'PANEL ACTUALIZADO'!$O$9:$O$13</c:f>
              <c:numCache/>
            </c:numRef>
          </c:val>
        </c:ser>
        <c:axId val="1501758412"/>
        <c:axId val="27883761"/>
      </c:barChart>
      <c:catAx>
        <c:axId val="1501758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83761"/>
      </c:catAx>
      <c:valAx>
        <c:axId val="2788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758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ACTUALIZADO'!$M$15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ACTUALIZADO'!$A$16:$A$20</c:f>
            </c:strRef>
          </c:cat>
          <c:val>
            <c:numRef>
              <c:f>'PANEL ACTUALIZADO'!$M$16:$M$20</c:f>
              <c:numCache/>
            </c:numRef>
          </c:val>
        </c:ser>
        <c:ser>
          <c:idx val="1"/>
          <c:order val="1"/>
          <c:tx>
            <c:strRef>
              <c:f>'PANEL ACTUALIZADO'!$N$15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ACTUALIZADO'!$A$16:$A$20</c:f>
            </c:strRef>
          </c:cat>
          <c:val>
            <c:numRef>
              <c:f>'PANEL ACTUALIZADO'!$N$16:$N$20</c:f>
              <c:numCache/>
            </c:numRef>
          </c:val>
        </c:ser>
        <c:ser>
          <c:idx val="2"/>
          <c:order val="2"/>
          <c:tx>
            <c:strRef>
              <c:f>'PANEL ACTUALIZADO'!$O$15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'PANEL ACTUALIZADO'!$A$16:$A$20</c:f>
            </c:strRef>
          </c:cat>
          <c:val>
            <c:numRef>
              <c:f>'PANEL ACTUALIZADO'!$O$16:$O$20</c:f>
              <c:numCache/>
            </c:numRef>
          </c:val>
        </c:ser>
        <c:axId val="1030715443"/>
        <c:axId val="1982098903"/>
      </c:barChart>
      <c:catAx>
        <c:axId val="1030715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098903"/>
      </c:catAx>
      <c:valAx>
        <c:axId val="1982098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715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INDICE  frente a 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'PANEL ACTUALIZADO 2'!$I$27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2'!$H$28:$H$33</c:f>
            </c:strRef>
          </c:cat>
          <c:val>
            <c:numRef>
              <c:f>'PANEL ACTUALIZADO 2'!$I$28:$I$33</c:f>
              <c:numCache/>
            </c:numRef>
          </c:val>
        </c:ser>
        <c:axId val="624104713"/>
        <c:axId val="835765753"/>
      </c:barChart>
      <c:catAx>
        <c:axId val="62410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765753"/>
      </c:catAx>
      <c:valAx>
        <c:axId val="835765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104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ACTUALIZADO 2'!$M$8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2'!$A$9:$A$14</c:f>
            </c:strRef>
          </c:cat>
          <c:val>
            <c:numRef>
              <c:f>'PANEL ACTUALIZADO 2'!$M$9:$M$13</c:f>
              <c:numCache/>
            </c:numRef>
          </c:val>
        </c:ser>
        <c:ser>
          <c:idx val="1"/>
          <c:order val="1"/>
          <c:tx>
            <c:strRef>
              <c:f>'PANEL ACTUALIZADO 2'!$N$8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2'!$A$9:$A$14</c:f>
            </c:strRef>
          </c:cat>
          <c:val>
            <c:numRef>
              <c:f>'PANEL ACTUALIZADO 2'!$N$9:$N$13</c:f>
              <c:numCache/>
            </c:numRef>
          </c:val>
        </c:ser>
        <c:ser>
          <c:idx val="2"/>
          <c:order val="2"/>
          <c:tx>
            <c:strRef>
              <c:f>'PANEL ACTUALIZADO 2'!$O$8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2'!$A$9:$A$14</c:f>
            </c:strRef>
          </c:cat>
          <c:val>
            <c:numRef>
              <c:f>'PANEL ACTUALIZADO 2'!$O$9:$O$13</c:f>
              <c:numCache/>
            </c:numRef>
          </c:val>
        </c:ser>
        <c:axId val="954111273"/>
        <c:axId val="524869976"/>
      </c:barChart>
      <c:catAx>
        <c:axId val="954111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869976"/>
      </c:catAx>
      <c:valAx>
        <c:axId val="524869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111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'PANEL ACTUALIZADO 2'!$M$16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2'!$A$17:$A$22</c:f>
            </c:strRef>
          </c:cat>
          <c:val>
            <c:numRef>
              <c:f>'PANEL ACTUALIZADO 2'!$M$17:$M$21</c:f>
              <c:numCache/>
            </c:numRef>
          </c:val>
        </c:ser>
        <c:ser>
          <c:idx val="1"/>
          <c:order val="1"/>
          <c:tx>
            <c:strRef>
              <c:f>'PANEL ACTUALIZADO 2'!$N$16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2'!$A$17:$A$22</c:f>
            </c:strRef>
          </c:cat>
          <c:val>
            <c:numRef>
              <c:f>'PANEL ACTUALIZADO 2'!$N$17:$N$21</c:f>
              <c:numCache/>
            </c:numRef>
          </c:val>
        </c:ser>
        <c:ser>
          <c:idx val="2"/>
          <c:order val="2"/>
          <c:tx>
            <c:strRef>
              <c:f>'PANEL ACTUALIZADO 2'!$O$16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'PANEL ACTUALIZADO 2'!$A$17:$A$22</c:f>
            </c:strRef>
          </c:cat>
          <c:val>
            <c:numRef>
              <c:f>'PANEL ACTUALIZADO 2'!$O$17:$O$21</c:f>
              <c:numCache/>
            </c:numRef>
          </c:val>
        </c:ser>
        <c:axId val="2031376616"/>
        <c:axId val="1829578926"/>
      </c:barChart>
      <c:catAx>
        <c:axId val="203137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578926"/>
      </c:catAx>
      <c:valAx>
        <c:axId val="1829578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376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28575</xdr:rowOff>
    </xdr:from>
    <xdr:ext cx="9382125" cy="4705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1190625</xdr:colOff>
      <xdr:row>25</xdr:row>
      <xdr:rowOff>266700</xdr:rowOff>
    </xdr:from>
    <xdr:ext cx="8924925" cy="4429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1190625</xdr:colOff>
      <xdr:row>46</xdr:row>
      <xdr:rowOff>9525</xdr:rowOff>
    </xdr:from>
    <xdr:ext cx="8924925" cy="4924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23975" cy="2000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38100</xdr:rowOff>
    </xdr:from>
    <xdr:ext cx="9382125" cy="47053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180975</xdr:rowOff>
    </xdr:from>
    <xdr:ext cx="8924925" cy="4429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133350</xdr:rowOff>
    </xdr:from>
    <xdr:ext cx="8924925" cy="49244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23975" cy="2000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38100</xdr:rowOff>
    </xdr:from>
    <xdr:ext cx="9382125" cy="47053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180975</xdr:rowOff>
    </xdr:from>
    <xdr:ext cx="8924925" cy="44291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72</xdr:row>
      <xdr:rowOff>133350</xdr:rowOff>
    </xdr:from>
    <xdr:ext cx="8924925" cy="492442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962025</xdr:colOff>
      <xdr:row>22</xdr:row>
      <xdr:rowOff>161925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23975" cy="200025"/>
    <xdr:pic>
      <xdr:nvPicPr>
        <xdr:cNvPr id="0" name="image1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38100</xdr:rowOff>
    </xdr:from>
    <xdr:ext cx="9382125" cy="47053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180975</xdr:rowOff>
    </xdr:from>
    <xdr:ext cx="8924925" cy="44291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133350</xdr:rowOff>
    </xdr:from>
    <xdr:ext cx="8924925" cy="49244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23975" cy="2000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57150</xdr:rowOff>
    </xdr:from>
    <xdr:ext cx="9315450" cy="57531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828675</xdr:colOff>
      <xdr:row>21</xdr:row>
      <xdr:rowOff>171450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533400</xdr:colOff>
      <xdr:row>0</xdr:row>
      <xdr:rowOff>0</xdr:rowOff>
    </xdr:from>
    <xdr:ext cx="4057650" cy="25050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323975" cy="2000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7</xdr:row>
      <xdr:rowOff>190500</xdr:rowOff>
    </xdr:from>
    <xdr:ext cx="3695700" cy="11430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O14" displayName="ON" name="ON" id="1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/PARIDAD" id="13"/>
    <tableColumn name="TASA*TIR*10" id="14"/>
    <tableColumn name="TIR/PARIDAD" id="15"/>
  </tableColumns>
  <tableStyleInfo name="PANEL-style" showColumnStripes="0" showFirstColumn="1" showLastColumn="1" showRowStripes="1"/>
</table>
</file>

<file path=xl/tables/table10.xml><?xml version="1.0" encoding="utf-8"?>
<table xmlns="http://schemas.openxmlformats.org/spreadsheetml/2006/main" ref="H25:I30" displayName="INDICE_2" name="INDICE_2" id="10">
  <tableColumns count="2">
    <tableColumn name="ON" id="1"/>
    <tableColumn name="INDICE " id="2"/>
  </tableColumns>
  <tableStyleInfo name="PANEL ACTUALIZADO-style 5" showColumnStripes="0" showFirstColumn="1" showLastColumn="1" showRowStripes="1"/>
</table>
</file>

<file path=xl/tables/table11.xml><?xml version="1.0" encoding="utf-8"?>
<table xmlns="http://schemas.openxmlformats.org/spreadsheetml/2006/main" ref="A8:O14" displayName="ON_3" name="ON_3" id="11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/PARIDAD" id="13"/>
    <tableColumn name="TASA*TIR*10" id="14"/>
    <tableColumn name="TIR/PARIDAD" id="15"/>
  </tableColumns>
  <tableStyleInfo name="PANEL ACTUALIZADO 2-style" showColumnStripes="0" showFirstColumn="1" showLastColumn="1" showRowStripes="1"/>
</table>
</file>

<file path=xl/tables/table12.xml><?xml version="1.0" encoding="utf-8"?>
<table xmlns="http://schemas.openxmlformats.org/spreadsheetml/2006/main" ref="A16:O22" displayName="ESTANDARIZADO_3" name="ESTANDARIZADO_3" id="12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-PARIDAD" id="13"/>
    <tableColumn name="TASA+TIR" id="14"/>
    <tableColumn name="TIR-PARIDAD" id="15"/>
  </tableColumns>
  <tableStyleInfo name="PANEL ACTUALIZADO 2-style 2" showColumnStripes="0" showFirstColumn="1" showLastColumn="1" showRowStripes="1"/>
</table>
</file>

<file path=xl/tables/table13.xml><?xml version="1.0" encoding="utf-8"?>
<table xmlns="http://schemas.openxmlformats.org/spreadsheetml/2006/main" ref="Q16:T22" displayName="Tabla_7" name="Tabla_7" id="13">
  <tableColumns count="4">
    <tableColumn name="INDICE VALORES" id="1"/>
    <tableColumn name="INDICE RATIOS" id="2"/>
    <tableColumn name="RATIO TIR+TASA-PAR-MD" id="3"/>
    <tableColumn name="RATIO COMP PONDE" id="4"/>
  </tableColumns>
  <tableStyleInfo name="PANEL ACTUALIZADO 2-style 3" showColumnStripes="0" showFirstColumn="1" showLastColumn="1" showRowStripes="1"/>
</table>
</file>

<file path=xl/tables/table14.xml><?xml version="1.0" encoding="utf-8"?>
<table xmlns="http://schemas.openxmlformats.org/spreadsheetml/2006/main" ref="A27:G28" displayName="PESOS_3" name="PESOS_3" id="14">
  <tableColumns count="7">
    <tableColumn name="PESO" id="1"/>
    <tableColumn name="TIR" id="2"/>
    <tableColumn name="MD" id="3"/>
    <tableColumn name="CONV" id="4"/>
    <tableColumn name="PARIDAD" id="5"/>
    <tableColumn name="COTIZACION" id="6"/>
    <tableColumn name="TASA" id="7"/>
  </tableColumns>
  <tableStyleInfo name="PANEL ACTUALIZADO 2-style 4" showColumnStripes="0" showFirstColumn="1" showLastColumn="1" showRowStripes="1"/>
</table>
</file>

<file path=xl/tables/table15.xml><?xml version="1.0" encoding="utf-8"?>
<table xmlns="http://schemas.openxmlformats.org/spreadsheetml/2006/main" ref="H27:I33" displayName="INDICE_3" name="INDICE_3" id="15">
  <tableColumns count="2">
    <tableColumn name="ON" id="1"/>
    <tableColumn name="INDICE " id="2"/>
  </tableColumns>
  <tableStyleInfo name="PANEL ACTUALIZADO 2-style 5" showColumnStripes="0" showFirstColumn="1" showLastColumn="1" showRowStripes="1"/>
</table>
</file>

<file path=xl/tables/table16.xml><?xml version="1.0" encoding="utf-8"?>
<table xmlns="http://schemas.openxmlformats.org/spreadsheetml/2006/main" ref="A8:O13" displayName="ON_4" name="ON_4" id="16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/PARIDAD" id="13"/>
    <tableColumn name="TASA*TIR*10" id="14"/>
    <tableColumn name="TIR/PARIDAD" id="15"/>
  </tableColumns>
  <tableStyleInfo name="panel 1205-style" showColumnStripes="0" showFirstColumn="1" showLastColumn="1" showRowStripes="1"/>
</table>
</file>

<file path=xl/tables/table17.xml><?xml version="1.0" encoding="utf-8"?>
<table xmlns="http://schemas.openxmlformats.org/spreadsheetml/2006/main" ref="A15:O20" displayName="ESTANDARIZADO_4" name="ESTANDARIZADO_4" id="17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-PARIDAD" id="13"/>
    <tableColumn name="TASA+TIR" id="14"/>
    <tableColumn name="TIR-PARIDAD" id="15"/>
  </tableColumns>
  <tableStyleInfo name="panel 1205-style 2" showColumnStripes="0" showFirstColumn="1" showLastColumn="1" showRowStripes="1"/>
</table>
</file>

<file path=xl/tables/table18.xml><?xml version="1.0" encoding="utf-8"?>
<table xmlns="http://schemas.openxmlformats.org/spreadsheetml/2006/main" ref="Q15:T20" displayName="Tabla_8" name="Tabla_8" id="18">
  <tableColumns count="4">
    <tableColumn name="INDICE VALORES" id="1"/>
    <tableColumn name="INDICE RATIOS" id="2"/>
    <tableColumn name="RATIO TIR+TASA-PAR-MD" id="3"/>
    <tableColumn name="RATIO COMP PONDE" id="4"/>
  </tableColumns>
  <tableStyleInfo name="panel 1205-style 3" showColumnStripes="0" showFirstColumn="1" showLastColumn="1" showRowStripes="1"/>
</table>
</file>

<file path=xl/tables/table19.xml><?xml version="1.0" encoding="utf-8"?>
<table xmlns="http://schemas.openxmlformats.org/spreadsheetml/2006/main" ref="A25:G26" displayName="PESOS_4" name="PESOS_4" id="19">
  <tableColumns count="7">
    <tableColumn name="PESO" id="1"/>
    <tableColumn name="TIR" id="2"/>
    <tableColumn name="MD" id="3"/>
    <tableColumn name="CONV" id="4"/>
    <tableColumn name="PARIDAD" id="5"/>
    <tableColumn name="COTIZACION" id="6"/>
    <tableColumn name="TASA" id="7"/>
  </tableColumns>
  <tableStyleInfo name="panel 1205-style 4" showColumnStripes="0" showFirstColumn="1" showLastColumn="1" showRowStripes="1"/>
</table>
</file>

<file path=xl/tables/table2.xml><?xml version="1.0" encoding="utf-8"?>
<table xmlns="http://schemas.openxmlformats.org/spreadsheetml/2006/main" ref="A16:O22" displayName="ESTANDARIZADO" name="ESTANDARIZADO" id="2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-PARIDAD" id="13"/>
    <tableColumn name="TASA+TIR" id="14"/>
    <tableColumn name="TIR-PARIDAD" id="15"/>
  </tableColumns>
  <tableStyleInfo name="PANEL-style 2" showColumnStripes="0" showFirstColumn="1" showLastColumn="1" showRowStripes="1"/>
</table>
</file>

<file path=xl/tables/table20.xml><?xml version="1.0" encoding="utf-8"?>
<table xmlns="http://schemas.openxmlformats.org/spreadsheetml/2006/main" ref="H25:I30" displayName="INDICE_4" name="INDICE_4" id="20">
  <tableColumns count="2">
    <tableColumn name="ON" id="1"/>
    <tableColumn name="INDICE " id="2"/>
  </tableColumns>
  <tableStyleInfo name="panel 1205-style 5" showColumnStripes="0" showFirstColumn="1" showLastColumn="1" showRowStripes="1"/>
</table>
</file>

<file path=xl/tables/table21.xml><?xml version="1.0" encoding="utf-8"?>
<table xmlns="http://schemas.openxmlformats.org/spreadsheetml/2006/main" headerRowCount="0" ref="K12:K16" displayName="Table_1" name="Table_1" id="21">
  <tableColumns count="1">
    <tableColumn name="Column1" id="1"/>
  </tableColumns>
  <tableStyleInfo name="Hoja 4-style" showColumnStripes="0" showFirstColumn="1" showLastColumn="1" showRowStripes="1"/>
</table>
</file>

<file path=xl/tables/table22.xml><?xml version="1.0" encoding="utf-8"?>
<table xmlns="http://schemas.openxmlformats.org/spreadsheetml/2006/main" ref="A8:O13" displayName="Tabla_5" name="Tabla_5" id="22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/PARIDAD" id="13"/>
    <tableColumn name="TASA*TIR*10" id="14"/>
    <tableColumn name="TIR/PARIDAD" id="15"/>
  </tableColumns>
  <tableStyleInfo name="ESTAN MIN MAX ACTU-style" showColumnStripes="0" showFirstColumn="1" showLastColumn="1" showRowStripes="1"/>
</table>
</file>

<file path=xl/tables/table23.xml><?xml version="1.0" encoding="utf-8"?>
<table xmlns="http://schemas.openxmlformats.org/spreadsheetml/2006/main" ref="A15:O20" displayName="Tabla_3" name="Tabla_3" id="23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-PARIDAD" id="13"/>
    <tableColumn name="TASA+2TIR" id="14"/>
    <tableColumn name="TIR-PARIDAD" id="15"/>
  </tableColumns>
  <tableStyleInfo name="ESTAN MIN MAX ACTU-style 2" showColumnStripes="0" showFirstColumn="1" showLastColumn="1" showRowStripes="1"/>
</table>
</file>

<file path=xl/tables/table24.xml><?xml version="1.0" encoding="utf-8"?>
<table xmlns="http://schemas.openxmlformats.org/spreadsheetml/2006/main" ref="Q15:T20" displayName="Tabla_2" name="Tabla_2" id="24">
  <tableColumns count="4">
    <tableColumn name="INDICE VALORES" id="1"/>
    <tableColumn name="INDICE RATIOS" id="2"/>
    <tableColumn name="RATIO TIR+TASA-PAR-MD" id="3"/>
    <tableColumn name="RATIO COMP PONDE" id="4"/>
  </tableColumns>
  <tableStyleInfo name="ESTAN MIN MAX ACTU-style 3" showColumnStripes="0" showFirstColumn="1" showLastColumn="1" showRowStripes="1"/>
</table>
</file>

<file path=xl/tables/table25.xml><?xml version="1.0" encoding="utf-8"?>
<table xmlns="http://schemas.openxmlformats.org/spreadsheetml/2006/main" ref="A25:G26" displayName="Tabla_6" name="Tabla_6" id="25">
  <tableColumns count="7">
    <tableColumn name="PESO" id="1"/>
    <tableColumn name="TIR" id="2"/>
    <tableColumn name="MD" id="3"/>
    <tableColumn name="CONV" id="4"/>
    <tableColumn name="PARIDAD" id="5"/>
    <tableColumn name="COTIZACION" id="6"/>
    <tableColumn name="TASA" id="7"/>
  </tableColumns>
  <tableStyleInfo name="ESTAN MIN MAX ACTU-style 4" showColumnStripes="0" showFirstColumn="1" showLastColumn="1" showRowStripes="1"/>
</table>
</file>

<file path=xl/tables/table26.xml><?xml version="1.0" encoding="utf-8"?>
<table xmlns="http://schemas.openxmlformats.org/spreadsheetml/2006/main" ref="H25:I30" displayName="Tabla_4" name="Tabla_4" id="26">
  <tableColumns count="2">
    <tableColumn name="ON" id="1"/>
    <tableColumn name="INDICE " id="2"/>
  </tableColumns>
  <tableStyleInfo name="ESTAN MIN MAX ACTU-style 5" showColumnStripes="0" showFirstColumn="1" showLastColumn="1" showRowStripes="1"/>
</table>
</file>

<file path=xl/tables/table3.xml><?xml version="1.0" encoding="utf-8"?>
<table xmlns="http://schemas.openxmlformats.org/spreadsheetml/2006/main" ref="Q16:T22" displayName="Tabla_1" name="Tabla_1" id="3">
  <tableColumns count="4">
    <tableColumn name="INDICE VALORES" id="1"/>
    <tableColumn name="INDICE RATIOS" id="2"/>
    <tableColumn name="RATIO TIR+TASA-PAR-MD" id="3"/>
    <tableColumn name="RATIO COMP PONDE" id="4"/>
  </tableColumns>
  <tableStyleInfo name="PANEL-style 3" showColumnStripes="0" showFirstColumn="1" showLastColumn="1" showRowStripes="1"/>
</table>
</file>

<file path=xl/tables/table4.xml><?xml version="1.0" encoding="utf-8"?>
<table xmlns="http://schemas.openxmlformats.org/spreadsheetml/2006/main" ref="A27:G28" displayName="PESOS" name="PESOS" id="4">
  <tableColumns count="7">
    <tableColumn name="PESO" id="1"/>
    <tableColumn name="TIR" id="2"/>
    <tableColumn name="MD" id="3"/>
    <tableColumn name="CONV" id="4"/>
    <tableColumn name="PARIDAD" id="5"/>
    <tableColumn name="COTIZACION" id="6"/>
    <tableColumn name="TASA" id="7"/>
  </tableColumns>
  <tableStyleInfo name="PANEL-style 4" showColumnStripes="0" showFirstColumn="1" showLastColumn="1" showRowStripes="1"/>
</table>
</file>

<file path=xl/tables/table5.xml><?xml version="1.0" encoding="utf-8"?>
<table xmlns="http://schemas.openxmlformats.org/spreadsheetml/2006/main" ref="H27:I32" displayName="INDICE" name="INDICE" id="5">
  <tableColumns count="2">
    <tableColumn name="ON" id="1"/>
    <tableColumn name="INDICE " id="2"/>
  </tableColumns>
  <tableStyleInfo name="PANEL-style 5" showColumnStripes="0" showFirstColumn="1" showLastColumn="1" showRowStripes="1"/>
</table>
</file>

<file path=xl/tables/table6.xml><?xml version="1.0" encoding="utf-8"?>
<table xmlns="http://schemas.openxmlformats.org/spreadsheetml/2006/main" ref="A8:O13" displayName="ON_2" name="ON_2" id="6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/PARIDAD" id="13"/>
    <tableColumn name="TASA*TIR*10" id="14"/>
    <tableColumn name="TIR/PARIDAD" id="15"/>
  </tableColumns>
  <tableStyleInfo name="PANEL ACTUALIZADO-style" showColumnStripes="0" showFirstColumn="1" showLastColumn="1" showRowStripes="1"/>
</table>
</file>

<file path=xl/tables/table7.xml><?xml version="1.0" encoding="utf-8"?>
<table xmlns="http://schemas.openxmlformats.org/spreadsheetml/2006/main" ref="A15:O20" displayName="ESTANDARIZADO_2" name="ESTANDARIZADO_2" id="7">
  <tableColumns count="15">
    <tableColumn name="Especie" id="1"/>
    <tableColumn name="Bono" id="2"/>
    <tableColumn name="TIR" id="3"/>
    <tableColumn name="MD" id="4"/>
    <tableColumn name="D." id="5"/>
    <tableColumn name="Conv." id="6"/>
    <tableColumn name="Paridad" id="7"/>
    <tableColumn name="VT" id="8"/>
    <tableColumn name="Cierre" id="9"/>
    <tableColumn name="Última" id="10"/>
    <tableColumn name="Tasa Vigente" id="11"/>
    <tableColumn name="TTM" id="12"/>
    <tableColumn name="TASA-PARIDAD" id="13"/>
    <tableColumn name="TASA+TIR" id="14"/>
    <tableColumn name="TIR-PARIDAD" id="15"/>
  </tableColumns>
  <tableStyleInfo name="PANEL ACTUALIZADO-style 2" showColumnStripes="0" showFirstColumn="1" showLastColumn="1" showRowStripes="1"/>
</table>
</file>

<file path=xl/tables/table8.xml><?xml version="1.0" encoding="utf-8"?>
<table xmlns="http://schemas.openxmlformats.org/spreadsheetml/2006/main" ref="Q15:T20" displayName="Tabla" name="Tabla" id="8">
  <tableColumns count="4">
    <tableColumn name="INDICE VALORES" id="1"/>
    <tableColumn name="INDICE RATIOS" id="2"/>
    <tableColumn name="RATIO TIR+TASA-PAR-MD" id="3"/>
    <tableColumn name="RATIO COMP PONDE" id="4"/>
  </tableColumns>
  <tableStyleInfo name="PANEL ACTUALIZADO-style 3" showColumnStripes="0" showFirstColumn="1" showLastColumn="1" showRowStripes="1"/>
</table>
</file>

<file path=xl/tables/table9.xml><?xml version="1.0" encoding="utf-8"?>
<table xmlns="http://schemas.openxmlformats.org/spreadsheetml/2006/main" ref="A25:G26" displayName="PESOS_2" name="PESOS_2" id="9">
  <tableColumns count="7">
    <tableColumn name="PESO" id="1"/>
    <tableColumn name="TIR" id="2"/>
    <tableColumn name="MD" id="3"/>
    <tableColumn name="CONV" id="4"/>
    <tableColumn name="PARIDAD" id="5"/>
    <tableColumn name="COTIZACION" id="6"/>
    <tableColumn name="TASA" id="7"/>
  </tableColumns>
  <tableStyleInfo name="PANEL ACTUALIZADO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onds.mercapabbaco.com/bond-analysis/YFCJD" TargetMode="External"/><Relationship Id="rId2" Type="http://schemas.openxmlformats.org/officeDocument/2006/relationships/hyperlink" Target="https://bonds.mercapabbaco.com/bond-analysis/YMCID" TargetMode="External"/><Relationship Id="rId3" Type="http://schemas.openxmlformats.org/officeDocument/2006/relationships/hyperlink" Target="https://bonds.mercapabbaco.com/bond-analysis/YMCJD" TargetMode="External"/><Relationship Id="rId4" Type="http://schemas.openxmlformats.org/officeDocument/2006/relationships/hyperlink" Target="https://bonds.mercapabbaco.com/bond-analysis/YCA6P" TargetMode="External"/><Relationship Id="rId9" Type="http://schemas.openxmlformats.org/officeDocument/2006/relationships/drawing" Target="../drawings/drawing1.xml"/><Relationship Id="rId15" Type="http://schemas.openxmlformats.org/officeDocument/2006/relationships/table" Target="../tables/table1.xml"/><Relationship Id="rId17" Type="http://schemas.openxmlformats.org/officeDocument/2006/relationships/table" Target="../tables/table3.xml"/><Relationship Id="rId16" Type="http://schemas.openxmlformats.org/officeDocument/2006/relationships/table" Target="../tables/table2.xml"/><Relationship Id="rId5" Type="http://schemas.openxmlformats.org/officeDocument/2006/relationships/hyperlink" Target="https://bonds.mercapabbaco.com/bond-analysis/YFCJD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bonds.mercapabbaco.com/bond-analysis/YMCID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bonds.mercapabbaco.com/bond-analysis/YMCJD" TargetMode="External"/><Relationship Id="rId8" Type="http://schemas.openxmlformats.org/officeDocument/2006/relationships/hyperlink" Target="https://bonds.mercapabbaco.com/bond-analysis/YCA6P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6.xml"/><Relationship Id="rId13" Type="http://schemas.openxmlformats.org/officeDocument/2006/relationships/table" Target="../tables/table8.xml"/><Relationship Id="rId12" Type="http://schemas.openxmlformats.org/officeDocument/2006/relationships/table" Target="../tables/table7.xml"/><Relationship Id="rId1" Type="http://schemas.openxmlformats.org/officeDocument/2006/relationships/hyperlink" Target="https://bonds.mercapabbaco.com/bond-analysis/YFCJD" TargetMode="External"/><Relationship Id="rId2" Type="http://schemas.openxmlformats.org/officeDocument/2006/relationships/hyperlink" Target="https://bonds.mercapabbaco.com/bond-analysis/YMCID" TargetMode="External"/><Relationship Id="rId3" Type="http://schemas.openxmlformats.org/officeDocument/2006/relationships/hyperlink" Target="https://bonds.mercapabbaco.com/bond-analysis/YMCJD" TargetMode="External"/><Relationship Id="rId4" Type="http://schemas.openxmlformats.org/officeDocument/2006/relationships/hyperlink" Target="https://bonds.mercapabbaco.com/bond-analysis/YCA6P" TargetMode="External"/><Relationship Id="rId15" Type="http://schemas.openxmlformats.org/officeDocument/2006/relationships/table" Target="../tables/table10.xml"/><Relationship Id="rId14" Type="http://schemas.openxmlformats.org/officeDocument/2006/relationships/table" Target="../tables/table9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11.xml"/><Relationship Id="rId13" Type="http://schemas.openxmlformats.org/officeDocument/2006/relationships/table" Target="../tables/table13.xml"/><Relationship Id="rId12" Type="http://schemas.openxmlformats.org/officeDocument/2006/relationships/table" Target="../tables/table12.xml"/><Relationship Id="rId1" Type="http://schemas.openxmlformats.org/officeDocument/2006/relationships/hyperlink" Target="https://bonds.mercapabbaco.com/bond-analysis/YFCJD" TargetMode="External"/><Relationship Id="rId2" Type="http://schemas.openxmlformats.org/officeDocument/2006/relationships/hyperlink" Target="https://bonds.mercapabbaco.com/bond-analysis/YMCID" TargetMode="External"/><Relationship Id="rId3" Type="http://schemas.openxmlformats.org/officeDocument/2006/relationships/hyperlink" Target="https://bonds.mercapabbaco.com/bond-analysis/YMCJD" TargetMode="External"/><Relationship Id="rId4" Type="http://schemas.openxmlformats.org/officeDocument/2006/relationships/hyperlink" Target="https://bonds.mercapabbaco.com/bond-analysis/YCA6P" TargetMode="External"/><Relationship Id="rId15" Type="http://schemas.openxmlformats.org/officeDocument/2006/relationships/table" Target="../tables/table15.xml"/><Relationship Id="rId14" Type="http://schemas.openxmlformats.org/officeDocument/2006/relationships/table" Target="../tables/table1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0.xml"/><Relationship Id="rId10" Type="http://schemas.openxmlformats.org/officeDocument/2006/relationships/drawing" Target="../drawings/drawing4.xml"/><Relationship Id="rId1" Type="http://schemas.openxmlformats.org/officeDocument/2006/relationships/hyperlink" Target="https://bonds.mercapabbaco.com/bond-analysis/YFCJD" TargetMode="External"/><Relationship Id="rId2" Type="http://schemas.openxmlformats.org/officeDocument/2006/relationships/hyperlink" Target="https://bonds.mercapabbaco.com/bond-analysis/YMCID" TargetMode="External"/><Relationship Id="rId3" Type="http://schemas.openxmlformats.org/officeDocument/2006/relationships/hyperlink" Target="https://bonds.mercapabbaco.com/bond-analysis/YMCJD" TargetMode="External"/><Relationship Id="rId4" Type="http://schemas.openxmlformats.org/officeDocument/2006/relationships/hyperlink" Target="https://bonds.mercapabbaco.com/bond-analysis/YFCID" TargetMode="External"/><Relationship Id="rId9" Type="http://schemas.openxmlformats.org/officeDocument/2006/relationships/hyperlink" Target="https://bonds.mercapabbaco.com/bond-analysis/YFCID" TargetMode="External"/><Relationship Id="rId17" Type="http://schemas.openxmlformats.org/officeDocument/2006/relationships/table" Target="../tables/table17.xml"/><Relationship Id="rId16" Type="http://schemas.openxmlformats.org/officeDocument/2006/relationships/table" Target="../tables/table16.xml"/><Relationship Id="rId5" Type="http://schemas.openxmlformats.org/officeDocument/2006/relationships/hyperlink" Target="https://bonds.mercapabbaco.com/bond-analysis/YM34D" TargetMode="External"/><Relationship Id="rId19" Type="http://schemas.openxmlformats.org/officeDocument/2006/relationships/table" Target="../tables/table19.xml"/><Relationship Id="rId6" Type="http://schemas.openxmlformats.org/officeDocument/2006/relationships/hyperlink" Target="https://bonds.mercapabbaco.com/bond-analysis/YFCJD" TargetMode="External"/><Relationship Id="rId18" Type="http://schemas.openxmlformats.org/officeDocument/2006/relationships/table" Target="../tables/table18.xml"/><Relationship Id="rId7" Type="http://schemas.openxmlformats.org/officeDocument/2006/relationships/hyperlink" Target="https://bonds.mercapabbaco.com/bond-analysis/YMCID" TargetMode="External"/><Relationship Id="rId8" Type="http://schemas.openxmlformats.org/officeDocument/2006/relationships/hyperlink" Target="https://bonds.mercapabbaco.com/bond-analysis/YMCJD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bonds.mercapabbaco.com/bond-analysis/YM34D" TargetMode="External"/><Relationship Id="rId13" Type="http://schemas.openxmlformats.org/officeDocument/2006/relationships/table" Target="../tables/table21.xml"/><Relationship Id="rId1" Type="http://schemas.openxmlformats.org/officeDocument/2006/relationships/hyperlink" Target="https://bonds.mercapabbaco.com/bond-analysis/YCA6P" TargetMode="External"/><Relationship Id="rId2" Type="http://schemas.openxmlformats.org/officeDocument/2006/relationships/hyperlink" Target="https://bonds.mercapabbaco.com/bond-analysis/YFCJD" TargetMode="External"/><Relationship Id="rId3" Type="http://schemas.openxmlformats.org/officeDocument/2006/relationships/hyperlink" Target="https://bonds.mercapabbaco.com/bond-analysis/YM34D" TargetMode="External"/><Relationship Id="rId4" Type="http://schemas.openxmlformats.org/officeDocument/2006/relationships/hyperlink" Target="https://bonds.mercapabbaco.com/bond-analysis/YMCID" TargetMode="External"/><Relationship Id="rId9" Type="http://schemas.openxmlformats.org/officeDocument/2006/relationships/hyperlink" Target="https://bonds.mercapabbaco.com/bond-analysis/YFCID" TargetMode="External"/><Relationship Id="rId5" Type="http://schemas.openxmlformats.org/officeDocument/2006/relationships/hyperlink" Target="https://bonds.mercapabbaco.com/bond-analysis/YMCJD" TargetMode="External"/><Relationship Id="rId6" Type="http://schemas.openxmlformats.org/officeDocument/2006/relationships/hyperlink" Target="https://bonds.mercapabbaco.com/bond-analysis/YFCJD" TargetMode="External"/><Relationship Id="rId7" Type="http://schemas.openxmlformats.org/officeDocument/2006/relationships/hyperlink" Target="https://bonds.mercapabbaco.com/bond-analysis/YMCID" TargetMode="External"/><Relationship Id="rId8" Type="http://schemas.openxmlformats.org/officeDocument/2006/relationships/hyperlink" Target="https://bonds.mercapabbaco.com/bond-analysis/YMCJD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2.xml"/><Relationship Id="rId13" Type="http://schemas.openxmlformats.org/officeDocument/2006/relationships/table" Target="../tables/table24.xml"/><Relationship Id="rId12" Type="http://schemas.openxmlformats.org/officeDocument/2006/relationships/table" Target="../tables/table23.xml"/><Relationship Id="rId1" Type="http://schemas.openxmlformats.org/officeDocument/2006/relationships/hyperlink" Target="https://bonds.mercapabbaco.com/bond-analysis/YFCJD" TargetMode="External"/><Relationship Id="rId2" Type="http://schemas.openxmlformats.org/officeDocument/2006/relationships/hyperlink" Target="https://bonds.mercapabbaco.com/bond-analysis/YMCID" TargetMode="External"/><Relationship Id="rId3" Type="http://schemas.openxmlformats.org/officeDocument/2006/relationships/hyperlink" Target="https://bonds.mercapabbaco.com/bond-analysis/YMCJD" TargetMode="External"/><Relationship Id="rId4" Type="http://schemas.openxmlformats.org/officeDocument/2006/relationships/hyperlink" Target="https://bonds.mercapabbaco.com/bond-analysis/YCA6P" TargetMode="External"/><Relationship Id="rId15" Type="http://schemas.openxmlformats.org/officeDocument/2006/relationships/table" Target="../tables/table26.xml"/><Relationship Id="rId14" Type="http://schemas.openxmlformats.org/officeDocument/2006/relationships/table" Target="../tables/table25.xm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6" width="17.75"/>
    <col customWidth="1" min="7" max="7" width="16.5"/>
    <col customWidth="1" min="9" max="10" width="15.75"/>
    <col customWidth="1" min="11" max="11" width="20.5"/>
    <col customWidth="1" min="12" max="12" width="15.38"/>
    <col customWidth="1" min="13" max="13" width="22.75"/>
    <col customWidth="1" min="14" max="14" width="21.0"/>
    <col customWidth="1" min="15" max="15" width="20.88"/>
    <col customWidth="1" min="17" max="17" width="22.63"/>
    <col customWidth="1" min="18" max="18" width="27.5"/>
    <col customWidth="1" min="19" max="19" width="35.88"/>
    <col customWidth="1" min="20" max="20" width="29.0"/>
  </cols>
  <sheetData>
    <row r="1">
      <c r="A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</row>
    <row r="2" ht="1.5" customHeight="1"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</row>
    <row r="3" ht="15.0" customHeight="1"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</row>
    <row r="4" ht="1.5" customHeight="1"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</row>
    <row r="6" ht="1.5" customHeight="1"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5" t="s">
        <v>14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 t="s">
        <v>15</v>
      </c>
      <c r="B9" s="7" t="s">
        <v>16</v>
      </c>
      <c r="C9" s="8">
        <v>0.0796</v>
      </c>
      <c r="D9" s="9">
        <v>4.86</v>
      </c>
      <c r="E9" s="9">
        <v>5.25</v>
      </c>
      <c r="F9" s="10">
        <v>32.65</v>
      </c>
      <c r="G9" s="11">
        <f t="shared" ref="G9:G14" si="1">I9/H9</f>
        <v>1.003857675</v>
      </c>
      <c r="H9" s="10">
        <v>102.0563</v>
      </c>
      <c r="I9" s="12">
        <v>102.45</v>
      </c>
      <c r="J9" s="13">
        <f t="shared" ref="J9:J14" si="2">I9</f>
        <v>102.45</v>
      </c>
      <c r="K9" s="11">
        <v>0.0788</v>
      </c>
      <c r="L9" s="13">
        <v>7.74</v>
      </c>
      <c r="M9" s="14">
        <f t="shared" ref="M9:M14" si="3">K9/G9</f>
        <v>0.07849718341</v>
      </c>
      <c r="N9" s="14">
        <f t="shared" ref="N9:N14" si="4">C9*K9*10</f>
        <v>0.0627248</v>
      </c>
      <c r="O9" s="15">
        <f t="shared" ref="O9:O14" si="5">C9/G9</f>
        <v>0.07929410913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6" t="s">
        <v>17</v>
      </c>
      <c r="B10" s="7" t="s">
        <v>18</v>
      </c>
      <c r="C10" s="8">
        <v>0.0656</v>
      </c>
      <c r="D10" s="9">
        <v>2.48</v>
      </c>
      <c r="E10" s="9">
        <v>2.64</v>
      </c>
      <c r="F10" s="10">
        <v>8.2</v>
      </c>
      <c r="G10" s="11">
        <f t="shared" si="1"/>
        <v>1.063681592</v>
      </c>
      <c r="H10" s="10">
        <v>100.5</v>
      </c>
      <c r="I10" s="12">
        <v>106.9</v>
      </c>
      <c r="J10" s="13">
        <f t="shared" si="2"/>
        <v>106.9</v>
      </c>
      <c r="K10" s="11">
        <v>0.09</v>
      </c>
      <c r="L10" s="13">
        <v>4.45</v>
      </c>
      <c r="M10" s="17">
        <f t="shared" si="3"/>
        <v>0.08461178672</v>
      </c>
      <c r="N10" s="17">
        <f t="shared" si="4"/>
        <v>0.05904</v>
      </c>
      <c r="O10" s="18">
        <f t="shared" si="5"/>
        <v>0.06167259121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 t="s">
        <v>19</v>
      </c>
      <c r="B11" s="7" t="s">
        <v>20</v>
      </c>
      <c r="C11" s="8">
        <v>0.0727</v>
      </c>
      <c r="D11" s="9">
        <v>5.36</v>
      </c>
      <c r="E11" s="9">
        <v>5.75</v>
      </c>
      <c r="F11" s="10">
        <v>39.8</v>
      </c>
      <c r="G11" s="11">
        <f t="shared" si="1"/>
        <v>0.9927657337</v>
      </c>
      <c r="H11" s="10">
        <v>102.1389</v>
      </c>
      <c r="I11" s="12">
        <v>101.4</v>
      </c>
      <c r="J11" s="13">
        <f t="shared" si="2"/>
        <v>101.4</v>
      </c>
      <c r="K11" s="11">
        <v>0.07</v>
      </c>
      <c r="L11" s="13">
        <v>8.69</v>
      </c>
      <c r="M11" s="14">
        <f t="shared" si="3"/>
        <v>0.07051008876</v>
      </c>
      <c r="N11" s="14">
        <f t="shared" si="4"/>
        <v>0.05089</v>
      </c>
      <c r="O11" s="15">
        <f t="shared" si="5"/>
        <v>0.07322976361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6" t="s">
        <v>21</v>
      </c>
      <c r="B12" s="7" t="s">
        <v>22</v>
      </c>
      <c r="C12" s="8">
        <v>0.0285</v>
      </c>
      <c r="D12" s="9">
        <v>0.48</v>
      </c>
      <c r="E12" s="9">
        <v>0.5</v>
      </c>
      <c r="F12" s="10">
        <v>0.25</v>
      </c>
      <c r="G12" s="11">
        <f t="shared" si="1"/>
        <v>1.027561702</v>
      </c>
      <c r="H12" s="10">
        <v>104.13</v>
      </c>
      <c r="I12" s="12">
        <v>107.0</v>
      </c>
      <c r="J12" s="13">
        <f t="shared" si="2"/>
        <v>107</v>
      </c>
      <c r="K12" s="11">
        <v>0.085</v>
      </c>
      <c r="L12" s="13">
        <v>0.52</v>
      </c>
      <c r="M12" s="17">
        <f t="shared" si="3"/>
        <v>0.08272009346</v>
      </c>
      <c r="N12" s="17">
        <f t="shared" si="4"/>
        <v>0.024225</v>
      </c>
      <c r="O12" s="18">
        <f t="shared" si="5"/>
        <v>0.02773556075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 t="s">
        <v>23</v>
      </c>
      <c r="B13" s="7" t="s">
        <v>24</v>
      </c>
      <c r="C13" s="8">
        <f>CALCULOS!F4</f>
        <v>0.07906797122</v>
      </c>
      <c r="D13" s="19">
        <f>CALCULOS!F10</f>
        <v>5.622104784</v>
      </c>
      <c r="E13" s="19">
        <f>CALCULOS!F9</f>
        <v>5.854016606</v>
      </c>
      <c r="F13" s="10">
        <v>44.0</v>
      </c>
      <c r="G13" s="20">
        <f t="shared" si="1"/>
        <v>1.01407809</v>
      </c>
      <c r="H13" s="10">
        <f>CALCULOS!F7</f>
        <v>99.99229944</v>
      </c>
      <c r="I13" s="12">
        <v>101.4</v>
      </c>
      <c r="J13" s="12">
        <f t="shared" si="2"/>
        <v>101.4</v>
      </c>
      <c r="K13" s="11">
        <v>0.0825</v>
      </c>
      <c r="L13" s="13">
        <v>9.0</v>
      </c>
      <c r="M13" s="14">
        <f t="shared" si="3"/>
        <v>0.0813546815</v>
      </c>
      <c r="N13" s="14">
        <f t="shared" si="4"/>
        <v>0.06523107626</v>
      </c>
      <c r="O13" s="15">
        <f t="shared" si="5"/>
        <v>0.07797029837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 t="s">
        <v>25</v>
      </c>
      <c r="B14" s="22" t="s">
        <v>25</v>
      </c>
      <c r="C14" s="23">
        <f>CALCULOS!F5</f>
        <v>0.0825</v>
      </c>
      <c r="D14" s="24" t="str">
        <f>CALCULOS!F11</f>
        <v/>
      </c>
      <c r="E14" s="24">
        <f>CALCULOS!F10</f>
        <v>5.622104784</v>
      </c>
      <c r="F14" s="25"/>
      <c r="G14" s="26">
        <f t="shared" si="1"/>
        <v>0</v>
      </c>
      <c r="H14" s="25">
        <f>CALCULOS!F8</f>
        <v>12.3584795</v>
      </c>
      <c r="I14" s="27"/>
      <c r="J14" s="27" t="str">
        <f t="shared" si="2"/>
        <v/>
      </c>
      <c r="K14" s="28"/>
      <c r="L14" s="29"/>
      <c r="M14" s="30" t="str">
        <f t="shared" si="3"/>
        <v>#DIV/0!</v>
      </c>
      <c r="N14" s="30">
        <f t="shared" si="4"/>
        <v>0</v>
      </c>
      <c r="O14" s="31" t="str">
        <f t="shared" si="5"/>
        <v>#DIV/0!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2"/>
      <c r="U15" s="2"/>
      <c r="V15" s="2"/>
      <c r="W15" s="2"/>
      <c r="X15" s="2"/>
      <c r="Y15" s="2"/>
    </row>
    <row r="16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26</v>
      </c>
      <c r="N16" s="4" t="s">
        <v>27</v>
      </c>
      <c r="O16" s="5" t="s">
        <v>28</v>
      </c>
      <c r="Q16" s="33" t="s">
        <v>29</v>
      </c>
      <c r="R16" s="34" t="s">
        <v>30</v>
      </c>
      <c r="S16" s="35" t="s">
        <v>31</v>
      </c>
      <c r="T16" s="36" t="s">
        <v>32</v>
      </c>
      <c r="U16" s="2"/>
      <c r="V16" s="2"/>
      <c r="W16" s="2"/>
      <c r="X16" s="2"/>
      <c r="Y16" s="2"/>
    </row>
    <row r="17">
      <c r="A17" s="6" t="s">
        <v>33</v>
      </c>
      <c r="B17" s="7" t="s">
        <v>16</v>
      </c>
      <c r="C17" s="37">
        <f t="shared" ref="C17:L17" si="6">(C9 - AVERAGE(C$9:C$13)) / STDEV(C$9:C$13)</f>
        <v>0.6832837695</v>
      </c>
      <c r="D17" s="37">
        <f t="shared" si="6"/>
        <v>0.4963059431</v>
      </c>
      <c r="E17" s="37">
        <f t="shared" si="6"/>
        <v>0.5315588989</v>
      </c>
      <c r="F17" s="37">
        <f t="shared" si="6"/>
        <v>0.3917444658</v>
      </c>
      <c r="G17" s="38">
        <f t="shared" si="6"/>
        <v>-0.6034507639</v>
      </c>
      <c r="H17" s="37">
        <f t="shared" si="6"/>
        <v>0.1802012086</v>
      </c>
      <c r="I17" s="37">
        <f t="shared" si="6"/>
        <v>-0.4790915834</v>
      </c>
      <c r="J17" s="37">
        <f t="shared" si="6"/>
        <v>-0.4790915834</v>
      </c>
      <c r="K17" s="37">
        <f t="shared" si="6"/>
        <v>-0.328180914</v>
      </c>
      <c r="L17" s="37">
        <f t="shared" si="6"/>
        <v>0.4618931781</v>
      </c>
      <c r="M17" s="38">
        <f t="shared" ref="M17:M22" si="8">K17-G17</f>
        <v>0.2752698499</v>
      </c>
      <c r="N17" s="37">
        <f t="shared" ref="N17:N22" si="9">K17+C17</f>
        <v>0.3551028554</v>
      </c>
      <c r="O17" s="38">
        <f t="shared" ref="O17:O22" si="10">C17-G17</f>
        <v>1.286734533</v>
      </c>
      <c r="Q17" s="39">
        <f>IFERROR(__xludf.DUMMYFUNCTION("C17+(-D17-E17-L9)/3-G17+K17+5"),3.03593200531789)</f>
        <v>3.035932005</v>
      </c>
      <c r="R17" s="40">
        <f t="shared" ref="R17:R22" si="11">SUM(M17:O17)</f>
        <v>1.917107239</v>
      </c>
      <c r="S17" s="40">
        <f t="shared" ref="S17:S22" si="12">C17+K17-D17-G17</f>
        <v>0.4622476763</v>
      </c>
      <c r="T17" s="40">
        <f t="shared" ref="T17:T22" si="13">(C17+K17)/2-D17-G17</f>
        <v>0.2846962485</v>
      </c>
      <c r="U17" s="2"/>
      <c r="V17" s="2"/>
      <c r="W17" s="2"/>
      <c r="X17" s="2"/>
      <c r="Y17" s="2"/>
    </row>
    <row r="18">
      <c r="A18" s="16" t="s">
        <v>34</v>
      </c>
      <c r="B18" s="7" t="s">
        <v>18</v>
      </c>
      <c r="C18" s="41">
        <f t="shared" ref="C18:L18" si="7">(C10 - AVERAGE(C$9:C$13)) / STDEV(C$9:C$13)</f>
        <v>0.02385283021</v>
      </c>
      <c r="D18" s="41">
        <f t="shared" si="7"/>
        <v>-0.5779307403</v>
      </c>
      <c r="E18" s="41">
        <f t="shared" si="7"/>
        <v>-0.5772745481</v>
      </c>
      <c r="F18" s="41">
        <f t="shared" si="7"/>
        <v>-0.8570367843</v>
      </c>
      <c r="G18" s="42">
        <f t="shared" si="7"/>
        <v>1.5803354</v>
      </c>
      <c r="H18" s="41">
        <f t="shared" si="7"/>
        <v>-0.7776096999</v>
      </c>
      <c r="I18" s="41">
        <f t="shared" si="7"/>
        <v>1.065805189</v>
      </c>
      <c r="J18" s="41">
        <f t="shared" si="7"/>
        <v>1.065805189</v>
      </c>
      <c r="K18" s="41">
        <f t="shared" si="7"/>
        <v>1.165976093</v>
      </c>
      <c r="L18" s="41">
        <f t="shared" si="7"/>
        <v>-0.4535457111</v>
      </c>
      <c r="M18" s="42">
        <f t="shared" si="8"/>
        <v>-0.4143593066</v>
      </c>
      <c r="N18" s="41">
        <f t="shared" si="9"/>
        <v>1.189828923</v>
      </c>
      <c r="O18" s="42">
        <f t="shared" si="10"/>
        <v>-1.556482569</v>
      </c>
      <c r="Q18" s="43">
        <f>IFERROR(__xludf.DUMMYFUNCTION("C18+(-D18-E18-L10)/3-G18+K18+5"),3.511228619713462)</f>
        <v>3.51122862</v>
      </c>
      <c r="R18" s="44">
        <f t="shared" si="11"/>
        <v>-0.7810129529</v>
      </c>
      <c r="S18" s="44">
        <f t="shared" si="12"/>
        <v>0.1874242639</v>
      </c>
      <c r="T18" s="44">
        <f t="shared" si="13"/>
        <v>-0.4074901977</v>
      </c>
      <c r="U18" s="2"/>
      <c r="V18" s="2"/>
      <c r="W18" s="2"/>
      <c r="X18" s="2"/>
      <c r="Y18" s="2"/>
    </row>
    <row r="19">
      <c r="A19" s="6" t="s">
        <v>35</v>
      </c>
      <c r="B19" s="7" t="s">
        <v>20</v>
      </c>
      <c r="C19" s="37">
        <f t="shared" ref="C19:L19" si="14">(C11 - AVERAGE(C$9:C$13)) / STDEV(C$9:C$13)</f>
        <v>0.3582785208</v>
      </c>
      <c r="D19" s="37">
        <f t="shared" si="14"/>
        <v>0.7219859186</v>
      </c>
      <c r="E19" s="37">
        <f t="shared" si="14"/>
        <v>0.7439790995</v>
      </c>
      <c r="F19" s="37">
        <f t="shared" si="14"/>
        <v>0.7569299847</v>
      </c>
      <c r="G19" s="38">
        <f t="shared" si="14"/>
        <v>-1.008346133</v>
      </c>
      <c r="H19" s="37">
        <f t="shared" si="14"/>
        <v>0.2310366395</v>
      </c>
      <c r="I19" s="37">
        <f t="shared" si="14"/>
        <v>-0.8436177882</v>
      </c>
      <c r="J19" s="37">
        <f t="shared" si="14"/>
        <v>-0.8436177882</v>
      </c>
      <c r="K19" s="37">
        <f t="shared" si="14"/>
        <v>-1.502161419</v>
      </c>
      <c r="L19" s="37">
        <f t="shared" si="14"/>
        <v>0.7262296355</v>
      </c>
      <c r="M19" s="38">
        <f t="shared" si="8"/>
        <v>-0.4938152868</v>
      </c>
      <c r="N19" s="37">
        <f t="shared" si="9"/>
        <v>-1.143882899</v>
      </c>
      <c r="O19" s="38">
        <f t="shared" si="10"/>
        <v>1.366624653</v>
      </c>
      <c r="Q19" s="39">
        <f>IFERROR(__xludf.DUMMYFUNCTION("C19+(-D19-E19-L11)/3-G19+K19+5"),1.4791415612965997)</f>
        <v>1.479141561</v>
      </c>
      <c r="R19" s="40">
        <f t="shared" si="11"/>
        <v>-0.271073532</v>
      </c>
      <c r="S19" s="40">
        <f t="shared" si="12"/>
        <v>-0.8575226846</v>
      </c>
      <c r="T19" s="40">
        <f t="shared" si="13"/>
        <v>-0.2855812353</v>
      </c>
      <c r="U19" s="2"/>
      <c r="V19" s="2"/>
      <c r="W19" s="2"/>
      <c r="X19" s="2"/>
      <c r="Y19" s="2"/>
    </row>
    <row r="20">
      <c r="A20" s="16" t="s">
        <v>36</v>
      </c>
      <c r="B20" s="7" t="s">
        <v>22</v>
      </c>
      <c r="C20" s="41">
        <f t="shared" ref="C20:L20" si="15">(C12 - AVERAGE(C$9:C$13)) / STDEV(C$9:C$13)</f>
        <v>-1.723639159</v>
      </c>
      <c r="D20" s="41">
        <f t="shared" si="15"/>
        <v>-1.480650642</v>
      </c>
      <c r="E20" s="41">
        <f t="shared" si="15"/>
        <v>-1.486433007</v>
      </c>
      <c r="F20" s="41">
        <f t="shared" si="15"/>
        <v>-1.263082221</v>
      </c>
      <c r="G20" s="42">
        <f t="shared" si="15"/>
        <v>0.2618306922</v>
      </c>
      <c r="H20" s="41">
        <f t="shared" si="15"/>
        <v>1.456441317</v>
      </c>
      <c r="I20" s="41">
        <f t="shared" si="15"/>
        <v>1.100521971</v>
      </c>
      <c r="J20" s="41">
        <f t="shared" si="15"/>
        <v>1.100521971</v>
      </c>
      <c r="K20" s="41">
        <f t="shared" si="15"/>
        <v>0.4989417148</v>
      </c>
      <c r="L20" s="41">
        <f t="shared" si="15"/>
        <v>-1.547063898</v>
      </c>
      <c r="M20" s="42">
        <f t="shared" si="8"/>
        <v>0.2371110226</v>
      </c>
      <c r="N20" s="41">
        <f t="shared" si="9"/>
        <v>-1.224697444</v>
      </c>
      <c r="O20" s="42">
        <f t="shared" si="10"/>
        <v>-1.985469851</v>
      </c>
      <c r="Q20" s="43">
        <f>IFERROR(__xludf.DUMMYFUNCTION("C20+(-D20-E20-L12)/3-G20+K20+5"),4.329166413419427)</f>
        <v>4.329166413</v>
      </c>
      <c r="R20" s="44">
        <f t="shared" si="11"/>
        <v>-2.973056272</v>
      </c>
      <c r="S20" s="44">
        <f t="shared" si="12"/>
        <v>-0.005877493908</v>
      </c>
      <c r="T20" s="44">
        <f t="shared" si="13"/>
        <v>0.6064712281</v>
      </c>
      <c r="U20" s="2"/>
      <c r="V20" s="2"/>
      <c r="W20" s="2"/>
      <c r="X20" s="2"/>
      <c r="Y20" s="2"/>
    </row>
    <row r="21">
      <c r="A21" s="6" t="s">
        <v>23</v>
      </c>
      <c r="B21" s="7" t="s">
        <v>23</v>
      </c>
      <c r="C21" s="37">
        <f t="shared" ref="C21:H21" si="16">(C13 - AVERAGE(C$9:C$13)) / STDEV(C$9:C$13)</f>
        <v>0.6582240383</v>
      </c>
      <c r="D21" s="37">
        <f t="shared" si="16"/>
        <v>0.840289521</v>
      </c>
      <c r="E21" s="37">
        <f t="shared" si="16"/>
        <v>0.7881695563</v>
      </c>
      <c r="F21" s="37">
        <f t="shared" si="16"/>
        <v>0.9714445553</v>
      </c>
      <c r="G21" s="38">
        <f t="shared" si="16"/>
        <v>-0.2303691953</v>
      </c>
      <c r="H21" s="37">
        <f t="shared" si="16"/>
        <v>-1.090069465</v>
      </c>
      <c r="I21" s="37">
        <f t="shared" ref="I21:I22" si="19">(J13 - AVERAGE(I$9:I$13)) / STDEV(I$9:I$13)</f>
        <v>-0.8436177882</v>
      </c>
      <c r="J21" s="37">
        <f t="shared" ref="J21:J22" si="20">(J13- AVERAGE(J$9:J$13)) / STDEV(J$9:J$13)</f>
        <v>-0.8436177882</v>
      </c>
      <c r="K21" s="37">
        <f t="shared" ref="K21:L21" si="17">(K13 - AVERAGE(K$9:K$13)) / STDEV(K$9:K$13)</f>
        <v>0.1654245258</v>
      </c>
      <c r="L21" s="37">
        <f t="shared" si="17"/>
        <v>0.8124867953</v>
      </c>
      <c r="M21" s="38">
        <f t="shared" si="8"/>
        <v>0.395793721</v>
      </c>
      <c r="N21" s="37">
        <f t="shared" si="9"/>
        <v>0.8236485641</v>
      </c>
      <c r="O21" s="38">
        <f t="shared" si="10"/>
        <v>0.8885932336</v>
      </c>
      <c r="Q21" s="39">
        <f>IFERROR(__xludf.DUMMYFUNCTION("C21+(-D21-E21-L13)/3-G21+K21+5"),2.511198066919277)</f>
        <v>2.511198067</v>
      </c>
      <c r="R21" s="40">
        <f t="shared" si="11"/>
        <v>2.108035519</v>
      </c>
      <c r="S21" s="40">
        <f t="shared" si="12"/>
        <v>0.2137282383</v>
      </c>
      <c r="T21" s="40">
        <f t="shared" si="13"/>
        <v>-0.1980960437</v>
      </c>
      <c r="U21" s="2"/>
      <c r="V21" s="2"/>
      <c r="W21" s="2"/>
      <c r="X21" s="2"/>
      <c r="Y21" s="2"/>
    </row>
    <row r="22">
      <c r="A22" s="21" t="s">
        <v>25</v>
      </c>
      <c r="B22" s="22" t="s">
        <v>25</v>
      </c>
      <c r="C22" s="45">
        <f t="shared" ref="C22:H22" si="18">(C14 - AVERAGE(C$9:C$13)) / STDEV(C$9:C$13)</f>
        <v>0.8198801783</v>
      </c>
      <c r="D22" s="45">
        <f t="shared" si="18"/>
        <v>-1.697303419</v>
      </c>
      <c r="E22" s="45">
        <f t="shared" si="18"/>
        <v>0.6896440446</v>
      </c>
      <c r="F22" s="45">
        <f t="shared" si="18"/>
        <v>-1.275850946</v>
      </c>
      <c r="G22" s="46">
        <f t="shared" si="18"/>
        <v>-37.24783306</v>
      </c>
      <c r="H22" s="45">
        <f t="shared" si="18"/>
        <v>-55.02351976</v>
      </c>
      <c r="I22" s="45">
        <f t="shared" si="19"/>
        <v>-36.04643414</v>
      </c>
      <c r="J22" s="45">
        <f t="shared" si="20"/>
        <v>-36.04643414</v>
      </c>
      <c r="K22" s="45">
        <f t="shared" ref="K22:L22" si="21">(K14 - AVERAGE(K$9:K$13)) / STDEV(K$9:K$13)</f>
        <v>-10.84064271</v>
      </c>
      <c r="L22" s="45">
        <f t="shared" si="21"/>
        <v>-1.691753327</v>
      </c>
      <c r="M22" s="46">
        <f t="shared" si="8"/>
        <v>26.40719035</v>
      </c>
      <c r="N22" s="45">
        <f t="shared" si="9"/>
        <v>-10.02076253</v>
      </c>
      <c r="O22" s="47">
        <f t="shared" si="10"/>
        <v>38.06771324</v>
      </c>
      <c r="Q22" s="48">
        <f>IFERROR(__xludf.DUMMYFUNCTION("C22+(-D22-E22-L14)/3-G22+K22+5"),32.562956985538776)</f>
        <v>32.56295699</v>
      </c>
      <c r="R22" s="49">
        <f t="shared" si="11"/>
        <v>54.45414105</v>
      </c>
      <c r="S22" s="49">
        <f t="shared" si="12"/>
        <v>28.92437395</v>
      </c>
      <c r="T22" s="50">
        <f t="shared" si="13"/>
        <v>33.93475521</v>
      </c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51" t="s">
        <v>37</v>
      </c>
      <c r="B27" s="52" t="s">
        <v>2</v>
      </c>
      <c r="C27" s="52" t="s">
        <v>3</v>
      </c>
      <c r="D27" s="52" t="s">
        <v>38</v>
      </c>
      <c r="E27" s="52" t="s">
        <v>39</v>
      </c>
      <c r="F27" s="52" t="s">
        <v>40</v>
      </c>
      <c r="G27" s="53" t="s">
        <v>41</v>
      </c>
      <c r="H27" s="51" t="s">
        <v>42</v>
      </c>
      <c r="I27" s="54" t="s">
        <v>43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55"/>
      <c r="B28" s="56">
        <v>0.4</v>
      </c>
      <c r="C28" s="56">
        <v>0.15</v>
      </c>
      <c r="D28" s="56">
        <v>0.05</v>
      </c>
      <c r="E28" s="56">
        <v>0.3</v>
      </c>
      <c r="F28" s="56">
        <v>0.0</v>
      </c>
      <c r="G28" s="57">
        <v>0.0</v>
      </c>
      <c r="H28" s="58" t="s">
        <v>44</v>
      </c>
      <c r="I28" s="59">
        <f>PESOS[TIR]*C17+G28*K17-PESOS[MD]*D17-PESOS[CONV]*F17-PESOS[PARIDAD]*G17-PESOS[COTIZACION]*J17</f>
        <v>0.3603156222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60" t="s">
        <v>45</v>
      </c>
      <c r="I29" s="61">
        <f>PESOS[TIR]*C18+G29*K18-PESOS[MD]*D18-PESOS[CONV]*F18-PESOS[PARIDAD]*G18-PESOS[COTIZACION]*J18</f>
        <v>-0.3350180375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58" t="s">
        <v>46</v>
      </c>
      <c r="I30" s="59">
        <f>PESOS[TIR]*C19+G30*K19-PESOS[MD]*D19-PESOS[CONV]*F19-PESOS[PARIDAD]*G19-PESOS[COTIZACION]*J19</f>
        <v>0.2996708611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60" t="s">
        <v>47</v>
      </c>
      <c r="I31" s="61">
        <f>PESOS[TIR]*C20+G31*K20-PESOS[MD]*D20-PESOS[CONV]*F20-PESOS[PARIDAD]*G20-PESOS[COTIZACION]*J20</f>
        <v>-0.4827531638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55" t="s">
        <v>23</v>
      </c>
      <c r="I32" s="62">
        <f>PESOS[TIR]*C21+G32*K21-PESOS[MD]*D21-PESOS[CONV]*F21-PESOS[PARIDAD]*G21-PESOS[COTIZACION]*J21</f>
        <v>0.157784718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6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</sheetData>
  <mergeCells count="1">
    <mergeCell ref="A1:G6"/>
  </mergeCells>
  <dataValidations>
    <dataValidation type="custom" allowBlank="1" showDropDown="1" sqref="C9:H14 K9:K14 M9:O14 Q17:T22 G17:G22 M17:M22 O17:O22">
      <formula1>AND(ISNUMBER(C9),(NOT(OR(NOT(ISERROR(DATEVALUE(C9))), AND(ISNUMBER(C9), LEFT(CELL("format", C9))="D")))))</formula1>
    </dataValidation>
  </dataValidations>
  <hyperlinks>
    <hyperlink r:id="rId1" ref="A9"/>
    <hyperlink r:id="rId2" ref="A10"/>
    <hyperlink r:id="rId3" ref="A11"/>
    <hyperlink r:id="rId4" ref="A12"/>
    <hyperlink r:id="rId5" ref="A17"/>
    <hyperlink r:id="rId6" ref="A18"/>
    <hyperlink r:id="rId7" ref="A19"/>
    <hyperlink r:id="rId8" ref="A20"/>
  </hyperlinks>
  <drawing r:id="rId9"/>
  <tableParts count="5"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6" width="17.75"/>
    <col customWidth="1" min="7" max="7" width="16.5"/>
    <col customWidth="1" min="9" max="10" width="15.75"/>
    <col customWidth="1" min="11" max="11" width="20.5"/>
    <col customWidth="1" min="12" max="12" width="15.38"/>
    <col customWidth="1" min="13" max="13" width="22.75"/>
    <col customWidth="1" min="14" max="14" width="21.0"/>
    <col customWidth="1" min="15" max="15" width="20.88"/>
    <col customWidth="1" min="17" max="17" width="22.63"/>
    <col customWidth="1" min="18" max="18" width="27.5"/>
    <col customWidth="1" min="19" max="19" width="35.88"/>
    <col customWidth="1" min="20" max="20" width="29.0"/>
  </cols>
  <sheetData>
    <row r="1">
      <c r="A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</row>
    <row r="2" ht="1.5" customHeight="1"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</row>
    <row r="3" ht="15.0" customHeight="1"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</row>
    <row r="4" ht="1.5" customHeight="1"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</row>
    <row r="6" ht="1.5" customHeight="1"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5" t="s">
        <v>14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4" t="s">
        <v>44</v>
      </c>
      <c r="B9" s="65" t="s">
        <v>16</v>
      </c>
      <c r="C9" s="66">
        <v>0.0779</v>
      </c>
      <c r="D9" s="67">
        <v>4.8</v>
      </c>
      <c r="E9" s="67">
        <v>5.17</v>
      </c>
      <c r="F9" s="68">
        <v>31.85</v>
      </c>
      <c r="G9" s="66">
        <v>1.01</v>
      </c>
      <c r="H9" s="68">
        <v>102.71</v>
      </c>
      <c r="I9" s="65">
        <v>103.9</v>
      </c>
      <c r="J9" s="65">
        <v>104.0</v>
      </c>
      <c r="K9" s="66">
        <v>0.0788</v>
      </c>
      <c r="L9" s="13">
        <v>7.74</v>
      </c>
      <c r="M9" s="14">
        <f t="shared" ref="M9:M13" si="1">K9/G9</f>
        <v>0.07801980198</v>
      </c>
      <c r="N9" s="14">
        <f t="shared" ref="N9:N13" si="2">C9*K9*10</f>
        <v>0.0613852</v>
      </c>
      <c r="O9" s="15">
        <f t="shared" ref="O9:O13" si="3">C9/G9</f>
        <v>0.07712871287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9" t="s">
        <v>45</v>
      </c>
      <c r="B10" s="70" t="s">
        <v>18</v>
      </c>
      <c r="C10" s="71">
        <v>0.0665</v>
      </c>
      <c r="D10" s="72">
        <v>2.39</v>
      </c>
      <c r="E10" s="72">
        <v>2.55</v>
      </c>
      <c r="F10" s="73">
        <v>7.75</v>
      </c>
      <c r="G10" s="71">
        <v>1.06</v>
      </c>
      <c r="H10" s="73">
        <v>101.25</v>
      </c>
      <c r="I10" s="70">
        <v>107.5</v>
      </c>
      <c r="J10" s="70">
        <v>107.15</v>
      </c>
      <c r="K10" s="71">
        <v>0.09</v>
      </c>
      <c r="L10" s="13">
        <v>4.45</v>
      </c>
      <c r="M10" s="17">
        <f t="shared" si="1"/>
        <v>0.08490566038</v>
      </c>
      <c r="N10" s="17">
        <f t="shared" si="2"/>
        <v>0.05985</v>
      </c>
      <c r="O10" s="18">
        <f t="shared" si="3"/>
        <v>0.06273584906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4" t="s">
        <v>46</v>
      </c>
      <c r="B11" s="65" t="s">
        <v>20</v>
      </c>
      <c r="C11" s="66">
        <v>0.0742</v>
      </c>
      <c r="D11" s="67">
        <v>5.27</v>
      </c>
      <c r="E11" s="67">
        <v>5.66</v>
      </c>
      <c r="F11" s="68">
        <v>38.74</v>
      </c>
      <c r="G11" s="66">
        <v>0.98</v>
      </c>
      <c r="H11" s="68">
        <v>102.72</v>
      </c>
      <c r="I11" s="65">
        <v>101.1</v>
      </c>
      <c r="J11" s="65">
        <v>100.95</v>
      </c>
      <c r="K11" s="66">
        <v>0.07</v>
      </c>
      <c r="L11" s="13">
        <v>8.69</v>
      </c>
      <c r="M11" s="14">
        <f t="shared" si="1"/>
        <v>0.07142857143</v>
      </c>
      <c r="N11" s="14">
        <f t="shared" si="2"/>
        <v>0.05194</v>
      </c>
      <c r="O11" s="15">
        <f t="shared" si="3"/>
        <v>0.07571428571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9" t="s">
        <v>47</v>
      </c>
      <c r="B12" s="70" t="s">
        <v>22</v>
      </c>
      <c r="C12" s="71">
        <v>0.0407</v>
      </c>
      <c r="D12" s="72">
        <v>0.44</v>
      </c>
      <c r="E12" s="72">
        <v>0.46</v>
      </c>
      <c r="F12" s="73">
        <v>0.2</v>
      </c>
      <c r="G12" s="71">
        <v>1.02</v>
      </c>
      <c r="H12" s="73">
        <v>100.38</v>
      </c>
      <c r="I12" s="70">
        <v>102.4</v>
      </c>
      <c r="J12" s="70">
        <v>102.4</v>
      </c>
      <c r="K12" s="71">
        <v>0.085</v>
      </c>
      <c r="L12" s="13">
        <v>0.52</v>
      </c>
      <c r="M12" s="17">
        <f t="shared" si="1"/>
        <v>0.08333333333</v>
      </c>
      <c r="N12" s="17">
        <f t="shared" si="2"/>
        <v>0.034595</v>
      </c>
      <c r="O12" s="18">
        <f t="shared" si="3"/>
        <v>0.03990196078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4" t="s">
        <v>23</v>
      </c>
      <c r="B13" s="75" t="s">
        <v>24</v>
      </c>
      <c r="C13" s="76">
        <v>0.0791</v>
      </c>
      <c r="D13" s="77">
        <v>5.55</v>
      </c>
      <c r="E13" s="77">
        <v>5.99</v>
      </c>
      <c r="F13" s="78">
        <v>43.23</v>
      </c>
      <c r="G13" s="76">
        <v>1.03</v>
      </c>
      <c r="H13" s="78">
        <v>100.76</v>
      </c>
      <c r="I13" s="75">
        <v>103.6</v>
      </c>
      <c r="J13" s="75">
        <v>103.6</v>
      </c>
      <c r="K13" s="76">
        <v>0.0825</v>
      </c>
      <c r="L13" s="13">
        <v>9.0</v>
      </c>
      <c r="M13" s="14">
        <f t="shared" si="1"/>
        <v>0.08009708738</v>
      </c>
      <c r="N13" s="14">
        <f t="shared" si="2"/>
        <v>0.0652575</v>
      </c>
      <c r="O13" s="15">
        <f t="shared" si="3"/>
        <v>0.0767961165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2"/>
      <c r="U14" s="2"/>
      <c r="V14" s="2"/>
      <c r="W14" s="2"/>
      <c r="X14" s="2"/>
      <c r="Y14" s="2"/>
    </row>
    <row r="15">
      <c r="A15" s="3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26</v>
      </c>
      <c r="N15" s="4" t="s">
        <v>27</v>
      </c>
      <c r="O15" s="5" t="s">
        <v>28</v>
      </c>
      <c r="Q15" s="33" t="s">
        <v>29</v>
      </c>
      <c r="R15" s="34" t="s">
        <v>30</v>
      </c>
      <c r="S15" s="35" t="s">
        <v>31</v>
      </c>
      <c r="T15" s="36" t="s">
        <v>32</v>
      </c>
      <c r="U15" s="2"/>
      <c r="V15" s="2"/>
      <c r="W15" s="2"/>
      <c r="X15" s="2"/>
      <c r="Y15" s="2"/>
    </row>
    <row r="16">
      <c r="A16" s="6" t="s">
        <v>48</v>
      </c>
      <c r="B16" s="7" t="s">
        <v>16</v>
      </c>
      <c r="C16" s="37">
        <f t="shared" ref="C16:L16" si="4">(C9 - AVERAGE(C$9:C$13)) / STDEV(C$9:C$13)</f>
        <v>0.6442188758</v>
      </c>
      <c r="D16" s="37">
        <f t="shared" si="4"/>
        <v>0.5034984549</v>
      </c>
      <c r="E16" s="37">
        <f t="shared" si="4"/>
        <v>0.5052659092</v>
      </c>
      <c r="F16" s="37">
        <f t="shared" si="4"/>
        <v>0.3898883475</v>
      </c>
      <c r="G16" s="38">
        <f t="shared" si="4"/>
        <v>-0.3429971703</v>
      </c>
      <c r="H16" s="37">
        <f t="shared" si="4"/>
        <v>1.046529521</v>
      </c>
      <c r="I16" s="37">
        <f t="shared" si="4"/>
        <v>0.08351476907</v>
      </c>
      <c r="J16" s="37">
        <f t="shared" si="4"/>
        <v>0.164971987</v>
      </c>
      <c r="K16" s="37">
        <f t="shared" si="4"/>
        <v>-0.328180914</v>
      </c>
      <c r="L16" s="37">
        <f t="shared" si="4"/>
        <v>0.4618931781</v>
      </c>
      <c r="M16" s="38">
        <f t="shared" ref="M16:M20" si="6">K16-G16</f>
        <v>0.01481625627</v>
      </c>
      <c r="N16" s="37">
        <f t="shared" ref="N16:N20" si="7">K16+C16</f>
        <v>0.3160379617</v>
      </c>
      <c r="O16" s="38">
        <f t="shared" ref="O16:O20" si="8">C16-G16</f>
        <v>0.987216046</v>
      </c>
      <c r="Q16" s="39">
        <f>IFERROR(__xludf.DUMMYFUNCTION("C16+(-D16-E16-L9)/3-G16+K16+5"),2.7427803439748835)</f>
        <v>2.742780344</v>
      </c>
      <c r="R16" s="40">
        <f t="shared" ref="R16:R20" si="9">SUM(M16:O16)</f>
        <v>1.318070264</v>
      </c>
      <c r="S16" s="40">
        <f t="shared" ref="S16:S20" si="10">C16+K16-D16-G16</f>
        <v>0.1555366771</v>
      </c>
      <c r="T16" s="40">
        <f t="shared" ref="T16:T20" si="11">(C16+K16)/2-D16-G16</f>
        <v>-0.00248230377</v>
      </c>
      <c r="U16" s="2"/>
      <c r="V16" s="2"/>
      <c r="W16" s="2"/>
      <c r="X16" s="2"/>
      <c r="Y16" s="2"/>
    </row>
    <row r="17">
      <c r="A17" s="16" t="s">
        <v>49</v>
      </c>
      <c r="B17" s="7" t="s">
        <v>18</v>
      </c>
      <c r="C17" s="41">
        <f t="shared" ref="C17:L17" si="5">(C10 - AVERAGE(C$9:C$13)) / STDEV(C$9:C$13)</f>
        <v>-0.07438143575</v>
      </c>
      <c r="D17" s="41">
        <f t="shared" si="5"/>
        <v>-0.5896828751</v>
      </c>
      <c r="E17" s="41">
        <f t="shared" si="5"/>
        <v>-0.5942329962</v>
      </c>
      <c r="F17" s="41">
        <f t="shared" si="5"/>
        <v>-0.8636214143</v>
      </c>
      <c r="G17" s="42">
        <f t="shared" si="5"/>
        <v>1.371988681</v>
      </c>
      <c r="H17" s="41">
        <f t="shared" si="5"/>
        <v>-0.2867454358</v>
      </c>
      <c r="I17" s="41">
        <f t="shared" si="5"/>
        <v>1.586780612</v>
      </c>
      <c r="J17" s="41">
        <f t="shared" si="5"/>
        <v>1.532502932</v>
      </c>
      <c r="K17" s="41">
        <f t="shared" si="5"/>
        <v>1.165976093</v>
      </c>
      <c r="L17" s="41">
        <f t="shared" si="5"/>
        <v>-0.4535457111</v>
      </c>
      <c r="M17" s="42">
        <f t="shared" si="6"/>
        <v>-0.2060125883</v>
      </c>
      <c r="N17" s="41">
        <f t="shared" si="7"/>
        <v>1.091594657</v>
      </c>
      <c r="O17" s="42">
        <f t="shared" si="8"/>
        <v>-1.446370117</v>
      </c>
      <c r="Q17" s="43">
        <f>IFERROR(__xludf.DUMMYFUNCTION("C17+(-D17-E17-L10)/3-G17+K17+5"),3.6309112664477796)</f>
        <v>3.630911266</v>
      </c>
      <c r="R17" s="44">
        <f t="shared" si="9"/>
        <v>-0.560788048</v>
      </c>
      <c r="S17" s="44">
        <f t="shared" si="10"/>
        <v>0.3092888511</v>
      </c>
      <c r="T17" s="44">
        <f t="shared" si="11"/>
        <v>-0.2365084774</v>
      </c>
      <c r="U17" s="2"/>
      <c r="V17" s="2"/>
      <c r="W17" s="2"/>
      <c r="X17" s="2"/>
      <c r="Y17" s="2"/>
    </row>
    <row r="18">
      <c r="A18" s="6" t="s">
        <v>50</v>
      </c>
      <c r="B18" s="7" t="s">
        <v>20</v>
      </c>
      <c r="C18" s="37">
        <f t="shared" ref="C18:L18" si="12">(C11 - AVERAGE(C$9:C$13)) / STDEV(C$9:C$13)</f>
        <v>0.4109889501</v>
      </c>
      <c r="D18" s="37">
        <f t="shared" si="12"/>
        <v>0.7166914944</v>
      </c>
      <c r="E18" s="37">
        <f t="shared" si="12"/>
        <v>0.7108973839</v>
      </c>
      <c r="F18" s="37">
        <f t="shared" si="12"/>
        <v>0.7482569059</v>
      </c>
      <c r="G18" s="38">
        <f t="shared" si="12"/>
        <v>-1.371988681</v>
      </c>
      <c r="H18" s="37">
        <f t="shared" si="12"/>
        <v>1.055661541</v>
      </c>
      <c r="I18" s="37">
        <f t="shared" si="12"/>
        <v>-1.085691998</v>
      </c>
      <c r="J18" s="37">
        <f t="shared" si="12"/>
        <v>-1.159145277</v>
      </c>
      <c r="K18" s="37">
        <f t="shared" si="12"/>
        <v>-1.502161419</v>
      </c>
      <c r="L18" s="37">
        <f t="shared" si="12"/>
        <v>0.7262296355</v>
      </c>
      <c r="M18" s="38">
        <f t="shared" si="6"/>
        <v>-0.1301727383</v>
      </c>
      <c r="N18" s="37">
        <f t="shared" si="7"/>
        <v>-1.091172469</v>
      </c>
      <c r="O18" s="38">
        <f t="shared" si="8"/>
        <v>1.782977631</v>
      </c>
      <c r="Q18" s="39">
        <f>IFERROR(__xludf.DUMMYFUNCTION("C18+(-D18-E18-L11)/3-G18+K18+5"),1.908286585693935)</f>
        <v>1.908286586</v>
      </c>
      <c r="R18" s="40">
        <f t="shared" si="9"/>
        <v>0.5616324236</v>
      </c>
      <c r="S18" s="40">
        <f t="shared" si="10"/>
        <v>-0.4358752826</v>
      </c>
      <c r="T18" s="40">
        <f t="shared" si="11"/>
        <v>0.1097109521</v>
      </c>
      <c r="U18" s="2"/>
      <c r="V18" s="2"/>
      <c r="W18" s="2"/>
      <c r="X18" s="2"/>
      <c r="Y18" s="2"/>
    </row>
    <row r="19">
      <c r="A19" s="16" t="s">
        <v>51</v>
      </c>
      <c r="B19" s="7" t="s">
        <v>22</v>
      </c>
      <c r="C19" s="41">
        <f t="shared" ref="C19:L19" si="13">(C12 - AVERAGE(C$9:C$13)) / STDEV(C$9:C$13)</f>
        <v>-1.700687404</v>
      </c>
      <c r="D19" s="41">
        <f t="shared" si="13"/>
        <v>-1.474207188</v>
      </c>
      <c r="E19" s="41">
        <f t="shared" si="13"/>
        <v>-1.471314184</v>
      </c>
      <c r="F19" s="41">
        <f t="shared" si="13"/>
        <v>-1.256318456</v>
      </c>
      <c r="G19" s="42">
        <f t="shared" si="13"/>
        <v>0</v>
      </c>
      <c r="H19" s="41">
        <f t="shared" si="13"/>
        <v>-1.081231198</v>
      </c>
      <c r="I19" s="41">
        <f t="shared" si="13"/>
        <v>-0.5428459989</v>
      </c>
      <c r="J19" s="41">
        <f t="shared" si="13"/>
        <v>-0.5296469056</v>
      </c>
      <c r="K19" s="41">
        <f t="shared" si="13"/>
        <v>0.4989417148</v>
      </c>
      <c r="L19" s="41">
        <f t="shared" si="13"/>
        <v>-1.547063898</v>
      </c>
      <c r="M19" s="42">
        <f t="shared" si="6"/>
        <v>0.4989417148</v>
      </c>
      <c r="N19" s="41">
        <f t="shared" si="7"/>
        <v>-1.201745689</v>
      </c>
      <c r="O19" s="42">
        <f t="shared" si="8"/>
        <v>-1.700687404</v>
      </c>
      <c r="Q19" s="43">
        <f>IFERROR(__xludf.DUMMYFUNCTION("C19+(-D19-E19-L12)/3-G19+K19+5"),4.606761434910428)</f>
        <v>4.606761435</v>
      </c>
      <c r="R19" s="44">
        <f t="shared" si="9"/>
        <v>-2.403491378</v>
      </c>
      <c r="S19" s="44">
        <f t="shared" si="10"/>
        <v>0.2724614987</v>
      </c>
      <c r="T19" s="44">
        <f t="shared" si="11"/>
        <v>0.8733343433</v>
      </c>
      <c r="U19" s="2"/>
      <c r="V19" s="2"/>
      <c r="W19" s="2"/>
      <c r="X19" s="2"/>
      <c r="Y19" s="2"/>
    </row>
    <row r="20">
      <c r="A20" s="6" t="s">
        <v>23</v>
      </c>
      <c r="B20" s="7" t="s">
        <v>23</v>
      </c>
      <c r="C20" s="37">
        <f t="shared" ref="C20:H20" si="14">(C13 - AVERAGE(C$9:C$13)) / STDEV(C$9:C$13)</f>
        <v>0.7198610138</v>
      </c>
      <c r="D20" s="37">
        <f t="shared" si="14"/>
        <v>0.8437001137</v>
      </c>
      <c r="E20" s="37">
        <f t="shared" si="14"/>
        <v>0.8493838873</v>
      </c>
      <c r="F20" s="37">
        <f t="shared" si="14"/>
        <v>0.9817946167</v>
      </c>
      <c r="G20" s="38">
        <f t="shared" si="14"/>
        <v>0.3429971703</v>
      </c>
      <c r="H20" s="37">
        <f t="shared" si="14"/>
        <v>-0.734214428</v>
      </c>
      <c r="I20" s="37">
        <f>(J13 - AVERAGE(I$9:I$13)) / STDEV(I$9:I$13)</f>
        <v>-0.04175738453</v>
      </c>
      <c r="J20" s="37">
        <f>(J13- AVERAGE(J$9:J$13)) / STDEV(J$9:J$13)</f>
        <v>-0.008682736157</v>
      </c>
      <c r="K20" s="37">
        <f t="shared" ref="K20:L20" si="15">(K13 - AVERAGE(K$9:K$13)) / STDEV(K$9:K$13)</f>
        <v>0.1654245258</v>
      </c>
      <c r="L20" s="37">
        <f t="shared" si="15"/>
        <v>0.8124867953</v>
      </c>
      <c r="M20" s="38">
        <f t="shared" si="6"/>
        <v>-0.1775726445</v>
      </c>
      <c r="N20" s="37">
        <f t="shared" si="7"/>
        <v>0.8852855396</v>
      </c>
      <c r="O20" s="38">
        <f t="shared" si="8"/>
        <v>0.3768638435</v>
      </c>
      <c r="Q20" s="39">
        <f>IFERROR(__xludf.DUMMYFUNCTION("C20+(-D20-E20-L13)/3-G20+K20+5"),1.9779270356396315)</f>
        <v>1.977927036</v>
      </c>
      <c r="R20" s="40">
        <f t="shared" si="9"/>
        <v>1.084576739</v>
      </c>
      <c r="S20" s="40">
        <f t="shared" si="10"/>
        <v>-0.3014117444</v>
      </c>
      <c r="T20" s="40">
        <f t="shared" si="11"/>
        <v>-0.7440545142</v>
      </c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51" t="s">
        <v>37</v>
      </c>
      <c r="B25" s="52" t="s">
        <v>2</v>
      </c>
      <c r="C25" s="52" t="s">
        <v>3</v>
      </c>
      <c r="D25" s="52" t="s">
        <v>38</v>
      </c>
      <c r="E25" s="52" t="s">
        <v>39</v>
      </c>
      <c r="F25" s="52" t="s">
        <v>40</v>
      </c>
      <c r="G25" s="53" t="s">
        <v>41</v>
      </c>
      <c r="H25" s="51" t="s">
        <v>42</v>
      </c>
      <c r="I25" s="54" t="s">
        <v>43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55"/>
      <c r="B26" s="79">
        <v>0.25</v>
      </c>
      <c r="C26" s="79">
        <v>0.2</v>
      </c>
      <c r="D26" s="79">
        <v>0.15</v>
      </c>
      <c r="E26" s="79">
        <v>0.2</v>
      </c>
      <c r="F26" s="79">
        <v>0.1</v>
      </c>
      <c r="G26" s="80">
        <v>0.1</v>
      </c>
      <c r="H26" s="58" t="s">
        <v>44</v>
      </c>
      <c r="I26" s="59">
        <f>PESOS_2[TIR]*C16+G26*K16-PESOS_2[MD]*D16-PESOS_2[CONV]*F16-PESOS_2[PARIDAD]*G16-PESOS_2[COTIZACION]*J16</f>
        <v>0.02115591979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60" t="s">
        <v>45</v>
      </c>
      <c r="I27" s="61">
        <f>PESOS_2[TIR]*C17+G27*K17-PESOS_2[MD]*D17-PESOS_2[CONV]*F17-PESOS_2[PARIDAD]*G17-PESOS_2[COTIZACION]*J17</f>
        <v>-0.1987636012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58" t="s">
        <v>46</v>
      </c>
      <c r="I28" s="59">
        <f>PESOS_2[TIR]*C18+G28*K18-PESOS_2[MD]*D18-PESOS_2[CONV]*F18-PESOS_2[PARIDAD]*G18-PESOS_2[COTIZACION]*J18</f>
        <v>0.2374826667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60" t="s">
        <v>47</v>
      </c>
      <c r="I29" s="61">
        <f>PESOS_2[TIR]*C19+G29*K19-PESOS_2[MD]*D19-PESOS_2[CONV]*F19-PESOS_2[PARIDAD]*G19-PESOS_2[COTIZACION]*J19</f>
        <v>0.1110820455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55" t="s">
        <v>23</v>
      </c>
      <c r="I30" s="62">
        <f>PESOS_2[TIR]*C20+G30*K20-PESOS_2[MD]*D20-PESOS_2[CONV]*F20-PESOS_2[PARIDAD]*G20-PESOS_2[COTIZACION]*J20</f>
        <v>-0.2037751222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81" t="s">
        <v>52</v>
      </c>
      <c r="I34" s="81" t="s">
        <v>2</v>
      </c>
      <c r="J34" s="81" t="s">
        <v>3</v>
      </c>
      <c r="K34" s="81" t="s">
        <v>5</v>
      </c>
      <c r="L34" s="81" t="s">
        <v>6</v>
      </c>
      <c r="M34" s="81" t="s">
        <v>53</v>
      </c>
      <c r="N34" s="81" t="s">
        <v>54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82" t="s">
        <v>55</v>
      </c>
      <c r="I35" s="83">
        <v>0.4</v>
      </c>
      <c r="J35" s="83">
        <v>0.1</v>
      </c>
      <c r="K35" s="83">
        <v>0.05</v>
      </c>
      <c r="L35" s="83">
        <v>0.3</v>
      </c>
      <c r="M35" s="83">
        <v>0.05</v>
      </c>
      <c r="N35" s="83">
        <v>0.1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63"/>
      <c r="E36" s="2"/>
      <c r="F36" s="2"/>
      <c r="G36" s="2"/>
      <c r="H36" s="82" t="s">
        <v>56</v>
      </c>
      <c r="I36" s="83">
        <v>0.2</v>
      </c>
      <c r="J36" s="83">
        <v>0.3</v>
      </c>
      <c r="K36" s="83">
        <v>0.2</v>
      </c>
      <c r="L36" s="83">
        <v>0.1</v>
      </c>
      <c r="M36" s="83">
        <v>0.1</v>
      </c>
      <c r="N36" s="83">
        <v>0.1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82" t="s">
        <v>57</v>
      </c>
      <c r="I37" s="83">
        <v>0.3</v>
      </c>
      <c r="J37" s="83">
        <v>0.15</v>
      </c>
      <c r="K37" s="83">
        <v>0.1</v>
      </c>
      <c r="L37" s="83">
        <v>0.2</v>
      </c>
      <c r="M37" s="83">
        <v>0.2</v>
      </c>
      <c r="N37" s="83">
        <v>0.05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82" t="s">
        <v>58</v>
      </c>
      <c r="I38" s="83">
        <v>0.35</v>
      </c>
      <c r="J38" s="83">
        <v>0.1</v>
      </c>
      <c r="K38" s="83">
        <v>0.05</v>
      </c>
      <c r="L38" s="83">
        <v>0.3</v>
      </c>
      <c r="M38" s="83">
        <v>0.05</v>
      </c>
      <c r="N38" s="83">
        <v>0.15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82" t="s">
        <v>59</v>
      </c>
      <c r="I39" s="83">
        <v>0.25</v>
      </c>
      <c r="J39" s="83">
        <v>0.2</v>
      </c>
      <c r="K39" s="83">
        <v>0.15</v>
      </c>
      <c r="L39" s="83">
        <v>0.2</v>
      </c>
      <c r="M39" s="83">
        <v>0.1</v>
      </c>
      <c r="N39" s="83">
        <v>0.1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1">
    <mergeCell ref="A1:G6"/>
  </mergeCells>
  <dataValidations>
    <dataValidation type="custom" allowBlank="1" showDropDown="1" sqref="C9:H13 K9:K13 M9:O13 Q16:T20 G16:G20 M16:M20 O16:O20">
      <formula1>AND(ISNUMBER(C9),(NOT(OR(NOT(ISERROR(DATEVALUE(C9))), AND(ISNUMBER(C9), LEFT(CELL("format", C9))="D")))))</formula1>
    </dataValidation>
  </dataValidations>
  <hyperlinks>
    <hyperlink r:id="rId1" ref="A16"/>
    <hyperlink r:id="rId2" ref="A17"/>
    <hyperlink r:id="rId3" ref="A18"/>
    <hyperlink r:id="rId4" ref="A19"/>
  </hyperlinks>
  <drawing r:id="rId5"/>
  <tableParts count="5"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6" width="17.75"/>
    <col customWidth="1" min="7" max="7" width="16.5"/>
    <col customWidth="1" min="8" max="8" width="20.88"/>
    <col customWidth="1" min="9" max="10" width="15.75"/>
    <col customWidth="1" min="11" max="11" width="20.5"/>
    <col customWidth="1" min="12" max="12" width="15.38"/>
    <col customWidth="1" min="13" max="13" width="22.75"/>
    <col customWidth="1" min="14" max="14" width="21.0"/>
    <col customWidth="1" min="15" max="15" width="20.88"/>
    <col customWidth="1" min="17" max="17" width="22.63"/>
    <col customWidth="1" min="18" max="18" width="27.5"/>
    <col customWidth="1" min="19" max="19" width="35.88"/>
    <col customWidth="1" min="20" max="20" width="29.0"/>
  </cols>
  <sheetData>
    <row r="1">
      <c r="A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</row>
    <row r="2" ht="1.5" customHeight="1"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</row>
    <row r="3" ht="15.0" customHeight="1"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</row>
    <row r="4" ht="1.5" customHeight="1"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</row>
    <row r="6" ht="1.5" customHeight="1"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5" t="s">
        <v>14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4" t="s">
        <v>44</v>
      </c>
      <c r="B9" s="65" t="s">
        <v>16</v>
      </c>
      <c r="C9" s="66">
        <v>0.0407</v>
      </c>
      <c r="D9" s="67">
        <v>0.44</v>
      </c>
      <c r="E9" s="67">
        <v>0.46</v>
      </c>
      <c r="F9" s="68">
        <v>0.2</v>
      </c>
      <c r="G9" s="66">
        <v>1.02</v>
      </c>
      <c r="H9" s="68">
        <v>100.3778</v>
      </c>
      <c r="I9" s="65">
        <v>102.4</v>
      </c>
      <c r="J9" s="65">
        <v>102.4</v>
      </c>
      <c r="K9" s="66">
        <v>0.0788</v>
      </c>
      <c r="L9" s="13">
        <v>7.74</v>
      </c>
      <c r="M9" s="14">
        <f t="shared" ref="M9:M14" si="1">K9/G9</f>
        <v>0.07725490196</v>
      </c>
      <c r="N9" s="14">
        <f t="shared" ref="N9:N14" si="2">C9*K9*10</f>
        <v>0.0320716</v>
      </c>
      <c r="O9" s="15">
        <f t="shared" ref="O9:O14" si="3">C9/G9</f>
        <v>0.03990196078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9" t="s">
        <v>45</v>
      </c>
      <c r="B10" s="70" t="s">
        <v>18</v>
      </c>
      <c r="C10" s="71">
        <v>0.0866</v>
      </c>
      <c r="D10" s="72">
        <v>4.6</v>
      </c>
      <c r="E10" s="72">
        <v>5.0</v>
      </c>
      <c r="F10" s="73">
        <v>30.22</v>
      </c>
      <c r="G10" s="71">
        <v>0.97</v>
      </c>
      <c r="H10" s="73">
        <v>103.7406</v>
      </c>
      <c r="I10" s="70">
        <v>100.7</v>
      </c>
      <c r="J10" s="70">
        <v>100.7</v>
      </c>
      <c r="K10" s="71">
        <v>0.09</v>
      </c>
      <c r="L10" s="13">
        <v>4.45</v>
      </c>
      <c r="M10" s="17">
        <f t="shared" si="1"/>
        <v>0.09278350515</v>
      </c>
      <c r="N10" s="17">
        <f t="shared" si="2"/>
        <v>0.07794</v>
      </c>
      <c r="O10" s="18">
        <f t="shared" si="3"/>
        <v>0.08927835052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4" t="s">
        <v>46</v>
      </c>
      <c r="B11" s="65" t="s">
        <v>20</v>
      </c>
      <c r="C11" s="66">
        <v>0.0908</v>
      </c>
      <c r="D11" s="67">
        <v>5.3</v>
      </c>
      <c r="E11" s="67">
        <v>5.78</v>
      </c>
      <c r="F11" s="68">
        <v>40.96</v>
      </c>
      <c r="G11" s="66">
        <v>0.97</v>
      </c>
      <c r="H11" s="68">
        <v>101.8333</v>
      </c>
      <c r="I11" s="65">
        <v>98.25</v>
      </c>
      <c r="J11" s="65">
        <v>98.25</v>
      </c>
      <c r="K11" s="66">
        <v>0.07</v>
      </c>
      <c r="L11" s="13">
        <v>8.69</v>
      </c>
      <c r="M11" s="14">
        <f t="shared" si="1"/>
        <v>0.07216494845</v>
      </c>
      <c r="N11" s="14">
        <f t="shared" si="2"/>
        <v>0.06356</v>
      </c>
      <c r="O11" s="15">
        <f t="shared" si="3"/>
        <v>0.09360824742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9" t="s">
        <v>47</v>
      </c>
      <c r="B12" s="70" t="s">
        <v>22</v>
      </c>
      <c r="C12" s="71">
        <v>0.0781</v>
      </c>
      <c r="D12" s="72">
        <v>2.23</v>
      </c>
      <c r="E12" s="72">
        <v>2.41</v>
      </c>
      <c r="F12" s="73">
        <v>7.06</v>
      </c>
      <c r="G12" s="71">
        <v>1.03</v>
      </c>
      <c r="H12" s="73">
        <v>102.425</v>
      </c>
      <c r="I12" s="70">
        <v>105.6</v>
      </c>
      <c r="J12" s="70">
        <v>105.6</v>
      </c>
      <c r="K12" s="71">
        <v>0.085</v>
      </c>
      <c r="L12" s="13">
        <v>0.52</v>
      </c>
      <c r="M12" s="17">
        <f t="shared" si="1"/>
        <v>0.08252427184</v>
      </c>
      <c r="N12" s="17">
        <f t="shared" si="2"/>
        <v>0.066385</v>
      </c>
      <c r="O12" s="18">
        <f t="shared" si="3"/>
        <v>0.07582524272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4" t="s">
        <v>23</v>
      </c>
      <c r="B13" s="65" t="s">
        <v>24</v>
      </c>
      <c r="C13" s="66">
        <v>0.081</v>
      </c>
      <c r="D13" s="67">
        <v>5.27</v>
      </c>
      <c r="E13" s="67">
        <v>5.69</v>
      </c>
      <c r="F13" s="68">
        <v>38.3</v>
      </c>
      <c r="G13" s="66">
        <v>0.95</v>
      </c>
      <c r="H13" s="68">
        <v>100.1361</v>
      </c>
      <c r="I13" s="65">
        <v>95.04</v>
      </c>
      <c r="J13" s="65">
        <v>95.04</v>
      </c>
      <c r="K13" s="66">
        <v>0.0825</v>
      </c>
      <c r="L13" s="13">
        <v>9.0</v>
      </c>
      <c r="M13" s="14">
        <f t="shared" si="1"/>
        <v>0.08684210526</v>
      </c>
      <c r="N13" s="14">
        <f t="shared" si="2"/>
        <v>0.066825</v>
      </c>
      <c r="O13" s="15">
        <f t="shared" si="3"/>
        <v>0.08526315789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1" t="s">
        <v>25</v>
      </c>
      <c r="B14" s="22" t="s">
        <v>25</v>
      </c>
      <c r="C14" s="84">
        <v>0.082</v>
      </c>
      <c r="D14" s="85">
        <v>8.0</v>
      </c>
      <c r="E14" s="85">
        <v>8.0</v>
      </c>
      <c r="F14" s="86">
        <v>50.0</v>
      </c>
      <c r="G14" s="84">
        <v>1.0</v>
      </c>
      <c r="H14" s="86">
        <v>100.0</v>
      </c>
      <c r="I14" s="87">
        <v>100.0</v>
      </c>
      <c r="J14" s="87">
        <v>100.0</v>
      </c>
      <c r="K14" s="84">
        <v>0.082</v>
      </c>
      <c r="L14" s="27">
        <v>8.0</v>
      </c>
      <c r="M14" s="30">
        <f t="shared" si="1"/>
        <v>0.082</v>
      </c>
      <c r="N14" s="30">
        <f t="shared" si="2"/>
        <v>0.06724</v>
      </c>
      <c r="O14" s="31">
        <f t="shared" si="3"/>
        <v>0.082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2"/>
      <c r="U15" s="2"/>
      <c r="V15" s="2"/>
      <c r="W15" s="2"/>
      <c r="X15" s="2"/>
      <c r="Y15" s="2"/>
    </row>
    <row r="16">
      <c r="A16" s="3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4" t="s">
        <v>26</v>
      </c>
      <c r="N16" s="4" t="s">
        <v>27</v>
      </c>
      <c r="O16" s="5" t="s">
        <v>28</v>
      </c>
      <c r="Q16" s="33" t="s">
        <v>29</v>
      </c>
      <c r="R16" s="34" t="s">
        <v>30</v>
      </c>
      <c r="S16" s="35" t="s">
        <v>31</v>
      </c>
      <c r="T16" s="36" t="s">
        <v>32</v>
      </c>
      <c r="U16" s="2"/>
      <c r="V16" s="2"/>
      <c r="W16" s="2"/>
      <c r="X16" s="2"/>
      <c r="Y16" s="2"/>
    </row>
    <row r="17">
      <c r="A17" s="6" t="s">
        <v>60</v>
      </c>
      <c r="B17" s="7" t="s">
        <v>16</v>
      </c>
      <c r="C17" s="37" t="str">
        <f>(C9 - MIN(C9:C1007)) / (MAX(C9:C1007) - MIN(C9:C1007))</f>
        <v>#REF!</v>
      </c>
      <c r="D17" s="37">
        <f t="shared" ref="D17:L17" si="4">(D9 - AVERAGE(D$9:D$13)) / STDEV(D$9:D$13)</f>
        <v>-1.453066363</v>
      </c>
      <c r="E17" s="37">
        <f t="shared" si="4"/>
        <v>-1.45327253</v>
      </c>
      <c r="F17" s="37">
        <f t="shared" si="4"/>
        <v>-1.245300142</v>
      </c>
      <c r="G17" s="38">
        <f t="shared" si="4"/>
        <v>0.9161573349</v>
      </c>
      <c r="H17" s="37">
        <f t="shared" si="4"/>
        <v>-0.8880510019</v>
      </c>
      <c r="I17" s="37">
        <f t="shared" si="4"/>
        <v>0.4986255746</v>
      </c>
      <c r="J17" s="37">
        <f t="shared" si="4"/>
        <v>0.4986255746</v>
      </c>
      <c r="K17" s="37">
        <f t="shared" si="4"/>
        <v>-0.328180914</v>
      </c>
      <c r="L17" s="37">
        <f t="shared" si="4"/>
        <v>0.4618931781</v>
      </c>
      <c r="M17" s="38">
        <f t="shared" ref="M17:M22" si="6">K17-G17</f>
        <v>-1.244338249</v>
      </c>
      <c r="N17" s="37" t="str">
        <f t="shared" ref="N17:N22" si="7">K17+C17</f>
        <v>#REF!</v>
      </c>
      <c r="O17" s="38" t="str">
        <f t="shared" ref="O17:O22" si="8">C17-G17</f>
        <v>#REF!</v>
      </c>
      <c r="Q17" s="39" t="str">
        <f>IFERROR(__xludf.DUMMYFUNCTION("C17+(-D17-E17-L9)/3-G17+K17+5"),"#REF!")</f>
        <v>#REF!</v>
      </c>
      <c r="R17" s="40" t="str">
        <f t="shared" ref="R17:R22" si="9">SUM(M17:O17)</f>
        <v>#REF!</v>
      </c>
      <c r="S17" s="40" t="str">
        <f t="shared" ref="S17:S22" si="10">C17+K17-D17-G17</f>
        <v>#REF!</v>
      </c>
      <c r="T17" s="40" t="str">
        <f t="shared" ref="T17:T22" si="11">(C17+K17)/2-D17-G17</f>
        <v>#REF!</v>
      </c>
      <c r="U17" s="2"/>
      <c r="V17" s="2"/>
      <c r="W17" s="2"/>
      <c r="X17" s="2"/>
      <c r="Y17" s="2"/>
    </row>
    <row r="18">
      <c r="A18" s="16" t="s">
        <v>61</v>
      </c>
      <c r="B18" s="7" t="s">
        <v>18</v>
      </c>
      <c r="C18" s="41">
        <f t="shared" ref="C18:L18" si="5">(C10 - AVERAGE(C$9:C$13)) / STDEV(C$9:C$13)</f>
        <v>0.5570725499</v>
      </c>
      <c r="D18" s="41">
        <f t="shared" si="5"/>
        <v>0.4794004114</v>
      </c>
      <c r="E18" s="41">
        <f t="shared" si="5"/>
        <v>0.4827184578</v>
      </c>
      <c r="F18" s="41">
        <f t="shared" si="5"/>
        <v>0.3696951172</v>
      </c>
      <c r="G18" s="42">
        <f t="shared" si="5"/>
        <v>-0.5153385009</v>
      </c>
      <c r="H18" s="41">
        <f t="shared" si="5"/>
        <v>1.366197246</v>
      </c>
      <c r="I18" s="41">
        <f t="shared" si="5"/>
        <v>0.07521724452</v>
      </c>
      <c r="J18" s="41">
        <f t="shared" si="5"/>
        <v>0.07521724452</v>
      </c>
      <c r="K18" s="41">
        <f t="shared" si="5"/>
        <v>1.165976093</v>
      </c>
      <c r="L18" s="41">
        <f t="shared" si="5"/>
        <v>-0.4535457111</v>
      </c>
      <c r="M18" s="42">
        <f t="shared" si="6"/>
        <v>1.681314594</v>
      </c>
      <c r="N18" s="41">
        <f t="shared" si="7"/>
        <v>1.723048643</v>
      </c>
      <c r="O18" s="42">
        <f t="shared" si="8"/>
        <v>1.072411051</v>
      </c>
      <c r="Q18" s="43">
        <f>IFERROR(__xludf.DUMMYFUNCTION("C18+(-D18-E18-L10)/3-G18+K18+5"),5.434347520571377)</f>
        <v>5.434347521</v>
      </c>
      <c r="R18" s="44">
        <f t="shared" si="9"/>
        <v>4.476774287</v>
      </c>
      <c r="S18" s="44">
        <f t="shared" si="10"/>
        <v>1.758986732</v>
      </c>
      <c r="T18" s="44">
        <f t="shared" si="11"/>
        <v>0.8974624108</v>
      </c>
      <c r="U18" s="2"/>
      <c r="V18" s="2"/>
      <c r="W18" s="2"/>
      <c r="X18" s="2"/>
      <c r="Y18" s="2"/>
    </row>
    <row r="19">
      <c r="A19" s="6" t="s">
        <v>62</v>
      </c>
      <c r="B19" s="7" t="s">
        <v>20</v>
      </c>
      <c r="C19" s="37">
        <f t="shared" ref="C19:L19" si="12">(C11 - AVERAGE(C$9:C$13)) / STDEV(C$9:C$13)</f>
        <v>0.7667235095</v>
      </c>
      <c r="D19" s="37">
        <f t="shared" si="12"/>
        <v>0.8045751091</v>
      </c>
      <c r="E19" s="37">
        <f t="shared" si="12"/>
        <v>0.8153336496</v>
      </c>
      <c r="F19" s="37">
        <f t="shared" si="12"/>
        <v>0.9474782312</v>
      </c>
      <c r="G19" s="38">
        <f t="shared" si="12"/>
        <v>-0.5153385009</v>
      </c>
      <c r="H19" s="37">
        <f t="shared" si="12"/>
        <v>0.08764137503</v>
      </c>
      <c r="I19" s="37">
        <f t="shared" si="12"/>
        <v>-0.5349888782</v>
      </c>
      <c r="J19" s="37">
        <f t="shared" si="12"/>
        <v>-0.5349888782</v>
      </c>
      <c r="K19" s="37">
        <f t="shared" si="12"/>
        <v>-1.502161419</v>
      </c>
      <c r="L19" s="37">
        <f t="shared" si="12"/>
        <v>0.7262296355</v>
      </c>
      <c r="M19" s="38">
        <f t="shared" si="6"/>
        <v>-0.9868229185</v>
      </c>
      <c r="N19" s="37">
        <f t="shared" si="7"/>
        <v>-0.7354379099</v>
      </c>
      <c r="O19" s="38">
        <f t="shared" si="8"/>
        <v>1.28206201</v>
      </c>
      <c r="Q19" s="39">
        <f>IFERROR(__xludf.DUMMYFUNCTION("C19+(-D19-E19-L11)/3-G19+K19+5"),1.3432643380792095)</f>
        <v>1.343264338</v>
      </c>
      <c r="R19" s="40">
        <f t="shared" si="9"/>
        <v>-0.440198818</v>
      </c>
      <c r="S19" s="40">
        <f t="shared" si="10"/>
        <v>-1.024674518</v>
      </c>
      <c r="T19" s="40">
        <f t="shared" si="11"/>
        <v>-0.6569555632</v>
      </c>
      <c r="U19" s="2"/>
      <c r="V19" s="2"/>
      <c r="W19" s="2"/>
      <c r="X19" s="2"/>
      <c r="Y19" s="2"/>
    </row>
    <row r="20">
      <c r="A20" s="16" t="s">
        <v>63</v>
      </c>
      <c r="B20" s="7" t="s">
        <v>22</v>
      </c>
      <c r="C20" s="41">
        <f t="shared" ref="C20:L20" si="13">(C12 - AVERAGE(C$9:C$13)) / STDEV(C$9:C$13)</f>
        <v>0.1327789411</v>
      </c>
      <c r="D20" s="41">
        <f t="shared" si="13"/>
        <v>-0.6215482078</v>
      </c>
      <c r="E20" s="41">
        <f t="shared" si="13"/>
        <v>-0.6217345508</v>
      </c>
      <c r="F20" s="41">
        <f t="shared" si="13"/>
        <v>-0.8762505922</v>
      </c>
      <c r="G20" s="42">
        <f t="shared" si="13"/>
        <v>1.202456502</v>
      </c>
      <c r="H20" s="41">
        <f t="shared" si="13"/>
        <v>0.4842866374</v>
      </c>
      <c r="I20" s="41">
        <f t="shared" si="13"/>
        <v>1.29562949</v>
      </c>
      <c r="J20" s="41">
        <f t="shared" si="13"/>
        <v>1.29562949</v>
      </c>
      <c r="K20" s="41">
        <f t="shared" si="13"/>
        <v>0.4989417148</v>
      </c>
      <c r="L20" s="41">
        <f t="shared" si="13"/>
        <v>-1.547063898</v>
      </c>
      <c r="M20" s="42">
        <f t="shared" si="6"/>
        <v>-0.7035147873</v>
      </c>
      <c r="N20" s="41">
        <f t="shared" si="7"/>
        <v>0.6317206559</v>
      </c>
      <c r="O20" s="42">
        <f t="shared" si="8"/>
        <v>-1.069677561</v>
      </c>
      <c r="Q20" s="43">
        <f>IFERROR(__xludf.DUMMYFUNCTION("C20+(-D20-E20-L12)/3-G20+K20+5"),4.670358406739264)</f>
        <v>4.670358407</v>
      </c>
      <c r="R20" s="44">
        <f t="shared" si="9"/>
        <v>-1.141471692</v>
      </c>
      <c r="S20" s="44">
        <f t="shared" si="10"/>
        <v>0.05081236169</v>
      </c>
      <c r="T20" s="44">
        <f t="shared" si="11"/>
        <v>-0.2650479663</v>
      </c>
      <c r="U20" s="2"/>
      <c r="V20" s="2"/>
      <c r="W20" s="2"/>
      <c r="X20" s="2"/>
      <c r="Y20" s="2"/>
    </row>
    <row r="21">
      <c r="A21" s="6" t="s">
        <v>23</v>
      </c>
      <c r="B21" s="7" t="s">
        <v>23</v>
      </c>
      <c r="C21" s="37">
        <f t="shared" ref="C21:H21" si="14">(C13 - AVERAGE(C$9:C$13)) / STDEV(C$9:C$13)</f>
        <v>0.277537937</v>
      </c>
      <c r="D21" s="37">
        <f t="shared" si="14"/>
        <v>0.7906390506</v>
      </c>
      <c r="E21" s="37">
        <f t="shared" si="14"/>
        <v>0.7769549737</v>
      </c>
      <c r="F21" s="37">
        <f t="shared" si="14"/>
        <v>0.8043773855</v>
      </c>
      <c r="G21" s="38">
        <f t="shared" si="14"/>
        <v>-1.087936835</v>
      </c>
      <c r="H21" s="37">
        <f t="shared" si="14"/>
        <v>-1.050074257</v>
      </c>
      <c r="I21" s="37">
        <f t="shared" ref="I21:I22" si="17">(J13 - AVERAGE(I$9:I$13)) / STDEV(I$9:I$13)</f>
        <v>-1.334483431</v>
      </c>
      <c r="J21" s="37">
        <f t="shared" ref="J21:J22" si="18">(J13- AVERAGE(J$9:J$13)) / STDEV(J$9:J$13)</f>
        <v>-1.334483431</v>
      </c>
      <c r="K21" s="37">
        <f t="shared" ref="K21:L21" si="15">(K13 - AVERAGE(K$9:K$13)) / STDEV(K$9:K$13)</f>
        <v>0.1654245258</v>
      </c>
      <c r="L21" s="37">
        <f t="shared" si="15"/>
        <v>0.8124867953</v>
      </c>
      <c r="M21" s="38">
        <f t="shared" si="6"/>
        <v>1.253361361</v>
      </c>
      <c r="N21" s="37">
        <f t="shared" si="7"/>
        <v>0.4429624628</v>
      </c>
      <c r="O21" s="38">
        <f t="shared" si="8"/>
        <v>1.365474772</v>
      </c>
      <c r="Q21" s="39">
        <f>IFERROR(__xludf.DUMMYFUNCTION("C21+(-D21-E21-L13)/3-G21+K21+5"),3.00836795657259)</f>
        <v>3.008367957</v>
      </c>
      <c r="R21" s="40">
        <f t="shared" si="9"/>
        <v>3.061798596</v>
      </c>
      <c r="S21" s="40">
        <f t="shared" si="10"/>
        <v>0.7402602474</v>
      </c>
      <c r="T21" s="40">
        <f t="shared" si="11"/>
        <v>0.518779016</v>
      </c>
      <c r="U21" s="2"/>
      <c r="V21" s="2"/>
      <c r="W21" s="2"/>
      <c r="X21" s="2"/>
      <c r="Y21" s="2"/>
    </row>
    <row r="22">
      <c r="A22" s="21" t="s">
        <v>25</v>
      </c>
      <c r="B22" s="22" t="s">
        <v>25</v>
      </c>
      <c r="C22" s="45">
        <f t="shared" ref="C22:H22" si="16">(C14 - AVERAGE(C$9:C$13)) / STDEV(C$9:C$13)</f>
        <v>0.3274548322</v>
      </c>
      <c r="D22" s="45">
        <f t="shared" si="16"/>
        <v>2.058820372</v>
      </c>
      <c r="E22" s="45">
        <f t="shared" si="16"/>
        <v>1.762007657</v>
      </c>
      <c r="F22" s="45">
        <f t="shared" si="16"/>
        <v>1.433805917</v>
      </c>
      <c r="G22" s="46">
        <f t="shared" si="16"/>
        <v>0.3435590006</v>
      </c>
      <c r="H22" s="45">
        <f t="shared" si="16"/>
        <v>-1.1413087</v>
      </c>
      <c r="I22" s="45">
        <f t="shared" si="17"/>
        <v>-0.09912736198</v>
      </c>
      <c r="J22" s="45">
        <f t="shared" si="18"/>
        <v>-0.09912736198</v>
      </c>
      <c r="K22" s="45">
        <f t="shared" ref="K22:L22" si="19">(K14 - AVERAGE(K$9:K$13)) / STDEV(K$9:K$13)</f>
        <v>0.09872108796</v>
      </c>
      <c r="L22" s="45">
        <f t="shared" si="19"/>
        <v>0.5342378928</v>
      </c>
      <c r="M22" s="46">
        <f t="shared" si="6"/>
        <v>-0.2448379126</v>
      </c>
      <c r="N22" s="45">
        <f t="shared" si="7"/>
        <v>0.4261759202</v>
      </c>
      <c r="O22" s="47">
        <f t="shared" si="8"/>
        <v>-0.01610416839</v>
      </c>
      <c r="Q22" s="48">
        <f>IFERROR(__xludf.DUMMYFUNCTION("C22+(-D22-E22-L14)/3-G22+K22+5"),1.1423409100160136)</f>
        <v>1.14234091</v>
      </c>
      <c r="R22" s="49">
        <f t="shared" si="9"/>
        <v>0.1652338391</v>
      </c>
      <c r="S22" s="49">
        <f t="shared" si="10"/>
        <v>-1.976203452</v>
      </c>
      <c r="T22" s="50">
        <f t="shared" si="11"/>
        <v>-2.189291412</v>
      </c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51" t="s">
        <v>37</v>
      </c>
      <c r="B27" s="52" t="s">
        <v>2</v>
      </c>
      <c r="C27" s="52" t="s">
        <v>3</v>
      </c>
      <c r="D27" s="52" t="s">
        <v>38</v>
      </c>
      <c r="E27" s="52" t="s">
        <v>39</v>
      </c>
      <c r="F27" s="52" t="s">
        <v>40</v>
      </c>
      <c r="G27" s="53" t="s">
        <v>41</v>
      </c>
      <c r="H27" s="51" t="s">
        <v>42</v>
      </c>
      <c r="I27" s="54" t="s">
        <v>43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55"/>
      <c r="B28" s="79">
        <v>0.4</v>
      </c>
      <c r="C28" s="79">
        <v>0.1</v>
      </c>
      <c r="D28" s="79">
        <v>0.05</v>
      </c>
      <c r="E28" s="79">
        <v>0.35</v>
      </c>
      <c r="F28" s="79">
        <v>0.0</v>
      </c>
      <c r="G28" s="80">
        <v>0.1</v>
      </c>
      <c r="H28" s="58" t="s">
        <v>44</v>
      </c>
      <c r="I28" s="59" t="str">
        <f>PESOS_3[TIR]*C17+G28*K17-PESOS_3[MD]*D17-PESOS_3[CONV]*F17-PESOS_3[PARIDAD]*G17-PESOS_3[COTIZACION]*J17</f>
        <v>#REF!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60" t="s">
        <v>45</v>
      </c>
      <c r="I29" s="61">
        <f>PESOS_3[TIR]*C18+G29*K18-PESOS_3[MD]*D18-PESOS_3[CONV]*F18-PESOS_3[PARIDAD]*G18-PESOS_3[COTIZACION]*J18</f>
        <v>0.3367726983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58" t="s">
        <v>46</v>
      </c>
      <c r="I30" s="59">
        <f>PESOS_3[TIR]*C19+G30*K19-PESOS_3[MD]*D19-PESOS_3[CONV]*F19-PESOS_3[PARIDAD]*G19-PESOS_3[COTIZACION]*J19</f>
        <v>0.3592264567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60" t="s">
        <v>47</v>
      </c>
      <c r="I31" s="61">
        <f>PESOS_3[TIR]*C20+G31*K20-PESOS_3[MD]*D20-PESOS_3[CONV]*F20-PESOS_3[PARIDAD]*G20-PESOS_3[COTIZACION]*J20</f>
        <v>-0.2617808489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58" t="s">
        <v>23</v>
      </c>
      <c r="I32" s="59">
        <f>PESOS_3[TIR]*C21+G32*K21-PESOS_3[MD]*D21-PESOS_3[CONV]*F21-PESOS_3[PARIDAD]*G21-PESOS_3[COTIZACION]*J21</f>
        <v>0.3725102928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88" t="s">
        <v>25</v>
      </c>
      <c r="I33" s="89">
        <f>PESOS_3[TIR]*C22+G33*K22-PESOS_3[MD]*D22-PESOS_3[CONV]*F22-PESOS_3[PARIDAD]*G22-PESOS_3[COTIZACION]*J22</f>
        <v>-0.2668360504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81" t="s">
        <v>52</v>
      </c>
      <c r="I36" s="81" t="s">
        <v>2</v>
      </c>
      <c r="J36" s="81" t="s">
        <v>3</v>
      </c>
      <c r="K36" s="81" t="s">
        <v>5</v>
      </c>
      <c r="L36" s="81" t="s">
        <v>6</v>
      </c>
      <c r="M36" s="81" t="s">
        <v>53</v>
      </c>
      <c r="N36" s="81" t="s">
        <v>54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82" t="s">
        <v>55</v>
      </c>
      <c r="I37" s="83">
        <v>0.4</v>
      </c>
      <c r="J37" s="83">
        <v>0.1</v>
      </c>
      <c r="K37" s="83">
        <v>0.05</v>
      </c>
      <c r="L37" s="83">
        <v>0.35</v>
      </c>
      <c r="M37" s="83">
        <v>0.0</v>
      </c>
      <c r="N37" s="83">
        <v>0.1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63"/>
      <c r="E38" s="2"/>
      <c r="F38" s="2"/>
      <c r="G38" s="2"/>
      <c r="H38" s="82" t="s">
        <v>56</v>
      </c>
      <c r="I38" s="83">
        <v>0.2</v>
      </c>
      <c r="J38" s="83">
        <v>0.3</v>
      </c>
      <c r="K38" s="83">
        <v>0.2</v>
      </c>
      <c r="L38" s="83">
        <v>0.2</v>
      </c>
      <c r="M38" s="83">
        <v>0.0</v>
      </c>
      <c r="N38" s="83">
        <v>0.1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82" t="s">
        <v>57</v>
      </c>
      <c r="I39" s="83">
        <v>0.3</v>
      </c>
      <c r="J39" s="83">
        <v>0.15</v>
      </c>
      <c r="K39" s="83">
        <v>0.1</v>
      </c>
      <c r="L39" s="83">
        <v>0.4</v>
      </c>
      <c r="M39" s="83">
        <v>0.0</v>
      </c>
      <c r="N39" s="83">
        <v>0.05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82" t="s">
        <v>58</v>
      </c>
      <c r="I40" s="83">
        <v>0.35</v>
      </c>
      <c r="J40" s="83">
        <v>0.1</v>
      </c>
      <c r="K40" s="83">
        <v>0.05</v>
      </c>
      <c r="L40" s="83">
        <v>0.35</v>
      </c>
      <c r="M40" s="83">
        <v>0.0</v>
      </c>
      <c r="N40" s="83">
        <v>0.15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82" t="s">
        <v>59</v>
      </c>
      <c r="I41" s="83">
        <v>0.25</v>
      </c>
      <c r="J41" s="83">
        <v>0.2</v>
      </c>
      <c r="K41" s="83">
        <v>0.15</v>
      </c>
      <c r="L41" s="83">
        <v>0.3</v>
      </c>
      <c r="M41" s="83">
        <v>0.0</v>
      </c>
      <c r="N41" s="83">
        <v>0.1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</sheetData>
  <mergeCells count="1">
    <mergeCell ref="A1:G6"/>
  </mergeCells>
  <dataValidations>
    <dataValidation type="custom" allowBlank="1" showDropDown="1" sqref="C9:H14 K9:K14 M9:O14 G17:G22 M17:M22 O17:O22 Q17:T22">
      <formula1>AND(ISNUMBER(C9),(NOT(OR(NOT(ISERROR(DATEVALUE(C9))), AND(ISNUMBER(C9), LEFT(CELL("format", C9))="D")))))</formula1>
    </dataValidation>
  </dataValidations>
  <hyperlinks>
    <hyperlink r:id="rId1" ref="A17"/>
    <hyperlink r:id="rId2" ref="A18"/>
    <hyperlink r:id="rId3" ref="A19"/>
    <hyperlink r:id="rId4" ref="A20"/>
  </hyperlinks>
  <drawing r:id="rId5"/>
  <tableParts count="5"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6" width="17.75"/>
    <col customWidth="1" min="7" max="7" width="16.5"/>
    <col customWidth="1" min="8" max="8" width="20.88"/>
    <col customWidth="1" min="9" max="10" width="15.75"/>
    <col customWidth="1" min="11" max="11" width="20.5"/>
    <col customWidth="1" min="12" max="12" width="15.38"/>
    <col customWidth="1" min="13" max="13" width="22.75"/>
    <col customWidth="1" min="14" max="14" width="21.0"/>
    <col customWidth="1" min="15" max="15" width="20.88"/>
    <col customWidth="1" min="17" max="17" width="22.63"/>
    <col customWidth="1" min="18" max="18" width="27.5"/>
    <col customWidth="1" min="19" max="19" width="35.88"/>
    <col customWidth="1" min="20" max="20" width="29.0"/>
  </cols>
  <sheetData>
    <row r="1">
      <c r="A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</row>
    <row r="2" ht="1.5" customHeight="1"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</row>
    <row r="3" ht="15.0" customHeight="1"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</row>
    <row r="4" ht="1.5" customHeight="1"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</row>
    <row r="6" ht="1.5" customHeight="1"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5" t="s">
        <v>14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90" t="s">
        <v>64</v>
      </c>
      <c r="B9" s="91" t="s">
        <v>16</v>
      </c>
      <c r="C9" s="23">
        <v>0.0778</v>
      </c>
      <c r="D9" s="24">
        <v>4.77</v>
      </c>
      <c r="E9" s="24">
        <v>5.14</v>
      </c>
      <c r="F9" s="92">
        <v>30.76</v>
      </c>
      <c r="G9" s="23">
        <v>1.01</v>
      </c>
      <c r="H9" s="92">
        <v>100.5688</v>
      </c>
      <c r="I9" s="93">
        <v>101.7</v>
      </c>
      <c r="J9" s="93">
        <v>101.7</v>
      </c>
      <c r="K9" s="66">
        <v>0.0788</v>
      </c>
      <c r="L9" s="13">
        <v>7.74</v>
      </c>
      <c r="M9" s="14">
        <f t="shared" ref="M9:M13" si="1">K9/G9</f>
        <v>0.07801980198</v>
      </c>
      <c r="N9" s="14">
        <f t="shared" ref="N9:N13" si="2">C9*K9*10</f>
        <v>0.0613064</v>
      </c>
      <c r="O9" s="15">
        <f t="shared" ref="O9:O13" si="3">C9/G9</f>
        <v>0.07702970297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94" t="s">
        <v>65</v>
      </c>
      <c r="B10" s="95" t="s">
        <v>18</v>
      </c>
      <c r="C10" s="23">
        <v>0.0755</v>
      </c>
      <c r="D10" s="24">
        <v>2.15</v>
      </c>
      <c r="E10" s="24">
        <v>2.31</v>
      </c>
      <c r="F10" s="92">
        <v>6.62</v>
      </c>
      <c r="G10" s="23">
        <v>1.04</v>
      </c>
      <c r="H10" s="92">
        <v>103.3</v>
      </c>
      <c r="I10" s="93">
        <v>106.95</v>
      </c>
      <c r="J10" s="93">
        <v>106.9</v>
      </c>
      <c r="K10" s="71">
        <v>0.09</v>
      </c>
      <c r="L10" s="13">
        <v>4.45</v>
      </c>
      <c r="M10" s="17">
        <f t="shared" si="1"/>
        <v>0.08653846154</v>
      </c>
      <c r="N10" s="17">
        <f t="shared" si="2"/>
        <v>0.06795</v>
      </c>
      <c r="O10" s="18">
        <f t="shared" si="3"/>
        <v>0.07259615385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90" t="s">
        <v>66</v>
      </c>
      <c r="B11" s="91" t="s">
        <v>20</v>
      </c>
      <c r="C11" s="23">
        <v>0.0787</v>
      </c>
      <c r="D11" s="24">
        <v>5.2</v>
      </c>
      <c r="E11" s="24">
        <v>5.61</v>
      </c>
      <c r="F11" s="92">
        <v>37.33</v>
      </c>
      <c r="G11" s="23">
        <v>0.96</v>
      </c>
      <c r="H11" s="92">
        <v>100.8167</v>
      </c>
      <c r="I11" s="93">
        <v>96.9</v>
      </c>
      <c r="J11" s="93">
        <v>97.2</v>
      </c>
      <c r="K11" s="66">
        <v>0.07</v>
      </c>
      <c r="L11" s="13">
        <v>8.69</v>
      </c>
      <c r="M11" s="14">
        <f t="shared" si="1"/>
        <v>0.07291666667</v>
      </c>
      <c r="N11" s="14">
        <f t="shared" si="2"/>
        <v>0.05509</v>
      </c>
      <c r="O11" s="15">
        <f t="shared" si="3"/>
        <v>0.08197916667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94" t="s">
        <v>67</v>
      </c>
      <c r="B12" s="95" t="s">
        <v>68</v>
      </c>
      <c r="C12" s="23">
        <v>0.0516</v>
      </c>
      <c r="D12" s="24">
        <v>1.76</v>
      </c>
      <c r="E12" s="24">
        <v>1.85</v>
      </c>
      <c r="F12" s="92">
        <v>3.59</v>
      </c>
      <c r="G12" s="23">
        <v>1.02</v>
      </c>
      <c r="H12" s="92">
        <v>100.9669</v>
      </c>
      <c r="I12" s="93">
        <v>102.5</v>
      </c>
      <c r="J12" s="93">
        <v>102.5</v>
      </c>
      <c r="K12" s="71">
        <v>0.059</v>
      </c>
      <c r="L12" s="13">
        <v>0.52</v>
      </c>
      <c r="M12" s="17">
        <f t="shared" si="1"/>
        <v>0.05784313725</v>
      </c>
      <c r="N12" s="17">
        <f t="shared" si="2"/>
        <v>0.030444</v>
      </c>
      <c r="O12" s="18">
        <f t="shared" si="3"/>
        <v>0.05058823529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90" t="s">
        <v>69</v>
      </c>
      <c r="B13" s="91" t="s">
        <v>24</v>
      </c>
      <c r="C13" s="23">
        <v>0.0871</v>
      </c>
      <c r="D13" s="24">
        <v>5.25</v>
      </c>
      <c r="E13" s="24">
        <v>5.71</v>
      </c>
      <c r="F13" s="92">
        <v>40.1</v>
      </c>
      <c r="G13" s="23">
        <v>0.98</v>
      </c>
      <c r="H13" s="92">
        <v>102.6354</v>
      </c>
      <c r="I13" s="93">
        <v>101.0</v>
      </c>
      <c r="J13" s="93">
        <v>100.7</v>
      </c>
      <c r="K13" s="76">
        <v>0.0825</v>
      </c>
      <c r="L13" s="13">
        <v>9.0</v>
      </c>
      <c r="M13" s="14">
        <f t="shared" si="1"/>
        <v>0.08418367347</v>
      </c>
      <c r="N13" s="14">
        <f t="shared" si="2"/>
        <v>0.0718575</v>
      </c>
      <c r="O13" s="15">
        <f t="shared" si="3"/>
        <v>0.08887755102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2"/>
      <c r="U14" s="2"/>
      <c r="V14" s="2"/>
      <c r="W14" s="2"/>
      <c r="X14" s="2"/>
      <c r="Y14" s="2"/>
    </row>
    <row r="15">
      <c r="A15" s="3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26</v>
      </c>
      <c r="N15" s="4" t="s">
        <v>27</v>
      </c>
      <c r="O15" s="5" t="s">
        <v>28</v>
      </c>
      <c r="Q15" s="33" t="s">
        <v>29</v>
      </c>
      <c r="R15" s="34" t="s">
        <v>30</v>
      </c>
      <c r="S15" s="35" t="s">
        <v>31</v>
      </c>
      <c r="T15" s="36" t="s">
        <v>32</v>
      </c>
      <c r="U15" s="2"/>
      <c r="V15" s="2"/>
      <c r="W15" s="2"/>
      <c r="X15" s="2"/>
      <c r="Y15" s="2"/>
    </row>
    <row r="16">
      <c r="A16" s="6" t="s">
        <v>70</v>
      </c>
      <c r="B16" s="7" t="s">
        <v>16</v>
      </c>
      <c r="C16" s="37">
        <f t="shared" ref="C16:L16" si="4">(C9 - AVERAGE(C$9:C$13)) / STDEV(C$9:C$13)</f>
        <v>0.2743185811</v>
      </c>
      <c r="D16" s="37">
        <f t="shared" si="4"/>
        <v>0.5476693994</v>
      </c>
      <c r="E16" s="37">
        <f t="shared" si="4"/>
        <v>0.5389044623</v>
      </c>
      <c r="F16" s="37">
        <f t="shared" si="4"/>
        <v>0.408641927</v>
      </c>
      <c r="G16" s="38">
        <f t="shared" si="4"/>
        <v>0.2504897164</v>
      </c>
      <c r="H16" s="37">
        <f t="shared" si="4"/>
        <v>-0.8872525102</v>
      </c>
      <c r="I16" s="37">
        <f t="shared" si="4"/>
        <v>-0.03060518754</v>
      </c>
      <c r="J16" s="37">
        <f t="shared" si="4"/>
        <v>-0.02860647838</v>
      </c>
      <c r="K16" s="37">
        <f t="shared" si="4"/>
        <v>0.2293164052</v>
      </c>
      <c r="L16" s="37">
        <f t="shared" si="4"/>
        <v>0.4618931781</v>
      </c>
      <c r="M16" s="38">
        <f t="shared" ref="M16:M20" si="6">K16-G16</f>
        <v>-0.02117331128</v>
      </c>
      <c r="N16" s="37">
        <f t="shared" ref="N16:N20" si="7">K16+C16</f>
        <v>0.5036349863</v>
      </c>
      <c r="O16" s="38">
        <f t="shared" ref="O16:O20" si="8">C16-G16</f>
        <v>0.02382886467</v>
      </c>
      <c r="Q16" s="39">
        <f>IFERROR(__xludf.DUMMYFUNCTION("C16+(-D16-E16-L9)/3-G16+K16+5"),2.310953982600035)</f>
        <v>2.310953983</v>
      </c>
      <c r="R16" s="40">
        <f t="shared" ref="R16:R20" si="9">SUM(M16:O16)</f>
        <v>0.5062905396</v>
      </c>
      <c r="S16" s="40">
        <f t="shared" ref="S16:S20" si="10">C16+K16-D16-G16</f>
        <v>-0.2945241296</v>
      </c>
      <c r="T16" s="40">
        <f t="shared" ref="T16:T20" si="11">(C16+K16)/2-D16-G16</f>
        <v>-0.5463416227</v>
      </c>
      <c r="U16" s="2"/>
      <c r="V16" s="2"/>
      <c r="W16" s="2"/>
      <c r="X16" s="2"/>
      <c r="Y16" s="2"/>
    </row>
    <row r="17">
      <c r="A17" s="16" t="s">
        <v>71</v>
      </c>
      <c r="B17" s="7" t="s">
        <v>18</v>
      </c>
      <c r="C17" s="41">
        <f t="shared" ref="C17:L17" si="5">(C10 - AVERAGE(C$9:C$13)) / STDEV(C$9:C$13)</f>
        <v>0.1019325875</v>
      </c>
      <c r="D17" s="41">
        <f t="shared" si="5"/>
        <v>-0.9723452472</v>
      </c>
      <c r="E17" s="41">
        <f t="shared" si="5"/>
        <v>-0.962177849</v>
      </c>
      <c r="F17" s="41">
        <f t="shared" si="5"/>
        <v>-0.9846654344</v>
      </c>
      <c r="G17" s="42">
        <f t="shared" si="5"/>
        <v>1.189826153</v>
      </c>
      <c r="H17" s="41">
        <f t="shared" si="5"/>
        <v>1.338457523</v>
      </c>
      <c r="I17" s="41">
        <f t="shared" si="5"/>
        <v>1.430096945</v>
      </c>
      <c r="J17" s="41">
        <f t="shared" si="5"/>
        <v>1.458930398</v>
      </c>
      <c r="K17" s="41">
        <f t="shared" si="5"/>
        <v>1.166668134</v>
      </c>
      <c r="L17" s="41">
        <f t="shared" si="5"/>
        <v>-0.4535457111</v>
      </c>
      <c r="M17" s="42">
        <f t="shared" si="6"/>
        <v>-0.02315801881</v>
      </c>
      <c r="N17" s="41">
        <f t="shared" si="7"/>
        <v>1.268600722</v>
      </c>
      <c r="O17" s="42">
        <f t="shared" si="8"/>
        <v>-1.087893566</v>
      </c>
      <c r="Q17" s="43">
        <f>IFERROR(__xludf.DUMMYFUNCTION("C17+(-D17-E17-L10)/3-G17+K17+5"),4.240282267438235)</f>
        <v>4.240282267</v>
      </c>
      <c r="R17" s="44">
        <f t="shared" si="9"/>
        <v>0.1575491374</v>
      </c>
      <c r="S17" s="44">
        <f t="shared" si="10"/>
        <v>1.051119816</v>
      </c>
      <c r="T17" s="44">
        <f t="shared" si="11"/>
        <v>0.4168194551</v>
      </c>
      <c r="U17" s="2"/>
      <c r="V17" s="2"/>
      <c r="W17" s="2"/>
      <c r="X17" s="2"/>
      <c r="Y17" s="2"/>
    </row>
    <row r="18">
      <c r="A18" s="6" t="s">
        <v>72</v>
      </c>
      <c r="B18" s="7" t="s">
        <v>20</v>
      </c>
      <c r="C18" s="37">
        <f t="shared" ref="C18:L18" si="12">(C11 - AVERAGE(C$9:C$13)) / STDEV(C$9:C$13)</f>
        <v>0.3417739699</v>
      </c>
      <c r="D18" s="37">
        <f t="shared" si="12"/>
        <v>0.7971374521</v>
      </c>
      <c r="E18" s="37">
        <f t="shared" si="12"/>
        <v>0.7882008179</v>
      </c>
      <c r="F18" s="37">
        <f t="shared" si="12"/>
        <v>0.7878477831</v>
      </c>
      <c r="G18" s="38">
        <f t="shared" si="12"/>
        <v>-1.315071011</v>
      </c>
      <c r="H18" s="37">
        <f t="shared" si="12"/>
        <v>-0.6852337942</v>
      </c>
      <c r="I18" s="37">
        <f t="shared" si="12"/>
        <v>-1.36610428</v>
      </c>
      <c r="J18" s="37">
        <f t="shared" si="12"/>
        <v>-1.315898006</v>
      </c>
      <c r="K18" s="37">
        <f t="shared" si="12"/>
        <v>-0.5071742391</v>
      </c>
      <c r="L18" s="37">
        <f t="shared" si="12"/>
        <v>0.7262296355</v>
      </c>
      <c r="M18" s="38">
        <f t="shared" si="6"/>
        <v>0.8078967721</v>
      </c>
      <c r="N18" s="37">
        <f t="shared" si="7"/>
        <v>-0.1654002692</v>
      </c>
      <c r="O18" s="38">
        <f t="shared" si="8"/>
        <v>1.656844981</v>
      </c>
      <c r="Q18" s="39">
        <f>IFERROR(__xludf.DUMMYFUNCTION("C18+(-D18-E18-L11)/3-G18+K18+5"),2.7245579853968214)</f>
        <v>2.724557985</v>
      </c>
      <c r="R18" s="40">
        <f t="shared" si="9"/>
        <v>2.299341484</v>
      </c>
      <c r="S18" s="40">
        <f t="shared" si="10"/>
        <v>0.35253329</v>
      </c>
      <c r="T18" s="40">
        <f t="shared" si="11"/>
        <v>0.4352334246</v>
      </c>
      <c r="U18" s="2"/>
      <c r="V18" s="2"/>
      <c r="W18" s="2"/>
      <c r="X18" s="2"/>
      <c r="Y18" s="2"/>
    </row>
    <row r="19">
      <c r="A19" s="94" t="s">
        <v>73</v>
      </c>
      <c r="B19" s="7" t="s">
        <v>22</v>
      </c>
      <c r="C19" s="41">
        <f t="shared" ref="C19:L19" si="13">(C12 - AVERAGE(C$9:C$13)) / STDEV(C$9:C$13)</f>
        <v>-1.689382737</v>
      </c>
      <c r="D19" s="41">
        <f t="shared" si="13"/>
        <v>-1.198606969</v>
      </c>
      <c r="E19" s="41">
        <f t="shared" si="13"/>
        <v>-1.206170027</v>
      </c>
      <c r="F19" s="41">
        <f t="shared" si="13"/>
        <v>-1.159550327</v>
      </c>
      <c r="G19" s="42">
        <f t="shared" si="13"/>
        <v>0.563601862</v>
      </c>
      <c r="H19" s="41">
        <f t="shared" si="13"/>
        <v>-0.5628327811</v>
      </c>
      <c r="I19" s="41">
        <f t="shared" si="13"/>
        <v>0.1919779946</v>
      </c>
      <c r="J19" s="41">
        <f t="shared" si="13"/>
        <v>0.2002453487</v>
      </c>
      <c r="K19" s="41">
        <f t="shared" si="13"/>
        <v>-1.427787544</v>
      </c>
      <c r="L19" s="41">
        <f t="shared" si="13"/>
        <v>-1.547063898</v>
      </c>
      <c r="M19" s="42">
        <f t="shared" si="6"/>
        <v>-1.991389406</v>
      </c>
      <c r="N19" s="41">
        <f t="shared" si="7"/>
        <v>-3.117170282</v>
      </c>
      <c r="O19" s="42">
        <f t="shared" si="8"/>
        <v>-2.252984599</v>
      </c>
      <c r="Q19" s="43">
        <f>IFERROR(__xludf.DUMMYFUNCTION("C19+(-D19-E19-L12)/3-G19+K19+5"),1.9474868550879272)</f>
        <v>1.947486855</v>
      </c>
      <c r="R19" s="44">
        <f t="shared" si="9"/>
        <v>-7.361544287</v>
      </c>
      <c r="S19" s="44">
        <f t="shared" si="10"/>
        <v>-2.482165174</v>
      </c>
      <c r="T19" s="44">
        <f t="shared" si="11"/>
        <v>-0.9235800334</v>
      </c>
      <c r="U19" s="2"/>
      <c r="V19" s="2"/>
      <c r="W19" s="2"/>
      <c r="X19" s="2"/>
      <c r="Y19" s="2"/>
    </row>
    <row r="20">
      <c r="A20" s="6" t="s">
        <v>23</v>
      </c>
      <c r="B20" s="7" t="s">
        <v>23</v>
      </c>
      <c r="C20" s="37">
        <f t="shared" ref="C20:H20" si="14">(C13 - AVERAGE(C$9:C$13)) / STDEV(C$9:C$13)</f>
        <v>0.9713575987</v>
      </c>
      <c r="D20" s="37">
        <f t="shared" si="14"/>
        <v>0.8261453652</v>
      </c>
      <c r="E20" s="37">
        <f t="shared" si="14"/>
        <v>0.8412425956</v>
      </c>
      <c r="F20" s="37">
        <f t="shared" si="14"/>
        <v>0.9477260511</v>
      </c>
      <c r="G20" s="38">
        <f t="shared" si="14"/>
        <v>-0.6888467202</v>
      </c>
      <c r="H20" s="37">
        <f t="shared" si="14"/>
        <v>0.7968615623</v>
      </c>
      <c r="I20" s="37">
        <f>(J13 - AVERAGE(I$9:I$13)) / STDEV(I$9:I$13)</f>
        <v>-0.3088341652</v>
      </c>
      <c r="J20" s="37">
        <f>(J13- AVERAGE(J$9:J$13)) / STDEV(J$9:J$13)</f>
        <v>-0.3146712622</v>
      </c>
      <c r="K20" s="37">
        <f t="shared" ref="K20:L20" si="15">(K13 - AVERAGE(K$9:K$13)) / STDEV(K$9:K$13)</f>
        <v>0.5389772442</v>
      </c>
      <c r="L20" s="37">
        <f t="shared" si="15"/>
        <v>0.8124867953</v>
      </c>
      <c r="M20" s="38">
        <f t="shared" si="6"/>
        <v>1.227823964</v>
      </c>
      <c r="N20" s="37">
        <f t="shared" si="7"/>
        <v>1.510334843</v>
      </c>
      <c r="O20" s="38">
        <f t="shared" si="8"/>
        <v>1.660204319</v>
      </c>
      <c r="Q20" s="39">
        <f>IFERROR(__xludf.DUMMYFUNCTION("C20+(-D20-E20-L13)/3-G20+K20+5"),3.6433855761436478)</f>
        <v>3.643385576</v>
      </c>
      <c r="R20" s="40">
        <f t="shared" si="9"/>
        <v>4.398363126</v>
      </c>
      <c r="S20" s="40">
        <f t="shared" si="10"/>
        <v>1.373036198</v>
      </c>
      <c r="T20" s="40">
        <f t="shared" si="11"/>
        <v>0.6178687764</v>
      </c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51" t="s">
        <v>37</v>
      </c>
      <c r="B25" s="52" t="s">
        <v>2</v>
      </c>
      <c r="C25" s="52" t="s">
        <v>3</v>
      </c>
      <c r="D25" s="52" t="s">
        <v>38</v>
      </c>
      <c r="E25" s="52" t="s">
        <v>39</v>
      </c>
      <c r="F25" s="52" t="s">
        <v>40</v>
      </c>
      <c r="G25" s="53" t="s">
        <v>41</v>
      </c>
      <c r="H25" s="51" t="s">
        <v>42</v>
      </c>
      <c r="I25" s="54" t="s">
        <v>43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55"/>
      <c r="B26" s="79">
        <v>0.4</v>
      </c>
      <c r="C26" s="79">
        <v>0.1</v>
      </c>
      <c r="D26" s="79">
        <v>0.05</v>
      </c>
      <c r="E26" s="79">
        <v>0.35</v>
      </c>
      <c r="F26" s="79">
        <v>0.0</v>
      </c>
      <c r="G26" s="80">
        <v>0.1</v>
      </c>
      <c r="H26" s="58" t="s">
        <v>44</v>
      </c>
      <c r="I26" s="59">
        <f>PESOS_4[TIR]*C16+G26*K16-PESOS_4[MD]*D16-PESOS_4[CONV]*F16-PESOS_4[PARIDAD]*G16-PESOS_4[COTIZACION]*J16</f>
        <v>-0.03021136409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60" t="s">
        <v>45</v>
      </c>
      <c r="I27" s="61">
        <f>PESOS_4[TIR]*C17+G27*K17-PESOS_4[MD]*D17-PESOS_4[CONV]*F17-PESOS_4[PARIDAD]*G17-PESOS_4[COTIZACION]*J17</f>
        <v>-0.2291983221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58" t="s">
        <v>46</v>
      </c>
      <c r="I28" s="59">
        <f>PESOS_4[TIR]*C18+G28*K18-PESOS_4[MD]*D18-PESOS_4[CONV]*F18-PESOS_4[PARIDAD]*G18-PESOS_4[COTIZACION]*J18</f>
        <v>0.4778783075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60" t="s">
        <v>47</v>
      </c>
      <c r="I29" s="61">
        <f>PESOS_4[TIR]*C19+G29*K19-PESOS_4[MD]*D19-PESOS_4[CONV]*F19-PESOS_4[PARIDAD]*G19-PESOS_4[COTIZACION]*J19</f>
        <v>-0.6951755333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55" t="s">
        <v>23</v>
      </c>
      <c r="I30" s="62">
        <f>PESOS_4[TIR]*C20+G30*K20-PESOS_4[MD]*D20-PESOS_4[CONV]*F20-PESOS_4[PARIDAD]*G20-PESOS_4[COTIZACION]*J20</f>
        <v>0.4996385525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81" t="s">
        <v>52</v>
      </c>
      <c r="I34" s="81" t="s">
        <v>2</v>
      </c>
      <c r="J34" s="81" t="s">
        <v>3</v>
      </c>
      <c r="K34" s="81" t="s">
        <v>5</v>
      </c>
      <c r="L34" s="81" t="s">
        <v>6</v>
      </c>
      <c r="M34" s="81" t="s">
        <v>53</v>
      </c>
      <c r="N34" s="81" t="s">
        <v>54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82" t="s">
        <v>55</v>
      </c>
      <c r="I35" s="83">
        <v>0.4</v>
      </c>
      <c r="J35" s="83">
        <v>0.1</v>
      </c>
      <c r="K35" s="83">
        <v>0.05</v>
      </c>
      <c r="L35" s="83">
        <v>0.35</v>
      </c>
      <c r="M35" s="83">
        <v>0.0</v>
      </c>
      <c r="N35" s="83">
        <v>0.1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63"/>
      <c r="E36" s="2"/>
      <c r="F36" s="2"/>
      <c r="G36" s="2"/>
      <c r="H36" s="82" t="s">
        <v>56</v>
      </c>
      <c r="I36" s="83">
        <v>0.2</v>
      </c>
      <c r="J36" s="83">
        <v>0.3</v>
      </c>
      <c r="K36" s="83">
        <v>0.2</v>
      </c>
      <c r="L36" s="83">
        <v>0.2</v>
      </c>
      <c r="M36" s="83">
        <v>0.0</v>
      </c>
      <c r="N36" s="83">
        <v>0.1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82" t="s">
        <v>57</v>
      </c>
      <c r="I37" s="83">
        <v>0.3</v>
      </c>
      <c r="J37" s="83">
        <v>0.15</v>
      </c>
      <c r="K37" s="83">
        <v>0.1</v>
      </c>
      <c r="L37" s="83">
        <v>0.4</v>
      </c>
      <c r="M37" s="83">
        <v>0.0</v>
      </c>
      <c r="N37" s="83">
        <v>0.05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82" t="s">
        <v>58</v>
      </c>
      <c r="I38" s="83">
        <v>0.35</v>
      </c>
      <c r="J38" s="83">
        <v>0.1</v>
      </c>
      <c r="K38" s="83">
        <v>0.05</v>
      </c>
      <c r="L38" s="83">
        <v>0.35</v>
      </c>
      <c r="M38" s="83">
        <v>0.0</v>
      </c>
      <c r="N38" s="83">
        <v>0.15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82" t="s">
        <v>59</v>
      </c>
      <c r="I39" s="83">
        <v>0.25</v>
      </c>
      <c r="J39" s="83">
        <v>0.2</v>
      </c>
      <c r="K39" s="83">
        <v>0.15</v>
      </c>
      <c r="L39" s="83">
        <v>0.3</v>
      </c>
      <c r="M39" s="83">
        <v>0.0</v>
      </c>
      <c r="N39" s="83">
        <v>0.1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1">
    <mergeCell ref="A1:G6"/>
  </mergeCells>
  <dataValidations>
    <dataValidation type="custom" allowBlank="1" showDropDown="1" sqref="C9:H13 K9:K13 M9:O13 Q16:T20 G16:G20 M16:M20 O16:O20">
      <formula1>AND(ISNUMBER(C9),(NOT(OR(NOT(ISERROR(DATEVALUE(C9))), AND(ISNUMBER(C9), LEFT(CELL("format", C9))="D")))))</formula1>
    </dataValidation>
  </dataValidations>
  <hyperlinks>
    <hyperlink r:id="rId1" ref="A9"/>
    <hyperlink r:id="rId2" ref="A10"/>
    <hyperlink r:id="rId3" ref="A11"/>
    <hyperlink r:id="rId4" ref="A12"/>
    <hyperlink r:id="rId5" ref="A13"/>
    <hyperlink r:id="rId6" ref="A16"/>
    <hyperlink r:id="rId7" ref="A17"/>
    <hyperlink r:id="rId8" ref="A18"/>
    <hyperlink r:id="rId9" ref="A19"/>
  </hyperlinks>
  <drawing r:id="rId10"/>
  <tableParts count="5">
    <tablePart r:id="rId16"/>
    <tablePart r:id="rId17"/>
    <tablePart r:id="rId18"/>
    <tablePart r:id="rId19"/>
    <tablePart r:id="rId2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96" t="s">
        <v>9</v>
      </c>
      <c r="K1" s="96" t="s">
        <v>74</v>
      </c>
      <c r="L1" s="97"/>
    </row>
    <row r="2">
      <c r="A2" s="98" t="s">
        <v>75</v>
      </c>
      <c r="B2" s="99" t="s">
        <v>22</v>
      </c>
      <c r="C2" s="100">
        <v>0.0407</v>
      </c>
      <c r="D2" s="101">
        <v>0.44</v>
      </c>
      <c r="E2" s="101">
        <v>0.46</v>
      </c>
      <c r="F2" s="101">
        <v>0.2</v>
      </c>
      <c r="G2" s="100">
        <v>1.02</v>
      </c>
      <c r="H2" s="101">
        <v>100.3778</v>
      </c>
      <c r="I2" s="102">
        <v>102.4</v>
      </c>
      <c r="J2" s="102">
        <v>102.4</v>
      </c>
      <c r="K2" s="103">
        <v>0.0</v>
      </c>
      <c r="L2" s="104"/>
    </row>
    <row r="3">
      <c r="A3" s="98" t="s">
        <v>76</v>
      </c>
      <c r="B3" s="99" t="s">
        <v>16</v>
      </c>
      <c r="C3" s="100">
        <v>0.0866</v>
      </c>
      <c r="D3" s="101">
        <v>4.6</v>
      </c>
      <c r="E3" s="101">
        <v>5.0</v>
      </c>
      <c r="F3" s="101">
        <v>30.22</v>
      </c>
      <c r="G3" s="100">
        <v>0.97</v>
      </c>
      <c r="H3" s="101">
        <v>103.7406</v>
      </c>
      <c r="I3" s="102">
        <v>100.7</v>
      </c>
      <c r="J3" s="102">
        <v>100.7</v>
      </c>
      <c r="K3" s="105">
        <v>-0.002</v>
      </c>
      <c r="L3" s="104"/>
    </row>
    <row r="4">
      <c r="A4" s="98" t="s">
        <v>77</v>
      </c>
      <c r="B4" s="99" t="s">
        <v>24</v>
      </c>
      <c r="C4" s="100">
        <v>0.0908</v>
      </c>
      <c r="D4" s="101">
        <v>5.3</v>
      </c>
      <c r="E4" s="101">
        <v>5.78</v>
      </c>
      <c r="F4" s="101">
        <v>40.96</v>
      </c>
      <c r="G4" s="100">
        <v>0.97</v>
      </c>
      <c r="H4" s="101">
        <v>101.8333</v>
      </c>
      <c r="I4" s="102">
        <v>98.25</v>
      </c>
      <c r="J4" s="102">
        <v>98.25</v>
      </c>
      <c r="K4" s="105">
        <v>-0.0296</v>
      </c>
      <c r="L4" s="104"/>
    </row>
    <row r="5">
      <c r="A5" s="98" t="s">
        <v>78</v>
      </c>
      <c r="B5" s="99" t="s">
        <v>18</v>
      </c>
      <c r="C5" s="100">
        <v>0.0781</v>
      </c>
      <c r="D5" s="101">
        <v>2.23</v>
      </c>
      <c r="E5" s="101">
        <v>2.41</v>
      </c>
      <c r="F5" s="101">
        <v>7.06</v>
      </c>
      <c r="G5" s="100">
        <v>1.03</v>
      </c>
      <c r="H5" s="101">
        <v>102.425</v>
      </c>
      <c r="I5" s="102">
        <v>105.6</v>
      </c>
      <c r="J5" s="102">
        <v>105.6</v>
      </c>
      <c r="K5" s="105">
        <v>-0.0038</v>
      </c>
      <c r="L5" s="104"/>
    </row>
    <row r="6">
      <c r="A6" s="98" t="s">
        <v>79</v>
      </c>
      <c r="B6" s="99" t="s">
        <v>20</v>
      </c>
      <c r="C6" s="100">
        <v>0.081</v>
      </c>
      <c r="D6" s="101">
        <v>5.27</v>
      </c>
      <c r="E6" s="101">
        <v>5.69</v>
      </c>
      <c r="F6" s="101">
        <v>38.3</v>
      </c>
      <c r="G6" s="100">
        <v>0.95</v>
      </c>
      <c r="H6" s="101">
        <v>100.1361</v>
      </c>
      <c r="I6" s="102">
        <v>95.04</v>
      </c>
      <c r="J6" s="102">
        <v>95.04</v>
      </c>
      <c r="K6" s="105">
        <v>-0.0195</v>
      </c>
      <c r="L6" s="104"/>
    </row>
    <row r="10">
      <c r="A10" s="96" t="s">
        <v>0</v>
      </c>
      <c r="B10" s="96" t="s">
        <v>1</v>
      </c>
      <c r="C10" s="96" t="s">
        <v>2</v>
      </c>
      <c r="D10" s="96" t="s">
        <v>3</v>
      </c>
      <c r="E10" s="96" t="s">
        <v>4</v>
      </c>
      <c r="F10" s="96" t="s">
        <v>5</v>
      </c>
      <c r="G10" s="96" t="s">
        <v>6</v>
      </c>
      <c r="H10" s="96" t="s">
        <v>7</v>
      </c>
      <c r="I10" s="96" t="s">
        <v>8</v>
      </c>
      <c r="J10" s="96" t="s">
        <v>9</v>
      </c>
      <c r="K10" s="96" t="s">
        <v>54</v>
      </c>
      <c r="L10" s="97"/>
    </row>
    <row r="11">
      <c r="L11" s="104"/>
    </row>
    <row r="12">
      <c r="A12" s="98" t="s">
        <v>80</v>
      </c>
      <c r="B12" s="99" t="s">
        <v>16</v>
      </c>
      <c r="C12" s="100">
        <v>0.0778</v>
      </c>
      <c r="D12" s="101">
        <v>4.77</v>
      </c>
      <c r="E12" s="101">
        <v>5.14</v>
      </c>
      <c r="F12" s="101">
        <v>30.76</v>
      </c>
      <c r="G12" s="100">
        <v>1.01</v>
      </c>
      <c r="H12" s="101">
        <v>100.5688</v>
      </c>
      <c r="I12" s="102">
        <v>101.7</v>
      </c>
      <c r="J12" s="102">
        <v>101.7</v>
      </c>
      <c r="K12" s="106">
        <v>0.0788</v>
      </c>
      <c r="L12" s="104"/>
    </row>
    <row r="13">
      <c r="A13" s="98" t="s">
        <v>81</v>
      </c>
      <c r="B13" s="99" t="s">
        <v>18</v>
      </c>
      <c r="C13" s="100">
        <v>0.0755</v>
      </c>
      <c r="D13" s="101">
        <v>2.15</v>
      </c>
      <c r="E13" s="101">
        <v>2.31</v>
      </c>
      <c r="F13" s="101">
        <v>6.62</v>
      </c>
      <c r="G13" s="100">
        <v>1.04</v>
      </c>
      <c r="H13" s="101">
        <v>103.3</v>
      </c>
      <c r="I13" s="102">
        <v>106.95</v>
      </c>
      <c r="J13" s="102">
        <v>106.9</v>
      </c>
      <c r="K13" s="106">
        <v>0.09</v>
      </c>
      <c r="L13" s="104"/>
    </row>
    <row r="14">
      <c r="A14" s="98" t="s">
        <v>82</v>
      </c>
      <c r="B14" s="99" t="s">
        <v>20</v>
      </c>
      <c r="C14" s="100">
        <v>0.0787</v>
      </c>
      <c r="D14" s="101">
        <v>5.2</v>
      </c>
      <c r="E14" s="101">
        <v>5.61</v>
      </c>
      <c r="F14" s="101">
        <v>37.33</v>
      </c>
      <c r="G14" s="100">
        <v>0.96</v>
      </c>
      <c r="H14" s="101">
        <v>100.8167</v>
      </c>
      <c r="I14" s="102">
        <v>96.9</v>
      </c>
      <c r="J14" s="102">
        <v>97.2</v>
      </c>
      <c r="K14" s="106">
        <v>0.07</v>
      </c>
    </row>
    <row r="15">
      <c r="A15" s="98" t="s">
        <v>83</v>
      </c>
      <c r="B15" s="99" t="s">
        <v>68</v>
      </c>
      <c r="C15" s="100">
        <v>0.0516</v>
      </c>
      <c r="D15" s="101">
        <v>1.76</v>
      </c>
      <c r="E15" s="101">
        <v>1.85</v>
      </c>
      <c r="F15" s="101">
        <v>3.59</v>
      </c>
      <c r="G15" s="100">
        <v>1.02</v>
      </c>
      <c r="H15" s="101">
        <v>100.9669</v>
      </c>
      <c r="I15" s="102">
        <v>102.5</v>
      </c>
      <c r="J15" s="102">
        <v>102.5</v>
      </c>
      <c r="K15" s="106">
        <v>0.059</v>
      </c>
      <c r="L15" s="107"/>
    </row>
    <row r="16">
      <c r="A16" s="98" t="s">
        <v>84</v>
      </c>
      <c r="B16" s="99" t="s">
        <v>24</v>
      </c>
      <c r="C16" s="100">
        <v>0.0871</v>
      </c>
      <c r="D16" s="101">
        <v>5.25</v>
      </c>
      <c r="E16" s="101">
        <v>5.71</v>
      </c>
      <c r="F16" s="101">
        <v>40.1</v>
      </c>
      <c r="G16" s="100">
        <v>0.98</v>
      </c>
      <c r="H16" s="101">
        <v>102.6354</v>
      </c>
      <c r="I16" s="102">
        <v>101.0</v>
      </c>
      <c r="J16" s="102">
        <v>100.7</v>
      </c>
      <c r="K16" s="106">
        <v>0.0825</v>
      </c>
      <c r="L16" s="104"/>
    </row>
  </sheetData>
  <hyperlinks>
    <hyperlink r:id="rId1" ref="A2"/>
    <hyperlink r:id="rId2" ref="A3"/>
    <hyperlink r:id="rId3" ref="A4"/>
    <hyperlink r:id="rId4" ref="A5"/>
    <hyperlink r:id="rId5" ref="A6"/>
    <hyperlink r:id="rId6" ref="A12"/>
    <hyperlink r:id="rId7" ref="A13"/>
    <hyperlink r:id="rId8" ref="A14"/>
    <hyperlink r:id="rId9" ref="A15"/>
    <hyperlink r:id="rId10" ref="A16"/>
  </hyperlinks>
  <drawing r:id="rId11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7.75"/>
    <col customWidth="1" min="7" max="7" width="16.5"/>
    <col customWidth="1" min="8" max="8" width="20.88"/>
    <col customWidth="1" min="9" max="10" width="15.75"/>
    <col customWidth="1" min="11" max="11" width="20.5"/>
    <col customWidth="1" min="12" max="12" width="15.38"/>
    <col customWidth="1" min="13" max="13" width="22.75"/>
    <col customWidth="1" min="14" max="14" width="21.0"/>
    <col customWidth="1" min="15" max="15" width="20.88"/>
    <col customWidth="1" min="17" max="17" width="22.63"/>
    <col customWidth="1" min="18" max="18" width="27.5"/>
    <col customWidth="1" min="19" max="19" width="35.88"/>
    <col customWidth="1" min="20" max="20" width="29.0"/>
  </cols>
  <sheetData>
    <row r="1">
      <c r="A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</row>
    <row r="2" ht="1.5" customHeight="1"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</row>
    <row r="3" ht="15.0" customHeight="1">
      <c r="H3" s="1"/>
      <c r="I3" s="1"/>
      <c r="J3" s="1"/>
      <c r="K3" s="1"/>
      <c r="L3" s="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</row>
    <row r="4" ht="1.5" customHeight="1"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</row>
    <row r="6" ht="1.5" customHeight="1"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5" t="s">
        <v>14</v>
      </c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4" t="s">
        <v>44</v>
      </c>
      <c r="B9" s="65" t="s">
        <v>16</v>
      </c>
      <c r="C9" s="66">
        <v>0.078</v>
      </c>
      <c r="D9" s="67">
        <v>4.6</v>
      </c>
      <c r="E9" s="67">
        <v>4.96</v>
      </c>
      <c r="F9" s="68">
        <v>28.92</v>
      </c>
      <c r="G9" s="66">
        <v>1.01</v>
      </c>
      <c r="H9" s="68">
        <v>101.9906</v>
      </c>
      <c r="I9" s="65">
        <v>103.0</v>
      </c>
      <c r="J9" s="65">
        <v>103.0</v>
      </c>
      <c r="K9" s="66">
        <v>0.0788</v>
      </c>
      <c r="L9" s="13">
        <v>7.74</v>
      </c>
      <c r="M9" s="14">
        <f t="shared" ref="M9:M13" si="1">K9/G9</f>
        <v>0.07801980198</v>
      </c>
      <c r="N9" s="14">
        <f t="shared" ref="N9:N13" si="2">C9*K9*10</f>
        <v>0.061464</v>
      </c>
      <c r="O9" s="15">
        <f t="shared" ref="O9:O13" si="3">C9/G9</f>
        <v>0.07722772277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9" t="s">
        <v>45</v>
      </c>
      <c r="B10" s="70" t="s">
        <v>18</v>
      </c>
      <c r="C10" s="71">
        <v>0.0707</v>
      </c>
      <c r="D10" s="72">
        <v>2.09</v>
      </c>
      <c r="E10" s="72">
        <v>2.23</v>
      </c>
      <c r="F10" s="73">
        <v>6.09</v>
      </c>
      <c r="G10" s="71">
        <v>1.05</v>
      </c>
      <c r="H10" s="73">
        <v>100.425</v>
      </c>
      <c r="I10" s="70">
        <v>104.9</v>
      </c>
      <c r="J10" s="70">
        <v>104.9</v>
      </c>
      <c r="K10" s="71">
        <v>0.09</v>
      </c>
      <c r="L10" s="13">
        <v>4.45</v>
      </c>
      <c r="M10" s="17">
        <f t="shared" si="1"/>
        <v>0.08571428571</v>
      </c>
      <c r="N10" s="17">
        <f t="shared" si="2"/>
        <v>0.06363</v>
      </c>
      <c r="O10" s="18">
        <f t="shared" si="3"/>
        <v>0.06733333333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4" t="s">
        <v>46</v>
      </c>
      <c r="B11" s="65" t="s">
        <v>20</v>
      </c>
      <c r="C11" s="66">
        <v>0.0808</v>
      </c>
      <c r="D11" s="67">
        <v>5.01</v>
      </c>
      <c r="E11" s="67">
        <v>5.42</v>
      </c>
      <c r="F11" s="68">
        <v>35.23</v>
      </c>
      <c r="G11" s="66">
        <v>0.95</v>
      </c>
      <c r="H11" s="68">
        <v>102.0806</v>
      </c>
      <c r="I11" s="65">
        <v>97.21</v>
      </c>
      <c r="J11" s="65">
        <v>97.21</v>
      </c>
      <c r="K11" s="66">
        <v>0.07</v>
      </c>
      <c r="L11" s="13">
        <v>8.69</v>
      </c>
      <c r="M11" s="14">
        <f t="shared" si="1"/>
        <v>0.07368421053</v>
      </c>
      <c r="N11" s="14">
        <f t="shared" si="2"/>
        <v>0.05656</v>
      </c>
      <c r="O11" s="15">
        <f t="shared" si="3"/>
        <v>0.08505263158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9" t="s">
        <v>85</v>
      </c>
      <c r="B12" s="70" t="s">
        <v>68</v>
      </c>
      <c r="C12" s="71">
        <v>0.0605</v>
      </c>
      <c r="D12" s="72">
        <v>1.6</v>
      </c>
      <c r="E12" s="72">
        <v>1.7</v>
      </c>
      <c r="F12" s="73">
        <v>2.99</v>
      </c>
      <c r="G12" s="71">
        <v>1.0</v>
      </c>
      <c r="H12" s="73">
        <v>100.5572</v>
      </c>
      <c r="I12" s="70">
        <v>100.5</v>
      </c>
      <c r="J12" s="70">
        <v>100.5</v>
      </c>
      <c r="K12" s="71">
        <v>0.059</v>
      </c>
      <c r="L12" s="13">
        <v>0.52</v>
      </c>
      <c r="M12" s="17">
        <f t="shared" si="1"/>
        <v>0.059</v>
      </c>
      <c r="N12" s="17">
        <f t="shared" si="2"/>
        <v>0.035695</v>
      </c>
      <c r="O12" s="18">
        <f t="shared" si="3"/>
        <v>0.0605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4" t="s">
        <v>23</v>
      </c>
      <c r="B13" s="75" t="s">
        <v>24</v>
      </c>
      <c r="C13" s="76">
        <v>0.0842</v>
      </c>
      <c r="D13" s="77">
        <v>5.33</v>
      </c>
      <c r="E13" s="77">
        <v>5.78</v>
      </c>
      <c r="F13" s="78">
        <v>39.82</v>
      </c>
      <c r="G13" s="76">
        <v>1.0</v>
      </c>
      <c r="H13" s="78">
        <v>100.0</v>
      </c>
      <c r="I13" s="75">
        <v>99.94</v>
      </c>
      <c r="J13" s="75">
        <v>99.94</v>
      </c>
      <c r="K13" s="76">
        <v>0.0825</v>
      </c>
      <c r="L13" s="13">
        <v>9.0</v>
      </c>
      <c r="M13" s="14">
        <f t="shared" si="1"/>
        <v>0.0825</v>
      </c>
      <c r="N13" s="14">
        <f t="shared" si="2"/>
        <v>0.069465</v>
      </c>
      <c r="O13" s="15">
        <f t="shared" si="3"/>
        <v>0.0842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2"/>
      <c r="U14" s="2"/>
      <c r="V14" s="2"/>
      <c r="W14" s="2"/>
      <c r="X14" s="2"/>
      <c r="Y14" s="2"/>
    </row>
    <row r="15">
      <c r="A15" s="3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26</v>
      </c>
      <c r="N15" s="4" t="s">
        <v>86</v>
      </c>
      <c r="O15" s="5" t="s">
        <v>28</v>
      </c>
      <c r="Q15" s="33" t="s">
        <v>29</v>
      </c>
      <c r="R15" s="34" t="s">
        <v>30</v>
      </c>
      <c r="S15" s="35" t="s">
        <v>31</v>
      </c>
      <c r="T15" s="36" t="s">
        <v>32</v>
      </c>
      <c r="U15" s="2"/>
      <c r="V15" s="2"/>
      <c r="W15" s="2"/>
      <c r="X15" s="2"/>
      <c r="Y15" s="2"/>
    </row>
    <row r="16">
      <c r="A16" s="6" t="s">
        <v>87</v>
      </c>
      <c r="B16" s="7" t="s">
        <v>16</v>
      </c>
      <c r="C16" s="108">
        <f t="shared" ref="C16:L16" si="4">(C9 - MIN(C$9:C$13)) / (MAX(C$9:C$13) - MIN(C$9:C$13))</f>
        <v>0.7383966245</v>
      </c>
      <c r="D16" s="37">
        <f t="shared" si="4"/>
        <v>0.8042895442</v>
      </c>
      <c r="E16" s="37">
        <f t="shared" si="4"/>
        <v>0.7990196078</v>
      </c>
      <c r="F16" s="37">
        <f t="shared" si="4"/>
        <v>0.704045615</v>
      </c>
      <c r="G16" s="108">
        <f t="shared" si="4"/>
        <v>0.6</v>
      </c>
      <c r="H16" s="37">
        <f t="shared" si="4"/>
        <v>0.9567432471</v>
      </c>
      <c r="I16" s="37">
        <f t="shared" si="4"/>
        <v>0.7529258778</v>
      </c>
      <c r="J16" s="37">
        <f t="shared" si="4"/>
        <v>0.7529258778</v>
      </c>
      <c r="K16" s="108">
        <f t="shared" si="4"/>
        <v>0.6387096774</v>
      </c>
      <c r="L16" s="37">
        <f t="shared" si="4"/>
        <v>0.8514150943</v>
      </c>
      <c r="M16" s="38">
        <f t="shared" ref="M16:M20" si="6">K16-G16</f>
        <v>0.03870967742</v>
      </c>
      <c r="N16" s="108">
        <f t="shared" ref="N16:N20" si="7">K16+2*C16</f>
        <v>2.115502926</v>
      </c>
      <c r="O16" s="38">
        <f t="shared" ref="O16:O20" si="8">C16-G16</f>
        <v>0.1383966245</v>
      </c>
      <c r="Q16" s="39">
        <f>IFERROR(__xludf.DUMMYFUNCTION("C16+(-D16-E16-L9)/3-G16+K16+5"),2.662669917865575)</f>
        <v>2.662669918</v>
      </c>
      <c r="R16" s="40">
        <f t="shared" ref="R16:R20" si="9">SUM(M16:O16)</f>
        <v>2.292609228</v>
      </c>
      <c r="S16" s="40">
        <f t="shared" ref="S16:S20" si="10">C16+K16-D16-G16</f>
        <v>-0.02718324234</v>
      </c>
      <c r="T16" s="40">
        <f t="shared" ref="T16:T20" si="11">(C16+K16)/2-D16-G16</f>
        <v>-0.7157363933</v>
      </c>
      <c r="U16" s="2"/>
      <c r="V16" s="2"/>
      <c r="W16" s="2"/>
      <c r="X16" s="2"/>
      <c r="Y16" s="2"/>
    </row>
    <row r="17">
      <c r="A17" s="16" t="s">
        <v>88</v>
      </c>
      <c r="B17" s="7" t="s">
        <v>18</v>
      </c>
      <c r="C17" s="109">
        <f t="shared" ref="C17:L17" si="5">(C10 - MIN(C$9:C$13)) / (MAX(C$9:C$13) - MIN(C$9:C$13))</f>
        <v>0.4303797468</v>
      </c>
      <c r="D17" s="41">
        <f t="shared" si="5"/>
        <v>0.1313672922</v>
      </c>
      <c r="E17" s="41">
        <f t="shared" si="5"/>
        <v>0.1299019608</v>
      </c>
      <c r="F17" s="41">
        <f t="shared" si="5"/>
        <v>0.08417051317</v>
      </c>
      <c r="G17" s="109">
        <f t="shared" si="5"/>
        <v>1</v>
      </c>
      <c r="H17" s="41">
        <f t="shared" si="5"/>
        <v>0.2042679996</v>
      </c>
      <c r="I17" s="41">
        <f t="shared" si="5"/>
        <v>1</v>
      </c>
      <c r="J17" s="41">
        <f t="shared" si="5"/>
        <v>1</v>
      </c>
      <c r="K17" s="109">
        <f t="shared" si="5"/>
        <v>1</v>
      </c>
      <c r="L17" s="41">
        <f t="shared" si="5"/>
        <v>0.4634433962</v>
      </c>
      <c r="M17" s="42">
        <f t="shared" si="6"/>
        <v>0</v>
      </c>
      <c r="N17" s="109">
        <f t="shared" si="7"/>
        <v>1.860759494</v>
      </c>
      <c r="O17" s="42">
        <f t="shared" si="8"/>
        <v>-0.5696202532</v>
      </c>
      <c r="Q17" s="43">
        <f>IFERROR(__xludf.DUMMYFUNCTION("C17+(-D17-E17-L10)/3-G17+K17+5"),3.859956662498938)</f>
        <v>3.859956662</v>
      </c>
      <c r="R17" s="44">
        <f t="shared" si="9"/>
        <v>1.291139241</v>
      </c>
      <c r="S17" s="44">
        <f t="shared" si="10"/>
        <v>0.2990124546</v>
      </c>
      <c r="T17" s="44">
        <f t="shared" si="11"/>
        <v>-0.4161774188</v>
      </c>
      <c r="U17" s="2"/>
      <c r="V17" s="2"/>
      <c r="W17" s="2"/>
      <c r="X17" s="2"/>
      <c r="Y17" s="2"/>
    </row>
    <row r="18">
      <c r="A18" s="6" t="s">
        <v>89</v>
      </c>
      <c r="B18" s="7" t="s">
        <v>20</v>
      </c>
      <c r="C18" s="108">
        <f t="shared" ref="C18:L18" si="12">(C11 - MIN(C$9:C$13)) / (MAX(C$9:C$13) - MIN(C$9:C$13))</f>
        <v>0.8565400844</v>
      </c>
      <c r="D18" s="37">
        <f t="shared" si="12"/>
        <v>0.9142091153</v>
      </c>
      <c r="E18" s="37">
        <f t="shared" si="12"/>
        <v>0.9117647059</v>
      </c>
      <c r="F18" s="37">
        <f t="shared" si="12"/>
        <v>0.875373337</v>
      </c>
      <c r="G18" s="108">
        <f t="shared" si="12"/>
        <v>0</v>
      </c>
      <c r="H18" s="37">
        <f t="shared" si="12"/>
        <v>1</v>
      </c>
      <c r="I18" s="37">
        <f t="shared" si="12"/>
        <v>0</v>
      </c>
      <c r="J18" s="37">
        <f t="shared" si="12"/>
        <v>0</v>
      </c>
      <c r="K18" s="108">
        <f t="shared" si="12"/>
        <v>0.3548387097</v>
      </c>
      <c r="L18" s="37">
        <f t="shared" si="12"/>
        <v>0.9634433962</v>
      </c>
      <c r="M18" s="38">
        <f t="shared" si="6"/>
        <v>0.3548387097</v>
      </c>
      <c r="N18" s="108">
        <f t="shared" si="7"/>
        <v>2.067918878</v>
      </c>
      <c r="O18" s="38">
        <f t="shared" si="8"/>
        <v>0.8565400844</v>
      </c>
      <c r="Q18" s="39">
        <f>IFERROR(__xludf.DUMMYFUNCTION("C18+(-D18-E18-L11)/3-G18+K18+5"),2.706054187010987)</f>
        <v>2.706054187</v>
      </c>
      <c r="R18" s="40">
        <f t="shared" si="9"/>
        <v>3.279297673</v>
      </c>
      <c r="S18" s="40">
        <f t="shared" si="10"/>
        <v>0.2971696788</v>
      </c>
      <c r="T18" s="40">
        <f t="shared" si="11"/>
        <v>-0.3085197182</v>
      </c>
      <c r="U18" s="2"/>
      <c r="V18" s="2"/>
      <c r="W18" s="2"/>
      <c r="X18" s="2"/>
      <c r="Y18" s="2"/>
    </row>
    <row r="19">
      <c r="A19" s="16" t="s">
        <v>90</v>
      </c>
      <c r="B19" s="7" t="s">
        <v>22</v>
      </c>
      <c r="C19" s="109">
        <f t="shared" ref="C19:L19" si="13">(C12 - MIN(C$9:C$13)) / (MAX(C$9:C$13) - MIN(C$9:C$13))</f>
        <v>0</v>
      </c>
      <c r="D19" s="41">
        <f t="shared" si="13"/>
        <v>0</v>
      </c>
      <c r="E19" s="41">
        <f t="shared" si="13"/>
        <v>0</v>
      </c>
      <c r="F19" s="41">
        <f t="shared" si="13"/>
        <v>0</v>
      </c>
      <c r="G19" s="109">
        <f t="shared" si="13"/>
        <v>0.5</v>
      </c>
      <c r="H19" s="41">
        <f t="shared" si="13"/>
        <v>0.2678073633</v>
      </c>
      <c r="I19" s="41">
        <f t="shared" si="13"/>
        <v>0.4278283485</v>
      </c>
      <c r="J19" s="41">
        <f t="shared" si="13"/>
        <v>0.4278283485</v>
      </c>
      <c r="K19" s="109">
        <f t="shared" si="13"/>
        <v>0</v>
      </c>
      <c r="L19" s="41">
        <f t="shared" si="13"/>
        <v>0</v>
      </c>
      <c r="M19" s="42">
        <f t="shared" si="6"/>
        <v>-0.5</v>
      </c>
      <c r="N19" s="109">
        <f t="shared" si="7"/>
        <v>0</v>
      </c>
      <c r="O19" s="42">
        <f t="shared" si="8"/>
        <v>-0.5</v>
      </c>
      <c r="Q19" s="43">
        <f>IFERROR(__xludf.DUMMYFUNCTION("C19+(-D19-E19-L12)/3-G19+K19+5"),4.326666666666666)</f>
        <v>4.326666667</v>
      </c>
      <c r="R19" s="44">
        <f t="shared" si="9"/>
        <v>-1</v>
      </c>
      <c r="S19" s="44">
        <f t="shared" si="10"/>
        <v>-0.5</v>
      </c>
      <c r="T19" s="44">
        <f t="shared" si="11"/>
        <v>-0.5</v>
      </c>
      <c r="U19" s="2"/>
      <c r="V19" s="2"/>
      <c r="W19" s="2"/>
      <c r="X19" s="2"/>
      <c r="Y19" s="2"/>
    </row>
    <row r="20">
      <c r="A20" s="6" t="s">
        <v>23</v>
      </c>
      <c r="B20" s="7" t="s">
        <v>23</v>
      </c>
      <c r="C20" s="108">
        <f t="shared" ref="C20:L20" si="14">(C13 - MIN(C$9:C$13)) / (MAX(C$9:C$13) - MIN(C$9:C$13))</f>
        <v>1</v>
      </c>
      <c r="D20" s="37">
        <f t="shared" si="14"/>
        <v>1</v>
      </c>
      <c r="E20" s="37">
        <f t="shared" si="14"/>
        <v>1</v>
      </c>
      <c r="F20" s="37">
        <f t="shared" si="14"/>
        <v>1</v>
      </c>
      <c r="G20" s="108">
        <f t="shared" si="14"/>
        <v>0.5</v>
      </c>
      <c r="H20" s="37">
        <f t="shared" si="14"/>
        <v>0</v>
      </c>
      <c r="I20" s="37">
        <f t="shared" si="14"/>
        <v>0.355006502</v>
      </c>
      <c r="J20" s="37">
        <f t="shared" si="14"/>
        <v>0.355006502</v>
      </c>
      <c r="K20" s="108">
        <f t="shared" si="14"/>
        <v>0.7580645161</v>
      </c>
      <c r="L20" s="37">
        <f t="shared" si="14"/>
        <v>1</v>
      </c>
      <c r="M20" s="38">
        <f t="shared" si="6"/>
        <v>0.2580645161</v>
      </c>
      <c r="N20" s="108">
        <f t="shared" si="7"/>
        <v>2.758064516</v>
      </c>
      <c r="O20" s="38">
        <f t="shared" si="8"/>
        <v>0.5</v>
      </c>
      <c r="Q20" s="39">
        <f>IFERROR(__xludf.DUMMYFUNCTION("C20+(-D20-E20-L13)/3-G20+K20+5"),2.591397849462366)</f>
        <v>2.591397849</v>
      </c>
      <c r="R20" s="40">
        <f t="shared" si="9"/>
        <v>3.516129032</v>
      </c>
      <c r="S20" s="40">
        <f t="shared" si="10"/>
        <v>0.2580645161</v>
      </c>
      <c r="T20" s="40">
        <f t="shared" si="11"/>
        <v>-0.6209677419</v>
      </c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51" t="s">
        <v>37</v>
      </c>
      <c r="B25" s="52" t="s">
        <v>2</v>
      </c>
      <c r="C25" s="52" t="s">
        <v>3</v>
      </c>
      <c r="D25" s="52" t="s">
        <v>38</v>
      </c>
      <c r="E25" s="52" t="s">
        <v>39</v>
      </c>
      <c r="F25" s="52" t="s">
        <v>40</v>
      </c>
      <c r="G25" s="53" t="s">
        <v>41</v>
      </c>
      <c r="H25" s="51" t="s">
        <v>42</v>
      </c>
      <c r="I25" s="54" t="s">
        <v>43</v>
      </c>
      <c r="J25" s="2"/>
      <c r="R25" s="2"/>
      <c r="S25" s="2"/>
      <c r="T25" s="2"/>
      <c r="U25" s="2"/>
      <c r="V25" s="2"/>
      <c r="W25" s="2"/>
      <c r="X25" s="2"/>
      <c r="Y25" s="2"/>
    </row>
    <row r="26">
      <c r="A26" s="55"/>
      <c r="B26" s="56">
        <v>0.4</v>
      </c>
      <c r="C26" s="56">
        <v>0.2</v>
      </c>
      <c r="D26" s="56">
        <v>0.1</v>
      </c>
      <c r="E26" s="56">
        <v>0.2</v>
      </c>
      <c r="F26" s="56">
        <v>0.0</v>
      </c>
      <c r="G26" s="57">
        <v>0.1</v>
      </c>
      <c r="H26" s="58" t="s">
        <v>44</v>
      </c>
      <c r="I26" s="59">
        <f>SUMPRODUCT(Tabla_6[TIR]*C16-Tabla_6[MD]*D16-Tabla_6[CONV]*F16-Tabla_6[PARIDAD]*G16-Tabla_6[COTIZACION]*J16+Tabla_6[TASA]*K16)</f>
        <v>0.007967147185</v>
      </c>
      <c r="J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60" t="s">
        <v>45</v>
      </c>
      <c r="I27" s="61">
        <f>SUMPRODUCT(Tabla_6[TIR]*C17-Tabla_6[MD]*D17-Tabla_6[CONV]*F17-Tabla_6[PARIDAD]*G17-Tabla_6[COTIZACION]*J17+Tabla_6[TASA]*K17)</f>
        <v>0.03746138897</v>
      </c>
      <c r="J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58" t="s">
        <v>46</v>
      </c>
      <c r="I28" s="59">
        <f>SUMPRODUCT(Tabla_6[TIR]*C18-Tabla_6[MD]*D18-Tabla_6[CONV]*F18-Tabla_6[PARIDAD]*G18-Tabla_6[COTIZACION]*J18+Tabla_6[TASA]*K18)</f>
        <v>0.107720748</v>
      </c>
      <c r="J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60" t="s">
        <v>47</v>
      </c>
      <c r="I29" s="61">
        <f>SUMPRODUCT(Tabla_6[TIR]*C19-Tabla_6[MD]*D19-Tabla_6[CONV]*F19-Tabla_6[PARIDAD]*G19-Tabla_6[COTIZACION]*J19+Tabla_6[TASA]*K19)</f>
        <v>-0.1</v>
      </c>
      <c r="J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55" t="s">
        <v>23</v>
      </c>
      <c r="I30" s="62">
        <f>SUMPRODUCT(Tabla_6[TIR]*C20-Tabla_6[MD]*D20-Tabla_6[CONV]*F20-Tabla_6[PARIDAD]*G20-Tabla_6[COTIZACION]*J20+Tabla_6[TASA]*K20)</f>
        <v>0.07580645161</v>
      </c>
      <c r="J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81" t="s">
        <v>52</v>
      </c>
      <c r="I33" s="81" t="s">
        <v>2</v>
      </c>
      <c r="J33" s="81" t="s">
        <v>3</v>
      </c>
      <c r="K33" s="81" t="s">
        <v>5</v>
      </c>
      <c r="L33" s="81" t="s">
        <v>6</v>
      </c>
      <c r="M33" s="81" t="s">
        <v>53</v>
      </c>
      <c r="N33" s="81" t="s">
        <v>54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82" t="s">
        <v>55</v>
      </c>
      <c r="I34" s="83">
        <v>0.4</v>
      </c>
      <c r="J34" s="83">
        <v>0.1</v>
      </c>
      <c r="K34" s="83">
        <v>0.05</v>
      </c>
      <c r="L34" s="83">
        <v>0.3</v>
      </c>
      <c r="M34" s="83">
        <v>0.05</v>
      </c>
      <c r="N34" s="83">
        <v>0.1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82" t="s">
        <v>56</v>
      </c>
      <c r="I35" s="83">
        <v>0.2</v>
      </c>
      <c r="J35" s="83">
        <v>0.3</v>
      </c>
      <c r="K35" s="83">
        <v>0.2</v>
      </c>
      <c r="L35" s="83">
        <v>0.1</v>
      </c>
      <c r="M35" s="83">
        <v>0.1</v>
      </c>
      <c r="N35" s="83">
        <v>0.1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63"/>
      <c r="E36" s="2"/>
      <c r="F36" s="2"/>
      <c r="G36" s="2"/>
      <c r="H36" s="82" t="s">
        <v>57</v>
      </c>
      <c r="I36" s="83">
        <v>0.3</v>
      </c>
      <c r="J36" s="83">
        <v>0.15</v>
      </c>
      <c r="K36" s="83">
        <v>0.1</v>
      </c>
      <c r="L36" s="83">
        <v>0.2</v>
      </c>
      <c r="M36" s="83">
        <v>0.2</v>
      </c>
      <c r="N36" s="83">
        <v>0.05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82" t="s">
        <v>58</v>
      </c>
      <c r="I37" s="83">
        <v>0.35</v>
      </c>
      <c r="J37" s="83">
        <v>0.1</v>
      </c>
      <c r="K37" s="83">
        <v>0.05</v>
      </c>
      <c r="L37" s="83">
        <v>0.3</v>
      </c>
      <c r="M37" s="83">
        <v>0.05</v>
      </c>
      <c r="N37" s="83">
        <v>0.15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82" t="s">
        <v>59</v>
      </c>
      <c r="I38" s="83">
        <v>0.25</v>
      </c>
      <c r="J38" s="83">
        <v>0.2</v>
      </c>
      <c r="K38" s="83">
        <v>0.15</v>
      </c>
      <c r="L38" s="83">
        <v>0.2</v>
      </c>
      <c r="M38" s="83">
        <v>0.1</v>
      </c>
      <c r="N38" s="83">
        <v>0.1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1">
    <mergeCell ref="A1:G6"/>
  </mergeCells>
  <dataValidations>
    <dataValidation type="custom" allowBlank="1" showDropDown="1" sqref="C9:H13 K9:K13 M9:O13 G16:G20 M16:M20 O16:O20 Q16:T20">
      <formula1>AND(ISNUMBER(C9),(NOT(OR(NOT(ISERROR(DATEVALUE(C9))), AND(ISNUMBER(C9), LEFT(CELL("format", C9))="D")))))</formula1>
    </dataValidation>
  </dataValidations>
  <hyperlinks>
    <hyperlink r:id="rId1" ref="A16"/>
    <hyperlink r:id="rId2" ref="A17"/>
    <hyperlink r:id="rId3" ref="A18"/>
    <hyperlink r:id="rId4" ref="A19"/>
  </hyperlinks>
  <drawing r:id="rId5"/>
  <tableParts count="5"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16.13"/>
  </cols>
  <sheetData>
    <row r="1">
      <c r="A1" s="81" t="s">
        <v>91</v>
      </c>
      <c r="N1" s="82" t="s">
        <v>92</v>
      </c>
      <c r="O1" s="82" t="s">
        <v>93</v>
      </c>
      <c r="P1" s="82" t="s">
        <v>94</v>
      </c>
      <c r="V1" s="82" t="s">
        <v>95</v>
      </c>
    </row>
    <row r="2">
      <c r="A2" s="81" t="s">
        <v>96</v>
      </c>
      <c r="B2" s="81"/>
      <c r="C2" s="81" t="s">
        <v>97</v>
      </c>
      <c r="D2" s="81" t="s">
        <v>98</v>
      </c>
      <c r="P2" s="82">
        <v>-102.2</v>
      </c>
      <c r="R2" s="110">
        <f>IRR(P2:P18)</f>
        <v>0.03735092677</v>
      </c>
      <c r="X2" s="82">
        <v>-102.0</v>
      </c>
      <c r="Z2" s="110">
        <f>IRR(X2:X20)</f>
        <v>0.03332848273</v>
      </c>
    </row>
    <row r="3">
      <c r="A3" s="82"/>
      <c r="B3" s="82"/>
      <c r="C3" s="111"/>
      <c r="D3" s="82">
        <v>-102.1</v>
      </c>
      <c r="E3" s="82" t="s">
        <v>99</v>
      </c>
      <c r="F3" s="110">
        <f>IRR(D3:D22)</f>
        <v>0.03953398561</v>
      </c>
      <c r="G3" s="82" t="s">
        <v>100</v>
      </c>
      <c r="H3" s="110"/>
      <c r="I3" s="110"/>
      <c r="J3" s="110"/>
      <c r="K3" s="110"/>
      <c r="L3" s="112">
        <v>1.0</v>
      </c>
      <c r="M3" s="113">
        <v>45763.0</v>
      </c>
      <c r="N3" s="112">
        <v>3.94</v>
      </c>
      <c r="O3" s="112">
        <v>0.0</v>
      </c>
      <c r="P3" s="112">
        <v>3.94</v>
      </c>
      <c r="R3" s="110">
        <f>R2*2</f>
        <v>0.07470185353</v>
      </c>
      <c r="T3" s="112">
        <v>1.0</v>
      </c>
      <c r="U3" s="113">
        <v>45747.0</v>
      </c>
      <c r="V3" s="112">
        <v>3.5</v>
      </c>
      <c r="W3" s="112">
        <v>0.0</v>
      </c>
      <c r="X3" s="112">
        <v>3.5</v>
      </c>
      <c r="Z3" s="110">
        <f>Z2*2</f>
        <v>0.06665696546</v>
      </c>
    </row>
    <row r="4">
      <c r="A4" s="82">
        <v>2025.0</v>
      </c>
      <c r="B4" s="82">
        <v>1.0</v>
      </c>
      <c r="C4" s="111">
        <v>45855.0</v>
      </c>
      <c r="D4" s="82">
        <v>4.125</v>
      </c>
      <c r="F4" s="110">
        <f>F3*2</f>
        <v>0.07906797122</v>
      </c>
      <c r="G4" s="82" t="s">
        <v>101</v>
      </c>
      <c r="H4" s="110"/>
      <c r="I4" s="110"/>
      <c r="J4" s="110"/>
      <c r="K4" s="110"/>
      <c r="L4" s="112">
        <v>2.0</v>
      </c>
      <c r="M4" s="114">
        <v>45946.0</v>
      </c>
      <c r="N4" s="112">
        <v>3.94</v>
      </c>
      <c r="O4" s="112">
        <v>0.0</v>
      </c>
      <c r="P4" s="112">
        <v>3.94</v>
      </c>
      <c r="R4" s="106">
        <v>0.0788</v>
      </c>
      <c r="T4" s="112">
        <f t="shared" ref="T4:T20" si="1">T3+1</f>
        <v>2</v>
      </c>
      <c r="U4" s="113">
        <v>45930.0</v>
      </c>
      <c r="V4" s="112">
        <v>3.5</v>
      </c>
      <c r="W4" s="112">
        <v>0.0</v>
      </c>
      <c r="X4" s="112">
        <v>3.5</v>
      </c>
      <c r="Z4" s="106">
        <v>0.07</v>
      </c>
    </row>
    <row r="5">
      <c r="A5" s="82">
        <v>2026.0</v>
      </c>
      <c r="B5" s="82">
        <f t="shared" ref="B5:B22" si="2">B4+1</f>
        <v>2</v>
      </c>
      <c r="C5" s="111">
        <f t="shared" ref="C5:C10" si="3">C4+180</f>
        <v>46035</v>
      </c>
      <c r="D5" s="82">
        <v>4.125</v>
      </c>
      <c r="F5" s="82">
        <v>0.0825</v>
      </c>
      <c r="G5" s="82" t="s">
        <v>102</v>
      </c>
      <c r="L5" s="112">
        <v>3.0</v>
      </c>
      <c r="M5" s="113">
        <v>46128.0</v>
      </c>
      <c r="N5" s="112">
        <v>3.94</v>
      </c>
      <c r="O5" s="112">
        <v>0.0</v>
      </c>
      <c r="P5" s="112">
        <v>3.94</v>
      </c>
      <c r="R5" s="110">
        <f>R4/2</f>
        <v>0.0394</v>
      </c>
      <c r="T5" s="112">
        <f t="shared" si="1"/>
        <v>3</v>
      </c>
      <c r="U5" s="113">
        <v>46111.0</v>
      </c>
      <c r="V5" s="112">
        <v>3.5</v>
      </c>
      <c r="W5" s="112">
        <v>0.0</v>
      </c>
      <c r="X5" s="112">
        <v>3.5</v>
      </c>
      <c r="Z5" s="110">
        <f>Z4/2</f>
        <v>0.035</v>
      </c>
    </row>
    <row r="6">
      <c r="A6" s="82">
        <v>2026.0</v>
      </c>
      <c r="B6" s="82">
        <f t="shared" si="2"/>
        <v>3</v>
      </c>
      <c r="C6" s="111">
        <f t="shared" si="3"/>
        <v>46215</v>
      </c>
      <c r="D6" s="82">
        <v>4.125</v>
      </c>
      <c r="F6" s="115">
        <f>F5/2</f>
        <v>0.04125</v>
      </c>
      <c r="G6" s="82" t="s">
        <v>103</v>
      </c>
      <c r="L6" s="112">
        <v>4.0</v>
      </c>
      <c r="M6" s="114">
        <v>46311.0</v>
      </c>
      <c r="N6" s="112">
        <v>3.94</v>
      </c>
      <c r="O6" s="112">
        <v>0.0</v>
      </c>
      <c r="P6" s="112">
        <v>3.94</v>
      </c>
      <c r="T6" s="112">
        <f t="shared" si="1"/>
        <v>4</v>
      </c>
      <c r="U6" s="113">
        <v>46295.0</v>
      </c>
      <c r="V6" s="112">
        <v>3.5</v>
      </c>
      <c r="W6" s="112">
        <v>0.0</v>
      </c>
      <c r="X6" s="112">
        <v>3.5</v>
      </c>
    </row>
    <row r="7">
      <c r="A7" s="82">
        <v>2027.0</v>
      </c>
      <c r="B7" s="82">
        <f t="shared" si="2"/>
        <v>4</v>
      </c>
      <c r="C7" s="111">
        <f t="shared" si="3"/>
        <v>46395</v>
      </c>
      <c r="D7" s="82">
        <v>4.125</v>
      </c>
      <c r="F7" s="115">
        <f>SUMPRODUCT((D4:D22) / ((1 + (0.0825/2)) ^B4:B22))</f>
        <v>99.99229944</v>
      </c>
      <c r="G7" s="82" t="s">
        <v>7</v>
      </c>
      <c r="H7" s="82" t="s">
        <v>104</v>
      </c>
      <c r="L7" s="112">
        <v>5.0</v>
      </c>
      <c r="M7" s="113">
        <v>46493.0</v>
      </c>
      <c r="N7" s="112">
        <v>3.94</v>
      </c>
      <c r="O7" s="112">
        <v>0.0</v>
      </c>
      <c r="P7" s="112">
        <v>3.94</v>
      </c>
      <c r="R7" s="115">
        <f>SUMPRODUCT((P3:P18) / ((1 + R5)) ^L3:L18)</f>
        <v>100.000677</v>
      </c>
      <c r="T7" s="112">
        <f t="shared" si="1"/>
        <v>5</v>
      </c>
      <c r="U7" s="113">
        <v>46476.0</v>
      </c>
      <c r="V7" s="112">
        <v>3.5</v>
      </c>
      <c r="W7" s="112">
        <v>0.0</v>
      </c>
      <c r="X7" s="112">
        <v>3.5</v>
      </c>
      <c r="Z7" s="115">
        <f>SUMPRODUCT((X3:X20) / ((1 + Z5)) ^T3:T20)</f>
        <v>100.0148817</v>
      </c>
    </row>
    <row r="8">
      <c r="A8" s="82">
        <v>2027.0</v>
      </c>
      <c r="B8" s="82">
        <f t="shared" si="2"/>
        <v>5</v>
      </c>
      <c r="C8" s="111">
        <f t="shared" si="3"/>
        <v>46575</v>
      </c>
      <c r="D8" s="82">
        <v>4.125</v>
      </c>
      <c r="F8" s="115">
        <f>IFERROR(__xludf.DUMMYFUNCTION("SUMPRODUCT(B4:B22 * D4:D22/ (1 + F6) ^ B4:B22) / (-D3)"),12.358479502076726)</f>
        <v>12.3584795</v>
      </c>
      <c r="G8" s="82" t="s">
        <v>105</v>
      </c>
      <c r="L8" s="112">
        <v>6.0</v>
      </c>
      <c r="M8" s="114">
        <v>46678.0</v>
      </c>
      <c r="N8" s="112">
        <v>3.94</v>
      </c>
      <c r="O8" s="112">
        <v>0.0</v>
      </c>
      <c r="P8" s="112">
        <v>3.94</v>
      </c>
      <c r="T8" s="112">
        <f t="shared" si="1"/>
        <v>6</v>
      </c>
      <c r="U8" s="113">
        <v>46660.0</v>
      </c>
      <c r="V8" s="112">
        <v>3.5</v>
      </c>
      <c r="W8" s="112">
        <v>0.0</v>
      </c>
      <c r="X8" s="112">
        <v>3.5</v>
      </c>
    </row>
    <row r="9">
      <c r="A9" s="82">
        <v>2028.0</v>
      </c>
      <c r="B9" s="82">
        <f t="shared" si="2"/>
        <v>6</v>
      </c>
      <c r="C9" s="111">
        <f t="shared" si="3"/>
        <v>46755</v>
      </c>
      <c r="D9" s="82">
        <v>4.125</v>
      </c>
      <c r="F9" s="115">
        <f>F8/B22*9</f>
        <v>5.854016606</v>
      </c>
      <c r="G9" s="82" t="s">
        <v>106</v>
      </c>
      <c r="L9" s="112">
        <v>7.0</v>
      </c>
      <c r="M9" s="113">
        <v>46860.0</v>
      </c>
      <c r="N9" s="112">
        <v>3.94</v>
      </c>
      <c r="O9" s="112">
        <v>0.0</v>
      </c>
      <c r="P9" s="112">
        <v>3.94</v>
      </c>
      <c r="T9" s="112">
        <f t="shared" si="1"/>
        <v>7</v>
      </c>
      <c r="U9" s="113">
        <v>46842.0</v>
      </c>
      <c r="V9" s="112">
        <v>3.5</v>
      </c>
      <c r="W9" s="112">
        <v>0.0</v>
      </c>
      <c r="X9" s="112">
        <v>3.5</v>
      </c>
    </row>
    <row r="10">
      <c r="A10" s="82">
        <v>2028.0</v>
      </c>
      <c r="B10" s="82">
        <f t="shared" si="2"/>
        <v>7</v>
      </c>
      <c r="C10" s="111">
        <f t="shared" si="3"/>
        <v>46935</v>
      </c>
      <c r="D10" s="82">
        <v>4.125</v>
      </c>
      <c r="F10" s="115">
        <f>F9/(1+F6)</f>
        <v>5.622104784</v>
      </c>
      <c r="G10" s="82" t="s">
        <v>107</v>
      </c>
      <c r="L10" s="112">
        <v>8.0</v>
      </c>
      <c r="M10" s="114">
        <v>47043.0</v>
      </c>
      <c r="N10" s="112">
        <v>3.94</v>
      </c>
      <c r="O10" s="112">
        <v>0.0</v>
      </c>
      <c r="P10" s="112">
        <v>3.94</v>
      </c>
      <c r="T10" s="112">
        <f t="shared" si="1"/>
        <v>8</v>
      </c>
      <c r="U10" s="113">
        <v>47028.0</v>
      </c>
      <c r="V10" s="112">
        <v>3.54</v>
      </c>
      <c r="W10" s="112">
        <v>0.0</v>
      </c>
      <c r="X10" s="112">
        <v>3.54</v>
      </c>
    </row>
    <row r="11">
      <c r="A11" s="82">
        <v>2029.0</v>
      </c>
      <c r="B11" s="82">
        <f t="shared" si="2"/>
        <v>8</v>
      </c>
      <c r="C11" s="111">
        <f t="shared" ref="C11:C14" si="4">C10+190</f>
        <v>47125</v>
      </c>
      <c r="D11" s="82">
        <v>4.125</v>
      </c>
      <c r="L11" s="112">
        <v>9.0</v>
      </c>
      <c r="M11" s="113">
        <v>47224.0</v>
      </c>
      <c r="N11" s="112">
        <v>3.94</v>
      </c>
      <c r="O11" s="112">
        <v>0.0</v>
      </c>
      <c r="P11" s="112">
        <v>3.94</v>
      </c>
      <c r="T11" s="112">
        <f t="shared" si="1"/>
        <v>9</v>
      </c>
      <c r="U11" s="113">
        <v>47211.0</v>
      </c>
      <c r="V11" s="112">
        <v>3.52</v>
      </c>
      <c r="W11" s="112">
        <v>0.0</v>
      </c>
      <c r="X11" s="112">
        <v>3.52</v>
      </c>
    </row>
    <row r="12">
      <c r="A12" s="82">
        <v>2029.0</v>
      </c>
      <c r="B12" s="82">
        <f t="shared" si="2"/>
        <v>9</v>
      </c>
      <c r="C12" s="111">
        <f t="shared" si="4"/>
        <v>47315</v>
      </c>
      <c r="D12" s="82">
        <v>4.125</v>
      </c>
      <c r="L12" s="112">
        <v>10.0</v>
      </c>
      <c r="M12" s="114">
        <v>47407.0</v>
      </c>
      <c r="N12" s="112">
        <v>3.94</v>
      </c>
      <c r="O12" s="112">
        <v>0.0</v>
      </c>
      <c r="P12" s="112">
        <v>3.94</v>
      </c>
      <c r="T12" s="112">
        <f t="shared" si="1"/>
        <v>10</v>
      </c>
      <c r="U12" s="113">
        <v>47392.0</v>
      </c>
      <c r="V12" s="112">
        <v>3.46</v>
      </c>
      <c r="W12" s="112">
        <v>0.0</v>
      </c>
      <c r="X12" s="112">
        <v>3.46</v>
      </c>
    </row>
    <row r="13">
      <c r="A13" s="82">
        <v>2030.0</v>
      </c>
      <c r="B13" s="82">
        <f t="shared" si="2"/>
        <v>10</v>
      </c>
      <c r="C13" s="111">
        <f t="shared" si="4"/>
        <v>47505</v>
      </c>
      <c r="D13" s="82">
        <v>4.125</v>
      </c>
      <c r="L13" s="112">
        <v>11.0</v>
      </c>
      <c r="M13" s="113">
        <v>47589.0</v>
      </c>
      <c r="N13" s="112">
        <v>3.94</v>
      </c>
      <c r="O13" s="112">
        <v>0.0</v>
      </c>
      <c r="P13" s="112">
        <v>3.94</v>
      </c>
      <c r="T13" s="112">
        <f t="shared" si="1"/>
        <v>11</v>
      </c>
      <c r="U13" s="113">
        <v>47574.0</v>
      </c>
      <c r="V13" s="112">
        <v>3.5</v>
      </c>
      <c r="W13" s="112">
        <v>0.0</v>
      </c>
      <c r="X13" s="112">
        <v>3.5</v>
      </c>
    </row>
    <row r="14">
      <c r="A14" s="82">
        <v>2030.0</v>
      </c>
      <c r="B14" s="82">
        <f t="shared" si="2"/>
        <v>11</v>
      </c>
      <c r="C14" s="111">
        <f t="shared" si="4"/>
        <v>47695</v>
      </c>
      <c r="D14" s="82">
        <v>4.125</v>
      </c>
      <c r="H14" s="82" t="s">
        <v>108</v>
      </c>
      <c r="L14" s="112">
        <v>12.0</v>
      </c>
      <c r="M14" s="114">
        <v>47772.0</v>
      </c>
      <c r="N14" s="112">
        <v>3.94</v>
      </c>
      <c r="O14" s="112">
        <v>33.0</v>
      </c>
      <c r="P14" s="112">
        <v>36.94</v>
      </c>
      <c r="T14" s="112">
        <f t="shared" si="1"/>
        <v>12</v>
      </c>
      <c r="U14" s="113">
        <v>47756.0</v>
      </c>
      <c r="V14" s="112">
        <v>3.48</v>
      </c>
      <c r="W14" s="112">
        <v>25.0</v>
      </c>
      <c r="X14" s="112">
        <v>28.48</v>
      </c>
    </row>
    <row r="15">
      <c r="A15" s="82">
        <v>2031.0</v>
      </c>
      <c r="B15" s="82">
        <f t="shared" si="2"/>
        <v>12</v>
      </c>
      <c r="C15" s="111">
        <f t="shared" ref="C15:C17" si="5">C14+180</f>
        <v>47875</v>
      </c>
      <c r="D15" s="82">
        <v>4.125</v>
      </c>
      <c r="H15" s="82" t="s">
        <v>109</v>
      </c>
      <c r="I15" s="82">
        <v>100.0</v>
      </c>
      <c r="L15" s="112">
        <v>13.0</v>
      </c>
      <c r="M15" s="113">
        <v>47954.0</v>
      </c>
      <c r="N15" s="112">
        <v>2.64</v>
      </c>
      <c r="O15" s="112">
        <v>0.0</v>
      </c>
      <c r="P15" s="112">
        <v>2.64</v>
      </c>
      <c r="T15" s="112">
        <f t="shared" si="1"/>
        <v>13</v>
      </c>
      <c r="U15" s="113">
        <v>47938.0</v>
      </c>
      <c r="V15" s="112">
        <v>2.63</v>
      </c>
      <c r="W15" s="112">
        <v>0.0</v>
      </c>
      <c r="X15" s="112">
        <v>2.63</v>
      </c>
    </row>
    <row r="16">
      <c r="A16" s="82">
        <v>2031.0</v>
      </c>
      <c r="B16" s="82">
        <f t="shared" si="2"/>
        <v>13</v>
      </c>
      <c r="C16" s="111">
        <f t="shared" si="5"/>
        <v>48055</v>
      </c>
      <c r="D16" s="82">
        <v>4.125</v>
      </c>
      <c r="H16" s="82" t="s">
        <v>110</v>
      </c>
      <c r="I16" s="82">
        <v>0.0825</v>
      </c>
      <c r="J16" s="82" t="s">
        <v>111</v>
      </c>
      <c r="L16" s="112">
        <v>14.0</v>
      </c>
      <c r="M16" s="114">
        <v>48137.0</v>
      </c>
      <c r="N16" s="112">
        <v>2.64</v>
      </c>
      <c r="O16" s="112">
        <v>33.0</v>
      </c>
      <c r="P16" s="112">
        <v>35.64</v>
      </c>
      <c r="T16" s="112">
        <f t="shared" si="1"/>
        <v>14</v>
      </c>
      <c r="U16" s="113">
        <v>48121.0</v>
      </c>
      <c r="V16" s="112">
        <v>2.63</v>
      </c>
      <c r="W16" s="112">
        <v>18.75</v>
      </c>
      <c r="X16" s="112">
        <v>21.38</v>
      </c>
    </row>
    <row r="17">
      <c r="A17" s="82">
        <v>2032.0</v>
      </c>
      <c r="B17" s="82">
        <f t="shared" si="2"/>
        <v>14</v>
      </c>
      <c r="C17" s="111">
        <f t="shared" si="5"/>
        <v>48235</v>
      </c>
      <c r="D17" s="82">
        <v>4.125</v>
      </c>
      <c r="H17" s="116" t="s">
        <v>112</v>
      </c>
      <c r="I17" s="117">
        <f>I16/2</f>
        <v>0.04125</v>
      </c>
      <c r="L17" s="112">
        <v>15.0</v>
      </c>
      <c r="M17" s="113">
        <v>48320.0</v>
      </c>
      <c r="N17" s="112">
        <v>1.34</v>
      </c>
      <c r="O17" s="112">
        <v>0.0</v>
      </c>
      <c r="P17" s="112">
        <v>1.34</v>
      </c>
      <c r="T17" s="112">
        <f t="shared" si="1"/>
        <v>15</v>
      </c>
      <c r="U17" s="113">
        <v>48303.0</v>
      </c>
      <c r="V17" s="112">
        <v>1.97</v>
      </c>
      <c r="W17" s="112">
        <v>0.0</v>
      </c>
      <c r="X17" s="112">
        <v>1.97</v>
      </c>
    </row>
    <row r="18">
      <c r="A18" s="82">
        <v>2032.0</v>
      </c>
      <c r="B18" s="82">
        <f t="shared" si="2"/>
        <v>15</v>
      </c>
      <c r="C18" s="111">
        <f>C17+190</f>
        <v>48425</v>
      </c>
      <c r="D18" s="82">
        <v>34.125</v>
      </c>
      <c r="H18" s="82" t="s">
        <v>113</v>
      </c>
      <c r="I18" s="82" t="s">
        <v>114</v>
      </c>
      <c r="L18" s="112">
        <v>16.0</v>
      </c>
      <c r="M18" s="114">
        <v>48505.0</v>
      </c>
      <c r="N18" s="112">
        <v>1.34</v>
      </c>
      <c r="O18" s="112">
        <v>34.0</v>
      </c>
      <c r="P18" s="112">
        <v>35.34</v>
      </c>
      <c r="T18" s="112">
        <f t="shared" si="1"/>
        <v>16</v>
      </c>
      <c r="U18" s="113">
        <v>48487.0</v>
      </c>
      <c r="V18" s="112">
        <v>1.97</v>
      </c>
      <c r="W18" s="112">
        <v>14.06</v>
      </c>
      <c r="X18" s="112">
        <v>16.03</v>
      </c>
    </row>
    <row r="19">
      <c r="A19" s="82">
        <v>2033.0</v>
      </c>
      <c r="B19" s="82">
        <f t="shared" si="2"/>
        <v>16</v>
      </c>
      <c r="C19" s="111">
        <f t="shared" ref="C19:C20" si="6">C18+180</f>
        <v>48605</v>
      </c>
      <c r="D19" s="82">
        <v>2.88</v>
      </c>
      <c r="H19" s="82" t="s">
        <v>115</v>
      </c>
      <c r="T19" s="112">
        <f t="shared" si="1"/>
        <v>17</v>
      </c>
      <c r="U19" s="113">
        <v>48668.0</v>
      </c>
      <c r="V19" s="112">
        <v>1.48</v>
      </c>
      <c r="W19" s="112">
        <v>0.0</v>
      </c>
      <c r="X19" s="112">
        <v>1.48</v>
      </c>
    </row>
    <row r="20">
      <c r="A20" s="82">
        <v>2033.0</v>
      </c>
      <c r="B20" s="82">
        <f t="shared" si="2"/>
        <v>17</v>
      </c>
      <c r="C20" s="111">
        <f t="shared" si="6"/>
        <v>48785</v>
      </c>
      <c r="D20" s="82">
        <v>32.88</v>
      </c>
      <c r="T20" s="112">
        <f t="shared" si="1"/>
        <v>18</v>
      </c>
      <c r="U20" s="113">
        <v>48852.0</v>
      </c>
      <c r="V20" s="112">
        <v>1.48</v>
      </c>
      <c r="W20" s="112">
        <v>42.19</v>
      </c>
      <c r="X20" s="112">
        <v>43.67</v>
      </c>
    </row>
    <row r="21">
      <c r="A21" s="82">
        <v>2034.0</v>
      </c>
      <c r="B21" s="82">
        <f t="shared" si="2"/>
        <v>18</v>
      </c>
      <c r="C21" s="111">
        <f>C20+190</f>
        <v>48975</v>
      </c>
      <c r="D21" s="82">
        <v>1.65</v>
      </c>
    </row>
    <row r="22">
      <c r="A22" s="82">
        <v>2034.0</v>
      </c>
      <c r="B22" s="82">
        <f t="shared" si="2"/>
        <v>19</v>
      </c>
      <c r="C22" s="111">
        <f>C21+180</f>
        <v>49155</v>
      </c>
      <c r="D22" s="82">
        <v>41.65</v>
      </c>
    </row>
    <row r="23">
      <c r="C23" s="111"/>
    </row>
  </sheetData>
  <mergeCells count="1">
    <mergeCell ref="A1:D1"/>
  </mergeCells>
  <drawing r:id="rId1"/>
</worksheet>
</file>